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ngguangqun\Desktop\济南重汽悍将新能源轻卡座椅\"/>
    </mc:Choice>
  </mc:AlternateContent>
  <bookViews>
    <workbookView xWindow="0" yWindow="510" windowWidth="18525" windowHeight="6180" tabRatio="907" activeTab="1"/>
  </bookViews>
  <sheets>
    <sheet name="假设条件" sheetId="34" r:id="rId1"/>
    <sheet name="损益表" sheetId="2" r:id="rId2"/>
    <sheet name="现金" sheetId="36" state="hidden" r:id="rId3"/>
    <sheet name="2023年" sheetId="43" r:id="rId4"/>
    <sheet name="2024年" sheetId="56" r:id="rId5"/>
    <sheet name="2025年" sheetId="58" r:id="rId6"/>
    <sheet name="2026年" sheetId="59" r:id="rId7"/>
    <sheet name="2027年" sheetId="57" r:id="rId8"/>
    <sheet name="项目投资" sheetId="51" r:id="rId9"/>
    <sheet name="销量" sheetId="55" r:id="rId10"/>
    <sheet name="材料成本" sheetId="53" r:id="rId11"/>
    <sheet name="其他" sheetId="54" r:id="rId12"/>
    <sheet name="标准成本" sheetId="50" r:id="rId13"/>
  </sheets>
  <externalReferences>
    <externalReference r:id="rId14"/>
  </externalReferences>
  <definedNames>
    <definedName name="_xlnm.Print_Area" localSheetId="3">'2023年'!$A$1:$K$48</definedName>
    <definedName name="_xlnm.Print_Area" localSheetId="4">'2024年'!$A$1:$K$48</definedName>
    <definedName name="_xlnm.Print_Area" localSheetId="5">'2025年'!$A$1:$K$48</definedName>
    <definedName name="_xlnm.Print_Area" localSheetId="6">'2026年'!$A$1:$K$48</definedName>
    <definedName name="_xlnm.Print_Area" localSheetId="7">'2027年'!$A$1:$K$48</definedName>
    <definedName name="_xlnm.Print_Area" localSheetId="1">损益表!$A$1:$H$62</definedName>
    <definedName name="_xlnm.Print_Area" localSheetId="8">项目投资!$A$1:$C$35</definedName>
  </definedNames>
  <calcPr calcId="162913"/>
</workbook>
</file>

<file path=xl/calcChain.xml><?xml version="1.0" encoding="utf-8"?>
<calcChain xmlns="http://schemas.openxmlformats.org/spreadsheetml/2006/main">
  <c r="D10" i="50" l="1"/>
  <c r="F42" i="2" l="1"/>
  <c r="G42" i="2"/>
  <c r="F43" i="2"/>
  <c r="G43" i="2"/>
  <c r="F44" i="2"/>
  <c r="G44" i="2"/>
  <c r="F49" i="2"/>
  <c r="G49" i="2"/>
  <c r="F50" i="2"/>
  <c r="G50" i="2"/>
  <c r="F51" i="2"/>
  <c r="G51" i="2"/>
  <c r="F52" i="2"/>
  <c r="G52" i="2"/>
  <c r="E42" i="2"/>
  <c r="E43" i="2"/>
  <c r="E44" i="2"/>
  <c r="E49" i="2"/>
  <c r="E50" i="2"/>
  <c r="E51" i="2"/>
  <c r="E52" i="2"/>
  <c r="H10" i="50"/>
  <c r="E110" i="50" l="1"/>
  <c r="E111" i="50"/>
  <c r="E112" i="50"/>
  <c r="E113" i="50"/>
  <c r="E114" i="50"/>
  <c r="E115" i="50"/>
  <c r="E116" i="50"/>
  <c r="E117" i="50"/>
  <c r="E97" i="50"/>
  <c r="E98" i="50"/>
  <c r="E99" i="50"/>
  <c r="E100" i="50"/>
  <c r="E101" i="50"/>
  <c r="E102" i="50"/>
  <c r="E103" i="50"/>
  <c r="E104" i="50"/>
  <c r="E84" i="50"/>
  <c r="E85" i="50"/>
  <c r="E86" i="50"/>
  <c r="E87" i="50"/>
  <c r="E88" i="50"/>
  <c r="E89" i="50"/>
  <c r="E90" i="50"/>
  <c r="E91" i="50"/>
  <c r="E71" i="50"/>
  <c r="E72" i="50"/>
  <c r="E73" i="50"/>
  <c r="E74" i="50"/>
  <c r="E75" i="50"/>
  <c r="E76" i="50"/>
  <c r="E77" i="50"/>
  <c r="E78" i="50"/>
  <c r="E58" i="50"/>
  <c r="E59" i="50"/>
  <c r="E60" i="50"/>
  <c r="E61" i="50"/>
  <c r="E62" i="50"/>
  <c r="E63" i="50"/>
  <c r="E64" i="50"/>
  <c r="E65" i="50"/>
  <c r="E45" i="50"/>
  <c r="E46" i="50"/>
  <c r="E47" i="50"/>
  <c r="E48" i="50"/>
  <c r="E49" i="50"/>
  <c r="E50" i="50"/>
  <c r="E51" i="50"/>
  <c r="E52" i="50"/>
  <c r="E32" i="50"/>
  <c r="E33" i="50"/>
  <c r="E34" i="50"/>
  <c r="E35" i="50"/>
  <c r="E36" i="50"/>
  <c r="E37" i="50"/>
  <c r="E38" i="50"/>
  <c r="E39" i="50"/>
  <c r="E18" i="50"/>
  <c r="E19" i="50"/>
  <c r="E20" i="50"/>
  <c r="E21" i="50"/>
  <c r="E22" i="50"/>
  <c r="E23" i="50"/>
  <c r="E24" i="50"/>
  <c r="E25" i="50"/>
  <c r="E21" i="55" l="1"/>
  <c r="F21" i="55"/>
  <c r="F22" i="55" s="1"/>
  <c r="G21" i="55"/>
  <c r="H21" i="55"/>
  <c r="I21" i="55"/>
  <c r="I22" i="55" s="1"/>
  <c r="J21" i="55"/>
  <c r="K21" i="55"/>
  <c r="E22" i="55"/>
  <c r="G22" i="55"/>
  <c r="H22" i="55"/>
  <c r="J22" i="55"/>
  <c r="K22" i="55"/>
  <c r="C17" i="55"/>
  <c r="D12" i="53"/>
  <c r="D27" i="51" l="1"/>
  <c r="L8" i="55" l="1"/>
  <c r="K18" i="55"/>
  <c r="K19" i="55" s="1"/>
  <c r="L17" i="55"/>
  <c r="L18" i="55" l="1"/>
  <c r="L19" i="55" s="1"/>
  <c r="C108" i="50"/>
  <c r="C95" i="50"/>
  <c r="C82" i="50"/>
  <c r="C69" i="50"/>
  <c r="C56" i="50"/>
  <c r="C43" i="50"/>
  <c r="C30" i="50"/>
  <c r="C16" i="50"/>
  <c r="C21" i="55"/>
  <c r="D21" i="55"/>
  <c r="D22" i="55" s="1"/>
  <c r="D3" i="53" l="1"/>
  <c r="A1" i="34"/>
  <c r="E18" i="53" l="1"/>
  <c r="F18" i="53" s="1"/>
  <c r="G18" i="53" s="1"/>
  <c r="E12" i="53"/>
  <c r="E19" i="53" s="1"/>
  <c r="F19" i="53" s="1"/>
  <c r="G19" i="53" s="1"/>
  <c r="D18" i="55"/>
  <c r="D19" i="55" s="1"/>
  <c r="B9" i="51"/>
  <c r="B27" i="51" s="1"/>
  <c r="E27" i="51" s="1"/>
  <c r="F27" i="51" s="1"/>
  <c r="K21" i="57" s="1"/>
  <c r="F12" i="53"/>
  <c r="E20" i="53" s="1"/>
  <c r="F20" i="53" s="1"/>
  <c r="G20" i="53" s="1"/>
  <c r="M8" i="55"/>
  <c r="B8" i="51"/>
  <c r="B26" i="51" s="1"/>
  <c r="D26" i="51" s="1"/>
  <c r="H31" i="50"/>
  <c r="H3" i="50"/>
  <c r="D7" i="50" s="1"/>
  <c r="H17" i="50"/>
  <c r="D24" i="50" s="1"/>
  <c r="D38" i="43" s="1"/>
  <c r="H44" i="50"/>
  <c r="D52" i="50"/>
  <c r="F47" i="43" s="1"/>
  <c r="F47" i="58" s="1"/>
  <c r="F22" i="58" s="1"/>
  <c r="H57" i="50"/>
  <c r="H70" i="50"/>
  <c r="H83" i="50"/>
  <c r="D91" i="50" s="1"/>
  <c r="I47" i="43" s="1"/>
  <c r="I47" i="56" s="1"/>
  <c r="I22" i="56" s="1"/>
  <c r="H96" i="50"/>
  <c r="D99" i="50" s="1"/>
  <c r="J37" i="43" s="1"/>
  <c r="D49" i="50"/>
  <c r="F45" i="43" s="1"/>
  <c r="D50" i="50"/>
  <c r="F44" i="43" s="1"/>
  <c r="F44" i="59" s="1"/>
  <c r="D76" i="50"/>
  <c r="H44" i="43" s="1"/>
  <c r="D46" i="50"/>
  <c r="F43" i="43" s="1"/>
  <c r="D45" i="50"/>
  <c r="F36" i="43" s="1"/>
  <c r="F36" i="59" s="1"/>
  <c r="F11" i="59" s="1"/>
  <c r="D47" i="50"/>
  <c r="F37" i="43" s="1"/>
  <c r="F37" i="56" s="1"/>
  <c r="D51" i="50"/>
  <c r="F38" i="43" s="1"/>
  <c r="D90" i="50"/>
  <c r="I38" i="43" s="1"/>
  <c r="I38" i="56" s="1"/>
  <c r="C6" i="57"/>
  <c r="C7" i="57" s="1"/>
  <c r="D6" i="57"/>
  <c r="D7" i="57" s="1"/>
  <c r="E6" i="57"/>
  <c r="E7" i="57" s="1"/>
  <c r="F6" i="57"/>
  <c r="G6" i="57"/>
  <c r="H6" i="57"/>
  <c r="H7" i="57"/>
  <c r="I6" i="57"/>
  <c r="J6" i="57"/>
  <c r="C6" i="59"/>
  <c r="C7" i="59" s="1"/>
  <c r="D6" i="59"/>
  <c r="D7" i="59" s="1"/>
  <c r="E6" i="59"/>
  <c r="F6" i="59"/>
  <c r="F7" i="59" s="1"/>
  <c r="G6" i="59"/>
  <c r="H6" i="59"/>
  <c r="I6" i="59"/>
  <c r="I7" i="59" s="1"/>
  <c r="J6" i="59"/>
  <c r="J7" i="59"/>
  <c r="C6" i="58"/>
  <c r="C7" i="58" s="1"/>
  <c r="D6" i="58"/>
  <c r="D7" i="58"/>
  <c r="E6" i="58"/>
  <c r="F6" i="58"/>
  <c r="G6" i="58"/>
  <c r="G7" i="58" s="1"/>
  <c r="H6" i="58"/>
  <c r="I6" i="58"/>
  <c r="I7" i="58" s="1"/>
  <c r="J6" i="58"/>
  <c r="C6" i="56"/>
  <c r="C7" i="56" s="1"/>
  <c r="D6" i="56"/>
  <c r="E6" i="56"/>
  <c r="E7" i="56" s="1"/>
  <c r="F6" i="56"/>
  <c r="F7" i="56" s="1"/>
  <c r="G6" i="56"/>
  <c r="H6" i="56"/>
  <c r="H7" i="56" s="1"/>
  <c r="I6" i="56"/>
  <c r="J6" i="56"/>
  <c r="G12" i="53"/>
  <c r="E21" i="53" s="1"/>
  <c r="F21" i="53" s="1"/>
  <c r="G21" i="53" s="1"/>
  <c r="H12" i="53"/>
  <c r="E22" i="53" s="1"/>
  <c r="F22" i="53" s="1"/>
  <c r="G22" i="53" s="1"/>
  <c r="I12" i="53"/>
  <c r="E23" i="53" s="1"/>
  <c r="F23" i="53" s="1"/>
  <c r="G23" i="53" s="1"/>
  <c r="J12" i="53"/>
  <c r="E24" i="53" s="1"/>
  <c r="F24" i="53" s="1"/>
  <c r="G24" i="53" s="1"/>
  <c r="K12" i="53"/>
  <c r="E25" i="53" s="1"/>
  <c r="F25" i="53" s="1"/>
  <c r="G25" i="53" s="1"/>
  <c r="E18" i="55"/>
  <c r="F18" i="55"/>
  <c r="G18" i="55"/>
  <c r="G19" i="55" s="1"/>
  <c r="H18" i="55"/>
  <c r="H19" i="55" s="1"/>
  <c r="I18" i="55"/>
  <c r="I19" i="55" s="1"/>
  <c r="J18" i="55"/>
  <c r="J19" i="55" s="1"/>
  <c r="E19" i="55"/>
  <c r="F19" i="55"/>
  <c r="D31" i="43"/>
  <c r="D31" i="59" s="1"/>
  <c r="E31" i="43"/>
  <c r="E31" i="59"/>
  <c r="F31" i="43"/>
  <c r="F31" i="59" s="1"/>
  <c r="G31" i="43"/>
  <c r="H31" i="43"/>
  <c r="H32" i="43" s="1"/>
  <c r="I31" i="43"/>
  <c r="J31" i="43"/>
  <c r="J31" i="57"/>
  <c r="D6" i="43"/>
  <c r="E6" i="43"/>
  <c r="F6" i="43"/>
  <c r="G6" i="43"/>
  <c r="H6" i="43"/>
  <c r="I6" i="43"/>
  <c r="J6" i="43"/>
  <c r="D3" i="43"/>
  <c r="D3" i="59" s="1"/>
  <c r="E3" i="43"/>
  <c r="F3" i="43"/>
  <c r="F3" i="59" s="1"/>
  <c r="G3" i="43"/>
  <c r="H3" i="43"/>
  <c r="I3" i="43"/>
  <c r="I3" i="57" s="1"/>
  <c r="J3" i="43"/>
  <c r="J3" i="59" s="1"/>
  <c r="D4" i="43"/>
  <c r="E4" i="43"/>
  <c r="F4" i="43"/>
  <c r="F4" i="57"/>
  <c r="G4" i="43"/>
  <c r="G4" i="57" s="1"/>
  <c r="H4" i="43"/>
  <c r="I4" i="43"/>
  <c r="I4" i="57" s="1"/>
  <c r="J4" i="43"/>
  <c r="J4" i="59" s="1"/>
  <c r="H109" i="50"/>
  <c r="D114" i="50" s="1"/>
  <c r="D4" i="53"/>
  <c r="C18" i="53" s="1"/>
  <c r="E4" i="53"/>
  <c r="C19" i="53" s="1"/>
  <c r="F4" i="53"/>
  <c r="C20" i="53" s="1"/>
  <c r="G4" i="53"/>
  <c r="C21" i="53" s="1"/>
  <c r="H4" i="53"/>
  <c r="C22" i="53" s="1"/>
  <c r="I4" i="53"/>
  <c r="C23" i="53" s="1"/>
  <c r="J4" i="53"/>
  <c r="C24" i="53" s="1"/>
  <c r="K4" i="53"/>
  <c r="C25" i="53" s="1"/>
  <c r="D5" i="53"/>
  <c r="D18" i="53" s="1"/>
  <c r="E5" i="53"/>
  <c r="D19" i="53" s="1"/>
  <c r="F5" i="53"/>
  <c r="D20" i="53" s="1"/>
  <c r="G5" i="53"/>
  <c r="D21" i="53" s="1"/>
  <c r="H5" i="53"/>
  <c r="D22" i="53" s="1"/>
  <c r="I5" i="53"/>
  <c r="D23" i="53" s="1"/>
  <c r="J5" i="53"/>
  <c r="D24" i="53" s="1"/>
  <c r="K5" i="53"/>
  <c r="D25" i="53" s="1"/>
  <c r="D61" i="50"/>
  <c r="D48" i="50"/>
  <c r="K8" i="43"/>
  <c r="C6" i="2"/>
  <c r="G15" i="55"/>
  <c r="H15" i="55"/>
  <c r="I15" i="55"/>
  <c r="J15" i="55"/>
  <c r="K15" i="55"/>
  <c r="E7" i="50"/>
  <c r="L12" i="53"/>
  <c r="N7" i="55"/>
  <c r="N8" i="55" s="1"/>
  <c r="L10" i="55"/>
  <c r="L11" i="55"/>
  <c r="L12" i="55"/>
  <c r="L13" i="55"/>
  <c r="L14" i="55"/>
  <c r="C15" i="55"/>
  <c r="C2" i="59"/>
  <c r="C2" i="58"/>
  <c r="C2" i="57"/>
  <c r="C2" i="56"/>
  <c r="C3" i="43"/>
  <c r="C3" i="59" s="1"/>
  <c r="C4" i="43"/>
  <c r="C4" i="59" s="1"/>
  <c r="B5" i="51"/>
  <c r="L9" i="55"/>
  <c r="G22" i="51"/>
  <c r="B7" i="51"/>
  <c r="C31" i="43"/>
  <c r="C31" i="59" s="1"/>
  <c r="C6" i="43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C13" i="36"/>
  <c r="L12" i="36"/>
  <c r="K12" i="36"/>
  <c r="J12" i="36"/>
  <c r="I12" i="36"/>
  <c r="H12" i="36"/>
  <c r="G12" i="36"/>
  <c r="F12" i="36"/>
  <c r="E12" i="36"/>
  <c r="D12" i="36"/>
  <c r="C12" i="36"/>
  <c r="L11" i="36"/>
  <c r="K11" i="36"/>
  <c r="J11" i="36"/>
  <c r="I11" i="36"/>
  <c r="H11" i="36"/>
  <c r="G11" i="36"/>
  <c r="F11" i="36"/>
  <c r="E11" i="36"/>
  <c r="D11" i="36"/>
  <c r="C11" i="36"/>
  <c r="C10" i="36" s="1"/>
  <c r="C17" i="36" s="1"/>
  <c r="C19" i="36" s="1"/>
  <c r="C20" i="36" s="1"/>
  <c r="M9" i="36"/>
  <c r="M8" i="36"/>
  <c r="L7" i="36"/>
  <c r="K7" i="36"/>
  <c r="J7" i="36"/>
  <c r="I7" i="36"/>
  <c r="H7" i="36"/>
  <c r="G7" i="36"/>
  <c r="F7" i="36"/>
  <c r="E7" i="36"/>
  <c r="K6" i="36"/>
  <c r="J6" i="36"/>
  <c r="I6" i="36"/>
  <c r="I5" i="36"/>
  <c r="E6" i="36"/>
  <c r="K5" i="36"/>
  <c r="J5" i="36"/>
  <c r="D5" i="36"/>
  <c r="C5" i="36"/>
  <c r="D4" i="36"/>
  <c r="E4" i="36"/>
  <c r="F4" i="36"/>
  <c r="G4" i="36"/>
  <c r="H4" i="36"/>
  <c r="I4" i="36"/>
  <c r="J4" i="36"/>
  <c r="K4" i="36"/>
  <c r="L4" i="36"/>
  <c r="I4" i="58"/>
  <c r="D6" i="50"/>
  <c r="C37" i="43" s="1"/>
  <c r="C37" i="57" s="1"/>
  <c r="J7" i="56"/>
  <c r="G7" i="59"/>
  <c r="D88" i="50"/>
  <c r="I45" i="43" s="1"/>
  <c r="I45" i="56" s="1"/>
  <c r="I20" i="56" s="1"/>
  <c r="F38" i="57"/>
  <c r="C7" i="43"/>
  <c r="G3" i="59"/>
  <c r="G3" i="57"/>
  <c r="G3" i="56"/>
  <c r="H7" i="43"/>
  <c r="H9" i="43" s="1"/>
  <c r="E7" i="43"/>
  <c r="E9" i="43"/>
  <c r="D3" i="56"/>
  <c r="I31" i="56"/>
  <c r="D87" i="50"/>
  <c r="I3" i="58"/>
  <c r="D84" i="50"/>
  <c r="I36" i="43"/>
  <c r="I36" i="59" s="1"/>
  <c r="I11" i="59" s="1"/>
  <c r="D100" i="50"/>
  <c r="G7" i="56"/>
  <c r="D86" i="50"/>
  <c r="I37" i="43" s="1"/>
  <c r="D97" i="50"/>
  <c r="J36" i="43" s="1"/>
  <c r="J11" i="43" s="1"/>
  <c r="D85" i="50"/>
  <c r="I43" i="43"/>
  <c r="I43" i="58" s="1"/>
  <c r="D89" i="50"/>
  <c r="I44" i="43" s="1"/>
  <c r="I19" i="43" s="1"/>
  <c r="B10" i="51"/>
  <c r="G4" i="58"/>
  <c r="J4" i="58"/>
  <c r="F4" i="58"/>
  <c r="E32" i="43"/>
  <c r="D3" i="57"/>
  <c r="H4" i="57"/>
  <c r="I3" i="59"/>
  <c r="I3" i="56"/>
  <c r="F3" i="56"/>
  <c r="J7" i="43"/>
  <c r="J9" i="43" s="1"/>
  <c r="G7" i="43"/>
  <c r="G9" i="43" s="1"/>
  <c r="D7" i="43"/>
  <c r="D9" i="43" s="1"/>
  <c r="J31" i="58"/>
  <c r="J31" i="56"/>
  <c r="J31" i="59"/>
  <c r="J32" i="43"/>
  <c r="G31" i="58"/>
  <c r="G32" i="43"/>
  <c r="D31" i="57"/>
  <c r="F7" i="58"/>
  <c r="H7" i="59"/>
  <c r="J7" i="57"/>
  <c r="G7" i="57"/>
  <c r="I7" i="56"/>
  <c r="D75" i="50"/>
  <c r="H45" i="43" s="1"/>
  <c r="H20" i="43" s="1"/>
  <c r="D71" i="50"/>
  <c r="H36" i="43" s="1"/>
  <c r="H36" i="59" s="1"/>
  <c r="H11" i="59" s="1"/>
  <c r="D73" i="50"/>
  <c r="H37" i="43" s="1"/>
  <c r="H12" i="43" s="1"/>
  <c r="D77" i="50"/>
  <c r="H38" i="43" s="1"/>
  <c r="H13" i="43" s="1"/>
  <c r="D78" i="50"/>
  <c r="H47" i="43" s="1"/>
  <c r="D72" i="50"/>
  <c r="H43" i="43" s="1"/>
  <c r="H43" i="57" s="1"/>
  <c r="D74" i="50"/>
  <c r="D37" i="50"/>
  <c r="E44" i="43" s="1"/>
  <c r="E44" i="57" s="1"/>
  <c r="D35" i="50"/>
  <c r="G4" i="56"/>
  <c r="D4" i="56"/>
  <c r="E3" i="58"/>
  <c r="G4" i="59"/>
  <c r="F43" i="59"/>
  <c r="C43" i="43"/>
  <c r="C43" i="57" s="1"/>
  <c r="C38" i="43"/>
  <c r="C38" i="56" s="1"/>
  <c r="C13" i="56" s="1"/>
  <c r="C45" i="43"/>
  <c r="C45" i="57" s="1"/>
  <c r="I7" i="43"/>
  <c r="I9" i="43" s="1"/>
  <c r="F7" i="43"/>
  <c r="F9" i="43" s="1"/>
  <c r="H31" i="57"/>
  <c r="H31" i="56"/>
  <c r="E31" i="57"/>
  <c r="E31" i="56"/>
  <c r="I32" i="43"/>
  <c r="I4" i="56"/>
  <c r="F4" i="56"/>
  <c r="E3" i="56"/>
  <c r="G3" i="58"/>
  <c r="D3" i="58"/>
  <c r="I4" i="59"/>
  <c r="F4" i="59"/>
  <c r="H3" i="59"/>
  <c r="E31" i="58"/>
  <c r="H31" i="59"/>
  <c r="J7" i="58"/>
  <c r="H7" i="58"/>
  <c r="I7" i="57"/>
  <c r="D60" i="50"/>
  <c r="G37" i="43" s="1"/>
  <c r="D22" i="50"/>
  <c r="D45" i="43" s="1"/>
  <c r="D45" i="56" s="1"/>
  <c r="D104" i="50"/>
  <c r="J47" i="43" s="1"/>
  <c r="J47" i="56" s="1"/>
  <c r="J22" i="56" s="1"/>
  <c r="D98" i="50"/>
  <c r="J43" i="43" s="1"/>
  <c r="J43" i="59" s="1"/>
  <c r="I44" i="58"/>
  <c r="I19" i="58" s="1"/>
  <c r="G37" i="56"/>
  <c r="G12" i="56" s="1"/>
  <c r="E19" i="43"/>
  <c r="H36" i="57"/>
  <c r="H11" i="57" s="1"/>
  <c r="H36" i="58"/>
  <c r="H11" i="58" s="1"/>
  <c r="H36" i="56"/>
  <c r="H11" i="56" s="1"/>
  <c r="H45" i="58"/>
  <c r="H20" i="58" s="1"/>
  <c r="H43" i="56"/>
  <c r="H37" i="58"/>
  <c r="H12" i="58" s="1"/>
  <c r="D10" i="36" l="1"/>
  <c r="D17" i="36" s="1"/>
  <c r="D19" i="36" s="1"/>
  <c r="D20" i="36" s="1"/>
  <c r="L10" i="36"/>
  <c r="H10" i="36"/>
  <c r="H37" i="59"/>
  <c r="H12" i="59" s="1"/>
  <c r="H43" i="59"/>
  <c r="H37" i="56"/>
  <c r="H12" i="56" s="1"/>
  <c r="H37" i="57"/>
  <c r="H12" i="57" s="1"/>
  <c r="H14" i="57" s="1"/>
  <c r="H43" i="58"/>
  <c r="H11" i="43"/>
  <c r="H14" i="43" s="1"/>
  <c r="E10" i="36"/>
  <c r="K10" i="36"/>
  <c r="G10" i="36"/>
  <c r="M11" i="36"/>
  <c r="I10" i="36"/>
  <c r="M14" i="36"/>
  <c r="M15" i="36"/>
  <c r="C18" i="36"/>
  <c r="I17" i="36"/>
  <c r="I19" i="36" s="1"/>
  <c r="M13" i="36"/>
  <c r="K17" i="36"/>
  <c r="K19" i="36" s="1"/>
  <c r="M7" i="36"/>
  <c r="J10" i="36"/>
  <c r="J17" i="36" s="1"/>
  <c r="J19" i="36" s="1"/>
  <c r="M12" i="36"/>
  <c r="F10" i="36"/>
  <c r="M10" i="36" s="1"/>
  <c r="H45" i="56"/>
  <c r="H20" i="56" s="1"/>
  <c r="H45" i="57"/>
  <c r="H20" i="57" s="1"/>
  <c r="E44" i="59"/>
  <c r="J36" i="59"/>
  <c r="J11" i="59" s="1"/>
  <c r="I44" i="59"/>
  <c r="I19" i="59" s="1"/>
  <c r="I45" i="59"/>
  <c r="I20" i="59" s="1"/>
  <c r="I38" i="57"/>
  <c r="I13" i="57" s="1"/>
  <c r="I13" i="43"/>
  <c r="H45" i="59"/>
  <c r="H20" i="59" s="1"/>
  <c r="H38" i="57"/>
  <c r="H13" i="57" s="1"/>
  <c r="I44" i="56"/>
  <c r="I19" i="56" s="1"/>
  <c r="I44" i="57"/>
  <c r="I19" i="57" s="1"/>
  <c r="D33" i="43"/>
  <c r="D33" i="56" s="1"/>
  <c r="D33" i="58" s="1"/>
  <c r="D33" i="59" s="1"/>
  <c r="D33" i="57" s="1"/>
  <c r="C20" i="57"/>
  <c r="K6" i="57"/>
  <c r="G4" i="2" s="1"/>
  <c r="C12" i="57"/>
  <c r="D25" i="50"/>
  <c r="D47" i="43" s="1"/>
  <c r="D47" i="58" s="1"/>
  <c r="D22" i="58" s="1"/>
  <c r="F7" i="57"/>
  <c r="F13" i="57"/>
  <c r="F31" i="56"/>
  <c r="F32" i="43"/>
  <c r="F31" i="58"/>
  <c r="D31" i="56"/>
  <c r="D32" i="43"/>
  <c r="D31" i="58"/>
  <c r="F31" i="57"/>
  <c r="F3" i="58"/>
  <c r="F3" i="57"/>
  <c r="K6" i="43"/>
  <c r="C4" i="2" s="1"/>
  <c r="F19" i="59"/>
  <c r="C3" i="58"/>
  <c r="C44" i="43"/>
  <c r="C44" i="59" s="1"/>
  <c r="C19" i="59" s="1"/>
  <c r="D4" i="50"/>
  <c r="C36" i="43" s="1"/>
  <c r="D11" i="50"/>
  <c r="C47" i="43" s="1"/>
  <c r="C47" i="57" s="1"/>
  <c r="C22" i="57" s="1"/>
  <c r="C3" i="57"/>
  <c r="C3" i="56"/>
  <c r="F33" i="43"/>
  <c r="F33" i="56" s="1"/>
  <c r="F33" i="58" s="1"/>
  <c r="F33" i="59" s="1"/>
  <c r="F33" i="57" s="1"/>
  <c r="E33" i="43"/>
  <c r="H33" i="43"/>
  <c r="H33" i="56" s="1"/>
  <c r="J10" i="43"/>
  <c r="J33" i="43"/>
  <c r="J33" i="56" s="1"/>
  <c r="J33" i="58" s="1"/>
  <c r="J33" i="59" s="1"/>
  <c r="J33" i="57" s="1"/>
  <c r="G33" i="43"/>
  <c r="G33" i="56" s="1"/>
  <c r="G33" i="58" s="1"/>
  <c r="G33" i="59" s="1"/>
  <c r="G33" i="57" s="1"/>
  <c r="H34" i="43"/>
  <c r="H40" i="43" s="1"/>
  <c r="I33" i="43"/>
  <c r="I33" i="56" s="1"/>
  <c r="J10" i="58"/>
  <c r="E19" i="57"/>
  <c r="F22" i="43"/>
  <c r="F12" i="56"/>
  <c r="F20" i="43"/>
  <c r="F13" i="43"/>
  <c r="H47" i="58"/>
  <c r="H22" i="58" s="1"/>
  <c r="H47" i="57"/>
  <c r="H22" i="57" s="1"/>
  <c r="H47" i="59"/>
  <c r="H22" i="59" s="1"/>
  <c r="H47" i="56"/>
  <c r="H22" i="56" s="1"/>
  <c r="H22" i="43"/>
  <c r="J12" i="43"/>
  <c r="G19" i="2"/>
  <c r="D21" i="57"/>
  <c r="D46" i="57" s="1"/>
  <c r="C21" i="57"/>
  <c r="C46" i="57" s="1"/>
  <c r="J26" i="51"/>
  <c r="J10" i="57"/>
  <c r="J10" i="59"/>
  <c r="G10" i="58"/>
  <c r="G10" i="56"/>
  <c r="J43" i="57"/>
  <c r="J36" i="57"/>
  <c r="J11" i="57" s="1"/>
  <c r="J36" i="56"/>
  <c r="J11" i="56" s="1"/>
  <c r="J36" i="58"/>
  <c r="J11" i="58" s="1"/>
  <c r="J4" i="56"/>
  <c r="J4" i="57"/>
  <c r="J3" i="56"/>
  <c r="J3" i="58"/>
  <c r="J3" i="57"/>
  <c r="I13" i="56"/>
  <c r="D47" i="59"/>
  <c r="D22" i="59" s="1"/>
  <c r="D22" i="43"/>
  <c r="F37" i="58"/>
  <c r="F12" i="58" s="1"/>
  <c r="F37" i="57"/>
  <c r="F12" i="57" s="1"/>
  <c r="F12" i="43"/>
  <c r="F37" i="59"/>
  <c r="F12" i="59" s="1"/>
  <c r="I47" i="57"/>
  <c r="I22" i="57" s="1"/>
  <c r="I22" i="43"/>
  <c r="I47" i="59"/>
  <c r="I22" i="59" s="1"/>
  <c r="I47" i="58"/>
  <c r="I22" i="58" s="1"/>
  <c r="D63" i="50"/>
  <c r="G44" i="43" s="1"/>
  <c r="D58" i="50"/>
  <c r="G36" i="43" s="1"/>
  <c r="D65" i="50"/>
  <c r="G47" i="43" s="1"/>
  <c r="D59" i="50"/>
  <c r="G43" i="43" s="1"/>
  <c r="D64" i="50"/>
  <c r="G38" i="43" s="1"/>
  <c r="D62" i="50"/>
  <c r="G45" i="43" s="1"/>
  <c r="D23" i="50"/>
  <c r="D44" i="43" s="1"/>
  <c r="D44" i="56" s="1"/>
  <c r="D19" i="56" s="1"/>
  <c r="D19" i="50"/>
  <c r="D43" i="43" s="1"/>
  <c r="D21" i="50"/>
  <c r="D20" i="50"/>
  <c r="D37" i="43" s="1"/>
  <c r="D37" i="58" s="1"/>
  <c r="D18" i="50"/>
  <c r="D36" i="43" s="1"/>
  <c r="D36" i="59" s="1"/>
  <c r="J43" i="58"/>
  <c r="J43" i="56"/>
  <c r="G37" i="59"/>
  <c r="G12" i="59" s="1"/>
  <c r="G37" i="58"/>
  <c r="G12" i="58" s="1"/>
  <c r="G12" i="43"/>
  <c r="I43" i="59"/>
  <c r="I43" i="56"/>
  <c r="I43" i="57"/>
  <c r="I12" i="43"/>
  <c r="I37" i="56"/>
  <c r="I12" i="56" s="1"/>
  <c r="I37" i="57"/>
  <c r="I12" i="57" s="1"/>
  <c r="I37" i="59"/>
  <c r="I12" i="59" s="1"/>
  <c r="I37" i="58"/>
  <c r="I12" i="58" s="1"/>
  <c r="H44" i="57"/>
  <c r="H44" i="58"/>
  <c r="H19" i="58" s="1"/>
  <c r="H44" i="56"/>
  <c r="H19" i="56" s="1"/>
  <c r="H44" i="59"/>
  <c r="H19" i="59" s="1"/>
  <c r="G37" i="57"/>
  <c r="G12" i="57" s="1"/>
  <c r="J37" i="59"/>
  <c r="J12" i="59" s="1"/>
  <c r="J37" i="58"/>
  <c r="J12" i="58" s="1"/>
  <c r="J37" i="56"/>
  <c r="J12" i="56" s="1"/>
  <c r="J37" i="57"/>
  <c r="J47" i="57"/>
  <c r="J22" i="57" s="1"/>
  <c r="J47" i="59"/>
  <c r="J22" i="59" s="1"/>
  <c r="J47" i="58"/>
  <c r="J22" i="58" s="1"/>
  <c r="J22" i="43"/>
  <c r="H38" i="59"/>
  <c r="H13" i="59" s="1"/>
  <c r="H38" i="56"/>
  <c r="H13" i="56" s="1"/>
  <c r="H14" i="56" s="1"/>
  <c r="H38" i="58"/>
  <c r="H13" i="58" s="1"/>
  <c r="H14" i="58" s="1"/>
  <c r="H19" i="43"/>
  <c r="F11" i="43"/>
  <c r="F36" i="58"/>
  <c r="F11" i="58" s="1"/>
  <c r="F36" i="57"/>
  <c r="F11" i="57" s="1"/>
  <c r="F14" i="57" s="1"/>
  <c r="F36" i="56"/>
  <c r="F11" i="56" s="1"/>
  <c r="I36" i="58"/>
  <c r="I11" i="58" s="1"/>
  <c r="I11" i="43"/>
  <c r="I36" i="57"/>
  <c r="I11" i="57" s="1"/>
  <c r="I36" i="56"/>
  <c r="I11" i="56" s="1"/>
  <c r="I45" i="58"/>
  <c r="I20" i="58" s="1"/>
  <c r="I45" i="57"/>
  <c r="I20" i="57" s="1"/>
  <c r="I20" i="43"/>
  <c r="H4" i="59"/>
  <c r="H4" i="56"/>
  <c r="H4" i="58"/>
  <c r="H3" i="57"/>
  <c r="H3" i="58"/>
  <c r="H3" i="56"/>
  <c r="E3" i="57"/>
  <c r="E3" i="59"/>
  <c r="G31" i="57"/>
  <c r="G31" i="56"/>
  <c r="G31" i="59"/>
  <c r="I38" i="58"/>
  <c r="I13" i="58" s="1"/>
  <c r="I38" i="59"/>
  <c r="I13" i="59" s="1"/>
  <c r="F43" i="57"/>
  <c r="F43" i="58"/>
  <c r="F43" i="56"/>
  <c r="F45" i="59"/>
  <c r="F20" i="59" s="1"/>
  <c r="F45" i="56"/>
  <c r="F20" i="56" s="1"/>
  <c r="F45" i="58"/>
  <c r="F20" i="58" s="1"/>
  <c r="F45" i="57"/>
  <c r="F20" i="57" s="1"/>
  <c r="F47" i="57"/>
  <c r="F22" i="57" s="1"/>
  <c r="F47" i="59"/>
  <c r="F22" i="59" s="1"/>
  <c r="F47" i="56"/>
  <c r="F22" i="56" s="1"/>
  <c r="E4" i="58"/>
  <c r="E4" i="59"/>
  <c r="E4" i="57"/>
  <c r="E4" i="56"/>
  <c r="I31" i="59"/>
  <c r="I31" i="57"/>
  <c r="I31" i="58"/>
  <c r="F38" i="59"/>
  <c r="F13" i="59" s="1"/>
  <c r="F38" i="56"/>
  <c r="F13" i="56" s="1"/>
  <c r="F38" i="58"/>
  <c r="F13" i="58" s="1"/>
  <c r="F44" i="58"/>
  <c r="F19" i="58" s="1"/>
  <c r="F44" i="56"/>
  <c r="F19" i="56" s="1"/>
  <c r="F19" i="43"/>
  <c r="F44" i="57"/>
  <c r="F19" i="57" s="1"/>
  <c r="D101" i="50"/>
  <c r="J45" i="43" s="1"/>
  <c r="D103" i="50"/>
  <c r="J38" i="43" s="1"/>
  <c r="D102" i="50"/>
  <c r="J44" i="43" s="1"/>
  <c r="D33" i="50"/>
  <c r="E43" i="43" s="1"/>
  <c r="E43" i="56" s="1"/>
  <c r="D38" i="50"/>
  <c r="E38" i="43" s="1"/>
  <c r="D36" i="50"/>
  <c r="E45" i="43" s="1"/>
  <c r="D34" i="50"/>
  <c r="E37" i="43" s="1"/>
  <c r="E37" i="59" s="1"/>
  <c r="E12" i="59" s="1"/>
  <c r="D39" i="50"/>
  <c r="E47" i="43" s="1"/>
  <c r="E22" i="43" s="1"/>
  <c r="D32" i="50"/>
  <c r="E36" i="43" s="1"/>
  <c r="H31" i="58"/>
  <c r="C33" i="43"/>
  <c r="N9" i="55"/>
  <c r="O8" i="55"/>
  <c r="O7" i="55"/>
  <c r="K18" i="57"/>
  <c r="G16" i="2" s="1"/>
  <c r="E26" i="51"/>
  <c r="K18" i="56"/>
  <c r="D61" i="2" s="1"/>
  <c r="K18" i="43"/>
  <c r="K18" i="58"/>
  <c r="K18" i="59"/>
  <c r="F16" i="2" s="1"/>
  <c r="C57" i="2"/>
  <c r="C58" i="2"/>
  <c r="D113" i="50"/>
  <c r="D112" i="50"/>
  <c r="D111" i="50"/>
  <c r="D116" i="50"/>
  <c r="D110" i="50"/>
  <c r="D117" i="50"/>
  <c r="D115" i="50"/>
  <c r="L15" i="55"/>
  <c r="D7" i="56"/>
  <c r="D20" i="56"/>
  <c r="K6" i="56"/>
  <c r="K6" i="58"/>
  <c r="K6" i="59"/>
  <c r="E7" i="59"/>
  <c r="E19" i="59"/>
  <c r="D38" i="58"/>
  <c r="D13" i="58" s="1"/>
  <c r="D38" i="57"/>
  <c r="D13" i="57" s="1"/>
  <c r="D13" i="43"/>
  <c r="D38" i="59"/>
  <c r="D13" i="59" s="1"/>
  <c r="D45" i="58"/>
  <c r="D20" i="58" s="1"/>
  <c r="D20" i="43"/>
  <c r="D45" i="59"/>
  <c r="D20" i="59" s="1"/>
  <c r="D38" i="56"/>
  <c r="D13" i="56" s="1"/>
  <c r="D45" i="57"/>
  <c r="D20" i="57" s="1"/>
  <c r="E7" i="58"/>
  <c r="E37" i="58"/>
  <c r="E12" i="58" s="1"/>
  <c r="E37" i="56"/>
  <c r="E12" i="56" s="1"/>
  <c r="E12" i="43"/>
  <c r="E43" i="58"/>
  <c r="E43" i="57"/>
  <c r="E43" i="59"/>
  <c r="D12" i="43"/>
  <c r="E44" i="58"/>
  <c r="E19" i="58" s="1"/>
  <c r="E44" i="56"/>
  <c r="E19" i="56" s="1"/>
  <c r="E36" i="59"/>
  <c r="E11" i="59" s="1"/>
  <c r="E36" i="58"/>
  <c r="E11" i="58" s="1"/>
  <c r="E8" i="56"/>
  <c r="E9" i="56" s="1"/>
  <c r="D44" i="58"/>
  <c r="D19" i="58" s="1"/>
  <c r="E20" i="43"/>
  <c r="E45" i="56"/>
  <c r="E20" i="56" s="1"/>
  <c r="D4" i="57"/>
  <c r="D4" i="58"/>
  <c r="D4" i="59"/>
  <c r="C22" i="43"/>
  <c r="C31" i="58"/>
  <c r="C31" i="56"/>
  <c r="C32" i="43"/>
  <c r="C31" i="57"/>
  <c r="C36" i="58"/>
  <c r="C11" i="58" s="1"/>
  <c r="C36" i="56"/>
  <c r="C11" i="56" s="1"/>
  <c r="C11" i="43"/>
  <c r="C43" i="56"/>
  <c r="C43" i="59"/>
  <c r="C43" i="58"/>
  <c r="C4" i="57"/>
  <c r="C4" i="58"/>
  <c r="C4" i="56"/>
  <c r="C13" i="43"/>
  <c r="C38" i="59"/>
  <c r="C13" i="59" s="1"/>
  <c r="C38" i="58"/>
  <c r="C13" i="58" s="1"/>
  <c r="C38" i="57"/>
  <c r="C13" i="57" s="1"/>
  <c r="C20" i="43"/>
  <c r="C45" i="59"/>
  <c r="C20" i="59" s="1"/>
  <c r="C45" i="56"/>
  <c r="C20" i="56" s="1"/>
  <c r="C45" i="58"/>
  <c r="C20" i="58" s="1"/>
  <c r="K7" i="43"/>
  <c r="C5" i="2" s="1"/>
  <c r="F6" i="36" s="1"/>
  <c r="F5" i="36" s="1"/>
  <c r="C9" i="43"/>
  <c r="C12" i="43"/>
  <c r="C37" i="58"/>
  <c r="C12" i="58" s="1"/>
  <c r="C37" i="56"/>
  <c r="C12" i="56" s="1"/>
  <c r="C37" i="59"/>
  <c r="C12" i="59" s="1"/>
  <c r="E5" i="36"/>
  <c r="M6" i="36"/>
  <c r="D18" i="36" l="1"/>
  <c r="H14" i="59"/>
  <c r="E37" i="57"/>
  <c r="E12" i="57" s="1"/>
  <c r="C47" i="56"/>
  <c r="C22" i="56" s="1"/>
  <c r="F17" i="36"/>
  <c r="F19" i="36" s="1"/>
  <c r="D44" i="59"/>
  <c r="D19" i="59" s="1"/>
  <c r="D47" i="56"/>
  <c r="D22" i="56" s="1"/>
  <c r="C44" i="58"/>
  <c r="C19" i="58" s="1"/>
  <c r="I14" i="57"/>
  <c r="D47" i="57"/>
  <c r="D22" i="57" s="1"/>
  <c r="F10" i="56"/>
  <c r="G34" i="43"/>
  <c r="D10" i="56"/>
  <c r="D10" i="58"/>
  <c r="F10" i="43"/>
  <c r="D34" i="43"/>
  <c r="D40" i="43" s="1"/>
  <c r="D10" i="43"/>
  <c r="O9" i="55"/>
  <c r="C8" i="59" s="1"/>
  <c r="C9" i="59" s="1"/>
  <c r="N10" i="55"/>
  <c r="O10" i="55" s="1"/>
  <c r="F8" i="57" s="1"/>
  <c r="F9" i="57" s="1"/>
  <c r="F32" i="57" s="1"/>
  <c r="J21" i="57"/>
  <c r="J46" i="57" s="1"/>
  <c r="H21" i="57"/>
  <c r="H46" i="57" s="1"/>
  <c r="I21" i="57"/>
  <c r="I46" i="57" s="1"/>
  <c r="E21" i="57"/>
  <c r="E46" i="57" s="1"/>
  <c r="G21" i="57"/>
  <c r="G46" i="57" s="1"/>
  <c r="F21" i="57"/>
  <c r="F46" i="57" s="1"/>
  <c r="K7" i="57"/>
  <c r="G5" i="2" s="1"/>
  <c r="H6" i="36" s="1"/>
  <c r="H5" i="36" s="1"/>
  <c r="H17" i="36" s="1"/>
  <c r="H19" i="36" s="1"/>
  <c r="F14" i="43"/>
  <c r="F15" i="43" s="1"/>
  <c r="F16" i="43" s="1"/>
  <c r="C44" i="57"/>
  <c r="C19" i="57" s="1"/>
  <c r="C19" i="43"/>
  <c r="C47" i="59"/>
  <c r="C22" i="59" s="1"/>
  <c r="C47" i="58"/>
  <c r="C22" i="58" s="1"/>
  <c r="C44" i="56"/>
  <c r="C19" i="56" s="1"/>
  <c r="C36" i="57"/>
  <c r="C11" i="57" s="1"/>
  <c r="C36" i="59"/>
  <c r="C11" i="59" s="1"/>
  <c r="C14" i="59" s="1"/>
  <c r="E33" i="56"/>
  <c r="E10" i="43"/>
  <c r="C10" i="43"/>
  <c r="C33" i="56"/>
  <c r="C33" i="58" s="1"/>
  <c r="C33" i="59" s="1"/>
  <c r="C33" i="57" s="1"/>
  <c r="F34" i="43"/>
  <c r="F40" i="43" s="1"/>
  <c r="E34" i="43"/>
  <c r="I33" i="58"/>
  <c r="I10" i="56"/>
  <c r="I34" i="43"/>
  <c r="I40" i="43" s="1"/>
  <c r="J34" i="43"/>
  <c r="J40" i="43" s="1"/>
  <c r="H33" i="58"/>
  <c r="H10" i="56"/>
  <c r="I10" i="43"/>
  <c r="G10" i="43"/>
  <c r="J10" i="56"/>
  <c r="H10" i="43"/>
  <c r="H15" i="43" s="1"/>
  <c r="H16" i="43" s="1"/>
  <c r="I14" i="59"/>
  <c r="F14" i="59"/>
  <c r="G10" i="59"/>
  <c r="G10" i="57"/>
  <c r="F10" i="58"/>
  <c r="I14" i="43"/>
  <c r="I15" i="43" s="1"/>
  <c r="I16" i="43" s="1"/>
  <c r="F14" i="56"/>
  <c r="E38" i="58"/>
  <c r="E13" i="58" s="1"/>
  <c r="E14" i="58" s="1"/>
  <c r="E38" i="57"/>
  <c r="E13" i="57" s="1"/>
  <c r="E38" i="56"/>
  <c r="E13" i="56" s="1"/>
  <c r="E38" i="59"/>
  <c r="E13" i="59" s="1"/>
  <c r="E14" i="59" s="1"/>
  <c r="D36" i="58"/>
  <c r="D11" i="58" s="1"/>
  <c r="D11" i="43"/>
  <c r="D36" i="56"/>
  <c r="D11" i="56" s="1"/>
  <c r="G38" i="57"/>
  <c r="G13" i="57" s="1"/>
  <c r="G38" i="56"/>
  <c r="G13" i="56" s="1"/>
  <c r="G38" i="58"/>
  <c r="G13" i="58" s="1"/>
  <c r="G13" i="43"/>
  <c r="G38" i="59"/>
  <c r="G13" i="59" s="1"/>
  <c r="D14" i="43"/>
  <c r="D36" i="57"/>
  <c r="D11" i="57" s="1"/>
  <c r="J45" i="56"/>
  <c r="J20" i="56" s="1"/>
  <c r="J20" i="43"/>
  <c r="J45" i="59"/>
  <c r="J20" i="59" s="1"/>
  <c r="J45" i="57"/>
  <c r="J20" i="57" s="1"/>
  <c r="J45" i="58"/>
  <c r="J20" i="58" s="1"/>
  <c r="D37" i="56"/>
  <c r="D12" i="56" s="1"/>
  <c r="K12" i="56" s="1"/>
  <c r="D10" i="2" s="1"/>
  <c r="D37" i="59"/>
  <c r="D12" i="59" s="1"/>
  <c r="K12" i="59" s="1"/>
  <c r="F10" i="2" s="1"/>
  <c r="D37" i="57"/>
  <c r="D12" i="57" s="1"/>
  <c r="D19" i="43"/>
  <c r="D44" i="57"/>
  <c r="D19" i="57" s="1"/>
  <c r="G43" i="57"/>
  <c r="G43" i="59"/>
  <c r="G43" i="58"/>
  <c r="G43" i="56"/>
  <c r="G44" i="56"/>
  <c r="G19" i="56" s="1"/>
  <c r="G44" i="59"/>
  <c r="G19" i="59" s="1"/>
  <c r="G44" i="57"/>
  <c r="G19" i="57" s="1"/>
  <c r="G19" i="43"/>
  <c r="G44" i="58"/>
  <c r="G19" i="58" s="1"/>
  <c r="E47" i="58"/>
  <c r="E22" i="58" s="1"/>
  <c r="E47" i="59"/>
  <c r="E22" i="59" s="1"/>
  <c r="E47" i="57"/>
  <c r="E22" i="57" s="1"/>
  <c r="E47" i="56"/>
  <c r="E22" i="56" s="1"/>
  <c r="J38" i="57"/>
  <c r="J13" i="57" s="1"/>
  <c r="J13" i="43"/>
  <c r="J14" i="43" s="1"/>
  <c r="J15" i="43" s="1"/>
  <c r="J16" i="43" s="1"/>
  <c r="J38" i="58"/>
  <c r="J13" i="58" s="1"/>
  <c r="J14" i="58" s="1"/>
  <c r="J38" i="56"/>
  <c r="J13" i="56" s="1"/>
  <c r="K13" i="56" s="1"/>
  <c r="D11" i="2" s="1"/>
  <c r="J38" i="59"/>
  <c r="J13" i="59" s="1"/>
  <c r="J14" i="59" s="1"/>
  <c r="D43" i="57"/>
  <c r="D43" i="56"/>
  <c r="D43" i="59"/>
  <c r="D43" i="58"/>
  <c r="G36" i="57"/>
  <c r="G11" i="57" s="1"/>
  <c r="G14" i="57" s="1"/>
  <c r="G36" i="58"/>
  <c r="G11" i="58" s="1"/>
  <c r="G36" i="56"/>
  <c r="G11" i="56" s="1"/>
  <c r="G11" i="43"/>
  <c r="G14" i="43" s="1"/>
  <c r="G15" i="43" s="1"/>
  <c r="G16" i="43" s="1"/>
  <c r="G36" i="59"/>
  <c r="G11" i="59" s="1"/>
  <c r="K12" i="43"/>
  <c r="C10" i="2" s="1"/>
  <c r="C36" i="2" s="1"/>
  <c r="E13" i="43"/>
  <c r="K13" i="43" s="1"/>
  <c r="C11" i="2" s="1"/>
  <c r="C37" i="2" s="1"/>
  <c r="E40" i="43"/>
  <c r="E36" i="56"/>
  <c r="E11" i="56" s="1"/>
  <c r="E14" i="56" s="1"/>
  <c r="E36" i="57"/>
  <c r="E11" i="57" s="1"/>
  <c r="E11" i="43"/>
  <c r="E45" i="57"/>
  <c r="E20" i="57" s="1"/>
  <c r="E45" i="59"/>
  <c r="E20" i="59" s="1"/>
  <c r="E45" i="58"/>
  <c r="E20" i="58" s="1"/>
  <c r="J19" i="43"/>
  <c r="J44" i="59"/>
  <c r="J19" i="59" s="1"/>
  <c r="K19" i="59" s="1"/>
  <c r="F17" i="2" s="1"/>
  <c r="J44" i="58"/>
  <c r="J19" i="58" s="1"/>
  <c r="K19" i="58" s="1"/>
  <c r="E17" i="2" s="1"/>
  <c r="J44" i="56"/>
  <c r="J19" i="56" s="1"/>
  <c r="J44" i="57"/>
  <c r="J19" i="57" s="1"/>
  <c r="I14" i="56"/>
  <c r="I14" i="58"/>
  <c r="F14" i="58"/>
  <c r="J12" i="57"/>
  <c r="H19" i="57"/>
  <c r="G45" i="58"/>
  <c r="G20" i="58" s="1"/>
  <c r="G20" i="43"/>
  <c r="G45" i="57"/>
  <c r="G20" i="57" s="1"/>
  <c r="G45" i="56"/>
  <c r="G20" i="56" s="1"/>
  <c r="G45" i="59"/>
  <c r="G20" i="59" s="1"/>
  <c r="G47" i="59"/>
  <c r="G22" i="59" s="1"/>
  <c r="G47" i="58"/>
  <c r="G22" i="58" s="1"/>
  <c r="G47" i="56"/>
  <c r="G22" i="56" s="1"/>
  <c r="G22" i="43"/>
  <c r="K22" i="43" s="1"/>
  <c r="G47" i="57"/>
  <c r="G22" i="57" s="1"/>
  <c r="G40" i="43"/>
  <c r="C34" i="43"/>
  <c r="C40" i="43" s="1"/>
  <c r="C22" i="55"/>
  <c r="C18" i="55"/>
  <c r="C19" i="55" s="1"/>
  <c r="D10" i="57"/>
  <c r="D10" i="59"/>
  <c r="H8" i="56"/>
  <c r="H9" i="56" s="1"/>
  <c r="J8" i="56"/>
  <c r="J9" i="56" s="1"/>
  <c r="G8" i="56"/>
  <c r="G9" i="56" s="1"/>
  <c r="I8" i="56"/>
  <c r="I9" i="56" s="1"/>
  <c r="F8" i="56"/>
  <c r="F9" i="56" s="1"/>
  <c r="C8" i="56"/>
  <c r="C9" i="56" s="1"/>
  <c r="C32" i="56" s="1"/>
  <c r="G8" i="58"/>
  <c r="G9" i="58" s="1"/>
  <c r="D8" i="58"/>
  <c r="D9" i="58" s="1"/>
  <c r="D32" i="58" s="1"/>
  <c r="D34" i="58" s="1"/>
  <c r="I8" i="58"/>
  <c r="I9" i="58" s="1"/>
  <c r="H8" i="58"/>
  <c r="H9" i="58" s="1"/>
  <c r="C8" i="58"/>
  <c r="C9" i="58" s="1"/>
  <c r="C32" i="58" s="1"/>
  <c r="F8" i="58"/>
  <c r="F9" i="58" s="1"/>
  <c r="J8" i="58"/>
  <c r="J9" i="58" s="1"/>
  <c r="J8" i="59"/>
  <c r="J9" i="59" s="1"/>
  <c r="G8" i="59"/>
  <c r="G9" i="59" s="1"/>
  <c r="F8" i="59"/>
  <c r="F9" i="59" s="1"/>
  <c r="I8" i="59"/>
  <c r="I9" i="59" s="1"/>
  <c r="H8" i="59"/>
  <c r="H9" i="59" s="1"/>
  <c r="D8" i="59"/>
  <c r="D9" i="59" s="1"/>
  <c r="D32" i="59" s="1"/>
  <c r="D34" i="59" s="1"/>
  <c r="D40" i="59" s="1"/>
  <c r="K21" i="43"/>
  <c r="H18" i="43"/>
  <c r="H17" i="43" s="1"/>
  <c r="D18" i="43"/>
  <c r="D17" i="43" s="1"/>
  <c r="G18" i="43"/>
  <c r="G17" i="43" s="1"/>
  <c r="C61" i="2"/>
  <c r="E18" i="43"/>
  <c r="E17" i="43" s="1"/>
  <c r="F18" i="43"/>
  <c r="F17" i="43" s="1"/>
  <c r="C18" i="43"/>
  <c r="C17" i="43" s="1"/>
  <c r="J18" i="43"/>
  <c r="J17" i="43" s="1"/>
  <c r="I18" i="43"/>
  <c r="I17" i="43" s="1"/>
  <c r="F26" i="51"/>
  <c r="E28" i="51"/>
  <c r="C56" i="2"/>
  <c r="D28" i="51"/>
  <c r="J18" i="57"/>
  <c r="J17" i="57" s="1"/>
  <c r="H18" i="57"/>
  <c r="H17" i="57" s="1"/>
  <c r="E18" i="57"/>
  <c r="E17" i="57" s="1"/>
  <c r="F18" i="57"/>
  <c r="F17" i="57" s="1"/>
  <c r="F23" i="57" s="1"/>
  <c r="I18" i="57"/>
  <c r="I17" i="57" s="1"/>
  <c r="D18" i="57"/>
  <c r="G61" i="2"/>
  <c r="C18" i="57"/>
  <c r="C17" i="57" s="1"/>
  <c r="G18" i="57"/>
  <c r="D11" i="59"/>
  <c r="K7" i="58"/>
  <c r="E5" i="2" s="1"/>
  <c r="E8" i="58"/>
  <c r="K7" i="59"/>
  <c r="F5" i="2" s="1"/>
  <c r="E8" i="59"/>
  <c r="F18" i="58"/>
  <c r="F17" i="58" s="1"/>
  <c r="G18" i="58"/>
  <c r="G17" i="58" s="1"/>
  <c r="E18" i="58"/>
  <c r="E17" i="58" s="1"/>
  <c r="E4" i="2"/>
  <c r="H18" i="58"/>
  <c r="H17" i="58" s="1"/>
  <c r="I18" i="58"/>
  <c r="I17" i="58" s="1"/>
  <c r="C18" i="58"/>
  <c r="C17" i="58" s="1"/>
  <c r="D18" i="58"/>
  <c r="J18" i="58"/>
  <c r="J17" i="58" s="1"/>
  <c r="K7" i="56"/>
  <c r="D5" i="2" s="1"/>
  <c r="G6" i="36" s="1"/>
  <c r="G5" i="36" s="1"/>
  <c r="G17" i="36" s="1"/>
  <c r="G19" i="36" s="1"/>
  <c r="D8" i="56"/>
  <c r="E32" i="56"/>
  <c r="E34" i="56" s="1"/>
  <c r="E40" i="56" s="1"/>
  <c r="F4" i="2"/>
  <c r="H18" i="59"/>
  <c r="H17" i="59" s="1"/>
  <c r="I18" i="59"/>
  <c r="I17" i="59" s="1"/>
  <c r="D18" i="59"/>
  <c r="D17" i="59" s="1"/>
  <c r="E18" i="59"/>
  <c r="E17" i="59" s="1"/>
  <c r="G18" i="59"/>
  <c r="C18" i="59"/>
  <c r="C17" i="59" s="1"/>
  <c r="J18" i="59"/>
  <c r="J17" i="59" s="1"/>
  <c r="F18" i="59"/>
  <c r="F17" i="59" s="1"/>
  <c r="G18" i="56"/>
  <c r="F18" i="56"/>
  <c r="F17" i="56" s="1"/>
  <c r="D18" i="56"/>
  <c r="D17" i="56" s="1"/>
  <c r="I18" i="56"/>
  <c r="I17" i="56" s="1"/>
  <c r="H18" i="56"/>
  <c r="H17" i="56" s="1"/>
  <c r="C18" i="56"/>
  <c r="C17" i="56" s="1"/>
  <c r="D4" i="2"/>
  <c r="H4" i="2" s="1"/>
  <c r="E18" i="56"/>
  <c r="E17" i="56" s="1"/>
  <c r="J18" i="56"/>
  <c r="J17" i="56" s="1"/>
  <c r="D12" i="58"/>
  <c r="C14" i="57"/>
  <c r="C7" i="2"/>
  <c r="C30" i="2" s="1"/>
  <c r="K9" i="43"/>
  <c r="C14" i="58"/>
  <c r="C32" i="59"/>
  <c r="C14" i="43"/>
  <c r="C23" i="57"/>
  <c r="C14" i="56"/>
  <c r="E17" i="36"/>
  <c r="M5" i="36"/>
  <c r="K11" i="43" l="1"/>
  <c r="C9" i="2" s="1"/>
  <c r="C35" i="2" s="1"/>
  <c r="G17" i="56"/>
  <c r="G17" i="57"/>
  <c r="G23" i="57" s="1"/>
  <c r="K11" i="58"/>
  <c r="E9" i="2" s="1"/>
  <c r="E35" i="2" s="1"/>
  <c r="K22" i="56"/>
  <c r="D20" i="2" s="1"/>
  <c r="K20" i="43"/>
  <c r="C18" i="2" s="1"/>
  <c r="C44" i="2" s="1"/>
  <c r="D15" i="43"/>
  <c r="D16" i="43" s="1"/>
  <c r="I23" i="57"/>
  <c r="J23" i="57"/>
  <c r="G8" i="57"/>
  <c r="G9" i="57" s="1"/>
  <c r="G32" i="57" s="1"/>
  <c r="H8" i="57"/>
  <c r="H9" i="57" s="1"/>
  <c r="H32" i="57" s="1"/>
  <c r="I8" i="57"/>
  <c r="I9" i="57" s="1"/>
  <c r="I32" i="57" s="1"/>
  <c r="E8" i="57"/>
  <c r="E9" i="57" s="1"/>
  <c r="E32" i="57" s="1"/>
  <c r="C8" i="57"/>
  <c r="J8" i="57"/>
  <c r="J9" i="57" s="1"/>
  <c r="J32" i="57" s="1"/>
  <c r="J34" i="57" s="1"/>
  <c r="D8" i="57"/>
  <c r="D9" i="57" s="1"/>
  <c r="D32" i="57" s="1"/>
  <c r="D14" i="58"/>
  <c r="D15" i="58" s="1"/>
  <c r="D16" i="58" s="1"/>
  <c r="D40" i="58"/>
  <c r="K22" i="58"/>
  <c r="E20" i="2" s="1"/>
  <c r="D17" i="58"/>
  <c r="K17" i="58" s="1"/>
  <c r="E15" i="2" s="1"/>
  <c r="F36" i="2"/>
  <c r="E14" i="57"/>
  <c r="E33" i="58"/>
  <c r="E10" i="56"/>
  <c r="E15" i="56" s="1"/>
  <c r="E16" i="56" s="1"/>
  <c r="H33" i="59"/>
  <c r="H10" i="58"/>
  <c r="H15" i="58" s="1"/>
  <c r="H16" i="58" s="1"/>
  <c r="K10" i="43"/>
  <c r="C8" i="2" s="1"/>
  <c r="C31" i="2" s="1"/>
  <c r="C32" i="2" s="1"/>
  <c r="C33" i="2" s="1"/>
  <c r="I33" i="59"/>
  <c r="I10" i="58"/>
  <c r="I15" i="58" s="1"/>
  <c r="I16" i="58" s="1"/>
  <c r="E23" i="57"/>
  <c r="K13" i="57"/>
  <c r="G11" i="2" s="1"/>
  <c r="K19" i="57"/>
  <c r="G14" i="56"/>
  <c r="G14" i="59"/>
  <c r="G15" i="59" s="1"/>
  <c r="G16" i="59" s="1"/>
  <c r="G34" i="57"/>
  <c r="G40" i="57" s="1"/>
  <c r="G48" i="57" s="1"/>
  <c r="G15" i="57"/>
  <c r="G16" i="57" s="1"/>
  <c r="F10" i="59"/>
  <c r="F15" i="59" s="1"/>
  <c r="F16" i="59" s="1"/>
  <c r="D34" i="57"/>
  <c r="D40" i="57" s="1"/>
  <c r="D48" i="57" s="1"/>
  <c r="K20" i="56"/>
  <c r="D18" i="2" s="1"/>
  <c r="D44" i="2" s="1"/>
  <c r="K8" i="56"/>
  <c r="D6" i="2" s="1"/>
  <c r="H5" i="2"/>
  <c r="L6" i="36" s="1"/>
  <c r="L5" i="36" s="1"/>
  <c r="L17" i="36" s="1"/>
  <c r="L19" i="36" s="1"/>
  <c r="J14" i="57"/>
  <c r="J15" i="57" s="1"/>
  <c r="J16" i="57" s="1"/>
  <c r="K13" i="58"/>
  <c r="E11" i="2" s="1"/>
  <c r="K20" i="57"/>
  <c r="G18" i="2" s="1"/>
  <c r="K22" i="59"/>
  <c r="F20" i="2" s="1"/>
  <c r="D14" i="56"/>
  <c r="K20" i="58"/>
  <c r="E18" i="2" s="1"/>
  <c r="K19" i="56"/>
  <c r="D17" i="2" s="1"/>
  <c r="D43" i="2" s="1"/>
  <c r="K19" i="43"/>
  <c r="C17" i="2" s="1"/>
  <c r="C43" i="2" s="1"/>
  <c r="K20" i="59"/>
  <c r="F18" i="2" s="1"/>
  <c r="K13" i="59"/>
  <c r="F11" i="2" s="1"/>
  <c r="E14" i="43"/>
  <c r="E15" i="43" s="1"/>
  <c r="E16" i="43" s="1"/>
  <c r="D14" i="57"/>
  <c r="D15" i="57" s="1"/>
  <c r="D16" i="57" s="1"/>
  <c r="K11" i="57"/>
  <c r="G9" i="2" s="1"/>
  <c r="G35" i="2" s="1"/>
  <c r="J14" i="56"/>
  <c r="K11" i="56"/>
  <c r="D9" i="2" s="1"/>
  <c r="D35" i="2" s="1"/>
  <c r="G17" i="59"/>
  <c r="K17" i="59" s="1"/>
  <c r="K8" i="58"/>
  <c r="E6" i="2" s="1"/>
  <c r="D17" i="57"/>
  <c r="D23" i="57" s="1"/>
  <c r="G14" i="58"/>
  <c r="G15" i="58" s="1"/>
  <c r="G16" i="58" s="1"/>
  <c r="K12" i="57"/>
  <c r="G10" i="2" s="1"/>
  <c r="G36" i="2" s="1"/>
  <c r="K8" i="59"/>
  <c r="F6" i="2" s="1"/>
  <c r="H23" i="57"/>
  <c r="J40" i="57"/>
  <c r="J48" i="57" s="1"/>
  <c r="K22" i="57"/>
  <c r="G20" i="2" s="1"/>
  <c r="C10" i="56"/>
  <c r="C34" i="56"/>
  <c r="C40" i="56" s="1"/>
  <c r="H32" i="59"/>
  <c r="H34" i="59" s="1"/>
  <c r="H40" i="59" s="1"/>
  <c r="G32" i="59"/>
  <c r="G34" i="59" s="1"/>
  <c r="G40" i="59" s="1"/>
  <c r="F32" i="58"/>
  <c r="F34" i="58" s="1"/>
  <c r="F40" i="58" s="1"/>
  <c r="F15" i="58"/>
  <c r="F16" i="58" s="1"/>
  <c r="I32" i="58"/>
  <c r="I34" i="58" s="1"/>
  <c r="I40" i="58" s="1"/>
  <c r="G32" i="56"/>
  <c r="G34" i="56" s="1"/>
  <c r="G40" i="56" s="1"/>
  <c r="I32" i="59"/>
  <c r="J32" i="59"/>
  <c r="J34" i="59" s="1"/>
  <c r="J40" i="59" s="1"/>
  <c r="J15" i="59"/>
  <c r="J16" i="59" s="1"/>
  <c r="F32" i="56"/>
  <c r="F34" i="56" s="1"/>
  <c r="F40" i="56" s="1"/>
  <c r="F15" i="56"/>
  <c r="F16" i="56" s="1"/>
  <c r="J15" i="56"/>
  <c r="J16" i="56" s="1"/>
  <c r="J32" i="56"/>
  <c r="J34" i="56" s="1"/>
  <c r="J40" i="56" s="1"/>
  <c r="F32" i="59"/>
  <c r="F34" i="59" s="1"/>
  <c r="F40" i="59" s="1"/>
  <c r="J15" i="58"/>
  <c r="J16" i="58" s="1"/>
  <c r="J32" i="58"/>
  <c r="J34" i="58" s="1"/>
  <c r="J40" i="58" s="1"/>
  <c r="H32" i="58"/>
  <c r="H34" i="58" s="1"/>
  <c r="H40" i="58" s="1"/>
  <c r="G32" i="58"/>
  <c r="G34" i="58" s="1"/>
  <c r="G40" i="58" s="1"/>
  <c r="I32" i="56"/>
  <c r="I34" i="56" s="1"/>
  <c r="I40" i="56" s="1"/>
  <c r="I15" i="56"/>
  <c r="I16" i="56" s="1"/>
  <c r="H15" i="56"/>
  <c r="H16" i="56" s="1"/>
  <c r="H32" i="56"/>
  <c r="H34" i="56" s="1"/>
  <c r="H40" i="56" s="1"/>
  <c r="K17" i="43"/>
  <c r="C15" i="2" s="1"/>
  <c r="C42" i="2" s="1"/>
  <c r="G26" i="51"/>
  <c r="D21" i="43"/>
  <c r="J21" i="43"/>
  <c r="J46" i="43" s="1"/>
  <c r="J48" i="43" s="1"/>
  <c r="H21" i="43"/>
  <c r="G21" i="43"/>
  <c r="G46" i="43" s="1"/>
  <c r="G48" i="43" s="1"/>
  <c r="E21" i="43"/>
  <c r="I21" i="43"/>
  <c r="I46" i="43" s="1"/>
  <c r="I48" i="43" s="1"/>
  <c r="C19" i="2"/>
  <c r="C51" i="2" s="1"/>
  <c r="C21" i="43"/>
  <c r="F21" i="43"/>
  <c r="G23" i="43"/>
  <c r="G24" i="43" s="1"/>
  <c r="K21" i="56"/>
  <c r="D37" i="2"/>
  <c r="K12" i="58"/>
  <c r="E10" i="2" s="1"/>
  <c r="D36" i="2"/>
  <c r="E9" i="59"/>
  <c r="E9" i="58"/>
  <c r="K11" i="59"/>
  <c r="F9" i="2" s="1"/>
  <c r="F35" i="2" s="1"/>
  <c r="D14" i="59"/>
  <c r="D15" i="59" s="1"/>
  <c r="K17" i="56"/>
  <c r="D15" i="2" s="1"/>
  <c r="D9" i="56"/>
  <c r="C15" i="43"/>
  <c r="G17" i="2"/>
  <c r="C20" i="2"/>
  <c r="E18" i="36"/>
  <c r="F18" i="36" s="1"/>
  <c r="G18" i="36" s="1"/>
  <c r="H18" i="36" s="1"/>
  <c r="E23" i="36"/>
  <c r="E19" i="36"/>
  <c r="M17" i="36"/>
  <c r="E22" i="36"/>
  <c r="F37" i="2" l="1"/>
  <c r="F48" i="2"/>
  <c r="E37" i="2"/>
  <c r="E48" i="2"/>
  <c r="G37" i="2"/>
  <c r="G48" i="2"/>
  <c r="C50" i="2"/>
  <c r="K14" i="58"/>
  <c r="E12" i="2" s="1"/>
  <c r="G28" i="51"/>
  <c r="H26" i="51"/>
  <c r="H28" i="51" s="1"/>
  <c r="C9" i="57"/>
  <c r="K8" i="57"/>
  <c r="G6" i="2" s="1"/>
  <c r="K10" i="56"/>
  <c r="D8" i="2" s="1"/>
  <c r="D31" i="2" s="1"/>
  <c r="C48" i="2"/>
  <c r="K14" i="56"/>
  <c r="D12" i="2" s="1"/>
  <c r="G15" i="56"/>
  <c r="G16" i="56" s="1"/>
  <c r="E33" i="59"/>
  <c r="E10" i="58"/>
  <c r="I33" i="57"/>
  <c r="I10" i="59"/>
  <c r="I15" i="59" s="1"/>
  <c r="I16" i="59" s="1"/>
  <c r="H33" i="57"/>
  <c r="H10" i="59"/>
  <c r="H15" i="59" s="1"/>
  <c r="H16" i="59" s="1"/>
  <c r="I34" i="59"/>
  <c r="I40" i="59" s="1"/>
  <c r="H18" i="2"/>
  <c r="H44" i="2" s="1"/>
  <c r="K14" i="43"/>
  <c r="C12" i="2" s="1"/>
  <c r="H11" i="2"/>
  <c r="H37" i="2" s="1"/>
  <c r="G24" i="57"/>
  <c r="G25" i="57" s="1"/>
  <c r="G26" i="57" s="1"/>
  <c r="G27" i="57" s="1"/>
  <c r="F10" i="57"/>
  <c r="F15" i="57" s="1"/>
  <c r="F34" i="57"/>
  <c r="F40" i="57" s="1"/>
  <c r="F48" i="57" s="1"/>
  <c r="J24" i="57"/>
  <c r="J25" i="57" s="1"/>
  <c r="J26" i="57" s="1"/>
  <c r="J27" i="57" s="1"/>
  <c r="K23" i="43"/>
  <c r="C49" i="2"/>
  <c r="H6" i="2"/>
  <c r="K17" i="57"/>
  <c r="K23" i="56"/>
  <c r="D21" i="2" s="1"/>
  <c r="D24" i="57"/>
  <c r="D25" i="57" s="1"/>
  <c r="D26" i="57" s="1"/>
  <c r="D27" i="57" s="1"/>
  <c r="K14" i="57"/>
  <c r="G12" i="2" s="1"/>
  <c r="I23" i="43"/>
  <c r="I24" i="43" s="1"/>
  <c r="I25" i="43" s="1"/>
  <c r="I26" i="43" s="1"/>
  <c r="I27" i="43" s="1"/>
  <c r="C15" i="56"/>
  <c r="C16" i="56" s="1"/>
  <c r="C10" i="58"/>
  <c r="C34" i="58"/>
  <c r="C40" i="58" s="1"/>
  <c r="G25" i="43"/>
  <c r="G26" i="43" s="1"/>
  <c r="G27" i="43" s="1"/>
  <c r="D19" i="2"/>
  <c r="H21" i="56"/>
  <c r="C21" i="56"/>
  <c r="F21" i="56"/>
  <c r="E21" i="56"/>
  <c r="J21" i="56"/>
  <c r="G21" i="56"/>
  <c r="I21" i="56"/>
  <c r="D21" i="56"/>
  <c r="C46" i="43"/>
  <c r="C48" i="43" s="1"/>
  <c r="C23" i="43"/>
  <c r="C24" i="43" s="1"/>
  <c r="E46" i="43"/>
  <c r="E48" i="43" s="1"/>
  <c r="E23" i="43"/>
  <c r="E24" i="43" s="1"/>
  <c r="E25" i="43" s="1"/>
  <c r="E26" i="43" s="1"/>
  <c r="E27" i="43" s="1"/>
  <c r="D46" i="43"/>
  <c r="D48" i="43" s="1"/>
  <c r="D23" i="43"/>
  <c r="D24" i="43" s="1"/>
  <c r="D25" i="43" s="1"/>
  <c r="D26" i="43" s="1"/>
  <c r="D27" i="43" s="1"/>
  <c r="K21" i="59"/>
  <c r="K21" i="58"/>
  <c r="F46" i="43"/>
  <c r="F48" i="43" s="1"/>
  <c r="F23" i="43"/>
  <c r="F24" i="43" s="1"/>
  <c r="H46" i="43"/>
  <c r="H48" i="43" s="1"/>
  <c r="H23" i="43"/>
  <c r="H24" i="43" s="1"/>
  <c r="H25" i="43" s="1"/>
  <c r="H26" i="43" s="1"/>
  <c r="H27" i="43" s="1"/>
  <c r="J23" i="43"/>
  <c r="J24" i="43" s="1"/>
  <c r="F28" i="51"/>
  <c r="D42" i="2"/>
  <c r="K9" i="58"/>
  <c r="E7" i="2" s="1"/>
  <c r="E30" i="2" s="1"/>
  <c r="E32" i="58"/>
  <c r="E34" i="58" s="1"/>
  <c r="E40" i="58" s="1"/>
  <c r="E15" i="58"/>
  <c r="K14" i="59"/>
  <c r="F12" i="2" s="1"/>
  <c r="H9" i="2"/>
  <c r="H35" i="2" s="1"/>
  <c r="D32" i="56"/>
  <c r="D34" i="56" s="1"/>
  <c r="D40" i="56" s="1"/>
  <c r="D15" i="56"/>
  <c r="K9" i="56"/>
  <c r="D7" i="2" s="1"/>
  <c r="D49" i="2" s="1"/>
  <c r="D16" i="59"/>
  <c r="E32" i="59"/>
  <c r="E34" i="59" s="1"/>
  <c r="E40" i="59" s="1"/>
  <c r="K9" i="59"/>
  <c r="F7" i="2" s="1"/>
  <c r="F30" i="2" s="1"/>
  <c r="E36" i="2"/>
  <c r="H10" i="2"/>
  <c r="H36" i="2" s="1"/>
  <c r="K15" i="43"/>
  <c r="C16" i="43"/>
  <c r="H17" i="2"/>
  <c r="C21" i="2"/>
  <c r="H20" i="2"/>
  <c r="C52" i="2"/>
  <c r="I18" i="36"/>
  <c r="J18" i="36" s="1"/>
  <c r="K18" i="36" s="1"/>
  <c r="L18" i="36" s="1"/>
  <c r="E24" i="36"/>
  <c r="I22" i="36"/>
  <c r="I23" i="36"/>
  <c r="M19" i="36"/>
  <c r="E20" i="36"/>
  <c r="F20" i="36" s="1"/>
  <c r="G20" i="36" s="1"/>
  <c r="H20" i="36" s="1"/>
  <c r="I26" i="51" l="1"/>
  <c r="H61" i="2" s="1"/>
  <c r="C32" i="57"/>
  <c r="K9" i="57"/>
  <c r="G7" i="2" s="1"/>
  <c r="E33" i="57"/>
  <c r="E10" i="59"/>
  <c r="E15" i="59" s="1"/>
  <c r="E16" i="59" s="1"/>
  <c r="H10" i="57"/>
  <c r="H15" i="57" s="1"/>
  <c r="H34" i="57"/>
  <c r="H40" i="57" s="1"/>
  <c r="H48" i="57" s="1"/>
  <c r="I10" i="57"/>
  <c r="I15" i="57" s="1"/>
  <c r="I34" i="57"/>
  <c r="I40" i="57" s="1"/>
  <c r="I48" i="57" s="1"/>
  <c r="K23" i="57"/>
  <c r="H12" i="2"/>
  <c r="F16" i="57"/>
  <c r="F24" i="57"/>
  <c r="F25" i="57" s="1"/>
  <c r="F26" i="57" s="1"/>
  <c r="F27" i="57" s="1"/>
  <c r="K15" i="56"/>
  <c r="D13" i="2" s="1"/>
  <c r="D39" i="2" s="1"/>
  <c r="D40" i="2" s="1"/>
  <c r="I27" i="51"/>
  <c r="C10" i="59"/>
  <c r="C34" i="59"/>
  <c r="C40" i="59" s="1"/>
  <c r="K10" i="58"/>
  <c r="E8" i="2" s="1"/>
  <c r="E31" i="2" s="1"/>
  <c r="E32" i="2" s="1"/>
  <c r="E33" i="2" s="1"/>
  <c r="C15" i="58"/>
  <c r="H23" i="56"/>
  <c r="H24" i="56" s="1"/>
  <c r="H25" i="56" s="1"/>
  <c r="H26" i="56" s="1"/>
  <c r="H27" i="56" s="1"/>
  <c r="H46" i="56"/>
  <c r="H48" i="56" s="1"/>
  <c r="J25" i="43"/>
  <c r="J26" i="43" s="1"/>
  <c r="J27" i="43" s="1"/>
  <c r="F25" i="43"/>
  <c r="F26" i="43" s="1"/>
  <c r="F27" i="43" s="1"/>
  <c r="F19" i="2"/>
  <c r="I21" i="59"/>
  <c r="E21" i="59"/>
  <c r="C21" i="59"/>
  <c r="F21" i="59"/>
  <c r="J21" i="59"/>
  <c r="H21" i="59"/>
  <c r="D21" i="59"/>
  <c r="G21" i="59"/>
  <c r="K23" i="59"/>
  <c r="D46" i="56"/>
  <c r="D48" i="56" s="1"/>
  <c r="D23" i="56"/>
  <c r="D24" i="56" s="1"/>
  <c r="J46" i="56"/>
  <c r="J48" i="56" s="1"/>
  <c r="J23" i="56"/>
  <c r="J24" i="56" s="1"/>
  <c r="J25" i="56" s="1"/>
  <c r="J26" i="56" s="1"/>
  <c r="J27" i="56" s="1"/>
  <c r="C46" i="56"/>
  <c r="C48" i="56" s="1"/>
  <c r="C23" i="56"/>
  <c r="C24" i="56" s="1"/>
  <c r="C25" i="56" s="1"/>
  <c r="I46" i="56"/>
  <c r="I48" i="56" s="1"/>
  <c r="I23" i="56"/>
  <c r="I24" i="56" s="1"/>
  <c r="I25" i="56" s="1"/>
  <c r="I26" i="56" s="1"/>
  <c r="I27" i="56" s="1"/>
  <c r="E46" i="56"/>
  <c r="E48" i="56" s="1"/>
  <c r="E23" i="56"/>
  <c r="E24" i="56" s="1"/>
  <c r="E25" i="56" s="1"/>
  <c r="E26" i="56" s="1"/>
  <c r="E27" i="56" s="1"/>
  <c r="E19" i="2"/>
  <c r="F21" i="58"/>
  <c r="E21" i="58"/>
  <c r="C21" i="58"/>
  <c r="H21" i="58"/>
  <c r="G21" i="58"/>
  <c r="D21" i="58"/>
  <c r="I21" i="58"/>
  <c r="J21" i="58"/>
  <c r="K23" i="58"/>
  <c r="E21" i="2" s="1"/>
  <c r="G46" i="56"/>
  <c r="G48" i="56" s="1"/>
  <c r="G23" i="56"/>
  <c r="G24" i="56" s="1"/>
  <c r="F46" i="56"/>
  <c r="F48" i="56" s="1"/>
  <c r="F23" i="56"/>
  <c r="F24" i="56" s="1"/>
  <c r="F25" i="56" s="1"/>
  <c r="F26" i="56" s="1"/>
  <c r="F27" i="56" s="1"/>
  <c r="D51" i="2"/>
  <c r="D30" i="2"/>
  <c r="D32" i="2" s="1"/>
  <c r="D33" i="2" s="1"/>
  <c r="D50" i="2"/>
  <c r="H7" i="2"/>
  <c r="H52" i="2" s="1"/>
  <c r="D48" i="2"/>
  <c r="E16" i="58"/>
  <c r="D52" i="2"/>
  <c r="D16" i="56"/>
  <c r="C25" i="43"/>
  <c r="C26" i="43" s="1"/>
  <c r="C27" i="43" s="1"/>
  <c r="C13" i="2"/>
  <c r="K24" i="43"/>
  <c r="K16" i="43"/>
  <c r="H43" i="2"/>
  <c r="I24" i="36"/>
  <c r="I20" i="36"/>
  <c r="J20" i="36" s="1"/>
  <c r="K20" i="36" s="1"/>
  <c r="L20" i="36" s="1"/>
  <c r="G30" i="2" l="1"/>
  <c r="E10" i="57"/>
  <c r="E15" i="57" s="1"/>
  <c r="E34" i="57"/>
  <c r="E40" i="57" s="1"/>
  <c r="E48" i="57" s="1"/>
  <c r="H16" i="57"/>
  <c r="H24" i="57"/>
  <c r="H25" i="57" s="1"/>
  <c r="H26" i="57" s="1"/>
  <c r="H27" i="57" s="1"/>
  <c r="I16" i="57"/>
  <c r="I24" i="57"/>
  <c r="I25" i="57" s="1"/>
  <c r="I26" i="57" s="1"/>
  <c r="I27" i="57" s="1"/>
  <c r="H21" i="2"/>
  <c r="H15" i="2"/>
  <c r="H42" i="2" s="1"/>
  <c r="H19" i="2"/>
  <c r="K24" i="56"/>
  <c r="K25" i="56" s="1"/>
  <c r="D23" i="2" s="1"/>
  <c r="K16" i="56"/>
  <c r="D14" i="2" s="1"/>
  <c r="C10" i="57"/>
  <c r="C34" i="57"/>
  <c r="C40" i="57" s="1"/>
  <c r="C48" i="57" s="1"/>
  <c r="K15" i="58"/>
  <c r="K24" i="58" s="1"/>
  <c r="C16" i="58"/>
  <c r="K10" i="59"/>
  <c r="F8" i="2" s="1"/>
  <c r="C15" i="59"/>
  <c r="C26" i="56"/>
  <c r="C27" i="56" s="1"/>
  <c r="D46" i="58"/>
  <c r="D48" i="58" s="1"/>
  <c r="D23" i="58"/>
  <c r="D24" i="58" s="1"/>
  <c r="D25" i="58" s="1"/>
  <c r="D26" i="58" s="1"/>
  <c r="D27" i="58" s="1"/>
  <c r="H23" i="59"/>
  <c r="H24" i="59" s="1"/>
  <c r="H25" i="59" s="1"/>
  <c r="H26" i="59" s="1"/>
  <c r="H27" i="59" s="1"/>
  <c r="H46" i="59"/>
  <c r="H48" i="59" s="1"/>
  <c r="I46" i="58"/>
  <c r="I48" i="58" s="1"/>
  <c r="I23" i="58"/>
  <c r="I24" i="58" s="1"/>
  <c r="H46" i="58"/>
  <c r="H48" i="58" s="1"/>
  <c r="H23" i="58"/>
  <c r="H24" i="58" s="1"/>
  <c r="H25" i="58" s="1"/>
  <c r="H26" i="58" s="1"/>
  <c r="H27" i="58" s="1"/>
  <c r="F46" i="58"/>
  <c r="F48" i="58" s="1"/>
  <c r="F23" i="58"/>
  <c r="F24" i="58" s="1"/>
  <c r="D46" i="59"/>
  <c r="D48" i="59" s="1"/>
  <c r="D23" i="59"/>
  <c r="D24" i="59" s="1"/>
  <c r="D25" i="59" s="1"/>
  <c r="D26" i="59" s="1"/>
  <c r="D27" i="59" s="1"/>
  <c r="F23" i="59"/>
  <c r="F24" i="59" s="1"/>
  <c r="F46" i="59"/>
  <c r="F48" i="59" s="1"/>
  <c r="I46" i="59"/>
  <c r="I48" i="59" s="1"/>
  <c r="I23" i="59"/>
  <c r="I24" i="59" s="1"/>
  <c r="I25" i="59" s="1"/>
  <c r="I26" i="59" s="1"/>
  <c r="I27" i="59" s="1"/>
  <c r="C46" i="58"/>
  <c r="C48" i="58" s="1"/>
  <c r="C23" i="58"/>
  <c r="C24" i="58" s="1"/>
  <c r="C25" i="58" s="1"/>
  <c r="C26" i="58" s="1"/>
  <c r="C27" i="58" s="1"/>
  <c r="C46" i="59"/>
  <c r="C48" i="59" s="1"/>
  <c r="C23" i="59"/>
  <c r="G25" i="56"/>
  <c r="G26" i="56" s="1"/>
  <c r="G27" i="56" s="1"/>
  <c r="J23" i="58"/>
  <c r="J24" i="58" s="1"/>
  <c r="J25" i="58" s="1"/>
  <c r="J26" i="58" s="1"/>
  <c r="J27" i="58" s="1"/>
  <c r="J46" i="58"/>
  <c r="J48" i="58" s="1"/>
  <c r="G46" i="58"/>
  <c r="G48" i="58" s="1"/>
  <c r="G23" i="58"/>
  <c r="G24" i="58" s="1"/>
  <c r="E46" i="58"/>
  <c r="E48" i="58" s="1"/>
  <c r="E23" i="58"/>
  <c r="E24" i="58" s="1"/>
  <c r="G23" i="59"/>
  <c r="G24" i="59" s="1"/>
  <c r="G25" i="59" s="1"/>
  <c r="G26" i="59" s="1"/>
  <c r="G27" i="59" s="1"/>
  <c r="G46" i="59"/>
  <c r="G48" i="59" s="1"/>
  <c r="J23" i="59"/>
  <c r="J24" i="59" s="1"/>
  <c r="J25" i="59" s="1"/>
  <c r="J26" i="59" s="1"/>
  <c r="J27" i="59" s="1"/>
  <c r="J46" i="59"/>
  <c r="J48" i="59" s="1"/>
  <c r="E46" i="59"/>
  <c r="E48" i="59" s="1"/>
  <c r="E23" i="59"/>
  <c r="E24" i="59" s="1"/>
  <c r="E25" i="59" s="1"/>
  <c r="E26" i="59" s="1"/>
  <c r="H48" i="2"/>
  <c r="D25" i="56"/>
  <c r="D26" i="56" s="1"/>
  <c r="D27" i="56" s="1"/>
  <c r="E25" i="58"/>
  <c r="E26" i="58" s="1"/>
  <c r="H30" i="2"/>
  <c r="H50" i="2"/>
  <c r="H51" i="2"/>
  <c r="H49" i="2"/>
  <c r="K25" i="43"/>
  <c r="K26" i="43" s="1"/>
  <c r="K27" i="43" s="1"/>
  <c r="C22" i="2"/>
  <c r="C39" i="2"/>
  <c r="C40" i="2" s="1"/>
  <c r="C14" i="2"/>
  <c r="E16" i="57" l="1"/>
  <c r="E24" i="57"/>
  <c r="E25" i="57" s="1"/>
  <c r="E26" i="57" s="1"/>
  <c r="E27" i="57" s="1"/>
  <c r="D22" i="2"/>
  <c r="D54" i="2" s="1"/>
  <c r="K25" i="58"/>
  <c r="E23" i="2" s="1"/>
  <c r="E22" i="2"/>
  <c r="E54" i="2" s="1"/>
  <c r="C16" i="59"/>
  <c r="K15" i="59"/>
  <c r="E13" i="2"/>
  <c r="E39" i="2" s="1"/>
  <c r="E40" i="2" s="1"/>
  <c r="K16" i="58"/>
  <c r="E14" i="2" s="1"/>
  <c r="F31" i="2"/>
  <c r="F32" i="2" s="1"/>
  <c r="F33" i="2" s="1"/>
  <c r="C24" i="59"/>
  <c r="C25" i="59" s="1"/>
  <c r="C26" i="59" s="1"/>
  <c r="C27" i="59" s="1"/>
  <c r="K10" i="57"/>
  <c r="G8" i="2" s="1"/>
  <c r="G31" i="2" s="1"/>
  <c r="G32" i="2" s="1"/>
  <c r="G33" i="2" s="1"/>
  <c r="C15" i="57"/>
  <c r="F25" i="59"/>
  <c r="F26" i="59" s="1"/>
  <c r="F27" i="59" s="1"/>
  <c r="F25" i="58"/>
  <c r="F26" i="58" s="1"/>
  <c r="G25" i="58"/>
  <c r="G26" i="58" s="1"/>
  <c r="G27" i="58" s="1"/>
  <c r="I25" i="58"/>
  <c r="I26" i="58" s="1"/>
  <c r="I27" i="58" s="1"/>
  <c r="E27" i="58"/>
  <c r="E27" i="59"/>
  <c r="K26" i="56"/>
  <c r="C54" i="2"/>
  <c r="C23" i="2"/>
  <c r="C24" i="2" s="1"/>
  <c r="K26" i="58" l="1"/>
  <c r="H8" i="2"/>
  <c r="H13" i="2" s="1"/>
  <c r="F13" i="2"/>
  <c r="F39" i="2" s="1"/>
  <c r="F40" i="2" s="1"/>
  <c r="K16" i="59"/>
  <c r="F14" i="2" s="1"/>
  <c r="K24" i="59"/>
  <c r="C24" i="57"/>
  <c r="C25" i="57" s="1"/>
  <c r="C26" i="57" s="1"/>
  <c r="C27" i="57" s="1"/>
  <c r="K15" i="57"/>
  <c r="C16" i="57"/>
  <c r="F27" i="58"/>
  <c r="C53" i="2"/>
  <c r="C60" i="2"/>
  <c r="C59" i="2" s="1"/>
  <c r="C25" i="2"/>
  <c r="D24" i="2"/>
  <c r="K27" i="56"/>
  <c r="D25" i="2" s="1"/>
  <c r="H31" i="2" l="1"/>
  <c r="H32" i="2" s="1"/>
  <c r="H33" i="2" s="1"/>
  <c r="H22" i="2"/>
  <c r="H39" i="2"/>
  <c r="H40" i="2" s="1"/>
  <c r="H14" i="2"/>
  <c r="K25" i="59"/>
  <c r="F23" i="2" s="1"/>
  <c r="F22" i="2"/>
  <c r="F54" i="2" s="1"/>
  <c r="G13" i="2"/>
  <c r="G39" i="2" s="1"/>
  <c r="G40" i="2" s="1"/>
  <c r="K16" i="57"/>
  <c r="G14" i="2" s="1"/>
  <c r="K24" i="57"/>
  <c r="E24" i="2"/>
  <c r="K27" i="58"/>
  <c r="E25" i="2" s="1"/>
  <c r="D53" i="2"/>
  <c r="D60" i="2"/>
  <c r="D59" i="2" s="1"/>
  <c r="E60" i="2" l="1"/>
  <c r="E59" i="2" s="1"/>
  <c r="E53" i="2"/>
  <c r="K26" i="59"/>
  <c r="K25" i="57"/>
  <c r="G23" i="2" s="1"/>
  <c r="G22" i="2"/>
  <c r="G54" i="2" s="1"/>
  <c r="H54" i="2"/>
  <c r="H23" i="2"/>
  <c r="H24" i="2" s="1"/>
  <c r="F24" i="2" l="1"/>
  <c r="K27" i="59"/>
  <c r="F25" i="2" s="1"/>
  <c r="K26" i="57"/>
  <c r="H53" i="2"/>
  <c r="H60" i="2"/>
  <c r="H59" i="2" s="1"/>
  <c r="H25" i="2"/>
  <c r="F53" i="2" l="1"/>
  <c r="F60" i="2"/>
  <c r="F59" i="2" s="1"/>
  <c r="G24" i="2"/>
  <c r="G53" i="2" s="1"/>
  <c r="K27" i="57"/>
  <c r="G25" i="2" s="1"/>
  <c r="G60" i="2" l="1"/>
  <c r="G59" i="2" s="1"/>
</calcChain>
</file>

<file path=xl/comments1.xml><?xml version="1.0" encoding="utf-8"?>
<comments xmlns="http://schemas.openxmlformats.org/spreadsheetml/2006/main">
  <authors>
    <author>作者</author>
    <author>zzf</author>
  </authors>
  <commentList>
    <comment ref="M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6" authorId="1" shapeId="0">
      <text>
        <r>
          <rPr>
            <b/>
            <sz val="9"/>
            <color indexed="81"/>
            <rFont val="宋体"/>
            <family val="3"/>
            <charset val="134"/>
          </rPr>
          <t>zzf:</t>
        </r>
        <r>
          <rPr>
            <sz val="9"/>
            <color indexed="81"/>
            <rFont val="宋体"/>
            <family val="3"/>
            <charset val="134"/>
          </rPr>
          <t xml:space="preserve">
引用河北统计数据，面套按自制</t>
        </r>
      </text>
    </comment>
    <comment ref="D7" authorId="1" shapeId="0">
      <text>
        <r>
          <rPr>
            <b/>
            <sz val="9"/>
            <color indexed="81"/>
            <rFont val="宋体"/>
            <family val="3"/>
            <charset val="134"/>
          </rPr>
          <t>zzf:</t>
        </r>
        <r>
          <rPr>
            <sz val="9"/>
            <color indexed="81"/>
            <rFont val="宋体"/>
            <family val="3"/>
            <charset val="134"/>
          </rPr>
          <t xml:space="preserve">
工艺BOM</t>
        </r>
      </text>
    </comment>
    <comment ref="D8" authorId="1" shapeId="0">
      <text>
        <r>
          <rPr>
            <b/>
            <sz val="9"/>
            <color indexed="81"/>
            <rFont val="宋体"/>
            <family val="3"/>
            <charset val="134"/>
          </rPr>
          <t>zzf:</t>
        </r>
        <r>
          <rPr>
            <sz val="9"/>
            <color indexed="81"/>
            <rFont val="宋体"/>
            <family val="3"/>
            <charset val="134"/>
          </rPr>
          <t xml:space="preserve">
工艺BOM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E3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2021.11月河北报表数据</t>
        </r>
      </text>
    </comment>
  </commentList>
</comments>
</file>

<file path=xl/sharedStrings.xml><?xml version="1.0" encoding="utf-8"?>
<sst xmlns="http://schemas.openxmlformats.org/spreadsheetml/2006/main" count="1415" uniqueCount="298">
  <si>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</si>
  <si>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</si>
  <si>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</si>
  <si>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</si>
  <si>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</si>
  <si>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</si>
  <si>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材料成本</t>
  </si>
  <si>
    <t>变动费用</t>
  </si>
  <si>
    <t>固定费用</t>
  </si>
  <si>
    <t>研发费用按照产销量摊销。</t>
  </si>
  <si>
    <t>如有产线改造按照产销量摊销，无净残值。</t>
  </si>
  <si>
    <t>投资回收期</t>
  </si>
  <si>
    <t>投资仅指此项目研发费用及模夹检具工装、生产地产线改造投入。</t>
  </si>
  <si>
    <t>序号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</si>
  <si>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</si>
  <si>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</si>
  <si>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</si>
  <si>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</si>
  <si>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</si>
  <si>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</si>
  <si>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</si>
  <si>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</si>
  <si>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</si>
  <si>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</si>
  <si>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</si>
  <si>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直接材料</t>
  </si>
  <si>
    <t>5、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</si>
  <si>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</si>
  <si>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</si>
  <si>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</si>
  <si>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</si>
  <si>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</si>
  <si>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</si>
  <si>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</si>
  <si>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</si>
  <si>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</si>
  <si>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</si>
  <si>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</si>
  <si>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</si>
  <si>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</si>
  <si>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</si>
  <si>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</si>
  <si>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</si>
  <si>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</si>
  <si>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</si>
  <si>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</si>
  <si>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</si>
  <si>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</si>
  <si>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</si>
  <si>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</si>
  <si>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</si>
  <si>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</si>
  <si>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</si>
  <si>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所得税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</si>
  <si>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</si>
  <si>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</si>
  <si>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</si>
  <si>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</si>
  <si>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</si>
  <si>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</si>
  <si>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</si>
  <si>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</si>
  <si>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</si>
  <si>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</si>
  <si>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</si>
  <si>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</si>
  <si>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</si>
  <si>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</si>
  <si>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</si>
  <si>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</si>
  <si>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</si>
  <si>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</si>
  <si>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</si>
  <si>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</si>
  <si>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</si>
  <si>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</si>
  <si>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</si>
  <si>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</si>
  <si>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</si>
  <si>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</si>
  <si>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</si>
  <si>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</si>
  <si>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</si>
  <si>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</si>
  <si>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</si>
  <si>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</si>
  <si>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</si>
  <si>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</si>
  <si>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</si>
  <si>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</si>
  <si>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</si>
  <si>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</si>
  <si>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</si>
  <si>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</si>
  <si>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</si>
  <si>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</si>
  <si>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</si>
  <si>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</si>
  <si>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</si>
  <si>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</si>
  <si>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</si>
  <si>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</si>
  <si>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</si>
  <si>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</si>
  <si>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</si>
  <si>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</si>
  <si>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</si>
  <si>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</si>
  <si>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</si>
  <si>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</si>
  <si>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</si>
  <si>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</si>
  <si>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</si>
  <si>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</si>
  <si>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</si>
  <si>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</si>
  <si>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</si>
  <si>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</si>
  <si>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</si>
  <si>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</si>
  <si>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</si>
  <si>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</si>
  <si>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</si>
  <si>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</si>
  <si>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</si>
  <si>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</si>
  <si>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</si>
  <si>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</si>
  <si>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</si>
  <si>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</si>
  <si>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</si>
  <si>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</si>
  <si>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</si>
  <si>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</si>
  <si>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</si>
  <si>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</si>
  <si>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</si>
  <si>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</si>
  <si>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</si>
  <si>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</si>
  <si>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</si>
  <si>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</si>
  <si>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</si>
  <si>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单位：元</t>
  </si>
  <si>
    <t>单件销售收入净额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</si>
  <si>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</si>
  <si>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</si>
  <si>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</si>
  <si>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</si>
  <si>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</si>
  <si>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</si>
  <si>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</si>
  <si>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</si>
  <si>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</si>
  <si>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</si>
  <si>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</si>
  <si>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</si>
  <si>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</si>
  <si>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</si>
  <si>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</si>
  <si>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</si>
  <si>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</si>
  <si>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</si>
  <si>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</si>
  <si>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</si>
  <si>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</si>
  <si>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</si>
  <si>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</si>
  <si>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</si>
  <si>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</si>
  <si>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</si>
  <si>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</si>
  <si>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</si>
  <si>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</si>
  <si>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</si>
  <si>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</si>
  <si>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</si>
  <si>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</si>
  <si>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</si>
  <si>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2023年</t>
  </si>
  <si>
    <t>2024年</t>
  </si>
  <si>
    <t>2025年</t>
  </si>
  <si>
    <t>预计净残值</t>
  </si>
  <si>
    <t>研发费用分摊</t>
  </si>
  <si>
    <t>产品量价规划</t>
  </si>
  <si>
    <t>一、销量、售价</t>
  </si>
  <si>
    <t>预计销价年降</t>
  </si>
  <si>
    <t>新开发产品</t>
  </si>
  <si>
    <t>配置</t>
  </si>
  <si>
    <t xml:space="preserve">销售价格
（元，未税）  </t>
  </si>
  <si>
    <t>销量（件）</t>
  </si>
  <si>
    <t>预估原材料成本（单位：元，未税）</t>
  </si>
  <si>
    <t>模块</t>
  </si>
  <si>
    <t>项目名称</t>
  </si>
  <si>
    <t>项目编号</t>
  </si>
  <si>
    <t>汇总</t>
  </si>
  <si>
    <t>项    目</t>
  </si>
  <si>
    <t>内容</t>
  </si>
  <si>
    <t>说明</t>
  </si>
  <si>
    <t>生产地点</t>
  </si>
  <si>
    <t>客户地点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</si>
  <si>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</si>
  <si>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</si>
  <si>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</si>
  <si>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</si>
  <si>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</si>
  <si>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</si>
  <si>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</si>
  <si>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</si>
  <si>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产品特殊特性</t>
  </si>
  <si>
    <t>单位：元、%、未税</t>
  </si>
  <si>
    <t>科目</t>
  </si>
  <si>
    <t>人工成本</t>
  </si>
  <si>
    <t>制造费用</t>
  </si>
  <si>
    <t>固定</t>
  </si>
  <si>
    <t>变动</t>
  </si>
  <si>
    <t>标准成本小计</t>
  </si>
  <si>
    <t>销售费用</t>
  </si>
  <si>
    <t>预计</t>
    <phoneticPr fontId="37" type="noConversion"/>
  </si>
  <si>
    <t>座椅单件金额</t>
    <phoneticPr fontId="37" type="noConversion"/>
  </si>
  <si>
    <t>后视镜单件金额</t>
    <phoneticPr fontId="37" type="noConversion"/>
  </si>
  <si>
    <t>综合占收入比率</t>
    <phoneticPr fontId="37" type="noConversion"/>
  </si>
  <si>
    <t>后视镜占收入比率</t>
    <phoneticPr fontId="37" type="noConversion"/>
  </si>
  <si>
    <t>座椅占收入比率</t>
    <phoneticPr fontId="37" type="noConversion"/>
  </si>
  <si>
    <t>产品名称</t>
    <phoneticPr fontId="37" type="noConversion"/>
  </si>
  <si>
    <t>2026年</t>
  </si>
  <si>
    <t xml:space="preserve">2025年  </t>
    <phoneticPr fontId="37" type="noConversion"/>
  </si>
  <si>
    <t xml:space="preserve">2026年  </t>
    <phoneticPr fontId="37" type="noConversion"/>
  </si>
  <si>
    <t>所得税(税率15%）</t>
    <phoneticPr fontId="37" type="noConversion"/>
  </si>
  <si>
    <t>所得税(税率25%）</t>
    <phoneticPr fontId="37" type="noConversion"/>
  </si>
  <si>
    <t>所得税(税率15%）</t>
    <phoneticPr fontId="37" type="noConversion"/>
  </si>
  <si>
    <t xml:space="preserve">2027年  </t>
    <phoneticPr fontId="37" type="noConversion"/>
  </si>
  <si>
    <t xml:space="preserve">2024年  </t>
    <phoneticPr fontId="37" type="noConversion"/>
  </si>
  <si>
    <t xml:space="preserve">2023年  </t>
    <phoneticPr fontId="37" type="noConversion"/>
  </si>
  <si>
    <t xml:space="preserve">座椅项目研发费用预算表 </t>
    <phoneticPr fontId="37" type="noConversion"/>
  </si>
  <si>
    <t>2027年</t>
  </si>
  <si>
    <t>2028年</t>
  </si>
  <si>
    <t>预测工厂产能满足客户订单，新增生产设备。</t>
    <phoneticPr fontId="37" type="noConversion"/>
  </si>
  <si>
    <t>2029年</t>
  </si>
  <si>
    <t>产品图号/物料号</t>
    <phoneticPr fontId="37" type="noConversion"/>
  </si>
  <si>
    <t>材料成本年降汇总表</t>
    <phoneticPr fontId="37" type="noConversion"/>
  </si>
  <si>
    <t>开发费分摊情况</t>
  </si>
  <si>
    <t>产品应用场景</t>
  </si>
  <si>
    <t>三包周期</t>
  </si>
  <si>
    <t>综合占收入比率</t>
    <phoneticPr fontId="37" type="noConversion"/>
  </si>
  <si>
    <t>成本</t>
    <phoneticPr fontId="37" type="noConversion"/>
  </si>
  <si>
    <t>附加值</t>
    <phoneticPr fontId="37" type="noConversion"/>
  </si>
  <si>
    <t>附加值率</t>
    <phoneticPr fontId="37" type="noConversion"/>
  </si>
  <si>
    <r>
      <t>2026年</t>
    </r>
    <r>
      <rPr>
        <b/>
        <sz val="10"/>
        <rFont val="宋体"/>
        <family val="3"/>
        <charset val="134"/>
      </rPr>
      <t/>
    </r>
  </si>
  <si>
    <t>产品号</t>
    <phoneticPr fontId="37" type="noConversion"/>
  </si>
  <si>
    <t>单件边际贡献</t>
    <phoneticPr fontId="37" type="noConversion"/>
  </si>
  <si>
    <t>目标成本</t>
    <phoneticPr fontId="37" type="noConversion"/>
  </si>
  <si>
    <t>需降本</t>
    <phoneticPr fontId="37" type="noConversion"/>
  </si>
  <si>
    <t xml:space="preserve">  单位：元</t>
    <phoneticPr fontId="37" type="noConversion"/>
  </si>
  <si>
    <t>2023年</t>
    <phoneticPr fontId="37" type="noConversion"/>
  </si>
  <si>
    <r>
      <t>2023</t>
    </r>
    <r>
      <rPr>
        <b/>
        <sz val="10"/>
        <rFont val="宋体"/>
        <family val="3"/>
        <charset val="134"/>
      </rPr>
      <t>年</t>
    </r>
    <phoneticPr fontId="37" type="noConversion"/>
  </si>
  <si>
    <r>
      <t>2024</t>
    </r>
    <r>
      <rPr>
        <b/>
        <sz val="10"/>
        <rFont val="宋体"/>
        <family val="3"/>
        <charset val="134"/>
      </rPr>
      <t>年</t>
    </r>
    <phoneticPr fontId="37" type="noConversion"/>
  </si>
  <si>
    <r>
      <t>2025</t>
    </r>
    <r>
      <rPr>
        <b/>
        <sz val="10"/>
        <rFont val="宋体"/>
        <family val="3"/>
        <charset val="134"/>
      </rPr>
      <t>年</t>
    </r>
    <phoneticPr fontId="37" type="noConversion"/>
  </si>
  <si>
    <r>
      <t>2027年</t>
    </r>
    <r>
      <rPr>
        <b/>
        <sz val="10"/>
        <rFont val="宋体"/>
        <family val="3"/>
        <charset val="134"/>
      </rPr>
      <t/>
    </r>
  </si>
  <si>
    <t>2030年</t>
  </si>
  <si>
    <t>送货地点</t>
  </si>
  <si>
    <t>现汇或承兑的比例</t>
  </si>
  <si>
    <t>无</t>
  </si>
  <si>
    <t>包含所有的主、辅料</t>
  </si>
  <si>
    <t>涂红色处为必填项</t>
  </si>
  <si>
    <t>2023年</t>
    <phoneticPr fontId="37" type="noConversion"/>
  </si>
  <si>
    <t>成本预估根据项目经理提供资料估算。供应商年度降价与销价降价同步。</t>
    <phoneticPr fontId="37" type="noConversion"/>
  </si>
  <si>
    <t>预计</t>
    <phoneticPr fontId="37" type="noConversion"/>
  </si>
  <si>
    <t>单台材料成本为未税价格。注塑件颜色变更不影响成本。</t>
    <phoneticPr fontId="37" type="noConversion"/>
  </si>
  <si>
    <t>一汽轻卡减震司机座椅、虎威副司机座椅   河北黄骅--青岛即墨  9.6每车能装72套，36箱，每车运费3200元</t>
    <phoneticPr fontId="37" type="noConversion"/>
  </si>
  <si>
    <t xml:space="preserve">   4年</t>
    <phoneticPr fontId="37" type="noConversion"/>
  </si>
  <si>
    <t xml:space="preserve">投资收益分析 </t>
    <phoneticPr fontId="37" type="noConversion"/>
  </si>
  <si>
    <t>ZY2355</t>
    <phoneticPr fontId="37" type="noConversion"/>
  </si>
  <si>
    <t>轻卡驾驶员座椅</t>
  </si>
  <si>
    <t>LZ161251000004</t>
  </si>
  <si>
    <t>在统帅驾驶座椅编号：LZ161351000330</t>
  </si>
  <si>
    <t>LZ161351000330</t>
    <phoneticPr fontId="37" type="noConversion"/>
  </si>
  <si>
    <t>减老面套</t>
    <phoneticPr fontId="37" type="noConversion"/>
  </si>
  <si>
    <t>增新面套</t>
    <phoneticPr fontId="37" type="noConversion"/>
  </si>
  <si>
    <t>黄骅工厂</t>
  </si>
  <si>
    <t>济南市章丘</t>
  </si>
  <si>
    <t>5个月</t>
  </si>
  <si>
    <t>有</t>
  </si>
  <si>
    <t>按照合同为0.12%</t>
  </si>
  <si>
    <t>公路</t>
  </si>
  <si>
    <t>新能源车型</t>
  </si>
  <si>
    <t>18月</t>
  </si>
  <si>
    <t>中国重汽济南轻卡</t>
    <phoneticPr fontId="37" type="noConversion"/>
  </si>
  <si>
    <t>SLT0010699</t>
  </si>
  <si>
    <t>供应商年降：    连降2%</t>
    <phoneticPr fontId="37" type="noConversion"/>
  </si>
  <si>
    <t>材料成本（连降2%）</t>
    <phoneticPr fontId="37" type="noConversion"/>
  </si>
  <si>
    <t>QAD76.31</t>
    <phoneticPr fontId="37" type="noConversion"/>
  </si>
  <si>
    <t>面套自制</t>
    <phoneticPr fontId="37" type="noConversion"/>
  </si>
  <si>
    <t>济南重汽悍将新能源轻卡座椅项目（不含固定费用）</t>
    <phoneticPr fontId="37" type="noConversion"/>
  </si>
  <si>
    <t>销售价格（未税）：由营销部门提供，包括年降。</t>
    <phoneticPr fontId="37" type="noConversion"/>
  </si>
  <si>
    <t>变动费用参考河北工厂2022年实际及2023预算暂估。</t>
  </si>
  <si>
    <t>财务费用按集团综合。</t>
    <phoneticPr fontId="37" type="noConversion"/>
  </si>
  <si>
    <t>统帅司机座椅 河北黄骅--济南9.6米，每车运费2600元，含税3%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</si>
</sst>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&quot;$&quot;#,##0.00_);[Red]\(&quot;$&quot;#,##0.00\)"/>
    <numFmt numFmtId="177" formatCode="0_ "/>
    <numFmt numFmtId="178" formatCode="_ * #,##0_ ;_ * \-#,##0_ ;_ * &quot;-&quot;??_ ;_ @_ "/>
    <numFmt numFmtId="179" formatCode="0.00_ "/>
    <numFmt numFmtId="180" formatCode="0.0%"/>
  </numFmts>
  <fonts count="57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4"/>
      <name val="宋体"/>
      <family val="3"/>
      <charset val="134"/>
    </font>
    <font>
      <sz val="18"/>
      <color theme="1"/>
      <name val="微软雅黑"/>
      <family val="2"/>
      <charset val="134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Arial"/>
      <family val="2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4"/>
      <color rgb="FF000000"/>
      <name val="宋体"/>
      <family val="3"/>
      <charset val="134"/>
    </font>
    <font>
      <b/>
      <i/>
      <sz val="11"/>
      <color theme="1"/>
      <name val="宋体"/>
      <family val="3"/>
      <charset val="134"/>
      <scheme val="minor"/>
    </font>
    <font>
      <sz val="11"/>
      <color rgb="FFFF0000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14"/>
      <color theme="1"/>
      <name val="微软雅黑"/>
      <family val="2"/>
      <charset val="134"/>
    </font>
    <font>
      <b/>
      <sz val="14"/>
      <name val="微软雅黑"/>
      <family val="2"/>
      <charset val="134"/>
    </font>
    <font>
      <sz val="14"/>
      <color theme="1"/>
      <name val="宋体"/>
      <family val="3"/>
      <charset val="134"/>
      <scheme val="minor"/>
    </font>
    <font>
      <sz val="14"/>
      <name val="微软雅黑"/>
      <family val="2"/>
      <charset val="134"/>
    </font>
    <font>
      <sz val="14"/>
      <color rgb="FF000000"/>
      <name val="微软雅黑"/>
      <family val="2"/>
      <charset val="134"/>
    </font>
    <font>
      <b/>
      <sz val="16"/>
      <color theme="1"/>
      <name val="微软雅黑"/>
      <family val="2"/>
      <charset val="134"/>
    </font>
    <font>
      <sz val="12"/>
      <color rgb="FF0D0D0D"/>
      <name val="宋体"/>
      <family val="3"/>
      <charset val="134"/>
    </font>
    <font>
      <sz val="12"/>
      <color theme="1"/>
      <name val="微软雅黑"/>
      <family val="2"/>
      <charset val="134"/>
    </font>
    <font>
      <sz val="12"/>
      <color rgb="FFFF0000"/>
      <name val="微软雅黑"/>
      <family val="2"/>
      <charset val="134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3">
    <xf numFmtId="0" fontId="0" fillId="0" borderId="0">
      <alignment vertical="center"/>
    </xf>
    <xf numFmtId="43" fontId="36" fillId="0" borderId="0" applyFont="0" applyFill="0" applyBorder="0" applyAlignment="0" applyProtection="0">
      <alignment vertical="center"/>
    </xf>
    <xf numFmtId="0" fontId="27" fillId="0" borderId="0"/>
    <xf numFmtId="9" fontId="36" fillId="0" borderId="0" applyFont="0" applyFill="0" applyBorder="0" applyAlignment="0" applyProtection="0">
      <alignment vertical="center"/>
    </xf>
    <xf numFmtId="0" fontId="30" fillId="0" borderId="0"/>
    <xf numFmtId="0" fontId="29" fillId="0" borderId="0">
      <alignment vertical="center"/>
    </xf>
    <xf numFmtId="0" fontId="28" fillId="0" borderId="0"/>
    <xf numFmtId="1" fontId="31" fillId="0" borderId="1" applyBorder="0"/>
    <xf numFmtId="43" fontId="32" fillId="0" borderId="0" applyFont="0" applyFill="0" applyBorder="0" applyAlignment="0" applyProtection="0">
      <alignment vertical="center"/>
    </xf>
    <xf numFmtId="0" fontId="28" fillId="0" borderId="0"/>
    <xf numFmtId="0" fontId="39" fillId="0" borderId="1" applyNumberFormat="0" applyFill="0" applyBorder="0" applyAlignment="0" applyProtection="0">
      <alignment vertical="center"/>
    </xf>
    <xf numFmtId="0" fontId="26" fillId="0" borderId="0">
      <alignment vertical="center"/>
    </xf>
    <xf numFmtId="43" fontId="26" fillId="0" borderId="0" applyFont="0" applyFill="0" applyBorder="0" applyAlignment="0" applyProtection="0">
      <alignment vertical="center"/>
    </xf>
  </cellStyleXfs>
  <cellXfs count="32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43" fontId="4" fillId="0" borderId="1" xfId="1" applyFont="1" applyBorder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 readingOrder="1"/>
    </xf>
    <xf numFmtId="0" fontId="6" fillId="2" borderId="1" xfId="0" applyFont="1" applyFill="1" applyBorder="1" applyAlignment="1">
      <alignment horizontal="center" vertical="center" wrapText="1" readingOrder="1"/>
    </xf>
    <xf numFmtId="43" fontId="2" fillId="0" borderId="0" xfId="1" applyFont="1">
      <alignment vertical="center"/>
    </xf>
    <xf numFmtId="43" fontId="0" fillId="0" borderId="0" xfId="1" applyFont="1">
      <alignment vertical="center"/>
    </xf>
    <xf numFmtId="177" fontId="8" fillId="5" borderId="1" xfId="4" applyNumberFormat="1" applyFont="1" applyFill="1" applyBorder="1" applyAlignment="1">
      <alignment horizontal="center" vertical="center" wrapText="1"/>
    </xf>
    <xf numFmtId="43" fontId="8" fillId="5" borderId="1" xfId="1" applyFont="1" applyFill="1" applyBorder="1" applyAlignment="1">
      <alignment horizontal="center" vertical="center" wrapText="1"/>
    </xf>
    <xf numFmtId="0" fontId="8" fillId="5" borderId="1" xfId="2" applyNumberFormat="1" applyFont="1" applyFill="1" applyBorder="1" applyAlignment="1" applyProtection="1">
      <alignment horizontal="center" vertical="center"/>
    </xf>
    <xf numFmtId="43" fontId="0" fillId="0" borderId="1" xfId="1" applyFont="1" applyBorder="1" applyAlignment="1">
      <alignment horizontal="center" vertical="center"/>
    </xf>
    <xf numFmtId="177" fontId="9" fillId="0" borderId="1" xfId="4" applyNumberFormat="1" applyFont="1" applyFill="1" applyBorder="1" applyAlignment="1">
      <alignment horizontal="left" vertical="center"/>
    </xf>
    <xf numFmtId="43" fontId="9" fillId="2" borderId="1" xfId="1" applyFont="1" applyFill="1" applyBorder="1" applyAlignment="1">
      <alignment horizontal="center" vertical="center"/>
    </xf>
    <xf numFmtId="0" fontId="10" fillId="4" borderId="1" xfId="2" applyNumberFormat="1" applyFont="1" applyFill="1" applyBorder="1" applyAlignment="1" applyProtection="1">
      <alignment horizontal="center" vertical="center"/>
    </xf>
    <xf numFmtId="43" fontId="0" fillId="2" borderId="1" xfId="1" applyFont="1" applyFill="1" applyBorder="1" applyAlignment="1">
      <alignment horizontal="center" vertical="center"/>
    </xf>
    <xf numFmtId="0" fontId="11" fillId="4" borderId="1" xfId="2" applyNumberFormat="1" applyFont="1" applyFill="1" applyBorder="1" applyAlignment="1" applyProtection="1">
      <alignment horizontal="center" vertical="center"/>
    </xf>
    <xf numFmtId="43" fontId="9" fillId="0" borderId="1" xfId="1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177" fontId="9" fillId="0" borderId="4" xfId="4" applyNumberFormat="1" applyFont="1" applyFill="1" applyBorder="1" applyAlignment="1">
      <alignment horizontal="center" vertical="center"/>
    </xf>
    <xf numFmtId="177" fontId="9" fillId="0" borderId="4" xfId="4" applyNumberFormat="1" applyFont="1" applyFill="1" applyBorder="1" applyAlignment="1">
      <alignment horizontal="left" vertical="center" wrapText="1"/>
    </xf>
    <xf numFmtId="0" fontId="12" fillId="4" borderId="1" xfId="2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readingOrder="1"/>
    </xf>
    <xf numFmtId="43" fontId="4" fillId="0" borderId="1" xfId="0" applyNumberFormat="1" applyFont="1" applyBorder="1">
      <alignment vertical="center"/>
    </xf>
    <xf numFmtId="43" fontId="4" fillId="0" borderId="1" xfId="1" applyNumberFormat="1" applyFont="1" applyBorder="1">
      <alignment vertical="center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3" fillId="0" borderId="0" xfId="0" applyFont="1" applyFill="1">
      <alignment vertical="center"/>
    </xf>
    <xf numFmtId="0" fontId="14" fillId="0" borderId="0" xfId="0" applyFont="1" applyFill="1">
      <alignment vertical="center"/>
    </xf>
    <xf numFmtId="0" fontId="15" fillId="0" borderId="0" xfId="0" applyFont="1" applyFill="1">
      <alignment vertical="center"/>
    </xf>
    <xf numFmtId="43" fontId="15" fillId="0" borderId="0" xfId="1" applyFont="1" applyFill="1">
      <alignment vertical="center"/>
    </xf>
    <xf numFmtId="0" fontId="15" fillId="0" borderId="1" xfId="0" applyFont="1" applyFill="1" applyBorder="1" applyAlignment="1">
      <alignment horizontal="center" vertical="center"/>
    </xf>
    <xf numFmtId="43" fontId="16" fillId="0" borderId="1" xfId="1" applyFont="1" applyFill="1" applyBorder="1" applyAlignment="1">
      <alignment horizontal="center" vertical="center" wrapText="1"/>
    </xf>
    <xf numFmtId="0" fontId="15" fillId="0" borderId="1" xfId="0" applyFont="1" applyFill="1" applyBorder="1">
      <alignment vertical="center"/>
    </xf>
    <xf numFmtId="0" fontId="17" fillId="0" borderId="1" xfId="0" applyFont="1" applyFill="1" applyBorder="1" applyAlignment="1">
      <alignment horizontal="center" vertical="center"/>
    </xf>
    <xf numFmtId="43" fontId="15" fillId="0" borderId="1" xfId="1" applyFont="1" applyFill="1" applyBorder="1" applyAlignment="1">
      <alignment horizontal="center" vertical="center"/>
    </xf>
    <xf numFmtId="0" fontId="17" fillId="0" borderId="1" xfId="0" applyFont="1" applyFill="1" applyBorder="1">
      <alignment vertical="center"/>
    </xf>
    <xf numFmtId="9" fontId="15" fillId="0" borderId="1" xfId="3" applyFont="1" applyFill="1" applyBorder="1" applyAlignment="1">
      <alignment horizontal="center" vertical="center"/>
    </xf>
    <xf numFmtId="0" fontId="13" fillId="0" borderId="1" xfId="0" applyFont="1" applyFill="1" applyBorder="1">
      <alignment vertical="center"/>
    </xf>
    <xf numFmtId="43" fontId="13" fillId="0" borderId="1" xfId="1" applyFont="1" applyFill="1" applyBorder="1">
      <alignment vertical="center"/>
    </xf>
    <xf numFmtId="43" fontId="15" fillId="0" borderId="1" xfId="1" applyFont="1" applyFill="1" applyBorder="1">
      <alignment vertical="center"/>
    </xf>
    <xf numFmtId="0" fontId="14" fillId="0" borderId="1" xfId="0" applyFont="1" applyFill="1" applyBorder="1">
      <alignment vertical="center"/>
    </xf>
    <xf numFmtId="9" fontId="15" fillId="0" borderId="1" xfId="3" applyFont="1" applyFill="1" applyBorder="1">
      <alignment vertical="center"/>
    </xf>
    <xf numFmtId="0" fontId="15" fillId="0" borderId="1" xfId="0" applyFont="1" applyFill="1" applyBorder="1" applyAlignment="1">
      <alignment horizontal="center" vertical="center"/>
    </xf>
    <xf numFmtId="43" fontId="13" fillId="0" borderId="1" xfId="1" applyFont="1" applyFill="1" applyBorder="1" applyAlignment="1">
      <alignment horizontal="center" vertical="center"/>
    </xf>
    <xf numFmtId="43" fontId="15" fillId="0" borderId="1" xfId="0" applyNumberFormat="1" applyFont="1" applyFill="1" applyBorder="1">
      <alignment vertical="center"/>
    </xf>
    <xf numFmtId="43" fontId="14" fillId="0" borderId="1" xfId="1" applyFont="1" applyFill="1" applyBorder="1">
      <alignment vertical="center"/>
    </xf>
    <xf numFmtId="43" fontId="15" fillId="0" borderId="0" xfId="1" applyFont="1" applyFill="1" applyAlignment="1">
      <alignment horizontal="center" vertical="center"/>
    </xf>
    <xf numFmtId="0" fontId="0" fillId="0" borderId="0" xfId="0" applyFill="1">
      <alignment vertical="center"/>
    </xf>
    <xf numFmtId="43" fontId="0" fillId="0" borderId="0" xfId="1" applyFont="1" applyFill="1">
      <alignment vertical="center"/>
    </xf>
    <xf numFmtId="43" fontId="15" fillId="0" borderId="0" xfId="0" applyNumberFormat="1" applyFont="1" applyFill="1">
      <alignment vertical="center"/>
    </xf>
    <xf numFmtId="0" fontId="18" fillId="0" borderId="0" xfId="0" applyFont="1" applyFill="1">
      <alignment vertical="center"/>
    </xf>
    <xf numFmtId="179" fontId="15" fillId="0" borderId="0" xfId="0" applyNumberFormat="1" applyFont="1" applyFill="1">
      <alignment vertical="center"/>
    </xf>
    <xf numFmtId="1" fontId="9" fillId="4" borderId="0" xfId="2" applyNumberFormat="1" applyFont="1" applyFill="1" applyProtection="1"/>
    <xf numFmtId="0" fontId="9" fillId="4" borderId="0" xfId="2" applyFont="1" applyFill="1" applyProtection="1"/>
    <xf numFmtId="0" fontId="19" fillId="4" borderId="0" xfId="2" applyFont="1" applyFill="1" applyAlignment="1" applyProtection="1">
      <alignment horizontal="centerContinuous"/>
    </xf>
    <xf numFmtId="0" fontId="9" fillId="4" borderId="0" xfId="2" applyFont="1" applyFill="1" applyAlignment="1">
      <alignment horizontal="centerContinuous"/>
    </xf>
    <xf numFmtId="0" fontId="9" fillId="4" borderId="0" xfId="2" applyFont="1" applyFill="1" applyAlignment="1" applyProtection="1">
      <alignment horizontal="centerContinuous"/>
    </xf>
    <xf numFmtId="9" fontId="9" fillId="4" borderId="0" xfId="2" applyNumberFormat="1" applyFont="1" applyFill="1" applyProtection="1"/>
    <xf numFmtId="0" fontId="9" fillId="4" borderId="5" xfId="2" applyFont="1" applyFill="1" applyBorder="1" applyAlignment="1" applyProtection="1">
      <alignment horizontal="center"/>
    </xf>
    <xf numFmtId="0" fontId="11" fillId="4" borderId="1" xfId="2" applyFont="1" applyFill="1" applyBorder="1" applyAlignment="1" applyProtection="1">
      <alignment horizontal="center"/>
    </xf>
    <xf numFmtId="0" fontId="11" fillId="4" borderId="2" xfId="2" applyFont="1" applyFill="1" applyBorder="1" applyAlignment="1" applyProtection="1">
      <alignment horizontal="center"/>
    </xf>
    <xf numFmtId="1" fontId="11" fillId="4" borderId="2" xfId="7" applyFont="1" applyFill="1" applyBorder="1"/>
    <xf numFmtId="1" fontId="9" fillId="4" borderId="2" xfId="7" applyFont="1" applyFill="1" applyBorder="1"/>
    <xf numFmtId="0" fontId="9" fillId="4" borderId="6" xfId="2" applyFont="1" applyFill="1" applyBorder="1" applyProtection="1"/>
    <xf numFmtId="0" fontId="9" fillId="4" borderId="1" xfId="2" applyFont="1" applyFill="1" applyBorder="1" applyAlignment="1" applyProtection="1">
      <alignment horizontal="center"/>
    </xf>
    <xf numFmtId="0" fontId="9" fillId="4" borderId="1" xfId="2" applyFont="1" applyFill="1" applyBorder="1" applyAlignment="1" applyProtection="1">
      <alignment horizontal="left"/>
    </xf>
    <xf numFmtId="0" fontId="9" fillId="6" borderId="1" xfId="2" applyFont="1" applyFill="1" applyBorder="1" applyProtection="1"/>
    <xf numFmtId="178" fontId="9" fillId="6" borderId="1" xfId="1" applyNumberFormat="1" applyFont="1" applyFill="1" applyBorder="1" applyAlignment="1" applyProtection="1"/>
    <xf numFmtId="0" fontId="9" fillId="4" borderId="1" xfId="2" applyFont="1" applyFill="1" applyBorder="1" applyProtection="1"/>
    <xf numFmtId="178" fontId="9" fillId="4" borderId="1" xfId="1" applyNumberFormat="1" applyFont="1" applyFill="1" applyBorder="1" applyAlignment="1" applyProtection="1"/>
    <xf numFmtId="0" fontId="9" fillId="4" borderId="1" xfId="2" applyNumberFormat="1" applyFont="1" applyFill="1" applyBorder="1" applyAlignment="1" applyProtection="1">
      <alignment horizontal="left"/>
    </xf>
    <xf numFmtId="1" fontId="9" fillId="4" borderId="1" xfId="2" applyNumberFormat="1" applyFont="1" applyFill="1" applyBorder="1" applyProtection="1"/>
    <xf numFmtId="1" fontId="9" fillId="4" borderId="1" xfId="2" applyNumberFormat="1" applyFont="1" applyFill="1" applyBorder="1" applyAlignment="1" applyProtection="1">
      <alignment horizontal="left"/>
    </xf>
    <xf numFmtId="0" fontId="9" fillId="4" borderId="9" xfId="2" applyFont="1" applyFill="1" applyBorder="1" applyProtection="1"/>
    <xf numFmtId="0" fontId="9" fillId="4" borderId="10" xfId="2" applyFont="1" applyFill="1" applyBorder="1" applyProtection="1"/>
    <xf numFmtId="0" fontId="9" fillId="4" borderId="11" xfId="2" applyFont="1" applyFill="1" applyBorder="1" applyProtection="1"/>
    <xf numFmtId="0" fontId="9" fillId="4" borderId="0" xfId="2" applyFont="1" applyFill="1" applyBorder="1" applyProtection="1"/>
    <xf numFmtId="176" fontId="9" fillId="4" borderId="0" xfId="2" applyNumberFormat="1" applyFont="1" applyFill="1" applyBorder="1" applyProtection="1"/>
    <xf numFmtId="10" fontId="9" fillId="4" borderId="0" xfId="2" applyNumberFormat="1" applyFont="1" applyFill="1" applyBorder="1" applyProtection="1"/>
    <xf numFmtId="1" fontId="9" fillId="4" borderId="0" xfId="2" applyNumberFormat="1" applyFont="1" applyFill="1" applyBorder="1" applyProtection="1"/>
    <xf numFmtId="0" fontId="9" fillId="4" borderId="12" xfId="2" applyFont="1" applyFill="1" applyBorder="1" applyProtection="1"/>
    <xf numFmtId="0" fontId="9" fillId="4" borderId="8" xfId="2" applyFont="1" applyFill="1" applyBorder="1" applyProtection="1"/>
    <xf numFmtId="2" fontId="9" fillId="4" borderId="8" xfId="2" applyNumberFormat="1" applyFont="1" applyFill="1" applyBorder="1" applyProtection="1"/>
    <xf numFmtId="0" fontId="9" fillId="4" borderId="3" xfId="2" applyFont="1" applyFill="1" applyBorder="1"/>
    <xf numFmtId="1" fontId="9" fillId="4" borderId="6" xfId="7" applyFont="1" applyFill="1" applyBorder="1" applyAlignment="1">
      <alignment horizontal="center"/>
    </xf>
    <xf numFmtId="0" fontId="9" fillId="4" borderId="13" xfId="2" applyFont="1" applyFill="1" applyBorder="1" applyProtection="1"/>
    <xf numFmtId="0" fontId="9" fillId="4" borderId="14" xfId="2" applyFont="1" applyFill="1" applyBorder="1" applyProtection="1"/>
    <xf numFmtId="0" fontId="9" fillId="4" borderId="15" xfId="2" applyFont="1" applyFill="1" applyBorder="1" applyProtection="1"/>
    <xf numFmtId="0" fontId="14" fillId="0" borderId="0" xfId="0" applyFont="1">
      <alignment vertical="center"/>
    </xf>
    <xf numFmtId="0" fontId="15" fillId="0" borderId="0" xfId="0" applyFont="1" applyBorder="1">
      <alignment vertical="center"/>
    </xf>
    <xf numFmtId="0" fontId="15" fillId="0" borderId="0" xfId="0" applyFont="1">
      <alignment vertical="center"/>
    </xf>
    <xf numFmtId="43" fontId="15" fillId="0" borderId="0" xfId="1" applyFont="1">
      <alignment vertical="center"/>
    </xf>
    <xf numFmtId="43" fontId="21" fillId="0" borderId="1" xfId="1" applyFont="1" applyFill="1" applyBorder="1" applyAlignment="1">
      <alignment horizontal="center" vertical="center" wrapText="1"/>
    </xf>
    <xf numFmtId="178" fontId="15" fillId="0" borderId="1" xfId="1" applyNumberFormat="1" applyFont="1" applyFill="1" applyBorder="1" applyAlignment="1">
      <alignment horizontal="center" vertical="center"/>
    </xf>
    <xf numFmtId="178" fontId="14" fillId="0" borderId="1" xfId="1" applyNumberFormat="1" applyFont="1" applyFill="1" applyBorder="1" applyAlignment="1">
      <alignment horizontal="center" vertical="center"/>
    </xf>
    <xf numFmtId="0" fontId="15" fillId="3" borderId="1" xfId="0" applyFont="1" applyFill="1" applyBorder="1">
      <alignment vertical="center"/>
    </xf>
    <xf numFmtId="0" fontId="17" fillId="6" borderId="1" xfId="0" applyFont="1" applyFill="1" applyBorder="1">
      <alignment vertical="center"/>
    </xf>
    <xf numFmtId="178" fontId="14" fillId="6" borderId="1" xfId="1" applyNumberFormat="1" applyFont="1" applyFill="1" applyBorder="1" applyAlignment="1">
      <alignment horizontal="center" vertical="center"/>
    </xf>
    <xf numFmtId="0" fontId="22" fillId="0" borderId="1" xfId="0" applyFont="1" applyFill="1" applyBorder="1">
      <alignment vertical="center"/>
    </xf>
    <xf numFmtId="0" fontId="15" fillId="0" borderId="1" xfId="0" applyFont="1" applyBorder="1">
      <alignment vertical="center"/>
    </xf>
    <xf numFmtId="10" fontId="14" fillId="0" borderId="1" xfId="3" applyNumberFormat="1" applyFont="1" applyBorder="1" applyAlignment="1">
      <alignment vertical="center"/>
    </xf>
    <xf numFmtId="178" fontId="14" fillId="0" borderId="1" xfId="1" applyNumberFormat="1" applyFont="1" applyBorder="1" applyAlignment="1">
      <alignment horizontal="center" vertical="center"/>
    </xf>
    <xf numFmtId="43" fontId="14" fillId="0" borderId="1" xfId="1" applyFont="1" applyFill="1" applyBorder="1" applyAlignment="1">
      <alignment horizontal="center" vertical="center"/>
    </xf>
    <xf numFmtId="0" fontId="22" fillId="6" borderId="1" xfId="0" applyFont="1" applyFill="1" applyBorder="1">
      <alignment vertical="center"/>
    </xf>
    <xf numFmtId="178" fontId="15" fillId="0" borderId="1" xfId="1" applyNumberFormat="1" applyFont="1" applyBorder="1" applyAlignment="1">
      <alignment horizontal="center" vertical="center"/>
    </xf>
    <xf numFmtId="10" fontId="15" fillId="0" borderId="1" xfId="3" applyNumberFormat="1" applyFont="1" applyBorder="1">
      <alignment vertical="center"/>
    </xf>
    <xf numFmtId="10" fontId="15" fillId="0" borderId="0" xfId="3" applyNumberFormat="1" applyFont="1" applyBorder="1">
      <alignment vertical="center"/>
    </xf>
    <xf numFmtId="43" fontId="15" fillId="0" borderId="0" xfId="1" applyFont="1" applyBorder="1">
      <alignment vertical="center"/>
    </xf>
    <xf numFmtId="0" fontId="15" fillId="0" borderId="1" xfId="0" applyFont="1" applyBorder="1" applyAlignment="1">
      <alignment horizontal="center" vertical="center"/>
    </xf>
    <xf numFmtId="10" fontId="15" fillId="0" borderId="1" xfId="3" applyNumberFormat="1" applyFont="1" applyFill="1" applyBorder="1" applyAlignment="1">
      <alignment horizontal="center" vertical="center"/>
    </xf>
    <xf numFmtId="10" fontId="15" fillId="0" borderId="1" xfId="3" applyNumberFormat="1" applyFont="1" applyFill="1" applyBorder="1">
      <alignment vertical="center"/>
    </xf>
    <xf numFmtId="0" fontId="17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43" fontId="15" fillId="0" borderId="1" xfId="1" applyFont="1" applyBorder="1">
      <alignment vertical="center"/>
    </xf>
    <xf numFmtId="178" fontId="15" fillId="0" borderId="1" xfId="1" applyNumberFormat="1" applyFont="1" applyBorder="1">
      <alignment vertical="center"/>
    </xf>
    <xf numFmtId="43" fontId="15" fillId="0" borderId="0" xfId="0" applyNumberFormat="1" applyFont="1" applyFill="1" applyBorder="1">
      <alignment vertical="center"/>
    </xf>
    <xf numFmtId="0" fontId="14" fillId="0" borderId="1" xfId="0" applyFont="1" applyBorder="1">
      <alignment vertical="center"/>
    </xf>
    <xf numFmtId="0" fontId="22" fillId="0" borderId="1" xfId="0" applyFont="1" applyBorder="1">
      <alignment vertical="center"/>
    </xf>
    <xf numFmtId="0" fontId="15" fillId="0" borderId="5" xfId="0" applyFont="1" applyBorder="1">
      <alignment vertical="center"/>
    </xf>
    <xf numFmtId="0" fontId="23" fillId="0" borderId="0" xfId="0" applyFont="1">
      <alignment vertical="center"/>
    </xf>
    <xf numFmtId="0" fontId="24" fillId="0" borderId="1" xfId="0" applyFont="1" applyBorder="1" applyAlignment="1">
      <alignment horizontal="center" vertical="center" wrapText="1" readingOrder="1"/>
    </xf>
    <xf numFmtId="0" fontId="23" fillId="0" borderId="0" xfId="0" applyFont="1" applyFill="1">
      <alignment vertical="center"/>
    </xf>
    <xf numFmtId="0" fontId="6" fillId="0" borderId="1" xfId="0" applyFont="1" applyBorder="1" applyAlignment="1">
      <alignment horizontal="center" vertical="center" wrapText="1" readingOrder="1"/>
    </xf>
    <xf numFmtId="0" fontId="25" fillId="0" borderId="1" xfId="0" applyFont="1" applyBorder="1" applyAlignment="1">
      <alignment horizontal="left" vertical="center" wrapText="1" readingOrder="1"/>
    </xf>
    <xf numFmtId="0" fontId="25" fillId="0" borderId="1" xfId="0" applyFont="1" applyFill="1" applyBorder="1" applyAlignment="1">
      <alignment horizontal="left" vertical="center" wrapText="1" readingOrder="1"/>
    </xf>
    <xf numFmtId="0" fontId="25" fillId="0" borderId="1" xfId="0" applyFont="1" applyBorder="1" applyAlignment="1">
      <alignment horizontal="center" vertical="center" wrapText="1" readingOrder="1"/>
    </xf>
    <xf numFmtId="0" fontId="25" fillId="0" borderId="0" xfId="0" applyFont="1" applyFill="1" applyBorder="1" applyAlignment="1">
      <alignment horizontal="left" vertical="center" wrapText="1" readingOrder="1"/>
    </xf>
    <xf numFmtId="0" fontId="1" fillId="0" borderId="0" xfId="0" applyFont="1" applyFill="1">
      <alignment vertical="center"/>
    </xf>
    <xf numFmtId="10" fontId="1" fillId="0" borderId="0" xfId="3" applyNumberFormat="1" applyFont="1" applyFill="1" applyAlignment="1">
      <alignment horizontal="center" vertical="center"/>
    </xf>
    <xf numFmtId="10" fontId="26" fillId="0" borderId="0" xfId="3" applyNumberFormat="1" applyFont="1" applyFill="1" applyAlignment="1">
      <alignment horizontal="center" vertical="center"/>
    </xf>
    <xf numFmtId="10" fontId="0" fillId="0" borderId="0" xfId="3" applyNumberFormat="1" applyFont="1" applyFill="1" applyAlignment="1">
      <alignment horizontal="center" vertical="center"/>
    </xf>
    <xf numFmtId="43" fontId="0" fillId="0" borderId="1" xfId="1" applyFont="1" applyFill="1" applyBorder="1">
      <alignment vertical="center"/>
    </xf>
    <xf numFmtId="43" fontId="0" fillId="0" borderId="1" xfId="0" applyNumberForma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43" fontId="1" fillId="0" borderId="1" xfId="1" applyFont="1" applyFill="1" applyBorder="1">
      <alignment vertical="center"/>
    </xf>
    <xf numFmtId="0" fontId="26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center" vertical="center" wrapText="1"/>
    </xf>
    <xf numFmtId="43" fontId="0" fillId="0" borderId="0" xfId="1" applyFont="1" applyFill="1" applyAlignment="1">
      <alignment horizontal="center" vertical="center"/>
    </xf>
    <xf numFmtId="9" fontId="0" fillId="0" borderId="0" xfId="0" applyNumberFormat="1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26" fillId="0" borderId="0" xfId="0" applyFont="1" applyFill="1">
      <alignment vertical="center"/>
    </xf>
    <xf numFmtId="0" fontId="2" fillId="0" borderId="1" xfId="0" applyFont="1" applyBorder="1" applyAlignment="1">
      <alignment horizontal="center" vertical="center"/>
    </xf>
    <xf numFmtId="0" fontId="18" fillId="7" borderId="0" xfId="0" applyFont="1" applyFill="1">
      <alignment vertical="center"/>
    </xf>
    <xf numFmtId="2" fontId="2" fillId="0" borderId="1" xfId="0" applyNumberFormat="1" applyFont="1" applyBorder="1" applyAlignment="1">
      <alignment horizontal="center" vertical="center"/>
    </xf>
    <xf numFmtId="43" fontId="40" fillId="8" borderId="1" xfId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 vertical="center" wrapText="1" readingOrder="1"/>
    </xf>
    <xf numFmtId="0" fontId="0" fillId="0" borderId="1" xfId="0" applyFill="1" applyBorder="1" applyAlignment="1">
      <alignment horizontal="left" vertical="center"/>
    </xf>
    <xf numFmtId="180" fontId="0" fillId="0" borderId="1" xfId="3" applyNumberFormat="1" applyFon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9" fontId="15" fillId="0" borderId="7" xfId="3" applyFont="1" applyFill="1" applyBorder="1">
      <alignment vertical="center"/>
    </xf>
    <xf numFmtId="178" fontId="15" fillId="7" borderId="1" xfId="1" applyNumberFormat="1" applyFont="1" applyFill="1" applyBorder="1" applyAlignment="1">
      <alignment horizontal="center" vertical="center"/>
    </xf>
    <xf numFmtId="43" fontId="15" fillId="0" borderId="7" xfId="1" applyFont="1" applyFill="1" applyBorder="1">
      <alignment vertical="center"/>
    </xf>
    <xf numFmtId="0" fontId="5" fillId="8" borderId="13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40" fillId="9" borderId="1" xfId="0" applyFont="1" applyFill="1" applyBorder="1" applyAlignment="1">
      <alignment vertical="center" wrapText="1"/>
    </xf>
    <xf numFmtId="0" fontId="40" fillId="0" borderId="1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0" fillId="0" borderId="1" xfId="0" applyFill="1" applyBorder="1" applyAlignment="1">
      <alignment horizontal="left" vertical="center"/>
    </xf>
    <xf numFmtId="0" fontId="40" fillId="0" borderId="1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0" fillId="8" borderId="1" xfId="0" applyFont="1" applyFill="1" applyBorder="1" applyAlignment="1">
      <alignment horizontal="center" vertical="center"/>
    </xf>
    <xf numFmtId="0" fontId="40" fillId="8" borderId="1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6" fillId="3" borderId="1" xfId="0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1" xfId="11" applyFont="1" applyFill="1" applyBorder="1" applyAlignment="1">
      <alignment horizontal="center" vertical="center" wrapText="1"/>
    </xf>
    <xf numFmtId="43" fontId="2" fillId="0" borderId="1" xfId="1" applyFont="1" applyBorder="1">
      <alignment vertical="center"/>
    </xf>
    <xf numFmtId="0" fontId="2" fillId="0" borderId="1" xfId="0" applyFont="1" applyFill="1" applyBorder="1">
      <alignment vertical="center"/>
    </xf>
    <xf numFmtId="43" fontId="2" fillId="0" borderId="1" xfId="1" applyFont="1" applyFill="1" applyBorder="1">
      <alignment vertical="center"/>
    </xf>
    <xf numFmtId="43" fontId="4" fillId="0" borderId="1" xfId="1" applyFont="1" applyFill="1" applyBorder="1">
      <alignment vertical="center"/>
    </xf>
    <xf numFmtId="0" fontId="40" fillId="2" borderId="1" xfId="0" applyFont="1" applyFill="1" applyBorder="1" applyAlignment="1">
      <alignment horizontal="center" vertical="center"/>
    </xf>
    <xf numFmtId="43" fontId="45" fillId="0" borderId="1" xfId="0" applyNumberFormat="1" applyFont="1" applyFill="1" applyBorder="1" applyAlignment="1">
      <alignment horizontal="center" vertical="center"/>
    </xf>
    <xf numFmtId="9" fontId="45" fillId="0" borderId="1" xfId="3" applyFont="1" applyFill="1" applyBorder="1" applyAlignment="1">
      <alignment horizontal="center" vertical="center"/>
    </xf>
    <xf numFmtId="10" fontId="45" fillId="0" borderId="1" xfId="3" applyNumberFormat="1" applyFont="1" applyFill="1" applyBorder="1" applyAlignment="1">
      <alignment horizontal="center" vertical="center"/>
    </xf>
    <xf numFmtId="0" fontId="46" fillId="0" borderId="1" xfId="0" applyFont="1" applyBorder="1">
      <alignment vertical="center"/>
    </xf>
    <xf numFmtId="0" fontId="48" fillId="0" borderId="0" xfId="0" applyFont="1">
      <alignment vertical="center"/>
    </xf>
    <xf numFmtId="178" fontId="48" fillId="0" borderId="0" xfId="1" applyNumberFormat="1" applyFont="1">
      <alignment vertical="center"/>
    </xf>
    <xf numFmtId="0" fontId="47" fillId="0" borderId="0" xfId="0" applyFont="1" applyAlignment="1">
      <alignment vertical="center"/>
    </xf>
    <xf numFmtId="0" fontId="48" fillId="2" borderId="0" xfId="0" applyFont="1" applyFill="1">
      <alignment vertical="center"/>
    </xf>
    <xf numFmtId="10" fontId="48" fillId="7" borderId="0" xfId="0" applyNumberFormat="1" applyFont="1" applyFill="1">
      <alignment vertical="center"/>
    </xf>
    <xf numFmtId="10" fontId="48" fillId="0" borderId="0" xfId="0" applyNumberFormat="1" applyFont="1">
      <alignment vertical="center"/>
    </xf>
    <xf numFmtId="0" fontId="48" fillId="0" borderId="0" xfId="0" applyFont="1" applyFill="1">
      <alignment vertical="center"/>
    </xf>
    <xf numFmtId="0" fontId="51" fillId="0" borderId="1" xfId="0" applyFont="1" applyFill="1" applyBorder="1" applyAlignment="1">
      <alignment horizontal="center" vertical="center"/>
    </xf>
    <xf numFmtId="0" fontId="52" fillId="0" borderId="1" xfId="0" applyFont="1" applyFill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 wrapText="1"/>
    </xf>
    <xf numFmtId="178" fontId="52" fillId="3" borderId="1" xfId="1" applyNumberFormat="1" applyFont="1" applyFill="1" applyBorder="1" applyAlignment="1">
      <alignment horizontal="center" vertical="center" wrapText="1" readingOrder="1"/>
    </xf>
    <xf numFmtId="43" fontId="48" fillId="0" borderId="0" xfId="1" applyFont="1">
      <alignment vertical="center"/>
    </xf>
    <xf numFmtId="0" fontId="48" fillId="0" borderId="1" xfId="0" applyFont="1" applyBorder="1">
      <alignment vertical="center"/>
    </xf>
    <xf numFmtId="43" fontId="48" fillId="0" borderId="1" xfId="0" applyNumberFormat="1" applyFont="1" applyBorder="1">
      <alignment vertical="center"/>
    </xf>
    <xf numFmtId="180" fontId="48" fillId="0" borderId="1" xfId="3" applyNumberFormat="1" applyFont="1" applyBorder="1">
      <alignment vertical="center"/>
    </xf>
    <xf numFmtId="43" fontId="14" fillId="0" borderId="1" xfId="3" applyNumberFormat="1" applyFont="1" applyBorder="1" applyAlignment="1">
      <alignment vertical="center"/>
    </xf>
    <xf numFmtId="0" fontId="49" fillId="0" borderId="4" xfId="0" applyFont="1" applyBorder="1" applyAlignment="1">
      <alignment horizontal="center" vertical="center" wrapText="1"/>
    </xf>
    <xf numFmtId="0" fontId="48" fillId="0" borderId="4" xfId="0" applyFont="1" applyBorder="1" applyAlignment="1">
      <alignment horizontal="center" vertical="center" wrapText="1"/>
    </xf>
    <xf numFmtId="0" fontId="54" fillId="0" borderId="1" xfId="0" applyFont="1" applyBorder="1" applyAlignment="1">
      <alignment horizontal="center" vertical="center" wrapText="1"/>
    </xf>
    <xf numFmtId="0" fontId="40" fillId="0" borderId="1" xfId="6" applyFont="1" applyBorder="1" applyAlignment="1">
      <alignment horizontal="center" vertical="center"/>
    </xf>
    <xf numFmtId="0" fontId="40" fillId="0" borderId="0" xfId="6" applyFont="1" applyAlignment="1">
      <alignment horizontal="center" vertical="center"/>
    </xf>
    <xf numFmtId="43" fontId="48" fillId="0" borderId="0" xfId="0" applyNumberFormat="1" applyFont="1">
      <alignment vertical="center"/>
    </xf>
    <xf numFmtId="10" fontId="48" fillId="0" borderId="0" xfId="3" applyNumberFormat="1" applyFont="1">
      <alignment vertical="center"/>
    </xf>
    <xf numFmtId="0" fontId="40" fillId="0" borderId="0" xfId="6" applyFont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26" fillId="0" borderId="0" xfId="0" applyFont="1" applyBorder="1" applyAlignment="1">
      <alignment vertical="center"/>
    </xf>
    <xf numFmtId="0" fontId="4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5" fillId="0" borderId="0" xfId="0" applyFont="1" applyBorder="1" applyAlignment="1">
      <alignment horizontal="center" vertical="center"/>
    </xf>
    <xf numFmtId="0" fontId="55" fillId="0" borderId="8" xfId="0" applyFont="1" applyBorder="1" applyAlignment="1">
      <alignment horizontal="center" vertical="center"/>
    </xf>
    <xf numFmtId="0" fontId="55" fillId="0" borderId="0" xfId="0" applyFont="1">
      <alignment vertical="center"/>
    </xf>
    <xf numFmtId="0" fontId="40" fillId="10" borderId="1" xfId="0" applyFont="1" applyFill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5" fillId="10" borderId="0" xfId="0" applyFont="1" applyFill="1">
      <alignment vertical="center"/>
    </xf>
    <xf numFmtId="0" fontId="40" fillId="0" borderId="0" xfId="0" applyFont="1" applyAlignment="1">
      <alignment horizontal="center" vertical="center"/>
    </xf>
    <xf numFmtId="0" fontId="52" fillId="9" borderId="1" xfId="0" applyFont="1" applyFill="1" applyBorder="1" applyAlignment="1">
      <alignment horizontal="center" vertical="center"/>
    </xf>
    <xf numFmtId="0" fontId="52" fillId="9" borderId="2" xfId="0" applyFont="1" applyFill="1" applyBorder="1" applyAlignment="1">
      <alignment horizontal="center" vertical="center" wrapText="1" readingOrder="1"/>
    </xf>
    <xf numFmtId="0" fontId="52" fillId="9" borderId="1" xfId="0" applyFont="1" applyFill="1" applyBorder="1" applyAlignment="1">
      <alignment horizontal="center" vertical="center" wrapText="1" readingOrder="1"/>
    </xf>
    <xf numFmtId="43" fontId="50" fillId="0" borderId="1" xfId="1" applyFont="1" applyBorder="1" applyAlignment="1" applyProtection="1">
      <alignment vertical="center"/>
      <protection locked="0"/>
    </xf>
    <xf numFmtId="0" fontId="6" fillId="0" borderId="1" xfId="0" applyFont="1" applyFill="1" applyBorder="1">
      <alignment vertical="center"/>
    </xf>
    <xf numFmtId="178" fontId="14" fillId="0" borderId="1" xfId="3" applyNumberFormat="1" applyFont="1" applyBorder="1" applyAlignment="1">
      <alignment vertical="center"/>
    </xf>
    <xf numFmtId="0" fontId="56" fillId="0" borderId="13" xfId="0" applyFont="1" applyFill="1" applyBorder="1" applyAlignment="1">
      <alignment horizontal="center" vertical="center" wrapText="1"/>
    </xf>
    <xf numFmtId="0" fontId="56" fillId="0" borderId="1" xfId="0" applyFont="1" applyFill="1" applyBorder="1" applyAlignment="1">
      <alignment horizontal="center" vertical="center" wrapText="1"/>
    </xf>
    <xf numFmtId="0" fontId="56" fillId="0" borderId="1" xfId="0" applyFont="1" applyFill="1" applyBorder="1" applyAlignment="1">
      <alignment horizontal="left" vertical="top" wrapText="1"/>
    </xf>
    <xf numFmtId="43" fontId="23" fillId="0" borderId="1" xfId="1" applyFont="1" applyBorder="1" applyAlignment="1" applyProtection="1">
      <alignment vertical="center"/>
      <protection locked="0"/>
    </xf>
    <xf numFmtId="43" fontId="55" fillId="0" borderId="0" xfId="1" applyFont="1">
      <alignment vertical="center"/>
    </xf>
    <xf numFmtId="0" fontId="56" fillId="0" borderId="1" xfId="0" applyFont="1" applyFill="1" applyBorder="1" applyAlignment="1">
      <alignment vertical="center" wrapText="1"/>
    </xf>
    <xf numFmtId="178" fontId="23" fillId="11" borderId="1" xfId="1" applyNumberFormat="1" applyFont="1" applyFill="1" applyBorder="1" applyAlignment="1" applyProtection="1">
      <alignment vertical="center"/>
      <protection locked="0"/>
    </xf>
    <xf numFmtId="178" fontId="50" fillId="11" borderId="1" xfId="1" applyNumberFormat="1" applyFont="1" applyFill="1" applyBorder="1" applyAlignment="1" applyProtection="1">
      <alignment vertical="center"/>
      <protection locked="0"/>
    </xf>
    <xf numFmtId="0" fontId="52" fillId="11" borderId="1" xfId="0" applyFont="1" applyFill="1" applyBorder="1" applyAlignment="1">
      <alignment horizontal="center" vertical="center" wrapText="1" readingOrder="1"/>
    </xf>
    <xf numFmtId="178" fontId="52" fillId="11" borderId="1" xfId="1" applyNumberFormat="1" applyFont="1" applyFill="1" applyBorder="1" applyAlignment="1">
      <alignment horizontal="center" vertical="center" wrapText="1" readingOrder="1"/>
    </xf>
    <xf numFmtId="0" fontId="52" fillId="11" borderId="0" xfId="0" applyFont="1" applyFill="1" applyAlignment="1">
      <alignment horizontal="center" vertical="center" wrapText="1"/>
    </xf>
    <xf numFmtId="0" fontId="44" fillId="11" borderId="16" xfId="0" applyFont="1" applyFill="1" applyBorder="1" applyAlignment="1">
      <alignment horizontal="center" vertical="center" wrapText="1" readingOrder="1"/>
    </xf>
    <xf numFmtId="0" fontId="6" fillId="11" borderId="1" xfId="0" applyFont="1" applyFill="1" applyBorder="1" applyAlignment="1">
      <alignment horizontal="center" vertical="center" wrapText="1" readingOrder="1"/>
    </xf>
    <xf numFmtId="178" fontId="6" fillId="11" borderId="1" xfId="0" applyNumberFormat="1" applyFont="1" applyFill="1" applyBorder="1" applyAlignment="1">
      <alignment horizontal="center" wrapText="1" readingOrder="1"/>
    </xf>
    <xf numFmtId="178" fontId="52" fillId="11" borderId="1" xfId="0" applyNumberFormat="1" applyFont="1" applyFill="1" applyBorder="1" applyAlignment="1">
      <alignment horizontal="center" wrapText="1" readingOrder="1"/>
    </xf>
    <xf numFmtId="0" fontId="46" fillId="0" borderId="1" xfId="0" applyFont="1" applyFill="1" applyBorder="1" applyAlignment="1">
      <alignment horizontal="center" vertical="center" wrapText="1"/>
    </xf>
    <xf numFmtId="0" fontId="48" fillId="0" borderId="4" xfId="0" applyFont="1" applyBorder="1" applyAlignment="1">
      <alignment horizontal="center" vertical="center"/>
    </xf>
    <xf numFmtId="0" fontId="46" fillId="0" borderId="1" xfId="0" applyFont="1" applyFill="1" applyBorder="1" applyAlignment="1">
      <alignment horizontal="center" vertical="top" wrapText="1"/>
    </xf>
    <xf numFmtId="43" fontId="56" fillId="0" borderId="1" xfId="0" applyNumberFormat="1" applyFont="1" applyFill="1" applyBorder="1" applyAlignment="1">
      <alignment vertical="center" wrapText="1"/>
    </xf>
    <xf numFmtId="43" fontId="0" fillId="7" borderId="1" xfId="0" applyNumberForma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 readingOrder="1"/>
    </xf>
    <xf numFmtId="0" fontId="6" fillId="0" borderId="7" xfId="0" applyFont="1" applyBorder="1" applyAlignment="1">
      <alignment horizontal="center" vertical="center" wrapText="1" readingOrder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1" fillId="4" borderId="1" xfId="2" applyFont="1" applyFill="1" applyBorder="1" applyAlignment="1" applyProtection="1">
      <alignment horizontal="center"/>
    </xf>
    <xf numFmtId="0" fontId="15" fillId="0" borderId="1" xfId="0" applyFont="1" applyFill="1" applyBorder="1" applyAlignment="1">
      <alignment horizontal="center" vertical="center"/>
    </xf>
    <xf numFmtId="43" fontId="16" fillId="0" borderId="5" xfId="1" applyFont="1" applyFill="1" applyBorder="1" applyAlignment="1">
      <alignment horizontal="center" vertical="center" wrapText="1"/>
    </xf>
    <xf numFmtId="43" fontId="16" fillId="0" borderId="7" xfId="1" applyFont="1" applyFill="1" applyBorder="1" applyAlignment="1">
      <alignment horizontal="center" vertical="center" wrapText="1"/>
    </xf>
    <xf numFmtId="43" fontId="16" fillId="0" borderId="6" xfId="1" applyFont="1" applyFill="1" applyBorder="1" applyAlignment="1">
      <alignment horizontal="center" vertical="center" wrapText="1"/>
    </xf>
    <xf numFmtId="43" fontId="15" fillId="0" borderId="4" xfId="1" applyFont="1" applyFill="1" applyBorder="1" applyAlignment="1">
      <alignment horizontal="center" vertical="center"/>
    </xf>
    <xf numFmtId="43" fontId="15" fillId="0" borderId="2" xfId="1" applyFont="1" applyFill="1" applyBorder="1" applyAlignment="1">
      <alignment horizontal="center" vertical="center"/>
    </xf>
    <xf numFmtId="43" fontId="15" fillId="0" borderId="3" xfId="1" applyFont="1" applyFill="1" applyBorder="1" applyAlignment="1">
      <alignment horizontal="center" vertical="center"/>
    </xf>
    <xf numFmtId="43" fontId="15" fillId="2" borderId="1" xfId="1" applyFont="1" applyFill="1" applyBorder="1" applyAlignment="1">
      <alignment horizontal="center" vertical="center"/>
    </xf>
    <xf numFmtId="43" fontId="15" fillId="2" borderId="4" xfId="1" applyFont="1" applyFill="1" applyBorder="1" applyAlignment="1">
      <alignment horizontal="center" vertical="center"/>
    </xf>
    <xf numFmtId="43" fontId="15" fillId="2" borderId="2" xfId="1" applyFont="1" applyFill="1" applyBorder="1" applyAlignment="1">
      <alignment horizontal="center" vertical="center"/>
    </xf>
    <xf numFmtId="43" fontId="15" fillId="2" borderId="3" xfId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4" borderId="8" xfId="2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52" fillId="3" borderId="1" xfId="0" applyFont="1" applyFill="1" applyBorder="1" applyAlignment="1">
      <alignment horizontal="center" vertical="center" wrapText="1" readingOrder="1"/>
    </xf>
    <xf numFmtId="0" fontId="48" fillId="0" borderId="1" xfId="0" applyFont="1" applyBorder="1" applyAlignment="1">
      <alignment horizontal="center" vertical="center"/>
    </xf>
    <xf numFmtId="0" fontId="53" fillId="0" borderId="0" xfId="0" applyFont="1" applyAlignment="1">
      <alignment horizontal="center" vertical="center" wrapText="1"/>
    </xf>
    <xf numFmtId="0" fontId="52" fillId="3" borderId="5" xfId="0" applyFont="1" applyFill="1" applyBorder="1" applyAlignment="1">
      <alignment horizontal="center" vertical="center" wrapText="1" readingOrder="1"/>
    </xf>
    <xf numFmtId="0" fontId="52" fillId="3" borderId="7" xfId="0" applyFont="1" applyFill="1" applyBorder="1" applyAlignment="1">
      <alignment horizontal="center" vertical="center" wrapText="1" readingOrder="1"/>
    </xf>
    <xf numFmtId="0" fontId="52" fillId="3" borderId="6" xfId="0" applyFont="1" applyFill="1" applyBorder="1" applyAlignment="1">
      <alignment horizontal="center" vertical="center" wrapText="1" readingOrder="1"/>
    </xf>
    <xf numFmtId="0" fontId="41" fillId="0" borderId="11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2" xfId="0" applyNumberFormat="1" applyFont="1" applyBorder="1" applyAlignment="1">
      <alignment horizontal="center" vertical="center"/>
    </xf>
    <xf numFmtId="43" fontId="2" fillId="0" borderId="3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3" fontId="2" fillId="0" borderId="5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43" fontId="2" fillId="0" borderId="6" xfId="0" applyNumberFormat="1" applyFont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9" fontId="26" fillId="0" borderId="0" xfId="0" applyNumberFormat="1" applyFont="1" applyFill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 wrapText="1"/>
    </xf>
  </cellXfs>
  <cellStyles count="13">
    <cellStyle name="_x000a_mouse.drv=lm" xfId="2"/>
    <cellStyle name="BOM_Level_Below3" xfId="10"/>
    <cellStyle name="百分比" xfId="3" builtinId="5"/>
    <cellStyle name="常规" xfId="0" builtinId="0"/>
    <cellStyle name="常规 11 2" xfId="5"/>
    <cellStyle name="常规 2" xfId="6"/>
    <cellStyle name="常规 2 27" xfId="11"/>
    <cellStyle name="常规_20061221C2项目损益分析（概念稿）" xfId="4"/>
    <cellStyle name="普通_销售收入.XLS" xfId="7"/>
    <cellStyle name="千位分隔" xfId="1" builtinId="3"/>
    <cellStyle name="千位分隔 2" xfId="12"/>
    <cellStyle name="千位分隔 2 25" xfId="8"/>
    <cellStyle name="样式 1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403412</xdr:colOff>
      <xdr:row>3</xdr:row>
      <xdr:rowOff>56029</xdr:rowOff>
    </xdr:from>
    <xdr:to>
      <xdr:col>22</xdr:col>
      <xdr:colOff>235324</xdr:colOff>
      <xdr:row>15</xdr:row>
      <xdr:rowOff>2043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67265" y="986117"/>
          <a:ext cx="7351059" cy="2097544"/>
        </a:xfrm>
        <a:prstGeom prst="rect">
          <a:avLst/>
        </a:prstGeom>
      </xdr:spPr>
    </xdr:pic>
    <xdr:clientData/>
  </xdr:twoCellAnchor>
  <xdr:twoCellAnchor editAs="oneCell">
    <xdr:from>
      <xdr:col>7</xdr:col>
      <xdr:colOff>750795</xdr:colOff>
      <xdr:row>15</xdr:row>
      <xdr:rowOff>134470</xdr:rowOff>
    </xdr:from>
    <xdr:to>
      <xdr:col>18</xdr:col>
      <xdr:colOff>378617</xdr:colOff>
      <xdr:row>22</xdr:row>
      <xdr:rowOff>145676</xdr:rowOff>
    </xdr:to>
    <xdr:pic>
      <xdr:nvPicPr>
        <xdr:cNvPr id="4" name="图片 3" descr="C:\Users\wangguangqun\Documents\WXWork\1688851262543347\Cache\Image\2023-10\企业微信截图_169873981483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3530" y="3216088"/>
          <a:ext cx="7303852" cy="1490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="80" zoomScaleNormal="80" workbookViewId="0">
      <selection activeCell="C7" sqref="C7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1" spans="1:4" ht="25.5" customHeight="1">
      <c r="A1" s="253" t="str">
        <f>损益表!A1</f>
        <v>济南重汽悍将新能源轻卡座椅项目（不含固定费用）</v>
      </c>
      <c r="B1" s="254"/>
      <c r="C1" s="254"/>
    </row>
    <row r="2" spans="1:4" s="127" customFormat="1" ht="35.25" customHeight="1">
      <c r="A2" s="128" t="s">
        <v>0</v>
      </c>
      <c r="B2" s="128" t="s">
        <v>1</v>
      </c>
      <c r="C2" s="128" t="s">
        <v>2</v>
      </c>
      <c r="D2" s="129"/>
    </row>
    <row r="3" spans="1:4" s="127" customFormat="1" ht="33.75" customHeight="1">
      <c r="A3" s="130">
        <v>1</v>
      </c>
      <c r="B3" s="130" t="s">
        <v>3</v>
      </c>
      <c r="C3" s="131" t="s">
        <v>4</v>
      </c>
      <c r="D3" s="129"/>
    </row>
    <row r="4" spans="1:4" s="127" customFormat="1" ht="33.75" customHeight="1">
      <c r="A4" s="130">
        <v>2</v>
      </c>
      <c r="B4" s="130" t="s">
        <v>5</v>
      </c>
      <c r="C4" s="131" t="s">
        <v>294</v>
      </c>
    </row>
    <row r="5" spans="1:4" s="127" customFormat="1" ht="33.75" customHeight="1">
      <c r="A5" s="130">
        <v>3</v>
      </c>
      <c r="B5" s="251" t="s">
        <v>6</v>
      </c>
      <c r="C5" s="132" t="s">
        <v>266</v>
      </c>
    </row>
    <row r="6" spans="1:4" s="127" customFormat="1" ht="33.75" customHeight="1">
      <c r="A6" s="130">
        <v>4</v>
      </c>
      <c r="B6" s="252"/>
      <c r="C6" s="131" t="s">
        <v>268</v>
      </c>
    </row>
    <row r="7" spans="1:4" s="127" customFormat="1" ht="33.75" customHeight="1">
      <c r="A7" s="130">
        <v>5</v>
      </c>
      <c r="B7" s="133" t="s">
        <v>7</v>
      </c>
      <c r="C7" s="131" t="s">
        <v>295</v>
      </c>
    </row>
    <row r="8" spans="1:4" s="127" customFormat="1" ht="33.75" customHeight="1">
      <c r="A8" s="130">
        <v>6</v>
      </c>
      <c r="B8" s="251" t="s">
        <v>8</v>
      </c>
      <c r="C8" s="131" t="s">
        <v>237</v>
      </c>
    </row>
    <row r="9" spans="1:4" s="127" customFormat="1" ht="33.75" customHeight="1">
      <c r="A9" s="130">
        <v>7</v>
      </c>
      <c r="B9" s="252"/>
      <c r="C9" s="131" t="s">
        <v>9</v>
      </c>
    </row>
    <row r="10" spans="1:4" s="127" customFormat="1" ht="33.75" customHeight="1">
      <c r="A10" s="130">
        <v>8</v>
      </c>
      <c r="B10" s="252"/>
      <c r="C10" s="132" t="s">
        <v>296</v>
      </c>
    </row>
    <row r="11" spans="1:4" s="127" customFormat="1" ht="33.75" customHeight="1">
      <c r="A11" s="130">
        <v>9</v>
      </c>
      <c r="B11" s="252"/>
      <c r="C11" s="131" t="s">
        <v>10</v>
      </c>
    </row>
    <row r="12" spans="1:4" s="127" customFormat="1" ht="33.75" customHeight="1">
      <c r="A12" s="130">
        <v>10</v>
      </c>
      <c r="B12" s="133" t="s">
        <v>11</v>
      </c>
      <c r="C12" s="131" t="s">
        <v>12</v>
      </c>
    </row>
    <row r="13" spans="1:4" ht="33.75" customHeight="1"/>
    <row r="14" spans="1:4" ht="33.75" customHeight="1"/>
    <row r="15" spans="1:4" ht="33.75" customHeight="1">
      <c r="C15" s="134"/>
    </row>
  </sheetData>
  <mergeCells count="3">
    <mergeCell ref="B5:B6"/>
    <mergeCell ref="B8:B11"/>
    <mergeCell ref="A1:C1"/>
  </mergeCells>
  <phoneticPr fontId="37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zoomScale="60" zoomScaleNormal="60" workbookViewId="0">
      <selection activeCell="F12" sqref="F12"/>
    </sheetView>
  </sheetViews>
  <sheetFormatPr defaultColWidth="9" defaultRowHeight="20.25"/>
  <cols>
    <col min="1" max="1" width="14" style="190" customWidth="1"/>
    <col min="2" max="2" width="16.875" style="190" customWidth="1"/>
    <col min="3" max="9" width="18.25" style="190" customWidth="1"/>
    <col min="10" max="10" width="19.875" style="190" customWidth="1"/>
    <col min="11" max="11" width="18.25" style="190" customWidth="1"/>
    <col min="12" max="12" width="13.5" style="190" customWidth="1"/>
    <col min="13" max="13" width="15.625" style="190" customWidth="1"/>
    <col min="14" max="14" width="12.25" style="190" customWidth="1"/>
    <col min="15" max="16384" width="9" style="190"/>
  </cols>
  <sheetData>
    <row r="1" spans="1:15" ht="29.25" customHeight="1">
      <c r="A1" s="287" t="s">
        <v>184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</row>
    <row r="2" spans="1:15" ht="24" customHeight="1">
      <c r="A2" s="192" t="s">
        <v>185</v>
      </c>
      <c r="E2" s="191"/>
      <c r="F2" s="191"/>
      <c r="G2" s="191"/>
      <c r="H2" s="191"/>
      <c r="I2" s="191"/>
      <c r="J2" s="191"/>
      <c r="K2" s="191"/>
      <c r="L2" s="191"/>
    </row>
    <row r="3" spans="1:15">
      <c r="C3" s="190" t="s">
        <v>186</v>
      </c>
      <c r="D3" s="193" t="s">
        <v>270</v>
      </c>
      <c r="E3" s="194">
        <v>0.02</v>
      </c>
      <c r="F3" s="195"/>
      <c r="G3" s="195"/>
      <c r="H3" s="195"/>
    </row>
    <row r="4" spans="1:15">
      <c r="K4" s="196"/>
    </row>
    <row r="5" spans="1:15" ht="28.5" customHeight="1">
      <c r="A5" s="286" t="s">
        <v>187</v>
      </c>
      <c r="B5" s="206" t="s">
        <v>137</v>
      </c>
      <c r="C5" s="246" t="s">
        <v>273</v>
      </c>
      <c r="D5" s="231"/>
      <c r="E5" s="231"/>
      <c r="F5" s="231"/>
      <c r="G5" s="225"/>
      <c r="H5" s="226"/>
      <c r="I5" s="227"/>
      <c r="J5" s="227"/>
      <c r="K5" s="197"/>
      <c r="L5" s="288" t="s">
        <v>14</v>
      </c>
    </row>
    <row r="6" spans="1:15" ht="59.25" customHeight="1">
      <c r="A6" s="286"/>
      <c r="B6" s="206" t="s">
        <v>138</v>
      </c>
      <c r="C6" s="246" t="s">
        <v>274</v>
      </c>
      <c r="D6" s="232"/>
      <c r="E6" s="232"/>
      <c r="F6" s="232"/>
      <c r="G6" s="199"/>
      <c r="H6" s="227"/>
      <c r="I6" s="227"/>
      <c r="J6" s="227"/>
      <c r="K6" s="198"/>
      <c r="L6" s="289"/>
      <c r="N6" s="190">
        <v>100</v>
      </c>
    </row>
    <row r="7" spans="1:15" ht="32.25" customHeight="1">
      <c r="A7" s="286"/>
      <c r="B7" s="207" t="s">
        <v>188</v>
      </c>
      <c r="C7" s="248" t="s">
        <v>275</v>
      </c>
      <c r="D7" s="233"/>
      <c r="E7" s="233"/>
      <c r="F7" s="233"/>
      <c r="G7" s="225"/>
      <c r="H7" s="227"/>
      <c r="I7" s="227"/>
      <c r="J7" s="227"/>
      <c r="K7" s="198"/>
      <c r="L7" s="290"/>
      <c r="N7" s="190">
        <f>N6*(1-$E$3)</f>
        <v>98</v>
      </c>
      <c r="O7" s="190">
        <f>N7/$N$6</f>
        <v>0.98</v>
      </c>
    </row>
    <row r="8" spans="1:15" ht="40.5">
      <c r="A8" s="286"/>
      <c r="B8" s="207" t="s">
        <v>189</v>
      </c>
      <c r="C8" s="246">
        <v>350</v>
      </c>
      <c r="D8" s="234"/>
      <c r="E8" s="234"/>
      <c r="F8" s="234"/>
      <c r="G8" s="228"/>
      <c r="H8" s="228"/>
      <c r="I8" s="228"/>
      <c r="J8" s="228"/>
      <c r="K8" s="198"/>
      <c r="L8" s="200">
        <f>SUM(C8:K8)</f>
        <v>350</v>
      </c>
      <c r="M8" s="211">
        <f>SUM(C8:K8)</f>
        <v>350</v>
      </c>
      <c r="N8" s="190">
        <f>N7*(1-$E$3)</f>
        <v>96.039999999999992</v>
      </c>
      <c r="O8" s="190">
        <f t="shared" ref="O8:O9" si="0">N8/$N$6</f>
        <v>0.96039999999999992</v>
      </c>
    </row>
    <row r="9" spans="1:15">
      <c r="A9" s="286" t="s">
        <v>190</v>
      </c>
      <c r="B9" s="247" t="s">
        <v>254</v>
      </c>
      <c r="C9" s="237">
        <v>300</v>
      </c>
      <c r="D9" s="237"/>
      <c r="E9" s="237"/>
      <c r="F9" s="237"/>
      <c r="G9" s="238"/>
      <c r="H9" s="238"/>
      <c r="I9" s="238"/>
      <c r="J9" s="238"/>
      <c r="K9" s="239"/>
      <c r="L9" s="240">
        <f>SUM(C9:K9)</f>
        <v>300</v>
      </c>
      <c r="N9" s="190">
        <f t="shared" ref="N9:N10" si="1">N8*(1-$E$3)</f>
        <v>94.119199999999992</v>
      </c>
      <c r="O9" s="190">
        <f t="shared" si="0"/>
        <v>0.94119199999999992</v>
      </c>
    </row>
    <row r="10" spans="1:15">
      <c r="A10" s="286"/>
      <c r="B10" s="247" t="s">
        <v>180</v>
      </c>
      <c r="C10" s="237">
        <v>1500</v>
      </c>
      <c r="D10" s="237"/>
      <c r="E10" s="237"/>
      <c r="F10" s="237"/>
      <c r="G10" s="238"/>
      <c r="H10" s="238"/>
      <c r="I10" s="238"/>
      <c r="J10" s="238"/>
      <c r="K10" s="241"/>
      <c r="L10" s="240">
        <f t="shared" ref="L10:L14" si="2">SUM(C10:K10)</f>
        <v>1500</v>
      </c>
      <c r="N10" s="190">
        <f t="shared" si="1"/>
        <v>92.23681599999999</v>
      </c>
      <c r="O10" s="190">
        <f t="shared" ref="O10" si="3">N10/$N$6</f>
        <v>0.92236815999999988</v>
      </c>
    </row>
    <row r="11" spans="1:15">
      <c r="A11" s="286"/>
      <c r="B11" s="247" t="s">
        <v>181</v>
      </c>
      <c r="C11" s="237">
        <v>1500</v>
      </c>
      <c r="D11" s="237"/>
      <c r="E11" s="237"/>
      <c r="F11" s="237"/>
      <c r="G11" s="238"/>
      <c r="H11" s="238"/>
      <c r="I11" s="238"/>
      <c r="J11" s="238"/>
      <c r="K11" s="239"/>
      <c r="L11" s="240">
        <f t="shared" si="2"/>
        <v>1500</v>
      </c>
    </row>
    <row r="12" spans="1:15">
      <c r="A12" s="286"/>
      <c r="B12" s="216" t="s">
        <v>225</v>
      </c>
      <c r="C12" s="237"/>
      <c r="D12" s="237"/>
      <c r="E12" s="237"/>
      <c r="F12" s="237"/>
      <c r="G12" s="238"/>
      <c r="H12" s="238"/>
      <c r="I12" s="238"/>
      <c r="J12" s="238"/>
      <c r="K12" s="242"/>
      <c r="L12" s="240">
        <f t="shared" si="2"/>
        <v>0</v>
      </c>
    </row>
    <row r="13" spans="1:15">
      <c r="A13" s="286"/>
      <c r="B13" s="216" t="s">
        <v>235</v>
      </c>
      <c r="C13" s="237"/>
      <c r="D13" s="237"/>
      <c r="E13" s="237"/>
      <c r="F13" s="237"/>
      <c r="G13" s="238"/>
      <c r="H13" s="238"/>
      <c r="I13" s="238"/>
      <c r="J13" s="238"/>
      <c r="K13" s="242"/>
      <c r="L13" s="240">
        <f t="shared" si="2"/>
        <v>0</v>
      </c>
    </row>
    <row r="14" spans="1:15">
      <c r="A14" s="286"/>
      <c r="B14" s="216" t="s">
        <v>236</v>
      </c>
      <c r="C14" s="243"/>
      <c r="D14" s="243"/>
      <c r="E14" s="243"/>
      <c r="F14" s="243"/>
      <c r="G14" s="239"/>
      <c r="H14" s="239"/>
      <c r="I14" s="239"/>
      <c r="J14" s="239"/>
      <c r="K14" s="239"/>
      <c r="L14" s="240">
        <f t="shared" si="2"/>
        <v>0</v>
      </c>
    </row>
    <row r="15" spans="1:15">
      <c r="A15" s="285" t="s">
        <v>14</v>
      </c>
      <c r="B15" s="285"/>
      <c r="C15" s="244">
        <f t="shared" ref="C15:L15" si="4">SUM(C9:C14)</f>
        <v>3300</v>
      </c>
      <c r="D15" s="244"/>
      <c r="E15" s="244"/>
      <c r="F15" s="244"/>
      <c r="G15" s="245">
        <f t="shared" si="4"/>
        <v>0</v>
      </c>
      <c r="H15" s="245">
        <f t="shared" si="4"/>
        <v>0</v>
      </c>
      <c r="I15" s="245">
        <f t="shared" si="4"/>
        <v>0</v>
      </c>
      <c r="J15" s="245">
        <f t="shared" si="4"/>
        <v>0</v>
      </c>
      <c r="K15" s="245">
        <f t="shared" si="4"/>
        <v>0</v>
      </c>
      <c r="L15" s="245">
        <f t="shared" si="4"/>
        <v>3300</v>
      </c>
    </row>
    <row r="16" spans="1:15">
      <c r="A16" s="201"/>
      <c r="B16" s="201"/>
      <c r="C16" s="235"/>
      <c r="D16" s="220"/>
      <c r="E16" s="220"/>
      <c r="F16" s="220"/>
    </row>
    <row r="17" spans="2:14" ht="29.25" customHeight="1">
      <c r="B17" s="202" t="s">
        <v>245</v>
      </c>
      <c r="C17" s="249">
        <f>材料成本!E18</f>
        <v>273.3415</v>
      </c>
      <c r="D17" s="236"/>
      <c r="E17" s="236"/>
      <c r="F17" s="236"/>
      <c r="G17" s="229"/>
      <c r="H17" s="229"/>
      <c r="I17" s="229"/>
      <c r="J17" s="203"/>
      <c r="K17" s="202"/>
      <c r="L17" s="200">
        <f t="shared" ref="L17" si="5">SUM(C17:K17)</f>
        <v>273.3415</v>
      </c>
      <c r="M17" s="201"/>
      <c r="N17" s="211"/>
    </row>
    <row r="18" spans="2:14" ht="29.25" customHeight="1">
      <c r="B18" s="202" t="s">
        <v>246</v>
      </c>
      <c r="C18" s="203">
        <f>C8-C17</f>
        <v>76.658500000000004</v>
      </c>
      <c r="D18" s="203">
        <f t="shared" ref="D18:J18" si="6">D8-D17</f>
        <v>0</v>
      </c>
      <c r="E18" s="203">
        <f t="shared" si="6"/>
        <v>0</v>
      </c>
      <c r="F18" s="203">
        <f t="shared" si="6"/>
        <v>0</v>
      </c>
      <c r="G18" s="203">
        <f t="shared" si="6"/>
        <v>0</v>
      </c>
      <c r="H18" s="203">
        <f t="shared" si="6"/>
        <v>0</v>
      </c>
      <c r="I18" s="203">
        <f t="shared" si="6"/>
        <v>0</v>
      </c>
      <c r="J18" s="203">
        <f t="shared" si="6"/>
        <v>0</v>
      </c>
      <c r="K18" s="203">
        <f t="shared" ref="K18:L18" si="7">K8-K17</f>
        <v>0</v>
      </c>
      <c r="L18" s="203">
        <f t="shared" si="7"/>
        <v>76.658500000000004</v>
      </c>
      <c r="M18" s="201"/>
      <c r="N18" s="211"/>
    </row>
    <row r="19" spans="2:14" ht="29.25" customHeight="1">
      <c r="B19" s="202" t="s">
        <v>247</v>
      </c>
      <c r="C19" s="204">
        <f>C18/C8</f>
        <v>0.21902428571428573</v>
      </c>
      <c r="D19" s="204" t="e">
        <f t="shared" ref="D19:J19" si="8">D18/D8</f>
        <v>#DIV/0!</v>
      </c>
      <c r="E19" s="204" t="e">
        <f t="shared" si="8"/>
        <v>#DIV/0!</v>
      </c>
      <c r="F19" s="204" t="e">
        <f t="shared" si="8"/>
        <v>#DIV/0!</v>
      </c>
      <c r="G19" s="204" t="e">
        <f t="shared" si="8"/>
        <v>#DIV/0!</v>
      </c>
      <c r="H19" s="204" t="e">
        <f t="shared" si="8"/>
        <v>#DIV/0!</v>
      </c>
      <c r="I19" s="204" t="e">
        <f t="shared" si="8"/>
        <v>#DIV/0!</v>
      </c>
      <c r="J19" s="204" t="e">
        <f t="shared" si="8"/>
        <v>#DIV/0!</v>
      </c>
      <c r="K19" s="204" t="e">
        <f t="shared" ref="K19:L19" si="9">K18/K8</f>
        <v>#DIV/0!</v>
      </c>
      <c r="L19" s="204">
        <f t="shared" si="9"/>
        <v>0.21902428571428573</v>
      </c>
      <c r="M19" s="212"/>
      <c r="N19" s="212"/>
    </row>
    <row r="21" spans="2:14">
      <c r="B21" s="190" t="s">
        <v>251</v>
      </c>
      <c r="C21" s="211">
        <f>C8*0.7</f>
        <v>244.99999999999997</v>
      </c>
      <c r="D21" s="211">
        <f t="shared" ref="D21:K21" si="10">D8*0.7</f>
        <v>0</v>
      </c>
      <c r="E21" s="211">
        <f t="shared" si="10"/>
        <v>0</v>
      </c>
      <c r="F21" s="211">
        <f t="shared" si="10"/>
        <v>0</v>
      </c>
      <c r="G21" s="211">
        <f t="shared" si="10"/>
        <v>0</v>
      </c>
      <c r="H21" s="211">
        <f t="shared" si="10"/>
        <v>0</v>
      </c>
      <c r="I21" s="211">
        <f t="shared" si="10"/>
        <v>0</v>
      </c>
      <c r="J21" s="211">
        <f t="shared" si="10"/>
        <v>0</v>
      </c>
      <c r="K21" s="211">
        <f t="shared" si="10"/>
        <v>0</v>
      </c>
      <c r="M21" s="211"/>
    </row>
    <row r="22" spans="2:14">
      <c r="B22" s="190" t="s">
        <v>252</v>
      </c>
      <c r="C22" s="211">
        <f>C17-C21</f>
        <v>28.341500000000025</v>
      </c>
      <c r="D22" s="211">
        <f t="shared" ref="D22" si="11">D17-D21</f>
        <v>0</v>
      </c>
      <c r="E22" s="211">
        <f t="shared" ref="E22:K22" si="12">E17-E21</f>
        <v>0</v>
      </c>
      <c r="F22" s="211">
        <f t="shared" si="12"/>
        <v>0</v>
      </c>
      <c r="G22" s="211">
        <f t="shared" si="12"/>
        <v>0</v>
      </c>
      <c r="H22" s="211">
        <f t="shared" si="12"/>
        <v>0</v>
      </c>
      <c r="I22" s="211">
        <f t="shared" si="12"/>
        <v>0</v>
      </c>
      <c r="J22" s="211">
        <f t="shared" si="12"/>
        <v>0</v>
      </c>
      <c r="K22" s="211">
        <f t="shared" si="12"/>
        <v>0</v>
      </c>
      <c r="M22" s="211"/>
    </row>
  </sheetData>
  <mergeCells count="5">
    <mergeCell ref="A15:B15"/>
    <mergeCell ref="A5:A8"/>
    <mergeCell ref="A9:A14"/>
    <mergeCell ref="A1:L1"/>
    <mergeCell ref="L5:L7"/>
  </mergeCells>
  <phoneticPr fontId="37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5"/>
  <sheetViews>
    <sheetView zoomScale="80" zoomScaleNormal="80" workbookViewId="0">
      <pane xSplit="3" ySplit="5" topLeftCell="D6" activePane="bottomRight" state="frozen"/>
      <selection pane="topRight"/>
      <selection pane="bottomLeft"/>
      <selection pane="bottomRight" activeCell="E11" sqref="E11"/>
    </sheetView>
  </sheetViews>
  <sheetFormatPr defaultColWidth="9" defaultRowHeight="16.5"/>
  <cols>
    <col min="1" max="1" width="8.375" style="4" customWidth="1"/>
    <col min="2" max="2" width="8.875" style="4" customWidth="1"/>
    <col min="3" max="3" width="14" style="4" customWidth="1"/>
    <col min="4" max="4" width="16.625" style="4" customWidth="1"/>
    <col min="5" max="5" width="17" style="4" customWidth="1"/>
    <col min="6" max="11" width="16.25" style="4" customWidth="1"/>
    <col min="12" max="12" width="17.125" style="4" customWidth="1"/>
    <col min="13" max="13" width="17.375" style="4" customWidth="1"/>
    <col min="14" max="14" width="16" style="4" customWidth="1"/>
    <col min="15" max="16384" width="9" style="4"/>
  </cols>
  <sheetData>
    <row r="1" spans="1:15" s="3" customFormat="1" ht="28.5" customHeight="1">
      <c r="A1" s="303" t="s">
        <v>6</v>
      </c>
      <c r="B1" s="303"/>
      <c r="C1" s="5"/>
      <c r="N1" s="8"/>
    </row>
    <row r="2" spans="1:15">
      <c r="A2" s="304" t="s">
        <v>191</v>
      </c>
      <c r="B2" s="304"/>
      <c r="C2" s="305"/>
      <c r="D2" s="305"/>
      <c r="E2" s="306" t="s">
        <v>289</v>
      </c>
      <c r="F2" s="307"/>
      <c r="G2" s="307"/>
      <c r="H2" s="307"/>
      <c r="I2" s="307"/>
      <c r="J2" s="307"/>
      <c r="K2" s="307"/>
      <c r="L2" s="307"/>
      <c r="M2" s="308"/>
    </row>
    <row r="3" spans="1:15" ht="24" customHeight="1">
      <c r="A3" s="293" t="s">
        <v>13</v>
      </c>
      <c r="B3" s="293" t="s">
        <v>192</v>
      </c>
      <c r="C3" s="6" t="s">
        <v>193</v>
      </c>
      <c r="D3" s="309" t="str">
        <f>损益表!A1</f>
        <v>济南重汽悍将新能源轻卡座椅项目（不含固定费用）</v>
      </c>
      <c r="E3" s="309"/>
      <c r="F3" s="6" t="s">
        <v>194</v>
      </c>
      <c r="G3" s="179" t="s">
        <v>272</v>
      </c>
      <c r="H3" s="179"/>
      <c r="I3" s="179"/>
      <c r="J3" s="179"/>
      <c r="K3" s="179"/>
      <c r="L3" s="173"/>
      <c r="M3" s="310" t="s">
        <v>147</v>
      </c>
    </row>
    <row r="4" spans="1:15">
      <c r="A4" s="293"/>
      <c r="B4" s="293"/>
      <c r="C4" s="6" t="s">
        <v>137</v>
      </c>
      <c r="D4" s="163" t="str">
        <f>销量!C5</f>
        <v>轻卡驾驶员座椅</v>
      </c>
      <c r="E4" s="163">
        <f>销量!D5</f>
        <v>0</v>
      </c>
      <c r="F4" s="163">
        <f>销量!E5</f>
        <v>0</v>
      </c>
      <c r="G4" s="163">
        <f>销量!F5</f>
        <v>0</v>
      </c>
      <c r="H4" s="163">
        <f>销量!G5</f>
        <v>0</v>
      </c>
      <c r="I4" s="163">
        <f>销量!H5</f>
        <v>0</v>
      </c>
      <c r="J4" s="163">
        <f>销量!I5</f>
        <v>0</v>
      </c>
      <c r="K4" s="163">
        <f>销量!J5</f>
        <v>0</v>
      </c>
      <c r="L4" s="163"/>
      <c r="M4" s="311"/>
    </row>
    <row r="5" spans="1:15" ht="47.25" customHeight="1">
      <c r="A5" s="293"/>
      <c r="B5" s="293"/>
      <c r="C5" s="6" t="s">
        <v>239</v>
      </c>
      <c r="D5" s="164" t="str">
        <f>销量!C6</f>
        <v>LZ161251000004</v>
      </c>
      <c r="E5" s="164">
        <f>销量!D6</f>
        <v>0</v>
      </c>
      <c r="F5" s="164">
        <f>销量!E6</f>
        <v>0</v>
      </c>
      <c r="G5" s="164">
        <f>销量!F6</f>
        <v>0</v>
      </c>
      <c r="H5" s="164">
        <f>销量!G6</f>
        <v>0</v>
      </c>
      <c r="I5" s="164">
        <f>销量!H6</f>
        <v>0</v>
      </c>
      <c r="J5" s="164">
        <f>销量!I6</f>
        <v>0</v>
      </c>
      <c r="K5" s="164">
        <f>销量!J6</f>
        <v>0</v>
      </c>
      <c r="L5" s="164"/>
      <c r="M5" s="312"/>
    </row>
    <row r="6" spans="1:15" s="176" customFormat="1">
      <c r="A6" s="178">
        <v>1</v>
      </c>
      <c r="B6" s="313" t="s">
        <v>276</v>
      </c>
      <c r="C6" s="314"/>
      <c r="D6" s="181">
        <v>298.23</v>
      </c>
      <c r="E6" s="181" t="s">
        <v>292</v>
      </c>
      <c r="F6" s="181"/>
      <c r="G6" s="181"/>
      <c r="H6" s="181"/>
      <c r="I6" s="181"/>
      <c r="J6" s="181"/>
      <c r="K6" s="181"/>
      <c r="L6" s="184"/>
      <c r="M6" s="145" t="s">
        <v>288</v>
      </c>
    </row>
    <row r="7" spans="1:15" s="176" customFormat="1" ht="16.5" customHeight="1">
      <c r="A7" s="178">
        <v>2</v>
      </c>
      <c r="B7" s="313" t="s">
        <v>277</v>
      </c>
      <c r="C7" s="314"/>
      <c r="D7" s="183">
        <v>-74.87</v>
      </c>
      <c r="E7" s="183" t="s">
        <v>291</v>
      </c>
      <c r="F7" s="183"/>
      <c r="G7" s="183"/>
      <c r="H7" s="183"/>
      <c r="I7" s="183"/>
      <c r="J7" s="183"/>
      <c r="K7" s="183"/>
      <c r="L7" s="183"/>
      <c r="M7" s="182"/>
    </row>
    <row r="8" spans="1:15" s="176" customFormat="1" ht="16.5" customHeight="1">
      <c r="A8" s="178">
        <v>3</v>
      </c>
      <c r="B8" s="313" t="s">
        <v>278</v>
      </c>
      <c r="C8" s="314"/>
      <c r="D8" s="184">
        <v>49.981499999999997</v>
      </c>
      <c r="E8" s="183"/>
      <c r="F8" s="184"/>
      <c r="G8" s="184"/>
      <c r="H8" s="184"/>
      <c r="I8" s="184"/>
      <c r="J8" s="184"/>
      <c r="K8" s="184"/>
      <c r="L8" s="183"/>
      <c r="M8" s="182"/>
    </row>
    <row r="9" spans="1:15" s="176" customFormat="1">
      <c r="A9" s="178">
        <v>4</v>
      </c>
      <c r="B9" s="313"/>
      <c r="C9" s="314"/>
      <c r="D9" s="184"/>
      <c r="E9" s="183"/>
      <c r="F9" s="184"/>
      <c r="G9" s="184"/>
      <c r="H9" s="184"/>
      <c r="I9" s="184"/>
      <c r="J9" s="184"/>
      <c r="K9" s="184"/>
      <c r="L9" s="183"/>
      <c r="M9" s="182"/>
    </row>
    <row r="10" spans="1:15" s="176" customFormat="1" ht="16.5" customHeight="1">
      <c r="A10" s="178">
        <v>5</v>
      </c>
      <c r="B10" s="313"/>
      <c r="C10" s="314"/>
      <c r="D10" s="184"/>
      <c r="E10" s="183"/>
      <c r="F10" s="184"/>
      <c r="G10" s="184"/>
      <c r="H10" s="184"/>
      <c r="I10" s="184"/>
      <c r="J10" s="184"/>
      <c r="K10" s="184"/>
      <c r="L10" s="183"/>
      <c r="M10" s="182"/>
      <c r="N10" s="291"/>
      <c r="O10" s="292"/>
    </row>
    <row r="11" spans="1:15" s="176" customFormat="1" ht="16.5" customHeight="1">
      <c r="A11" s="178">
        <v>6</v>
      </c>
      <c r="B11" s="313"/>
      <c r="C11" s="314"/>
      <c r="D11" s="184"/>
      <c r="E11" s="183"/>
      <c r="F11" s="184"/>
      <c r="G11" s="184"/>
      <c r="H11" s="184"/>
      <c r="I11" s="184"/>
      <c r="J11" s="184"/>
      <c r="K11" s="184"/>
      <c r="L11" s="183"/>
      <c r="M11" s="182"/>
      <c r="N11" s="291"/>
      <c r="O11" s="292"/>
    </row>
    <row r="12" spans="1:15" ht="31.5" customHeight="1">
      <c r="A12" s="295" t="s">
        <v>195</v>
      </c>
      <c r="B12" s="296"/>
      <c r="C12" s="297"/>
      <c r="D12" s="7">
        <f>SUM(D6:D11)</f>
        <v>273.3415</v>
      </c>
      <c r="E12" s="7">
        <f>SUM(E6:E11)</f>
        <v>0</v>
      </c>
      <c r="F12" s="7">
        <f>SUM(F6:F11)</f>
        <v>0</v>
      </c>
      <c r="G12" s="7">
        <f t="shared" ref="G12:K12" si="0">SUM(G6:G11)</f>
        <v>0</v>
      </c>
      <c r="H12" s="7">
        <f t="shared" si="0"/>
        <v>0</v>
      </c>
      <c r="I12" s="7">
        <f t="shared" si="0"/>
        <v>0</v>
      </c>
      <c r="J12" s="7">
        <f t="shared" si="0"/>
        <v>0</v>
      </c>
      <c r="K12" s="7">
        <f t="shared" si="0"/>
        <v>0</v>
      </c>
      <c r="L12" s="7">
        <f>SUM(L6:L11)</f>
        <v>0</v>
      </c>
      <c r="M12" s="189"/>
    </row>
    <row r="13" spans="1:15">
      <c r="D13" s="13"/>
      <c r="E13" s="13"/>
      <c r="F13" s="13"/>
      <c r="G13" s="13"/>
      <c r="H13" s="13"/>
      <c r="I13" s="13"/>
      <c r="J13" s="13"/>
      <c r="K13" s="13"/>
    </row>
    <row r="15" spans="1:15" ht="27.75" customHeight="1">
      <c r="C15" s="9"/>
      <c r="D15" s="294" t="s">
        <v>240</v>
      </c>
      <c r="E15" s="294"/>
      <c r="F15" s="294"/>
      <c r="G15" s="294"/>
      <c r="H15" s="294"/>
      <c r="I15" s="294"/>
      <c r="J15" s="294"/>
      <c r="K15" s="294"/>
      <c r="L15" s="294"/>
      <c r="M15" s="294"/>
    </row>
    <row r="16" spans="1:15">
      <c r="C16" s="298" t="s">
        <v>224</v>
      </c>
      <c r="D16" s="298" t="s">
        <v>249</v>
      </c>
      <c r="E16" s="300" t="s">
        <v>290</v>
      </c>
      <c r="F16" s="301"/>
      <c r="G16" s="301"/>
      <c r="H16" s="301"/>
      <c r="I16" s="301"/>
      <c r="J16" s="301"/>
      <c r="K16" s="301"/>
      <c r="L16" s="301"/>
      <c r="M16" s="302"/>
    </row>
    <row r="17" spans="2:13">
      <c r="B17" s="13"/>
      <c r="C17" s="299"/>
      <c r="D17" s="299"/>
      <c r="E17" s="152" t="s">
        <v>254</v>
      </c>
      <c r="F17" s="217" t="s">
        <v>180</v>
      </c>
      <c r="G17" s="217" t="s">
        <v>181</v>
      </c>
      <c r="H17" s="217" t="s">
        <v>225</v>
      </c>
      <c r="I17" s="217" t="s">
        <v>235</v>
      </c>
      <c r="J17" s="217" t="s">
        <v>236</v>
      </c>
      <c r="K17" s="217" t="s">
        <v>238</v>
      </c>
      <c r="L17" s="217" t="s">
        <v>259</v>
      </c>
      <c r="M17" s="152"/>
    </row>
    <row r="18" spans="2:13" ht="28.5">
      <c r="C18" s="208" t="str">
        <f>D4</f>
        <v>轻卡驾驶员座椅</v>
      </c>
      <c r="D18" s="208" t="str">
        <f>D5</f>
        <v>LZ161251000004</v>
      </c>
      <c r="E18" s="183">
        <f>D12</f>
        <v>273.3415</v>
      </c>
      <c r="F18" s="154">
        <f>E18*(1-0.02)</f>
        <v>267.87466999999998</v>
      </c>
      <c r="G18" s="154">
        <f t="shared" ref="G18" si="1">F18*(1-0.02)</f>
        <v>262.51717659999997</v>
      </c>
      <c r="H18" s="154"/>
      <c r="I18" s="154"/>
      <c r="J18" s="154"/>
      <c r="K18" s="154"/>
      <c r="L18" s="154"/>
      <c r="M18" s="154"/>
    </row>
    <row r="19" spans="2:13">
      <c r="C19" s="208">
        <f>E4</f>
        <v>0</v>
      </c>
      <c r="D19" s="208">
        <f>E5</f>
        <v>0</v>
      </c>
      <c r="E19" s="183">
        <f>E12</f>
        <v>0</v>
      </c>
      <c r="F19" s="154">
        <f t="shared" ref="F19:G19" si="2">E19*(1-0.02)</f>
        <v>0</v>
      </c>
      <c r="G19" s="154">
        <f t="shared" si="2"/>
        <v>0</v>
      </c>
      <c r="H19" s="154"/>
      <c r="I19" s="154"/>
      <c r="J19" s="154"/>
      <c r="K19" s="154"/>
      <c r="L19" s="154"/>
      <c r="M19" s="154"/>
    </row>
    <row r="20" spans="2:13">
      <c r="C20" s="208">
        <f>F4</f>
        <v>0</v>
      </c>
      <c r="D20" s="208">
        <f>F5</f>
        <v>0</v>
      </c>
      <c r="E20" s="183">
        <f>F12</f>
        <v>0</v>
      </c>
      <c r="F20" s="154">
        <f t="shared" ref="F20:G20" si="3">E20*(1-0.02)</f>
        <v>0</v>
      </c>
      <c r="G20" s="154">
        <f t="shared" si="3"/>
        <v>0</v>
      </c>
      <c r="H20" s="154"/>
      <c r="I20" s="154"/>
      <c r="J20" s="154"/>
      <c r="K20" s="154"/>
      <c r="L20" s="154"/>
      <c r="M20" s="154"/>
    </row>
    <row r="21" spans="2:13">
      <c r="C21" s="180">
        <f>G4</f>
        <v>0</v>
      </c>
      <c r="D21" s="208">
        <f>G5</f>
        <v>0</v>
      </c>
      <c r="E21" s="183">
        <f>G12</f>
        <v>0</v>
      </c>
      <c r="F21" s="154">
        <f t="shared" ref="F21:G21" si="4">E21*(1-0.02)</f>
        <v>0</v>
      </c>
      <c r="G21" s="154">
        <f t="shared" si="4"/>
        <v>0</v>
      </c>
      <c r="H21" s="154"/>
      <c r="I21" s="154"/>
      <c r="J21" s="154"/>
      <c r="K21" s="154"/>
      <c r="L21" s="154"/>
      <c r="M21" s="154"/>
    </row>
    <row r="22" spans="2:13">
      <c r="C22" s="180">
        <f>H4</f>
        <v>0</v>
      </c>
      <c r="D22" s="208">
        <f>H5</f>
        <v>0</v>
      </c>
      <c r="E22" s="183">
        <f>H12</f>
        <v>0</v>
      </c>
      <c r="F22" s="154">
        <f t="shared" ref="F22:G22" si="5">E22*(1-0.02)</f>
        <v>0</v>
      </c>
      <c r="G22" s="154">
        <f t="shared" si="5"/>
        <v>0</v>
      </c>
      <c r="H22" s="154"/>
      <c r="I22" s="154"/>
      <c r="J22" s="154"/>
      <c r="K22" s="154"/>
      <c r="L22" s="154"/>
      <c r="M22" s="154"/>
    </row>
    <row r="23" spans="2:13">
      <c r="C23" s="180">
        <f>I4</f>
        <v>0</v>
      </c>
      <c r="D23" s="208">
        <f>I5</f>
        <v>0</v>
      </c>
      <c r="E23" s="183">
        <f>I12</f>
        <v>0</v>
      </c>
      <c r="F23" s="154">
        <f t="shared" ref="F23:G23" si="6">E23*(1-0.02)</f>
        <v>0</v>
      </c>
      <c r="G23" s="154">
        <f t="shared" si="6"/>
        <v>0</v>
      </c>
      <c r="H23" s="154"/>
      <c r="I23" s="154"/>
      <c r="J23" s="154"/>
      <c r="K23" s="154"/>
      <c r="L23" s="154"/>
      <c r="M23" s="154"/>
    </row>
    <row r="24" spans="2:13">
      <c r="C24" s="180">
        <f>J4</f>
        <v>0</v>
      </c>
      <c r="D24" s="208">
        <f>J5</f>
        <v>0</v>
      </c>
      <c r="E24" s="183">
        <f>J12</f>
        <v>0</v>
      </c>
      <c r="F24" s="154">
        <f t="shared" ref="F24:G24" si="7">E24*(1-0.02)</f>
        <v>0</v>
      </c>
      <c r="G24" s="154">
        <f t="shared" si="7"/>
        <v>0</v>
      </c>
      <c r="H24" s="154"/>
      <c r="I24" s="154"/>
      <c r="J24" s="154"/>
      <c r="K24" s="154"/>
      <c r="L24" s="154"/>
      <c r="M24" s="9"/>
    </row>
    <row r="25" spans="2:13">
      <c r="C25" s="180">
        <f>K4</f>
        <v>0</v>
      </c>
      <c r="D25" s="208">
        <f>K5</f>
        <v>0</v>
      </c>
      <c r="E25" s="183">
        <f>K12</f>
        <v>0</v>
      </c>
      <c r="F25" s="154">
        <f t="shared" ref="F25:G25" si="8">E25*(1-0.02)</f>
        <v>0</v>
      </c>
      <c r="G25" s="154">
        <f t="shared" si="8"/>
        <v>0</v>
      </c>
      <c r="H25" s="154"/>
      <c r="I25" s="154"/>
      <c r="J25" s="154"/>
      <c r="K25" s="154"/>
      <c r="L25" s="154"/>
      <c r="M25" s="9"/>
    </row>
  </sheetData>
  <mergeCells count="20">
    <mergeCell ref="C16:C17"/>
    <mergeCell ref="D16:D17"/>
    <mergeCell ref="E16:M16"/>
    <mergeCell ref="A1:B1"/>
    <mergeCell ref="A2:D2"/>
    <mergeCell ref="E2:M2"/>
    <mergeCell ref="D3:E3"/>
    <mergeCell ref="M3:M5"/>
    <mergeCell ref="B6:C6"/>
    <mergeCell ref="B7:C7"/>
    <mergeCell ref="B8:C8"/>
    <mergeCell ref="B9:C9"/>
    <mergeCell ref="B10:C10"/>
    <mergeCell ref="B11:C11"/>
    <mergeCell ref="N10:O10"/>
    <mergeCell ref="N11:O11"/>
    <mergeCell ref="A3:A5"/>
    <mergeCell ref="B3:B5"/>
    <mergeCell ref="D15:M15"/>
    <mergeCell ref="A12:C12"/>
  </mergeCells>
  <phoneticPr fontId="37" type="noConversion"/>
  <pageMargins left="0.70866141732283505" right="0.118110236220472" top="0.35433070866141703" bottom="0.35433070866141703" header="0.31496062992126" footer="0.31496062992126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pane xSplit="2" ySplit="1" topLeftCell="C2" activePane="bottomRight" state="frozen"/>
      <selection pane="topRight"/>
      <selection pane="bottomLeft"/>
      <selection pane="bottomRight" activeCell="F17" sqref="F16:F17"/>
    </sheetView>
  </sheetViews>
  <sheetFormatPr defaultColWidth="9" defaultRowHeight="13.5"/>
  <cols>
    <col min="1" max="1" width="5.5" style="210" customWidth="1"/>
    <col min="2" max="2" width="29.625" style="210" customWidth="1"/>
    <col min="3" max="3" width="25.5" style="210" customWidth="1"/>
    <col min="4" max="4" width="22" style="210" customWidth="1"/>
    <col min="5" max="16384" width="9" style="210"/>
  </cols>
  <sheetData>
    <row r="1" spans="1:5" ht="27" customHeight="1">
      <c r="A1" s="209" t="s">
        <v>13</v>
      </c>
      <c r="B1" s="209" t="s">
        <v>196</v>
      </c>
      <c r="C1" s="209" t="s">
        <v>197</v>
      </c>
      <c r="D1" s="209" t="s">
        <v>198</v>
      </c>
    </row>
    <row r="2" spans="1:5">
      <c r="A2" s="209">
        <v>1</v>
      </c>
      <c r="B2" s="221" t="s">
        <v>199</v>
      </c>
      <c r="C2" s="174" t="s">
        <v>279</v>
      </c>
      <c r="D2" s="222"/>
    </row>
    <row r="3" spans="1:5">
      <c r="A3" s="209">
        <v>2</v>
      </c>
      <c r="B3" s="221" t="s">
        <v>200</v>
      </c>
      <c r="C3" s="175" t="s">
        <v>280</v>
      </c>
      <c r="D3" s="222" t="s">
        <v>260</v>
      </c>
    </row>
    <row r="4" spans="1:5">
      <c r="A4" s="209">
        <v>3</v>
      </c>
      <c r="B4" s="221" t="s">
        <v>201</v>
      </c>
      <c r="C4" s="174" t="s">
        <v>281</v>
      </c>
      <c r="D4" s="222" t="s">
        <v>261</v>
      </c>
    </row>
    <row r="5" spans="1:5">
      <c r="A5" s="209">
        <v>4</v>
      </c>
      <c r="B5" s="221" t="s">
        <v>202</v>
      </c>
      <c r="C5" s="174"/>
      <c r="D5" s="222"/>
    </row>
    <row r="6" spans="1:5">
      <c r="A6" s="209">
        <v>5</v>
      </c>
      <c r="B6" s="221" t="s">
        <v>203</v>
      </c>
      <c r="C6" s="174"/>
      <c r="D6" s="222"/>
    </row>
    <row r="7" spans="1:5">
      <c r="A7" s="209">
        <v>6</v>
      </c>
      <c r="B7" s="222" t="s">
        <v>204</v>
      </c>
      <c r="C7" s="175" t="s">
        <v>167</v>
      </c>
      <c r="D7" s="222"/>
    </row>
    <row r="8" spans="1:5">
      <c r="A8" s="209">
        <v>7</v>
      </c>
      <c r="B8" s="221" t="s">
        <v>205</v>
      </c>
      <c r="C8" s="185" t="s">
        <v>282</v>
      </c>
      <c r="D8" s="222"/>
    </row>
    <row r="9" spans="1:5">
      <c r="A9" s="209">
        <v>8</v>
      </c>
      <c r="B9" s="222" t="s">
        <v>206</v>
      </c>
      <c r="C9" s="185" t="s">
        <v>283</v>
      </c>
      <c r="D9" s="222"/>
    </row>
    <row r="10" spans="1:5">
      <c r="A10" s="209">
        <v>9</v>
      </c>
      <c r="B10" s="222" t="s">
        <v>207</v>
      </c>
      <c r="C10" s="185" t="s">
        <v>262</v>
      </c>
      <c r="D10" s="222"/>
      <c r="E10" s="213"/>
    </row>
    <row r="11" spans="1:5">
      <c r="A11" s="209">
        <v>10</v>
      </c>
      <c r="B11" s="222" t="s">
        <v>208</v>
      </c>
      <c r="C11" s="185">
        <v>25</v>
      </c>
      <c r="D11" s="222" t="s">
        <v>263</v>
      </c>
    </row>
    <row r="12" spans="1:5">
      <c r="A12" s="209">
        <v>11</v>
      </c>
      <c r="B12" s="222" t="s">
        <v>209</v>
      </c>
      <c r="C12" s="185" t="s">
        <v>262</v>
      </c>
      <c r="D12" s="222"/>
    </row>
    <row r="13" spans="1:5">
      <c r="A13" s="209">
        <v>12</v>
      </c>
      <c r="B13" s="221" t="s">
        <v>241</v>
      </c>
      <c r="C13" s="185" t="s">
        <v>262</v>
      </c>
      <c r="D13" s="222"/>
    </row>
    <row r="14" spans="1:5">
      <c r="A14" s="209">
        <v>13</v>
      </c>
      <c r="B14" s="221" t="s">
        <v>242</v>
      </c>
      <c r="C14" s="185" t="s">
        <v>284</v>
      </c>
      <c r="D14" s="222" t="s">
        <v>285</v>
      </c>
    </row>
    <row r="15" spans="1:5">
      <c r="A15" s="209">
        <v>14</v>
      </c>
      <c r="B15" s="221" t="s">
        <v>243</v>
      </c>
      <c r="C15" s="185" t="s">
        <v>286</v>
      </c>
      <c r="D15" s="222"/>
    </row>
    <row r="16" spans="1:5">
      <c r="A16" s="209">
        <v>15</v>
      </c>
      <c r="B16" s="222" t="s">
        <v>123</v>
      </c>
      <c r="C16" s="222"/>
      <c r="D16" s="222"/>
    </row>
    <row r="17" spans="2:4" ht="16.5">
      <c r="B17" s="223" t="s">
        <v>264</v>
      </c>
      <c r="C17" s="224"/>
      <c r="D17" s="224"/>
    </row>
  </sheetData>
  <phoneticPr fontId="37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17"/>
  <sheetViews>
    <sheetView zoomScale="85" zoomScaleNormal="85" workbookViewId="0">
      <selection activeCell="H10" activeCellId="3" sqref="E4 E6 E11 H10"/>
    </sheetView>
  </sheetViews>
  <sheetFormatPr defaultColWidth="9" defaultRowHeight="13.5"/>
  <cols>
    <col min="1" max="2" width="9" style="55"/>
    <col min="3" max="3" width="14.625" style="55" customWidth="1"/>
    <col min="4" max="4" width="12.375" style="55" customWidth="1"/>
    <col min="5" max="7" width="11.125" style="55" customWidth="1"/>
    <col min="8" max="8" width="11" style="138" customWidth="1"/>
    <col min="9" max="16384" width="9" style="55"/>
  </cols>
  <sheetData>
    <row r="1" spans="1:12" s="135" customFormat="1" ht="18.75" customHeight="1">
      <c r="F1" s="316" t="s">
        <v>210</v>
      </c>
      <c r="G1" s="316"/>
      <c r="H1" s="136"/>
    </row>
    <row r="2" spans="1:12" ht="20.25" customHeight="1">
      <c r="A2" s="322" t="s">
        <v>211</v>
      </c>
      <c r="B2" s="322"/>
      <c r="C2" s="323" t="s">
        <v>267</v>
      </c>
      <c r="D2" s="323"/>
      <c r="E2" s="323"/>
      <c r="F2" s="323"/>
      <c r="G2" s="319"/>
      <c r="H2" s="137" t="s">
        <v>218</v>
      </c>
      <c r="J2" s="151"/>
      <c r="K2" s="151"/>
    </row>
    <row r="3" spans="1:12" ht="34.5" customHeight="1">
      <c r="A3" s="322"/>
      <c r="B3" s="322"/>
      <c r="C3" s="144" t="s">
        <v>220</v>
      </c>
      <c r="D3" s="144" t="s">
        <v>219</v>
      </c>
      <c r="E3" s="145" t="s">
        <v>223</v>
      </c>
      <c r="F3" s="145" t="s">
        <v>222</v>
      </c>
      <c r="G3" s="145" t="s">
        <v>244</v>
      </c>
      <c r="H3" s="148">
        <f>销量!C8</f>
        <v>350</v>
      </c>
      <c r="I3" s="324" t="s">
        <v>269</v>
      </c>
      <c r="J3" s="324"/>
      <c r="K3" s="324"/>
      <c r="L3" s="324"/>
    </row>
    <row r="4" spans="1:12">
      <c r="A4" s="317" t="s">
        <v>212</v>
      </c>
      <c r="B4" s="317"/>
      <c r="C4" s="139"/>
      <c r="D4" s="140">
        <f>$H$3*E4</f>
        <v>20.349210044282081</v>
      </c>
      <c r="E4" s="158">
        <v>5.8140600126520232E-2</v>
      </c>
      <c r="F4" s="158"/>
      <c r="G4" s="141"/>
      <c r="J4" s="56"/>
      <c r="K4" s="56"/>
    </row>
    <row r="5" spans="1:12">
      <c r="A5" s="317" t="s">
        <v>213</v>
      </c>
      <c r="B5" s="142" t="s">
        <v>214</v>
      </c>
      <c r="C5" s="139"/>
      <c r="D5" s="140"/>
      <c r="E5" s="141">
        <v>4.4999999999999998E-2</v>
      </c>
      <c r="F5" s="158"/>
      <c r="G5" s="141"/>
      <c r="I5" s="150"/>
      <c r="J5" s="56"/>
      <c r="K5" s="56"/>
    </row>
    <row r="6" spans="1:12">
      <c r="A6" s="317"/>
      <c r="B6" s="142" t="s">
        <v>215</v>
      </c>
      <c r="C6" s="139"/>
      <c r="D6" s="140">
        <f t="shared" ref="D6" si="0">$H$3*E6</f>
        <v>6.3239249119211198</v>
      </c>
      <c r="E6" s="158">
        <v>1.8068356891203199E-2</v>
      </c>
      <c r="F6" s="158"/>
      <c r="G6" s="141"/>
      <c r="I6" s="149"/>
      <c r="J6" s="56"/>
      <c r="K6" s="56"/>
    </row>
    <row r="7" spans="1:12">
      <c r="A7" s="318" t="s">
        <v>216</v>
      </c>
      <c r="B7" s="319"/>
      <c r="C7" s="143"/>
      <c r="D7" s="186">
        <f>$H$3*E7</f>
        <v>42.423134956203207</v>
      </c>
      <c r="E7" s="187">
        <f>SUM(E4:E6)</f>
        <v>0.12120895701772344</v>
      </c>
      <c r="F7" s="187"/>
      <c r="G7" s="188"/>
      <c r="I7" s="149"/>
      <c r="J7" s="56"/>
      <c r="K7" s="56"/>
    </row>
    <row r="8" spans="1:12">
      <c r="A8" s="317" t="s">
        <v>44</v>
      </c>
      <c r="B8" s="317"/>
      <c r="C8" s="139"/>
      <c r="D8" s="140"/>
      <c r="E8" s="159">
        <v>4.0563309291379773E-2</v>
      </c>
      <c r="F8" s="158"/>
      <c r="G8" s="141"/>
      <c r="I8" s="150"/>
      <c r="J8" s="56"/>
      <c r="K8" s="56"/>
    </row>
    <row r="9" spans="1:12">
      <c r="A9" s="320" t="s">
        <v>217</v>
      </c>
      <c r="B9" s="142" t="s">
        <v>214</v>
      </c>
      <c r="C9" s="139"/>
      <c r="D9" s="140"/>
      <c r="E9" s="141">
        <v>7.9000000000000008E-3</v>
      </c>
      <c r="F9" s="158"/>
      <c r="G9" s="141"/>
      <c r="I9" s="138"/>
      <c r="J9" s="56"/>
      <c r="K9" s="56"/>
    </row>
    <row r="10" spans="1:12" ht="24" customHeight="1">
      <c r="A10" s="321"/>
      <c r="B10" s="142" t="s">
        <v>215</v>
      </c>
      <c r="C10" s="139"/>
      <c r="D10" s="250">
        <f>23/1.03</f>
        <v>22.33009708737864</v>
      </c>
      <c r="E10" s="138">
        <v>2.5000000000000001E-2</v>
      </c>
      <c r="F10" s="158"/>
      <c r="G10" s="141"/>
      <c r="H10" s="138">
        <f>D10/H3</f>
        <v>6.3800277392510402E-2</v>
      </c>
      <c r="I10" s="315" t="s">
        <v>297</v>
      </c>
      <c r="J10" s="315"/>
      <c r="K10" s="315"/>
      <c r="L10" s="315"/>
    </row>
    <row r="11" spans="1:12">
      <c r="A11" s="317" t="s">
        <v>47</v>
      </c>
      <c r="B11" s="317"/>
      <c r="C11" s="139"/>
      <c r="D11" s="140">
        <f t="shared" ref="D11" si="1">$H$3*E11</f>
        <v>17.5</v>
      </c>
      <c r="E11" s="141">
        <v>0.05</v>
      </c>
      <c r="F11" s="158"/>
      <c r="G11" s="141"/>
      <c r="I11" s="138"/>
      <c r="J11" s="56"/>
      <c r="K11" s="56"/>
    </row>
    <row r="15" spans="1:12">
      <c r="A15" s="135"/>
      <c r="B15" s="135"/>
      <c r="C15" s="135"/>
      <c r="D15" s="135"/>
      <c r="E15" s="135"/>
      <c r="F15" s="316" t="s">
        <v>210</v>
      </c>
      <c r="G15" s="316"/>
      <c r="H15" s="136"/>
    </row>
    <row r="16" spans="1:12" ht="22.5" customHeight="1">
      <c r="A16" s="322" t="s">
        <v>211</v>
      </c>
      <c r="B16" s="322"/>
      <c r="C16" s="323" t="str">
        <f>C2</f>
        <v>预计</v>
      </c>
      <c r="D16" s="323"/>
      <c r="E16" s="323"/>
      <c r="F16" s="323"/>
      <c r="G16" s="319"/>
      <c r="H16" s="137" t="s">
        <v>218</v>
      </c>
    </row>
    <row r="17" spans="1:13" ht="27">
      <c r="A17" s="322"/>
      <c r="B17" s="322"/>
      <c r="C17" s="144" t="s">
        <v>220</v>
      </c>
      <c r="D17" s="144" t="s">
        <v>219</v>
      </c>
      <c r="E17" s="145" t="s">
        <v>223</v>
      </c>
      <c r="F17" s="145" t="s">
        <v>222</v>
      </c>
      <c r="G17" s="145" t="s">
        <v>221</v>
      </c>
      <c r="H17" s="148">
        <f>销量!D8</f>
        <v>0</v>
      </c>
      <c r="M17"/>
    </row>
    <row r="18" spans="1:13">
      <c r="A18" s="317" t="s">
        <v>212</v>
      </c>
      <c r="B18" s="317"/>
      <c r="C18" s="139"/>
      <c r="D18" s="140">
        <f>$H$17*E18</f>
        <v>0</v>
      </c>
      <c r="E18" s="158">
        <f t="shared" ref="E18:E25" si="2">E4</f>
        <v>5.8140600126520232E-2</v>
      </c>
      <c r="F18" s="158"/>
      <c r="G18" s="141"/>
    </row>
    <row r="19" spans="1:13">
      <c r="A19" s="317" t="s">
        <v>213</v>
      </c>
      <c r="B19" s="157" t="s">
        <v>214</v>
      </c>
      <c r="C19" s="139"/>
      <c r="D19" s="140">
        <f t="shared" ref="D19:D23" si="3">$H$17*E19</f>
        <v>0</v>
      </c>
      <c r="E19" s="141">
        <f t="shared" si="2"/>
        <v>4.4999999999999998E-2</v>
      </c>
      <c r="F19" s="158"/>
      <c r="G19" s="141"/>
    </row>
    <row r="20" spans="1:13">
      <c r="A20" s="317"/>
      <c r="B20" s="157" t="s">
        <v>215</v>
      </c>
      <c r="C20" s="139"/>
      <c r="D20" s="140">
        <f t="shared" si="3"/>
        <v>0</v>
      </c>
      <c r="E20" s="158">
        <f t="shared" si="2"/>
        <v>1.8068356891203199E-2</v>
      </c>
      <c r="F20" s="158"/>
      <c r="G20" s="141"/>
    </row>
    <row r="21" spans="1:13">
      <c r="A21" s="318" t="s">
        <v>216</v>
      </c>
      <c r="B21" s="319"/>
      <c r="C21" s="143"/>
      <c r="D21" s="140">
        <f t="shared" si="3"/>
        <v>0</v>
      </c>
      <c r="E21" s="187">
        <f t="shared" si="2"/>
        <v>0.12120895701772344</v>
      </c>
      <c r="F21" s="187"/>
      <c r="G21" s="188"/>
    </row>
    <row r="22" spans="1:13">
      <c r="A22" s="317" t="s">
        <v>44</v>
      </c>
      <c r="B22" s="317"/>
      <c r="C22" s="139"/>
      <c r="D22" s="140">
        <f t="shared" si="3"/>
        <v>0</v>
      </c>
      <c r="E22" s="159">
        <f t="shared" si="2"/>
        <v>4.0563309291379773E-2</v>
      </c>
      <c r="F22" s="158"/>
      <c r="G22" s="141"/>
    </row>
    <row r="23" spans="1:13">
      <c r="A23" s="320" t="s">
        <v>217</v>
      </c>
      <c r="B23" s="157" t="s">
        <v>214</v>
      </c>
      <c r="C23" s="139"/>
      <c r="D23" s="140">
        <f t="shared" si="3"/>
        <v>0</v>
      </c>
      <c r="E23" s="141">
        <f t="shared" si="2"/>
        <v>7.9000000000000008E-3</v>
      </c>
      <c r="F23" s="158"/>
      <c r="G23" s="141"/>
    </row>
    <row r="24" spans="1:13">
      <c r="A24" s="321"/>
      <c r="B24" s="157" t="s">
        <v>215</v>
      </c>
      <c r="C24" s="139"/>
      <c r="D24" s="140">
        <f>$H$17*E24</f>
        <v>0</v>
      </c>
      <c r="E24" s="138">
        <f t="shared" si="2"/>
        <v>2.5000000000000001E-2</v>
      </c>
      <c r="F24" s="158"/>
      <c r="G24" s="141"/>
    </row>
    <row r="25" spans="1:13">
      <c r="A25" s="317" t="s">
        <v>47</v>
      </c>
      <c r="B25" s="317"/>
      <c r="C25" s="139"/>
      <c r="D25" s="140">
        <f t="shared" ref="D25" si="4">$H$17*E25</f>
        <v>0</v>
      </c>
      <c r="E25" s="141">
        <f t="shared" si="2"/>
        <v>0.05</v>
      </c>
      <c r="F25" s="158"/>
      <c r="G25" s="141"/>
    </row>
    <row r="29" spans="1:13">
      <c r="A29" s="135"/>
      <c r="B29" s="135"/>
      <c r="C29" s="135"/>
      <c r="D29" s="135"/>
      <c r="E29" s="135"/>
      <c r="F29" s="316" t="s">
        <v>210</v>
      </c>
      <c r="G29" s="316"/>
      <c r="H29" s="136"/>
    </row>
    <row r="30" spans="1:13" ht="30" customHeight="1">
      <c r="A30" s="322" t="s">
        <v>211</v>
      </c>
      <c r="B30" s="322"/>
      <c r="C30" s="323" t="str">
        <f>C2</f>
        <v>预计</v>
      </c>
      <c r="D30" s="323"/>
      <c r="E30" s="323"/>
      <c r="F30" s="323"/>
      <c r="G30" s="319"/>
      <c r="H30" s="137" t="s">
        <v>218</v>
      </c>
    </row>
    <row r="31" spans="1:13" ht="27">
      <c r="A31" s="322"/>
      <c r="B31" s="322"/>
      <c r="C31" s="144" t="s">
        <v>220</v>
      </c>
      <c r="D31" s="144" t="s">
        <v>219</v>
      </c>
      <c r="E31" s="145" t="s">
        <v>223</v>
      </c>
      <c r="F31" s="145" t="s">
        <v>222</v>
      </c>
      <c r="G31" s="145" t="s">
        <v>221</v>
      </c>
      <c r="H31" s="148">
        <f>销量!E8</f>
        <v>0</v>
      </c>
    </row>
    <row r="32" spans="1:13">
      <c r="A32" s="317" t="s">
        <v>212</v>
      </c>
      <c r="B32" s="317"/>
      <c r="C32" s="139"/>
      <c r="D32" s="140">
        <f>$H$31*E32</f>
        <v>0</v>
      </c>
      <c r="E32" s="158">
        <f t="shared" ref="E32:E39" si="5">E4</f>
        <v>5.8140600126520232E-2</v>
      </c>
      <c r="F32" s="158"/>
      <c r="G32" s="141"/>
    </row>
    <row r="33" spans="1:8">
      <c r="A33" s="317" t="s">
        <v>213</v>
      </c>
      <c r="B33" s="157" t="s">
        <v>214</v>
      </c>
      <c r="C33" s="139"/>
      <c r="D33" s="140">
        <f t="shared" ref="D33:D37" si="6">$H$31*E33</f>
        <v>0</v>
      </c>
      <c r="E33" s="141">
        <f t="shared" si="5"/>
        <v>4.4999999999999998E-2</v>
      </c>
      <c r="F33" s="158"/>
      <c r="G33" s="141"/>
    </row>
    <row r="34" spans="1:8">
      <c r="A34" s="317"/>
      <c r="B34" s="157" t="s">
        <v>215</v>
      </c>
      <c r="C34" s="139"/>
      <c r="D34" s="140">
        <f t="shared" si="6"/>
        <v>0</v>
      </c>
      <c r="E34" s="158">
        <f t="shared" si="5"/>
        <v>1.8068356891203199E-2</v>
      </c>
      <c r="F34" s="158"/>
      <c r="G34" s="141"/>
    </row>
    <row r="35" spans="1:8">
      <c r="A35" s="318" t="s">
        <v>216</v>
      </c>
      <c r="B35" s="319"/>
      <c r="C35" s="143"/>
      <c r="D35" s="140">
        <f t="shared" si="6"/>
        <v>0</v>
      </c>
      <c r="E35" s="187">
        <f t="shared" si="5"/>
        <v>0.12120895701772344</v>
      </c>
      <c r="F35" s="187"/>
      <c r="G35" s="188"/>
    </row>
    <row r="36" spans="1:8">
      <c r="A36" s="317" t="s">
        <v>44</v>
      </c>
      <c r="B36" s="317"/>
      <c r="C36" s="139"/>
      <c r="D36" s="140">
        <f t="shared" si="6"/>
        <v>0</v>
      </c>
      <c r="E36" s="159">
        <f t="shared" si="5"/>
        <v>4.0563309291379773E-2</v>
      </c>
      <c r="F36" s="158"/>
      <c r="G36" s="141"/>
    </row>
    <row r="37" spans="1:8">
      <c r="A37" s="320" t="s">
        <v>217</v>
      </c>
      <c r="B37" s="157" t="s">
        <v>214</v>
      </c>
      <c r="C37" s="139"/>
      <c r="D37" s="140">
        <f t="shared" si="6"/>
        <v>0</v>
      </c>
      <c r="E37" s="141">
        <f t="shared" si="5"/>
        <v>7.9000000000000008E-3</v>
      </c>
      <c r="F37" s="158"/>
      <c r="G37" s="141"/>
    </row>
    <row r="38" spans="1:8">
      <c r="A38" s="321"/>
      <c r="B38" s="157" t="s">
        <v>215</v>
      </c>
      <c r="C38" s="139"/>
      <c r="D38" s="140">
        <f>$H$31*E38</f>
        <v>0</v>
      </c>
      <c r="E38" s="138">
        <f t="shared" si="5"/>
        <v>2.5000000000000001E-2</v>
      </c>
      <c r="F38" s="158"/>
      <c r="G38" s="141"/>
    </row>
    <row r="39" spans="1:8">
      <c r="A39" s="317" t="s">
        <v>47</v>
      </c>
      <c r="B39" s="317"/>
      <c r="C39" s="139"/>
      <c r="D39" s="140">
        <f t="shared" ref="D39" si="7">$H$31*E39</f>
        <v>0</v>
      </c>
      <c r="E39" s="141">
        <f t="shared" si="5"/>
        <v>0.05</v>
      </c>
      <c r="F39" s="158"/>
      <c r="G39" s="141"/>
    </row>
    <row r="42" spans="1:8">
      <c r="A42" s="135"/>
      <c r="B42" s="135"/>
      <c r="C42" s="135"/>
      <c r="D42" s="135"/>
      <c r="E42" s="135"/>
      <c r="F42" s="316" t="s">
        <v>210</v>
      </c>
      <c r="G42" s="316"/>
      <c r="H42" s="136"/>
    </row>
    <row r="43" spans="1:8" ht="28.5" customHeight="1">
      <c r="A43" s="322" t="s">
        <v>211</v>
      </c>
      <c r="B43" s="322"/>
      <c r="C43" s="323" t="str">
        <f>C2</f>
        <v>预计</v>
      </c>
      <c r="D43" s="323"/>
      <c r="E43" s="323"/>
      <c r="F43" s="323"/>
      <c r="G43" s="319"/>
      <c r="H43" s="137" t="s">
        <v>218</v>
      </c>
    </row>
    <row r="44" spans="1:8" ht="27">
      <c r="A44" s="322"/>
      <c r="B44" s="322"/>
      <c r="C44" s="144" t="s">
        <v>220</v>
      </c>
      <c r="D44" s="144" t="s">
        <v>219</v>
      </c>
      <c r="E44" s="145" t="s">
        <v>223</v>
      </c>
      <c r="F44" s="145" t="s">
        <v>222</v>
      </c>
      <c r="G44" s="145" t="s">
        <v>221</v>
      </c>
      <c r="H44" s="148">
        <f>销量!F8</f>
        <v>0</v>
      </c>
    </row>
    <row r="45" spans="1:8">
      <c r="A45" s="317" t="s">
        <v>212</v>
      </c>
      <c r="B45" s="317"/>
      <c r="C45" s="139"/>
      <c r="D45" s="140">
        <f>$H$44*E45</f>
        <v>0</v>
      </c>
      <c r="E45" s="158">
        <f t="shared" ref="E45:E52" si="8">E4</f>
        <v>5.8140600126520232E-2</v>
      </c>
      <c r="F45" s="158"/>
      <c r="G45" s="141"/>
    </row>
    <row r="46" spans="1:8">
      <c r="A46" s="317" t="s">
        <v>213</v>
      </c>
      <c r="B46" s="157" t="s">
        <v>214</v>
      </c>
      <c r="C46" s="139"/>
      <c r="D46" s="140">
        <f t="shared" ref="D46:D50" si="9">$H$44*E46</f>
        <v>0</v>
      </c>
      <c r="E46" s="141">
        <f t="shared" si="8"/>
        <v>4.4999999999999998E-2</v>
      </c>
      <c r="F46" s="158"/>
      <c r="G46" s="141"/>
    </row>
    <row r="47" spans="1:8">
      <c r="A47" s="317"/>
      <c r="B47" s="157" t="s">
        <v>215</v>
      </c>
      <c r="C47" s="139"/>
      <c r="D47" s="140">
        <f t="shared" si="9"/>
        <v>0</v>
      </c>
      <c r="E47" s="158">
        <f t="shared" si="8"/>
        <v>1.8068356891203199E-2</v>
      </c>
      <c r="F47" s="158"/>
      <c r="G47" s="141"/>
    </row>
    <row r="48" spans="1:8">
      <c r="A48" s="318" t="s">
        <v>216</v>
      </c>
      <c r="B48" s="319"/>
      <c r="C48" s="143"/>
      <c r="D48" s="140">
        <f t="shared" si="9"/>
        <v>0</v>
      </c>
      <c r="E48" s="187">
        <f t="shared" si="8"/>
        <v>0.12120895701772344</v>
      </c>
      <c r="F48" s="187"/>
      <c r="G48" s="188"/>
    </row>
    <row r="49" spans="1:8">
      <c r="A49" s="317" t="s">
        <v>44</v>
      </c>
      <c r="B49" s="317"/>
      <c r="C49" s="139"/>
      <c r="D49" s="140">
        <f t="shared" si="9"/>
        <v>0</v>
      </c>
      <c r="E49" s="159">
        <f t="shared" si="8"/>
        <v>4.0563309291379773E-2</v>
      </c>
      <c r="F49" s="158"/>
      <c r="G49" s="141"/>
    </row>
    <row r="50" spans="1:8">
      <c r="A50" s="320" t="s">
        <v>217</v>
      </c>
      <c r="B50" s="157" t="s">
        <v>214</v>
      </c>
      <c r="C50" s="139"/>
      <c r="D50" s="140">
        <f t="shared" si="9"/>
        <v>0</v>
      </c>
      <c r="E50" s="141">
        <f t="shared" si="8"/>
        <v>7.9000000000000008E-3</v>
      </c>
      <c r="F50" s="158"/>
      <c r="G50" s="141"/>
    </row>
    <row r="51" spans="1:8">
      <c r="A51" s="321"/>
      <c r="B51" s="157" t="s">
        <v>215</v>
      </c>
      <c r="C51" s="139"/>
      <c r="D51" s="140">
        <f>$H$44*E51</f>
        <v>0</v>
      </c>
      <c r="E51" s="138">
        <f t="shared" si="8"/>
        <v>2.5000000000000001E-2</v>
      </c>
      <c r="F51" s="158"/>
      <c r="G51" s="141"/>
    </row>
    <row r="52" spans="1:8">
      <c r="A52" s="317" t="s">
        <v>47</v>
      </c>
      <c r="B52" s="317"/>
      <c r="C52" s="139"/>
      <c r="D52" s="140">
        <f t="shared" ref="D52" si="10">$H$44*E52</f>
        <v>0</v>
      </c>
      <c r="E52" s="141">
        <f t="shared" si="8"/>
        <v>0.05</v>
      </c>
      <c r="F52" s="158"/>
      <c r="G52" s="141"/>
    </row>
    <row r="55" spans="1:8">
      <c r="A55" s="135"/>
      <c r="B55" s="135"/>
      <c r="C55" s="135"/>
      <c r="D55" s="135"/>
      <c r="E55" s="135"/>
      <c r="F55" s="316" t="s">
        <v>210</v>
      </c>
      <c r="G55" s="316"/>
      <c r="H55" s="136"/>
    </row>
    <row r="56" spans="1:8">
      <c r="A56" s="322" t="s">
        <v>211</v>
      </c>
      <c r="B56" s="322"/>
      <c r="C56" s="323" t="str">
        <f>C2</f>
        <v>预计</v>
      </c>
      <c r="D56" s="323"/>
      <c r="E56" s="323"/>
      <c r="F56" s="323"/>
      <c r="G56" s="319"/>
      <c r="H56" s="137" t="s">
        <v>218</v>
      </c>
    </row>
    <row r="57" spans="1:8" ht="27">
      <c r="A57" s="322"/>
      <c r="B57" s="322"/>
      <c r="C57" s="144" t="s">
        <v>220</v>
      </c>
      <c r="D57" s="144" t="s">
        <v>219</v>
      </c>
      <c r="E57" s="145" t="s">
        <v>223</v>
      </c>
      <c r="F57" s="145" t="s">
        <v>222</v>
      </c>
      <c r="G57" s="145" t="s">
        <v>221</v>
      </c>
      <c r="H57" s="148">
        <f>销量!G8</f>
        <v>0</v>
      </c>
    </row>
    <row r="58" spans="1:8">
      <c r="A58" s="317" t="s">
        <v>212</v>
      </c>
      <c r="B58" s="317"/>
      <c r="C58" s="139"/>
      <c r="D58" s="140">
        <f>$H$57*E58</f>
        <v>0</v>
      </c>
      <c r="E58" s="158">
        <f t="shared" ref="E58:E65" si="11">E4</f>
        <v>5.8140600126520232E-2</v>
      </c>
      <c r="F58" s="158"/>
      <c r="G58" s="141"/>
    </row>
    <row r="59" spans="1:8">
      <c r="A59" s="317" t="s">
        <v>213</v>
      </c>
      <c r="B59" s="157" t="s">
        <v>214</v>
      </c>
      <c r="C59" s="139"/>
      <c r="D59" s="140">
        <f t="shared" ref="D59:D63" si="12">$H$57*E59</f>
        <v>0</v>
      </c>
      <c r="E59" s="141">
        <f t="shared" si="11"/>
        <v>4.4999999999999998E-2</v>
      </c>
      <c r="F59" s="158"/>
      <c r="G59" s="141"/>
    </row>
    <row r="60" spans="1:8">
      <c r="A60" s="317"/>
      <c r="B60" s="157" t="s">
        <v>215</v>
      </c>
      <c r="C60" s="139"/>
      <c r="D60" s="140">
        <f t="shared" si="12"/>
        <v>0</v>
      </c>
      <c r="E60" s="158">
        <f t="shared" si="11"/>
        <v>1.8068356891203199E-2</v>
      </c>
      <c r="F60" s="158"/>
      <c r="G60" s="141"/>
    </row>
    <row r="61" spans="1:8">
      <c r="A61" s="318" t="s">
        <v>216</v>
      </c>
      <c r="B61" s="319"/>
      <c r="C61" s="143"/>
      <c r="D61" s="140">
        <f t="shared" si="12"/>
        <v>0</v>
      </c>
      <c r="E61" s="187">
        <f t="shared" si="11"/>
        <v>0.12120895701772344</v>
      </c>
      <c r="F61" s="187"/>
      <c r="G61" s="188"/>
    </row>
    <row r="62" spans="1:8">
      <c r="A62" s="317" t="s">
        <v>44</v>
      </c>
      <c r="B62" s="317"/>
      <c r="C62" s="139"/>
      <c r="D62" s="140">
        <f t="shared" si="12"/>
        <v>0</v>
      </c>
      <c r="E62" s="159">
        <f t="shared" si="11"/>
        <v>4.0563309291379773E-2</v>
      </c>
      <c r="F62" s="158"/>
      <c r="G62" s="141"/>
    </row>
    <row r="63" spans="1:8">
      <c r="A63" s="320" t="s">
        <v>217</v>
      </c>
      <c r="B63" s="157" t="s">
        <v>214</v>
      </c>
      <c r="C63" s="139"/>
      <c r="D63" s="140">
        <f t="shared" si="12"/>
        <v>0</v>
      </c>
      <c r="E63" s="141">
        <f t="shared" si="11"/>
        <v>7.9000000000000008E-3</v>
      </c>
      <c r="F63" s="158"/>
      <c r="G63" s="141"/>
    </row>
    <row r="64" spans="1:8">
      <c r="A64" s="321"/>
      <c r="B64" s="157" t="s">
        <v>215</v>
      </c>
      <c r="C64" s="139"/>
      <c r="D64" s="140">
        <f>$H$57*E64</f>
        <v>0</v>
      </c>
      <c r="E64" s="138">
        <f t="shared" si="11"/>
        <v>2.5000000000000001E-2</v>
      </c>
      <c r="F64" s="158"/>
      <c r="G64" s="141"/>
    </row>
    <row r="65" spans="1:8">
      <c r="A65" s="317" t="s">
        <v>47</v>
      </c>
      <c r="B65" s="317"/>
      <c r="C65" s="139"/>
      <c r="D65" s="140">
        <f t="shared" ref="D65" si="13">$H$57*E65</f>
        <v>0</v>
      </c>
      <c r="E65" s="141">
        <f t="shared" si="11"/>
        <v>0.05</v>
      </c>
      <c r="F65" s="158"/>
      <c r="G65" s="141"/>
    </row>
    <row r="68" spans="1:8">
      <c r="A68" s="135"/>
      <c r="B68" s="135"/>
      <c r="C68" s="135"/>
      <c r="D68" s="135"/>
      <c r="E68" s="135"/>
      <c r="F68" s="316" t="s">
        <v>210</v>
      </c>
      <c r="G68" s="316"/>
      <c r="H68" s="136"/>
    </row>
    <row r="69" spans="1:8">
      <c r="A69" s="322" t="s">
        <v>211</v>
      </c>
      <c r="B69" s="322"/>
      <c r="C69" s="323" t="str">
        <f>C16</f>
        <v>预计</v>
      </c>
      <c r="D69" s="323"/>
      <c r="E69" s="323"/>
      <c r="F69" s="323"/>
      <c r="G69" s="319"/>
      <c r="H69" s="137" t="s">
        <v>218</v>
      </c>
    </row>
    <row r="70" spans="1:8" ht="27">
      <c r="A70" s="322"/>
      <c r="B70" s="322"/>
      <c r="C70" s="144" t="s">
        <v>220</v>
      </c>
      <c r="D70" s="144" t="s">
        <v>219</v>
      </c>
      <c r="E70" s="145" t="s">
        <v>223</v>
      </c>
      <c r="F70" s="145" t="s">
        <v>222</v>
      </c>
      <c r="G70" s="145" t="s">
        <v>221</v>
      </c>
      <c r="H70" s="148">
        <f>销量!H8</f>
        <v>0</v>
      </c>
    </row>
    <row r="71" spans="1:8">
      <c r="A71" s="317" t="s">
        <v>212</v>
      </c>
      <c r="B71" s="317"/>
      <c r="C71" s="139"/>
      <c r="D71" s="140">
        <f>$H$70*E71</f>
        <v>0</v>
      </c>
      <c r="E71" s="158">
        <f t="shared" ref="E71:E78" si="14">E4</f>
        <v>5.8140600126520232E-2</v>
      </c>
      <c r="F71" s="158"/>
      <c r="G71" s="141"/>
    </row>
    <row r="72" spans="1:8">
      <c r="A72" s="317" t="s">
        <v>213</v>
      </c>
      <c r="B72" s="157" t="s">
        <v>214</v>
      </c>
      <c r="C72" s="139"/>
      <c r="D72" s="140">
        <f t="shared" ref="D72:D76" si="15">$H$70*E72</f>
        <v>0</v>
      </c>
      <c r="E72" s="141">
        <f t="shared" si="14"/>
        <v>4.4999999999999998E-2</v>
      </c>
      <c r="F72" s="158"/>
      <c r="G72" s="141"/>
    </row>
    <row r="73" spans="1:8">
      <c r="A73" s="317"/>
      <c r="B73" s="157" t="s">
        <v>215</v>
      </c>
      <c r="C73" s="139"/>
      <c r="D73" s="140">
        <f t="shared" si="15"/>
        <v>0</v>
      </c>
      <c r="E73" s="158">
        <f t="shared" si="14"/>
        <v>1.8068356891203199E-2</v>
      </c>
      <c r="F73" s="158"/>
      <c r="G73" s="141"/>
    </row>
    <row r="74" spans="1:8">
      <c r="A74" s="318" t="s">
        <v>216</v>
      </c>
      <c r="B74" s="319"/>
      <c r="C74" s="143"/>
      <c r="D74" s="140">
        <f t="shared" si="15"/>
        <v>0</v>
      </c>
      <c r="E74" s="187">
        <f t="shared" si="14"/>
        <v>0.12120895701772344</v>
      </c>
      <c r="F74" s="187"/>
      <c r="G74" s="188"/>
    </row>
    <row r="75" spans="1:8">
      <c r="A75" s="317" t="s">
        <v>44</v>
      </c>
      <c r="B75" s="317"/>
      <c r="C75" s="139"/>
      <c r="D75" s="140">
        <f t="shared" si="15"/>
        <v>0</v>
      </c>
      <c r="E75" s="159">
        <f t="shared" si="14"/>
        <v>4.0563309291379773E-2</v>
      </c>
      <c r="F75" s="158"/>
      <c r="G75" s="141"/>
    </row>
    <row r="76" spans="1:8">
      <c r="A76" s="320" t="s">
        <v>217</v>
      </c>
      <c r="B76" s="157" t="s">
        <v>214</v>
      </c>
      <c r="C76" s="139"/>
      <c r="D76" s="140">
        <f t="shared" si="15"/>
        <v>0</v>
      </c>
      <c r="E76" s="141">
        <f t="shared" si="14"/>
        <v>7.9000000000000008E-3</v>
      </c>
      <c r="F76" s="158"/>
      <c r="G76" s="141"/>
    </row>
    <row r="77" spans="1:8">
      <c r="A77" s="321"/>
      <c r="B77" s="157" t="s">
        <v>215</v>
      </c>
      <c r="C77" s="139"/>
      <c r="D77" s="140">
        <f>$H$70*E77</f>
        <v>0</v>
      </c>
      <c r="E77" s="138">
        <f t="shared" si="14"/>
        <v>2.5000000000000001E-2</v>
      </c>
      <c r="F77" s="158"/>
      <c r="G77" s="141"/>
    </row>
    <row r="78" spans="1:8">
      <c r="A78" s="317" t="s">
        <v>47</v>
      </c>
      <c r="B78" s="317"/>
      <c r="C78" s="139"/>
      <c r="D78" s="140">
        <f t="shared" ref="D78" si="16">$H$70*E78</f>
        <v>0</v>
      </c>
      <c r="E78" s="141">
        <f t="shared" si="14"/>
        <v>0.05</v>
      </c>
      <c r="F78" s="158"/>
      <c r="G78" s="141"/>
    </row>
    <row r="81" spans="1:8">
      <c r="A81" s="135"/>
      <c r="B81" s="135"/>
      <c r="C81" s="135"/>
      <c r="D81" s="135"/>
      <c r="E81" s="135"/>
      <c r="F81" s="316" t="s">
        <v>210</v>
      </c>
      <c r="G81" s="316"/>
      <c r="H81" s="136"/>
    </row>
    <row r="82" spans="1:8">
      <c r="A82" s="322" t="s">
        <v>211</v>
      </c>
      <c r="B82" s="322"/>
      <c r="C82" s="323" t="str">
        <f>C2</f>
        <v>预计</v>
      </c>
      <c r="D82" s="323"/>
      <c r="E82" s="323"/>
      <c r="F82" s="323"/>
      <c r="G82" s="319"/>
      <c r="H82" s="137" t="s">
        <v>218</v>
      </c>
    </row>
    <row r="83" spans="1:8" ht="27">
      <c r="A83" s="322"/>
      <c r="B83" s="322"/>
      <c r="C83" s="144" t="s">
        <v>220</v>
      </c>
      <c r="D83" s="144" t="s">
        <v>219</v>
      </c>
      <c r="E83" s="145" t="s">
        <v>223</v>
      </c>
      <c r="F83" s="145" t="s">
        <v>222</v>
      </c>
      <c r="G83" s="145" t="s">
        <v>221</v>
      </c>
      <c r="H83" s="148">
        <f>销量!I8</f>
        <v>0</v>
      </c>
    </row>
    <row r="84" spans="1:8">
      <c r="A84" s="317" t="s">
        <v>212</v>
      </c>
      <c r="B84" s="317"/>
      <c r="C84" s="139"/>
      <c r="D84" s="140">
        <f>$H$83*E84</f>
        <v>0</v>
      </c>
      <c r="E84" s="158">
        <f t="shared" ref="E84:E91" si="17">E4</f>
        <v>5.8140600126520232E-2</v>
      </c>
      <c r="F84" s="158"/>
      <c r="G84" s="141"/>
    </row>
    <row r="85" spans="1:8">
      <c r="A85" s="317" t="s">
        <v>213</v>
      </c>
      <c r="B85" s="171" t="s">
        <v>214</v>
      </c>
      <c r="C85" s="139"/>
      <c r="D85" s="140">
        <f t="shared" ref="D85:D89" si="18">$H$83*E85</f>
        <v>0</v>
      </c>
      <c r="E85" s="141">
        <f t="shared" si="17"/>
        <v>4.4999999999999998E-2</v>
      </c>
      <c r="F85" s="158"/>
      <c r="G85" s="141"/>
    </row>
    <row r="86" spans="1:8">
      <c r="A86" s="317"/>
      <c r="B86" s="171" t="s">
        <v>215</v>
      </c>
      <c r="C86" s="139"/>
      <c r="D86" s="140">
        <f t="shared" si="18"/>
        <v>0</v>
      </c>
      <c r="E86" s="158">
        <f t="shared" si="17"/>
        <v>1.8068356891203199E-2</v>
      </c>
      <c r="F86" s="158"/>
      <c r="G86" s="141"/>
    </row>
    <row r="87" spans="1:8">
      <c r="A87" s="318" t="s">
        <v>216</v>
      </c>
      <c r="B87" s="319"/>
      <c r="C87" s="143"/>
      <c r="D87" s="140">
        <f t="shared" si="18"/>
        <v>0</v>
      </c>
      <c r="E87" s="187">
        <f t="shared" si="17"/>
        <v>0.12120895701772344</v>
      </c>
      <c r="F87" s="187"/>
      <c r="G87" s="188"/>
    </row>
    <row r="88" spans="1:8">
      <c r="A88" s="317" t="s">
        <v>44</v>
      </c>
      <c r="B88" s="317"/>
      <c r="C88" s="139"/>
      <c r="D88" s="140">
        <f t="shared" si="18"/>
        <v>0</v>
      </c>
      <c r="E88" s="159">
        <f t="shared" si="17"/>
        <v>4.0563309291379773E-2</v>
      </c>
      <c r="F88" s="158"/>
      <c r="G88" s="141"/>
    </row>
    <row r="89" spans="1:8">
      <c r="A89" s="320" t="s">
        <v>217</v>
      </c>
      <c r="B89" s="171" t="s">
        <v>214</v>
      </c>
      <c r="C89" s="139"/>
      <c r="D89" s="140">
        <f t="shared" si="18"/>
        <v>0</v>
      </c>
      <c r="E89" s="141">
        <f t="shared" si="17"/>
        <v>7.9000000000000008E-3</v>
      </c>
      <c r="F89" s="158"/>
      <c r="G89" s="141"/>
    </row>
    <row r="90" spans="1:8">
      <c r="A90" s="321"/>
      <c r="B90" s="171" t="s">
        <v>215</v>
      </c>
      <c r="C90" s="139"/>
      <c r="D90" s="140">
        <f t="shared" ref="D90:D91" si="19">$H$83*E90</f>
        <v>0</v>
      </c>
      <c r="E90" s="138">
        <f t="shared" si="17"/>
        <v>2.5000000000000001E-2</v>
      </c>
      <c r="F90" s="158"/>
      <c r="G90" s="141"/>
    </row>
    <row r="91" spans="1:8">
      <c r="A91" s="317" t="s">
        <v>47</v>
      </c>
      <c r="B91" s="317"/>
      <c r="C91" s="139"/>
      <c r="D91" s="140">
        <f t="shared" si="19"/>
        <v>0</v>
      </c>
      <c r="E91" s="141">
        <f t="shared" si="17"/>
        <v>0.05</v>
      </c>
      <c r="F91" s="158"/>
      <c r="G91" s="141"/>
    </row>
    <row r="94" spans="1:8">
      <c r="A94" s="135"/>
      <c r="B94" s="135"/>
      <c r="C94" s="135"/>
      <c r="D94" s="135"/>
      <c r="E94" s="135"/>
      <c r="F94" s="316" t="s">
        <v>210</v>
      </c>
      <c r="G94" s="316"/>
      <c r="H94" s="136"/>
    </row>
    <row r="95" spans="1:8">
      <c r="A95" s="322" t="s">
        <v>211</v>
      </c>
      <c r="B95" s="322"/>
      <c r="C95" s="323" t="str">
        <f>C2</f>
        <v>预计</v>
      </c>
      <c r="D95" s="323"/>
      <c r="E95" s="323"/>
      <c r="F95" s="323"/>
      <c r="G95" s="319"/>
      <c r="H95" s="137" t="s">
        <v>218</v>
      </c>
    </row>
    <row r="96" spans="1:8" ht="27">
      <c r="A96" s="322"/>
      <c r="B96" s="322"/>
      <c r="C96" s="144" t="s">
        <v>220</v>
      </c>
      <c r="D96" s="144" t="s">
        <v>219</v>
      </c>
      <c r="E96" s="145" t="s">
        <v>223</v>
      </c>
      <c r="F96" s="145" t="s">
        <v>222</v>
      </c>
      <c r="G96" s="145" t="s">
        <v>221</v>
      </c>
      <c r="H96" s="148">
        <f>销量!J8</f>
        <v>0</v>
      </c>
    </row>
    <row r="97" spans="1:8">
      <c r="A97" s="317" t="s">
        <v>212</v>
      </c>
      <c r="B97" s="317"/>
      <c r="C97" s="139"/>
      <c r="D97" s="140">
        <f>$H$96*E97</f>
        <v>0</v>
      </c>
      <c r="E97" s="158">
        <f t="shared" ref="E97:E104" si="20">E4</f>
        <v>5.8140600126520232E-2</v>
      </c>
      <c r="F97" s="158"/>
      <c r="G97" s="141"/>
    </row>
    <row r="98" spans="1:8">
      <c r="A98" s="317" t="s">
        <v>213</v>
      </c>
      <c r="B98" s="171" t="s">
        <v>214</v>
      </c>
      <c r="C98" s="139"/>
      <c r="D98" s="140">
        <f t="shared" ref="D98:D103" si="21">$H$96*E98</f>
        <v>0</v>
      </c>
      <c r="E98" s="141">
        <f t="shared" si="20"/>
        <v>4.4999999999999998E-2</v>
      </c>
      <c r="F98" s="158"/>
      <c r="G98" s="141"/>
    </row>
    <row r="99" spans="1:8">
      <c r="A99" s="317"/>
      <c r="B99" s="171" t="s">
        <v>215</v>
      </c>
      <c r="C99" s="139"/>
      <c r="D99" s="140">
        <f t="shared" si="21"/>
        <v>0</v>
      </c>
      <c r="E99" s="158">
        <f t="shared" si="20"/>
        <v>1.8068356891203199E-2</v>
      </c>
      <c r="F99" s="158"/>
      <c r="G99" s="141"/>
    </row>
    <row r="100" spans="1:8">
      <c r="A100" s="318" t="s">
        <v>216</v>
      </c>
      <c r="B100" s="319"/>
      <c r="C100" s="143"/>
      <c r="D100" s="140">
        <f t="shared" si="21"/>
        <v>0</v>
      </c>
      <c r="E100" s="187">
        <f t="shared" si="20"/>
        <v>0.12120895701772344</v>
      </c>
      <c r="F100" s="187"/>
      <c r="G100" s="188"/>
    </row>
    <row r="101" spans="1:8">
      <c r="A101" s="317" t="s">
        <v>44</v>
      </c>
      <c r="B101" s="317"/>
      <c r="C101" s="139"/>
      <c r="D101" s="140">
        <f t="shared" si="21"/>
        <v>0</v>
      </c>
      <c r="E101" s="159">
        <f t="shared" si="20"/>
        <v>4.0563309291379773E-2</v>
      </c>
      <c r="F101" s="158"/>
      <c r="G101" s="141"/>
    </row>
    <row r="102" spans="1:8">
      <c r="A102" s="320" t="s">
        <v>217</v>
      </c>
      <c r="B102" s="171" t="s">
        <v>214</v>
      </c>
      <c r="C102" s="139"/>
      <c r="D102" s="140">
        <f t="shared" si="21"/>
        <v>0</v>
      </c>
      <c r="E102" s="141">
        <f t="shared" si="20"/>
        <v>7.9000000000000008E-3</v>
      </c>
      <c r="F102" s="158"/>
      <c r="G102" s="141"/>
    </row>
    <row r="103" spans="1:8">
      <c r="A103" s="321"/>
      <c r="B103" s="171" t="s">
        <v>215</v>
      </c>
      <c r="C103" s="139"/>
      <c r="D103" s="140">
        <f t="shared" si="21"/>
        <v>0</v>
      </c>
      <c r="E103" s="138">
        <f t="shared" si="20"/>
        <v>2.5000000000000001E-2</v>
      </c>
      <c r="F103" s="158"/>
      <c r="G103" s="141"/>
    </row>
    <row r="104" spans="1:8">
      <c r="A104" s="317" t="s">
        <v>47</v>
      </c>
      <c r="B104" s="317"/>
      <c r="C104" s="139"/>
      <c r="D104" s="140">
        <f t="shared" ref="D104" si="22">$H$96*E104</f>
        <v>0</v>
      </c>
      <c r="E104" s="141">
        <f t="shared" si="20"/>
        <v>0.05</v>
      </c>
      <c r="F104" s="158"/>
      <c r="G104" s="141"/>
    </row>
    <row r="107" spans="1:8">
      <c r="A107" s="135"/>
      <c r="B107" s="135"/>
      <c r="C107" s="135"/>
      <c r="D107" s="135"/>
      <c r="E107" s="135"/>
      <c r="F107" s="316" t="s">
        <v>210</v>
      </c>
      <c r="G107" s="316"/>
      <c r="H107" s="136"/>
    </row>
    <row r="108" spans="1:8">
      <c r="A108" s="322" t="s">
        <v>211</v>
      </c>
      <c r="B108" s="322"/>
      <c r="C108" s="323" t="str">
        <f>C2</f>
        <v>预计</v>
      </c>
      <c r="D108" s="323"/>
      <c r="E108" s="323"/>
      <c r="F108" s="323"/>
      <c r="G108" s="319"/>
      <c r="H108" s="137" t="s">
        <v>218</v>
      </c>
    </row>
    <row r="109" spans="1:8" ht="27">
      <c r="A109" s="322"/>
      <c r="B109" s="322"/>
      <c r="C109" s="144" t="s">
        <v>220</v>
      </c>
      <c r="D109" s="144" t="s">
        <v>219</v>
      </c>
      <c r="E109" s="145" t="s">
        <v>223</v>
      </c>
      <c r="F109" s="145" t="s">
        <v>222</v>
      </c>
      <c r="G109" s="145" t="s">
        <v>221</v>
      </c>
      <c r="H109" s="148">
        <f>销量!K8</f>
        <v>0</v>
      </c>
    </row>
    <row r="110" spans="1:8">
      <c r="A110" s="317" t="s">
        <v>212</v>
      </c>
      <c r="B110" s="317"/>
      <c r="C110" s="139"/>
      <c r="D110" s="140">
        <f>$H$109*E110</f>
        <v>0</v>
      </c>
      <c r="E110" s="158">
        <f t="shared" ref="E110:E117" si="23">E4</f>
        <v>5.8140600126520232E-2</v>
      </c>
      <c r="F110" s="158"/>
      <c r="G110" s="141"/>
    </row>
    <row r="111" spans="1:8">
      <c r="A111" s="317" t="s">
        <v>213</v>
      </c>
      <c r="B111" s="171" t="s">
        <v>214</v>
      </c>
      <c r="C111" s="139"/>
      <c r="D111" s="140">
        <f t="shared" ref="D111:D115" si="24">$H$109*E111</f>
        <v>0</v>
      </c>
      <c r="E111" s="141">
        <f t="shared" si="23"/>
        <v>4.4999999999999998E-2</v>
      </c>
      <c r="F111" s="158"/>
      <c r="G111" s="141"/>
    </row>
    <row r="112" spans="1:8">
      <c r="A112" s="317"/>
      <c r="B112" s="171" t="s">
        <v>215</v>
      </c>
      <c r="C112" s="139"/>
      <c r="D112" s="140">
        <f t="shared" si="24"/>
        <v>0</v>
      </c>
      <c r="E112" s="158">
        <f t="shared" si="23"/>
        <v>1.8068356891203199E-2</v>
      </c>
      <c r="F112" s="158"/>
      <c r="G112" s="141"/>
    </row>
    <row r="113" spans="1:7">
      <c r="A113" s="318" t="s">
        <v>216</v>
      </c>
      <c r="B113" s="319"/>
      <c r="C113" s="143"/>
      <c r="D113" s="140">
        <f t="shared" si="24"/>
        <v>0</v>
      </c>
      <c r="E113" s="187">
        <f t="shared" si="23"/>
        <v>0.12120895701772344</v>
      </c>
      <c r="F113" s="187"/>
      <c r="G113" s="188"/>
    </row>
    <row r="114" spans="1:7">
      <c r="A114" s="317" t="s">
        <v>44</v>
      </c>
      <c r="B114" s="317"/>
      <c r="C114" s="139"/>
      <c r="D114" s="140">
        <f t="shared" si="24"/>
        <v>0</v>
      </c>
      <c r="E114" s="159">
        <f t="shared" si="23"/>
        <v>4.0563309291379773E-2</v>
      </c>
      <c r="F114" s="158"/>
      <c r="G114" s="141"/>
    </row>
    <row r="115" spans="1:7">
      <c r="A115" s="320" t="s">
        <v>217</v>
      </c>
      <c r="B115" s="171" t="s">
        <v>214</v>
      </c>
      <c r="C115" s="139"/>
      <c r="D115" s="140">
        <f t="shared" si="24"/>
        <v>0</v>
      </c>
      <c r="E115" s="141">
        <f t="shared" si="23"/>
        <v>7.9000000000000008E-3</v>
      </c>
      <c r="F115" s="158"/>
      <c r="G115" s="141"/>
    </row>
    <row r="116" spans="1:7">
      <c r="A116" s="321"/>
      <c r="B116" s="171" t="s">
        <v>215</v>
      </c>
      <c r="C116" s="139"/>
      <c r="D116" s="140">
        <f>$H$109*E116</f>
        <v>0</v>
      </c>
      <c r="E116" s="138">
        <f t="shared" si="23"/>
        <v>2.5000000000000001E-2</v>
      </c>
      <c r="F116" s="158"/>
      <c r="G116" s="141"/>
    </row>
    <row r="117" spans="1:7">
      <c r="A117" s="317" t="s">
        <v>47</v>
      </c>
      <c r="B117" s="317"/>
      <c r="C117" s="139"/>
      <c r="D117" s="140">
        <f t="shared" ref="D117" si="25">$H$109*E117</f>
        <v>0</v>
      </c>
      <c r="E117" s="141">
        <f t="shared" si="23"/>
        <v>0.05</v>
      </c>
      <c r="F117" s="158"/>
      <c r="G117" s="141"/>
    </row>
  </sheetData>
  <mergeCells count="83">
    <mergeCell ref="C95:G95"/>
    <mergeCell ref="A97:B97"/>
    <mergeCell ref="A101:B101"/>
    <mergeCell ref="A102:A103"/>
    <mergeCell ref="A104:B104"/>
    <mergeCell ref="F107:G107"/>
    <mergeCell ref="A108:B109"/>
    <mergeCell ref="C108:G108"/>
    <mergeCell ref="A117:B117"/>
    <mergeCell ref="A110:B110"/>
    <mergeCell ref="A111:A112"/>
    <mergeCell ref="A113:B113"/>
    <mergeCell ref="A114:B114"/>
    <mergeCell ref="A115:A116"/>
    <mergeCell ref="A98:A99"/>
    <mergeCell ref="A100:B100"/>
    <mergeCell ref="A87:B87"/>
    <mergeCell ref="A88:B88"/>
    <mergeCell ref="A89:A90"/>
    <mergeCell ref="A91:B91"/>
    <mergeCell ref="A95:B96"/>
    <mergeCell ref="F94:G94"/>
    <mergeCell ref="F81:G81"/>
    <mergeCell ref="A82:B83"/>
    <mergeCell ref="C82:G82"/>
    <mergeCell ref="A84:B84"/>
    <mergeCell ref="A85:A86"/>
    <mergeCell ref="A74:B74"/>
    <mergeCell ref="A75:B75"/>
    <mergeCell ref="A76:A77"/>
    <mergeCell ref="A78:B78"/>
    <mergeCell ref="F68:G68"/>
    <mergeCell ref="A69:B70"/>
    <mergeCell ref="C69:G69"/>
    <mergeCell ref="A71:B71"/>
    <mergeCell ref="A72:A73"/>
    <mergeCell ref="A59:A60"/>
    <mergeCell ref="A61:B61"/>
    <mergeCell ref="A62:B62"/>
    <mergeCell ref="A63:A64"/>
    <mergeCell ref="A65:B65"/>
    <mergeCell ref="A52:B52"/>
    <mergeCell ref="F55:G55"/>
    <mergeCell ref="A56:B57"/>
    <mergeCell ref="C56:G56"/>
    <mergeCell ref="A58:B58"/>
    <mergeCell ref="A45:B45"/>
    <mergeCell ref="A46:A47"/>
    <mergeCell ref="A48:B48"/>
    <mergeCell ref="A49:B49"/>
    <mergeCell ref="A50:A51"/>
    <mergeCell ref="A36:B36"/>
    <mergeCell ref="A37:A38"/>
    <mergeCell ref="A39:B39"/>
    <mergeCell ref="F42:G42"/>
    <mergeCell ref="A43:B44"/>
    <mergeCell ref="C43:G43"/>
    <mergeCell ref="A30:B31"/>
    <mergeCell ref="C30:G30"/>
    <mergeCell ref="A32:B32"/>
    <mergeCell ref="A33:A34"/>
    <mergeCell ref="A35:B35"/>
    <mergeCell ref="A21:B21"/>
    <mergeCell ref="A22:B22"/>
    <mergeCell ref="A23:A24"/>
    <mergeCell ref="A25:B25"/>
    <mergeCell ref="F29:G29"/>
    <mergeCell ref="F15:G15"/>
    <mergeCell ref="A16:B17"/>
    <mergeCell ref="C16:G16"/>
    <mergeCell ref="A18:B18"/>
    <mergeCell ref="A19:A20"/>
    <mergeCell ref="A11:B11"/>
    <mergeCell ref="A5:A6"/>
    <mergeCell ref="A9:A10"/>
    <mergeCell ref="A2:B3"/>
    <mergeCell ref="C2:G2"/>
    <mergeCell ref="I10:L10"/>
    <mergeCell ref="F1:G1"/>
    <mergeCell ref="A4:B4"/>
    <mergeCell ref="A7:B7"/>
    <mergeCell ref="A8:B8"/>
    <mergeCell ref="I3:L3"/>
  </mergeCells>
  <phoneticPr fontId="37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4"/>
  <sheetViews>
    <sheetView tabSelected="1" workbookViewId="0">
      <pane xSplit="3" ySplit="7" topLeftCell="D17" activePane="bottomRight" state="frozen"/>
      <selection pane="topRight"/>
      <selection pane="bottomLeft"/>
      <selection pane="bottomRight" activeCell="B3" sqref="B3"/>
    </sheetView>
  </sheetViews>
  <sheetFormatPr defaultColWidth="9" defaultRowHeight="16.5"/>
  <cols>
    <col min="1" max="1" width="5.125" style="98" customWidth="1"/>
    <col min="2" max="2" width="35.75" style="98" customWidth="1"/>
    <col min="3" max="3" width="14.5" style="99" customWidth="1"/>
    <col min="4" max="7" width="13" style="99" customWidth="1"/>
    <col min="8" max="8" width="15.125" style="99" customWidth="1"/>
    <col min="9" max="9" width="15.5" style="98" customWidth="1"/>
    <col min="10" max="35" width="9" style="98"/>
    <col min="36" max="36" width="4.375" style="98" customWidth="1"/>
    <col min="37" max="37" width="13.875" style="98" customWidth="1"/>
    <col min="38" max="16384" width="9" style="98"/>
  </cols>
  <sheetData>
    <row r="1" spans="1:38" ht="27" customHeight="1">
      <c r="A1" s="255" t="s">
        <v>293</v>
      </c>
      <c r="B1" s="255"/>
      <c r="C1" s="255"/>
      <c r="D1" s="255"/>
      <c r="E1" s="255"/>
      <c r="F1" s="255"/>
      <c r="G1" s="255"/>
      <c r="H1" s="255"/>
    </row>
    <row r="2" spans="1:38" s="220" customFormat="1" ht="18" customHeight="1">
      <c r="A2" s="218"/>
      <c r="B2" s="219"/>
      <c r="C2" s="219"/>
      <c r="D2" s="219" t="s">
        <v>271</v>
      </c>
      <c r="E2" s="219"/>
      <c r="F2" s="219"/>
      <c r="G2" s="219" t="s">
        <v>253</v>
      </c>
      <c r="H2" s="219"/>
    </row>
    <row r="3" spans="1:38" ht="24" customHeight="1">
      <c r="A3" s="256" t="s">
        <v>13</v>
      </c>
      <c r="B3" s="100" t="s">
        <v>1</v>
      </c>
      <c r="C3" s="100" t="s">
        <v>255</v>
      </c>
      <c r="D3" s="100" t="s">
        <v>256</v>
      </c>
      <c r="E3" s="100" t="s">
        <v>257</v>
      </c>
      <c r="F3" s="100" t="s">
        <v>248</v>
      </c>
      <c r="G3" s="100" t="s">
        <v>258</v>
      </c>
      <c r="H3" s="39" t="s">
        <v>14</v>
      </c>
      <c r="AL3" s="98" t="s">
        <v>15</v>
      </c>
    </row>
    <row r="4" spans="1:38" s="36" customFormat="1" ht="15.75" customHeight="1">
      <c r="A4" s="257"/>
      <c r="B4" s="41" t="s">
        <v>3</v>
      </c>
      <c r="C4" s="101">
        <f>'2023年'!K6</f>
        <v>300</v>
      </c>
      <c r="D4" s="101">
        <f>'2024年'!K6</f>
        <v>1500</v>
      </c>
      <c r="E4" s="101">
        <f>'2025年'!K6</f>
        <v>1500</v>
      </c>
      <c r="F4" s="101">
        <f>'2026年'!K6</f>
        <v>0</v>
      </c>
      <c r="G4" s="101">
        <f>'2027年'!K6</f>
        <v>0</v>
      </c>
      <c r="H4" s="101">
        <f>SUM(C4:G4)</f>
        <v>3300</v>
      </c>
      <c r="I4" s="57"/>
      <c r="AJ4" s="40" t="s">
        <v>13</v>
      </c>
      <c r="AK4" s="41" t="s">
        <v>3</v>
      </c>
      <c r="AL4" s="36" t="s">
        <v>16</v>
      </c>
    </row>
    <row r="5" spans="1:38" s="36" customFormat="1" ht="15.75" customHeight="1">
      <c r="A5" s="50">
        <v>1</v>
      </c>
      <c r="B5" s="41" t="s">
        <v>17</v>
      </c>
      <c r="C5" s="101">
        <f>'2023年'!K7</f>
        <v>105000</v>
      </c>
      <c r="D5" s="101">
        <f>'2024年'!K7</f>
        <v>525000</v>
      </c>
      <c r="E5" s="101">
        <f>'2025年'!K7</f>
        <v>525000</v>
      </c>
      <c r="F5" s="101">
        <f>'2026年'!K7</f>
        <v>0</v>
      </c>
      <c r="G5" s="101">
        <f>'2027年'!K7</f>
        <v>0</v>
      </c>
      <c r="H5" s="101">
        <f t="shared" ref="H5:H12" si="0">SUM(C5:G5)</f>
        <v>1155000</v>
      </c>
      <c r="I5" s="57"/>
      <c r="AJ5" s="40" t="s">
        <v>18</v>
      </c>
      <c r="AK5" s="41" t="s">
        <v>17</v>
      </c>
      <c r="AL5" s="36" t="s">
        <v>16</v>
      </c>
    </row>
    <row r="6" spans="1:38" s="36" customFormat="1" ht="15.75" customHeight="1">
      <c r="A6" s="50">
        <v>2</v>
      </c>
      <c r="B6" s="38" t="s">
        <v>19</v>
      </c>
      <c r="C6" s="101">
        <f>'2023年'!K8</f>
        <v>0</v>
      </c>
      <c r="D6" s="101">
        <f>'2024年'!K8</f>
        <v>10500.000000000009</v>
      </c>
      <c r="E6" s="101">
        <f>'2025年'!K8</f>
        <v>20790.00000000004</v>
      </c>
      <c r="F6" s="101">
        <f>'2026年'!K8</f>
        <v>0</v>
      </c>
      <c r="G6" s="101">
        <f>'2027年'!K8</f>
        <v>0</v>
      </c>
      <c r="H6" s="101">
        <f t="shared" si="0"/>
        <v>31290.000000000051</v>
      </c>
      <c r="I6" s="57"/>
      <c r="AJ6" s="40" t="s">
        <v>20</v>
      </c>
      <c r="AK6" s="38" t="s">
        <v>21</v>
      </c>
      <c r="AL6" s="36" t="s">
        <v>16</v>
      </c>
    </row>
    <row r="7" spans="1:38" s="36" customFormat="1" ht="15.75" customHeight="1">
      <c r="A7" s="50">
        <v>3</v>
      </c>
      <c r="B7" s="41" t="s">
        <v>22</v>
      </c>
      <c r="C7" s="102">
        <f>+C5-C6</f>
        <v>105000</v>
      </c>
      <c r="D7" s="102">
        <f>'2024年'!K9</f>
        <v>514500</v>
      </c>
      <c r="E7" s="102">
        <f>'2025年'!K9</f>
        <v>504209.99999999994</v>
      </c>
      <c r="F7" s="102">
        <f>'2026年'!K9</f>
        <v>0</v>
      </c>
      <c r="G7" s="102">
        <f>'2027年'!K9</f>
        <v>0</v>
      </c>
      <c r="H7" s="101">
        <f t="shared" si="0"/>
        <v>1123710</v>
      </c>
      <c r="I7" s="57"/>
      <c r="AJ7" s="40" t="s">
        <v>23</v>
      </c>
      <c r="AK7" s="41" t="s">
        <v>22</v>
      </c>
      <c r="AL7" s="36" t="s">
        <v>24</v>
      </c>
    </row>
    <row r="8" spans="1:38" s="36" customFormat="1" ht="15.75" customHeight="1">
      <c r="A8" s="50">
        <v>4</v>
      </c>
      <c r="B8" s="40" t="s">
        <v>25</v>
      </c>
      <c r="C8" s="101">
        <f>'2023年'!K10</f>
        <v>82002.45</v>
      </c>
      <c r="D8" s="101">
        <f>'2024年'!K10</f>
        <v>399761.94374999992</v>
      </c>
      <c r="E8" s="101">
        <f>'2025年'!K10</f>
        <v>389767.89515624993</v>
      </c>
      <c r="F8" s="101">
        <f>'2026年'!K10</f>
        <v>0</v>
      </c>
      <c r="G8" s="101">
        <f>'2027年'!K10</f>
        <v>0</v>
      </c>
      <c r="H8" s="101">
        <f t="shared" si="0"/>
        <v>871532.28890624992</v>
      </c>
      <c r="I8" s="57"/>
      <c r="AJ8" s="40" t="s">
        <v>26</v>
      </c>
      <c r="AK8" s="40" t="s">
        <v>25</v>
      </c>
      <c r="AL8" s="36" t="s">
        <v>27</v>
      </c>
    </row>
    <row r="9" spans="1:38" s="36" customFormat="1" ht="15.75" customHeight="1">
      <c r="A9" s="50">
        <v>5</v>
      </c>
      <c r="B9" s="40" t="s">
        <v>28</v>
      </c>
      <c r="C9" s="101">
        <f>'2023年'!K11</f>
        <v>6104.7630132846243</v>
      </c>
      <c r="D9" s="101">
        <f>'2024年'!K11</f>
        <v>30523.815066423122</v>
      </c>
      <c r="E9" s="101">
        <f>'2025年'!K11</f>
        <v>30523.815066423122</v>
      </c>
      <c r="F9" s="101">
        <f>'2026年'!K11</f>
        <v>0</v>
      </c>
      <c r="G9" s="101">
        <f>'2027年'!K11</f>
        <v>0</v>
      </c>
      <c r="H9" s="101">
        <f t="shared" si="0"/>
        <v>67152.393146130868</v>
      </c>
      <c r="I9" s="57"/>
      <c r="AJ9" s="40" t="s">
        <v>29</v>
      </c>
      <c r="AK9" s="40" t="s">
        <v>28</v>
      </c>
    </row>
    <row r="10" spans="1:38" s="36" customFormat="1" ht="15.75" customHeight="1">
      <c r="A10" s="50">
        <v>6</v>
      </c>
      <c r="B10" s="40" t="s">
        <v>30</v>
      </c>
      <c r="C10" s="101">
        <f>'2023年'!K12</f>
        <v>1897.1774735763358</v>
      </c>
      <c r="D10" s="101">
        <f>'2024年'!K12</f>
        <v>9485.8873678816799</v>
      </c>
      <c r="E10" s="101">
        <f>'2025年'!K12</f>
        <v>9485.8873678816799</v>
      </c>
      <c r="F10" s="101">
        <f>'2026年'!K12</f>
        <v>0</v>
      </c>
      <c r="G10" s="101">
        <f>'2027年'!K12</f>
        <v>0</v>
      </c>
      <c r="H10" s="101">
        <f t="shared" si="0"/>
        <v>20868.952209339695</v>
      </c>
      <c r="I10" s="57"/>
      <c r="AJ10" s="40" t="s">
        <v>31</v>
      </c>
      <c r="AK10" s="40" t="s">
        <v>30</v>
      </c>
    </row>
    <row r="11" spans="1:38" s="36" customFormat="1" ht="15.75" customHeight="1">
      <c r="A11" s="50">
        <v>7</v>
      </c>
      <c r="B11" s="103" t="s">
        <v>32</v>
      </c>
      <c r="C11" s="101">
        <f>'2023年'!K13</f>
        <v>6699.0291262135916</v>
      </c>
      <c r="D11" s="101">
        <f>'2024年'!K13</f>
        <v>33495.145631067957</v>
      </c>
      <c r="E11" s="101">
        <f>'2025年'!K13</f>
        <v>33495.145631067957</v>
      </c>
      <c r="F11" s="101">
        <f>'2026年'!K13</f>
        <v>0</v>
      </c>
      <c r="G11" s="101">
        <f>'2027年'!K13</f>
        <v>0</v>
      </c>
      <c r="H11" s="101">
        <f t="shared" si="0"/>
        <v>73689.320388349501</v>
      </c>
      <c r="I11" s="57"/>
      <c r="AJ11" s="40" t="s">
        <v>33</v>
      </c>
      <c r="AK11" s="40" t="s">
        <v>32</v>
      </c>
      <c r="AL11" s="36" t="s">
        <v>16</v>
      </c>
    </row>
    <row r="12" spans="1:38" s="36" customFormat="1" ht="15.75" customHeight="1">
      <c r="A12" s="50">
        <v>8</v>
      </c>
      <c r="B12" s="104" t="s">
        <v>34</v>
      </c>
      <c r="C12" s="105">
        <f>'2023年'!K14</f>
        <v>14700.969613074551</v>
      </c>
      <c r="D12" s="105">
        <f>'2024年'!K14</f>
        <v>73504.84806537276</v>
      </c>
      <c r="E12" s="105">
        <f>'2025年'!K14</f>
        <v>73504.84806537276</v>
      </c>
      <c r="F12" s="105">
        <f>'2026年'!K14</f>
        <v>0</v>
      </c>
      <c r="G12" s="105">
        <f>'2027年'!K14</f>
        <v>0</v>
      </c>
      <c r="H12" s="105">
        <f t="shared" si="0"/>
        <v>161710.66574382008</v>
      </c>
      <c r="I12" s="57"/>
      <c r="AJ12" s="40" t="s">
        <v>35</v>
      </c>
      <c r="AK12" s="43" t="s">
        <v>34</v>
      </c>
    </row>
    <row r="13" spans="1:38" s="36" customFormat="1" ht="15.75" customHeight="1">
      <c r="A13" s="50">
        <v>9</v>
      </c>
      <c r="B13" s="106" t="s">
        <v>36</v>
      </c>
      <c r="C13" s="101">
        <f>'2023年'!K15</f>
        <v>8296.5803869254523</v>
      </c>
      <c r="D13" s="101">
        <f>'2024年'!K15</f>
        <v>41233.208184627321</v>
      </c>
      <c r="E13" s="101">
        <f>'2025年'!K15</f>
        <v>40937.256778377254</v>
      </c>
      <c r="F13" s="101">
        <f>'2026年'!K15</f>
        <v>0</v>
      </c>
      <c r="G13" s="101">
        <f>'2027年'!K15</f>
        <v>0</v>
      </c>
      <c r="H13" s="101">
        <f>H7-H8-H12</f>
        <v>90467.045349930006</v>
      </c>
      <c r="I13" s="57"/>
      <c r="K13" s="98"/>
      <c r="L13" s="98"/>
      <c r="M13" s="98"/>
      <c r="N13" s="98"/>
      <c r="O13" s="98"/>
      <c r="P13" s="98"/>
      <c r="AJ13" s="40" t="s">
        <v>37</v>
      </c>
      <c r="AK13" s="43" t="s">
        <v>36</v>
      </c>
    </row>
    <row r="14" spans="1:38" ht="15.75" customHeight="1">
      <c r="A14" s="50">
        <v>10</v>
      </c>
      <c r="B14" s="107" t="s">
        <v>38</v>
      </c>
      <c r="C14" s="108">
        <f>+C13/C7</f>
        <v>7.9015051304051925E-2</v>
      </c>
      <c r="D14" s="108">
        <f>'2024年'!K16</f>
        <v>8.0142289960402957E-2</v>
      </c>
      <c r="E14" s="108">
        <f>'2025年'!K16</f>
        <v>8.1190886294157716E-2</v>
      </c>
      <c r="F14" s="108" t="e">
        <f>'2026年'!K16</f>
        <v>#DIV/0!</v>
      </c>
      <c r="G14" s="108" t="e">
        <f>'2027年'!K16</f>
        <v>#DIV/0!</v>
      </c>
      <c r="H14" s="108">
        <f>+H13/H7</f>
        <v>8.0507466650586015E-2</v>
      </c>
      <c r="I14" s="57"/>
      <c r="AJ14" s="107" t="s">
        <v>39</v>
      </c>
      <c r="AK14" s="107" t="s">
        <v>38</v>
      </c>
    </row>
    <row r="15" spans="1:38" ht="15.75" customHeight="1">
      <c r="A15" s="50">
        <v>11</v>
      </c>
      <c r="B15" s="107" t="s">
        <v>40</v>
      </c>
      <c r="C15" s="101">
        <f>'2023年'!K17</f>
        <v>0</v>
      </c>
      <c r="D15" s="101">
        <f>'2024年'!K17</f>
        <v>0</v>
      </c>
      <c r="E15" s="101">
        <f>'2025年'!K17</f>
        <v>0</v>
      </c>
      <c r="F15" s="230"/>
      <c r="G15" s="101"/>
      <c r="H15" s="101">
        <f>SUM(C15:G15)</f>
        <v>0</v>
      </c>
      <c r="I15" s="57"/>
      <c r="AJ15" s="107" t="s">
        <v>41</v>
      </c>
      <c r="AK15" s="107" t="s">
        <v>40</v>
      </c>
    </row>
    <row r="16" spans="1:38" ht="15.75" hidden="1" customHeight="1">
      <c r="A16" s="146"/>
      <c r="B16" s="107"/>
      <c r="C16" s="101"/>
      <c r="D16" s="101"/>
      <c r="E16" s="101"/>
      <c r="F16" s="205">
        <f>'2026年'!K18</f>
        <v>0</v>
      </c>
      <c r="G16" s="101">
        <f>'2027年'!K18</f>
        <v>0</v>
      </c>
      <c r="H16" s="101"/>
      <c r="I16" s="57"/>
      <c r="AJ16" s="107"/>
      <c r="AK16" s="107"/>
    </row>
    <row r="17" spans="1:38" ht="15.75" customHeight="1">
      <c r="A17" s="50">
        <v>12</v>
      </c>
      <c r="B17" s="107" t="s">
        <v>42</v>
      </c>
      <c r="C17" s="109">
        <f>'2023年'!K19</f>
        <v>0</v>
      </c>
      <c r="D17" s="109">
        <f>'2024年'!K19</f>
        <v>0</v>
      </c>
      <c r="E17" s="109">
        <f>'2025年'!K19</f>
        <v>0</v>
      </c>
      <c r="F17" s="109">
        <f>'2026年'!K19</f>
        <v>0</v>
      </c>
      <c r="G17" s="109">
        <f>'2027年'!K19</f>
        <v>0</v>
      </c>
      <c r="H17" s="101">
        <f>SUM(C17:G17)</f>
        <v>0</v>
      </c>
      <c r="I17" s="57"/>
      <c r="Q17" s="57"/>
      <c r="AJ17" s="107" t="s">
        <v>43</v>
      </c>
      <c r="AK17" s="107" t="s">
        <v>42</v>
      </c>
      <c r="AL17" s="98" t="s">
        <v>16</v>
      </c>
    </row>
    <row r="18" spans="1:38" ht="15.75" customHeight="1">
      <c r="A18" s="50">
        <v>13</v>
      </c>
      <c r="B18" s="107" t="s">
        <v>44</v>
      </c>
      <c r="C18" s="109">
        <f>'2023年'!K20</f>
        <v>0</v>
      </c>
      <c r="D18" s="109">
        <f>'2024年'!K20</f>
        <v>0</v>
      </c>
      <c r="E18" s="109">
        <f>'2025年'!K20</f>
        <v>0</v>
      </c>
      <c r="F18" s="109">
        <f>'2026年'!K20</f>
        <v>0</v>
      </c>
      <c r="G18" s="109">
        <f>'2027年'!K20</f>
        <v>0</v>
      </c>
      <c r="H18" s="101">
        <f>SUM(C18:G18)</f>
        <v>0</v>
      </c>
      <c r="I18" s="57"/>
      <c r="AJ18" s="107" t="s">
        <v>45</v>
      </c>
      <c r="AK18" s="107" t="s">
        <v>44</v>
      </c>
    </row>
    <row r="19" spans="1:38" s="35" customFormat="1" ht="15.75" customHeight="1">
      <c r="A19" s="50">
        <v>14</v>
      </c>
      <c r="B19" s="48" t="s">
        <v>46</v>
      </c>
      <c r="C19" s="110">
        <f>'2023年'!K21</f>
        <v>666.66666666666663</v>
      </c>
      <c r="D19" s="110">
        <f>'2024年'!K21</f>
        <v>666.66666666666663</v>
      </c>
      <c r="E19" s="110">
        <f>'2025年'!K21</f>
        <v>666.66666666666663</v>
      </c>
      <c r="F19" s="110">
        <f>'2026年'!K21</f>
        <v>0</v>
      </c>
      <c r="G19" s="110">
        <f>'2027年'!K21</f>
        <v>0</v>
      </c>
      <c r="H19" s="101">
        <f>SUM(C19:G19)</f>
        <v>2000</v>
      </c>
      <c r="I19" s="57"/>
      <c r="AJ19" s="48"/>
      <c r="AK19" s="48"/>
    </row>
    <row r="20" spans="1:38" s="36" customFormat="1" ht="15.75" customHeight="1">
      <c r="A20" s="50">
        <v>15</v>
      </c>
      <c r="B20" s="40" t="s">
        <v>47</v>
      </c>
      <c r="C20" s="109">
        <f>'2023年'!K22</f>
        <v>5250</v>
      </c>
      <c r="D20" s="109">
        <f>'2024年'!K22</f>
        <v>26250</v>
      </c>
      <c r="E20" s="109">
        <f>'2025年'!K22</f>
        <v>26250</v>
      </c>
      <c r="F20" s="109">
        <f>'2026年'!K22</f>
        <v>0</v>
      </c>
      <c r="G20" s="109">
        <f>'2027年'!K22</f>
        <v>0</v>
      </c>
      <c r="H20" s="101">
        <f>SUM(C20:G20)</f>
        <v>57750</v>
      </c>
      <c r="I20" s="57"/>
      <c r="AJ20" s="40" t="s">
        <v>48</v>
      </c>
      <c r="AK20" s="40" t="s">
        <v>47</v>
      </c>
    </row>
    <row r="21" spans="1:38" s="96" customFormat="1" ht="15.75" customHeight="1">
      <c r="A21" s="50">
        <v>16</v>
      </c>
      <c r="B21" s="111" t="s">
        <v>49</v>
      </c>
      <c r="C21" s="105">
        <f t="shared" ref="C21" si="1">+C20+C19+C18+C17+C15</f>
        <v>5916.666666666667</v>
      </c>
      <c r="D21" s="105">
        <f>'2024年'!K23</f>
        <v>26916.666666666668</v>
      </c>
      <c r="E21" s="105">
        <f>'2025年'!K23</f>
        <v>26916.666666666668</v>
      </c>
      <c r="F21" s="105"/>
      <c r="G21" s="105"/>
      <c r="H21" s="105">
        <f>SUM(C21:G21)</f>
        <v>59750</v>
      </c>
      <c r="I21" s="57"/>
      <c r="AJ21" s="124" t="s">
        <v>50</v>
      </c>
      <c r="AK21" s="125" t="s">
        <v>49</v>
      </c>
    </row>
    <row r="22" spans="1:38" ht="15.75" customHeight="1">
      <c r="A22" s="50">
        <v>17</v>
      </c>
      <c r="B22" s="107" t="s">
        <v>51</v>
      </c>
      <c r="C22" s="112">
        <f>+C13-C21</f>
        <v>2379.9137202587854</v>
      </c>
      <c r="D22" s="112">
        <f>'2024年'!K24</f>
        <v>14316.541517960653</v>
      </c>
      <c r="E22" s="112">
        <f>'2025年'!K24</f>
        <v>14020.590111710586</v>
      </c>
      <c r="F22" s="112" t="e">
        <f>'2026年'!K24</f>
        <v>#DIV/0!</v>
      </c>
      <c r="G22" s="112" t="e">
        <f>'2027年'!K24</f>
        <v>#DIV/0!</v>
      </c>
      <c r="H22" s="112">
        <f>+H13-H21</f>
        <v>30717.045349930006</v>
      </c>
      <c r="I22" s="57"/>
      <c r="AJ22" s="107" t="s">
        <v>52</v>
      </c>
      <c r="AK22" s="107" t="s">
        <v>51</v>
      </c>
    </row>
    <row r="23" spans="1:38" ht="15.75" customHeight="1">
      <c r="A23" s="50">
        <v>18</v>
      </c>
      <c r="B23" s="107" t="s">
        <v>53</v>
      </c>
      <c r="C23" s="112">
        <f>IF(C22&lt;0,0,C22*0.15)</f>
        <v>356.98705803881779</v>
      </c>
      <c r="D23" s="112">
        <f>'2024年'!K25</f>
        <v>2147.4812276940979</v>
      </c>
      <c r="E23" s="112">
        <f>'2025年'!K25</f>
        <v>2103.088516756588</v>
      </c>
      <c r="F23" s="112" t="e">
        <f>'2026年'!K25</f>
        <v>#DIV/0!</v>
      </c>
      <c r="G23" s="112" t="e">
        <f>'2027年'!K25</f>
        <v>#DIV/0!</v>
      </c>
      <c r="H23" s="112">
        <f>IF(H22&lt;0,0,H22*0.15)</f>
        <v>4607.556802489501</v>
      </c>
      <c r="I23" s="57"/>
      <c r="AJ23" s="107" t="s">
        <v>54</v>
      </c>
      <c r="AK23" s="107" t="s">
        <v>53</v>
      </c>
    </row>
    <row r="24" spans="1:38" ht="15.75" customHeight="1">
      <c r="A24" s="50">
        <v>19</v>
      </c>
      <c r="B24" s="107" t="s">
        <v>55</v>
      </c>
      <c r="C24" s="112">
        <f>C22-C23</f>
        <v>2022.9266622199675</v>
      </c>
      <c r="D24" s="112">
        <f>'2024年'!K26</f>
        <v>12169.060290266556</v>
      </c>
      <c r="E24" s="112">
        <f>'2025年'!K26</f>
        <v>11917.501594953997</v>
      </c>
      <c r="F24" s="112" t="e">
        <f>'2026年'!K26</f>
        <v>#DIV/0!</v>
      </c>
      <c r="G24" s="112" t="e">
        <f>'2027年'!K26</f>
        <v>#DIV/0!</v>
      </c>
      <c r="H24" s="112">
        <f>H22-H23</f>
        <v>26109.488547440505</v>
      </c>
      <c r="I24" s="57"/>
      <c r="AJ24" s="107" t="s">
        <v>56</v>
      </c>
      <c r="AK24" s="107" t="s">
        <v>55</v>
      </c>
    </row>
    <row r="25" spans="1:38" ht="15.75" customHeight="1">
      <c r="A25" s="50">
        <v>20</v>
      </c>
      <c r="B25" s="107" t="s">
        <v>57</v>
      </c>
      <c r="C25" s="113">
        <f>(C24/C5)*100%</f>
        <v>1.9265968211618738E-2</v>
      </c>
      <c r="D25" s="113">
        <f>'2024年'!K27</f>
        <v>2.3179162457650584E-2</v>
      </c>
      <c r="E25" s="113">
        <f>'2025年'!K27</f>
        <v>2.2700003038007614E-2</v>
      </c>
      <c r="F25" s="113" t="e">
        <f>'2026年'!K27</f>
        <v>#DIV/0!</v>
      </c>
      <c r="G25" s="113" t="e">
        <f>'2027年'!K27</f>
        <v>#DIV/0!</v>
      </c>
      <c r="H25" s="113">
        <f>(H24/H5)*100%</f>
        <v>2.2605617789991778E-2</v>
      </c>
      <c r="I25" s="57"/>
      <c r="AJ25" s="126" t="s">
        <v>58</v>
      </c>
      <c r="AK25" s="126" t="s">
        <v>59</v>
      </c>
    </row>
    <row r="26" spans="1:38" s="97" customFormat="1" ht="15.75" customHeight="1">
      <c r="C26" s="114"/>
      <c r="D26" s="114"/>
      <c r="E26" s="114"/>
      <c r="F26" s="114"/>
      <c r="G26" s="114"/>
      <c r="H26" s="114"/>
      <c r="I26" s="123"/>
    </row>
    <row r="27" spans="1:38" s="97" customFormat="1" ht="15.75" customHeight="1">
      <c r="A27" s="97" t="s">
        <v>60</v>
      </c>
      <c r="C27" s="115"/>
      <c r="D27" s="115"/>
      <c r="E27" s="115"/>
      <c r="F27" s="115"/>
      <c r="G27" s="115"/>
      <c r="H27" s="115"/>
      <c r="I27" s="123"/>
      <c r="AJ27" s="97" t="s">
        <v>60</v>
      </c>
    </row>
    <row r="28" spans="1:38" ht="15.75" customHeight="1">
      <c r="A28" s="107" t="s">
        <v>13</v>
      </c>
      <c r="B28" s="116" t="s">
        <v>1</v>
      </c>
      <c r="C28" s="100" t="s">
        <v>179</v>
      </c>
      <c r="D28" s="100" t="s">
        <v>180</v>
      </c>
      <c r="E28" s="100" t="s">
        <v>181</v>
      </c>
      <c r="F28" s="100" t="s">
        <v>225</v>
      </c>
      <c r="G28" s="100" t="s">
        <v>235</v>
      </c>
      <c r="H28" s="39" t="s">
        <v>14</v>
      </c>
      <c r="AL28" s="98" t="s">
        <v>15</v>
      </c>
    </row>
    <row r="29" spans="1:38" s="36" customFormat="1" ht="15.75" customHeight="1">
      <c r="A29" s="40" t="s">
        <v>61</v>
      </c>
      <c r="B29" s="43" t="s">
        <v>62</v>
      </c>
      <c r="C29" s="47"/>
      <c r="D29" s="47"/>
      <c r="E29" s="47"/>
      <c r="F29" s="47"/>
      <c r="G29" s="47"/>
      <c r="H29" s="47"/>
      <c r="I29" s="57"/>
      <c r="AJ29" s="40" t="s">
        <v>63</v>
      </c>
      <c r="AK29" s="43" t="s">
        <v>62</v>
      </c>
    </row>
    <row r="30" spans="1:38" s="36" customFormat="1" ht="15.75" customHeight="1">
      <c r="A30" s="40" t="s">
        <v>18</v>
      </c>
      <c r="B30" s="40" t="s">
        <v>64</v>
      </c>
      <c r="C30" s="42">
        <f>+C7/C4</f>
        <v>350</v>
      </c>
      <c r="D30" s="42">
        <f t="shared" ref="D30:G30" si="2">+D7/D4</f>
        <v>343</v>
      </c>
      <c r="E30" s="42">
        <f t="shared" si="2"/>
        <v>336.14</v>
      </c>
      <c r="F30" s="42" t="e">
        <f t="shared" si="2"/>
        <v>#DIV/0!</v>
      </c>
      <c r="G30" s="42" t="e">
        <f t="shared" si="2"/>
        <v>#DIV/0!</v>
      </c>
      <c r="H30" s="42">
        <f>+H7/H4</f>
        <v>340.5181818181818</v>
      </c>
      <c r="I30" s="57"/>
      <c r="AJ30" s="40" t="s">
        <v>18</v>
      </c>
      <c r="AK30" s="40" t="s">
        <v>64</v>
      </c>
    </row>
    <row r="31" spans="1:38" s="36" customFormat="1" ht="15.75" customHeight="1">
      <c r="A31" s="40" t="s">
        <v>20</v>
      </c>
      <c r="B31" s="40" t="s">
        <v>65</v>
      </c>
      <c r="C31" s="42">
        <f>+C8/C4</f>
        <v>273.3415</v>
      </c>
      <c r="D31" s="42">
        <f t="shared" ref="D31:G31" si="3">+D8/D4</f>
        <v>266.50796249999996</v>
      </c>
      <c r="E31" s="42">
        <f t="shared" si="3"/>
        <v>259.84526343749997</v>
      </c>
      <c r="F31" s="42" t="e">
        <f t="shared" si="3"/>
        <v>#DIV/0!</v>
      </c>
      <c r="G31" s="42" t="e">
        <f t="shared" si="3"/>
        <v>#DIV/0!</v>
      </c>
      <c r="H31" s="42">
        <f>+H8/H4</f>
        <v>264.1006936079545</v>
      </c>
      <c r="I31" s="57"/>
      <c r="AJ31" s="40" t="s">
        <v>20</v>
      </c>
      <c r="AK31" s="40" t="s">
        <v>65</v>
      </c>
    </row>
    <row r="32" spans="1:38" s="36" customFormat="1" ht="15.75" customHeight="1">
      <c r="A32" s="40" t="s">
        <v>66</v>
      </c>
      <c r="B32" s="40" t="s">
        <v>67</v>
      </c>
      <c r="C32" s="47">
        <f t="shared" ref="C32:H32" si="4">C30-C31</f>
        <v>76.658500000000004</v>
      </c>
      <c r="D32" s="47">
        <f t="shared" ref="D32:G32" si="5">D30-D31</f>
        <v>76.492037500000038</v>
      </c>
      <c r="E32" s="47">
        <f t="shared" si="5"/>
        <v>76.29473656250002</v>
      </c>
      <c r="F32" s="47" t="e">
        <f t="shared" si="5"/>
        <v>#DIV/0!</v>
      </c>
      <c r="G32" s="47" t="e">
        <f t="shared" si="5"/>
        <v>#DIV/0!</v>
      </c>
      <c r="H32" s="47">
        <f t="shared" si="4"/>
        <v>76.417488210227305</v>
      </c>
      <c r="I32" s="57"/>
      <c r="AJ32" s="40" t="s">
        <v>66</v>
      </c>
      <c r="AK32" s="40" t="s">
        <v>67</v>
      </c>
    </row>
    <row r="33" spans="1:37" s="36" customFormat="1" ht="15.75" customHeight="1">
      <c r="A33" s="40">
        <v>3.1</v>
      </c>
      <c r="B33" s="40" t="s">
        <v>68</v>
      </c>
      <c r="C33" s="117">
        <f t="shared" ref="C33:H33" si="6">C32/C30</f>
        <v>0.21902428571428573</v>
      </c>
      <c r="D33" s="117">
        <f t="shared" ref="D33:G33" si="7">D32/D30</f>
        <v>0.22300885568513132</v>
      </c>
      <c r="E33" s="117">
        <f t="shared" si="7"/>
        <v>0.22697309621734998</v>
      </c>
      <c r="F33" s="117" t="e">
        <f t="shared" si="7"/>
        <v>#DIV/0!</v>
      </c>
      <c r="G33" s="117" t="e">
        <f t="shared" si="7"/>
        <v>#DIV/0!</v>
      </c>
      <c r="H33" s="117">
        <f t="shared" si="6"/>
        <v>0.22441529495488169</v>
      </c>
      <c r="I33" s="57"/>
      <c r="AJ33" s="40"/>
      <c r="AK33" s="40"/>
    </row>
    <row r="34" spans="1:37" s="36" customFormat="1" ht="15.75" customHeight="1">
      <c r="A34" s="40" t="s">
        <v>63</v>
      </c>
      <c r="B34" s="43" t="s">
        <v>7</v>
      </c>
      <c r="C34" s="47"/>
      <c r="D34" s="47"/>
      <c r="E34" s="47"/>
      <c r="F34" s="47"/>
      <c r="G34" s="47"/>
      <c r="H34" s="47"/>
      <c r="I34" s="57"/>
      <c r="AJ34" s="40" t="s">
        <v>69</v>
      </c>
      <c r="AK34" s="43" t="s">
        <v>7</v>
      </c>
    </row>
    <row r="35" spans="1:37" s="36" customFormat="1" ht="15.75" customHeight="1">
      <c r="A35" s="40" t="s">
        <v>18</v>
      </c>
      <c r="B35" s="48" t="s">
        <v>70</v>
      </c>
      <c r="C35" s="42">
        <f>+C9/C4</f>
        <v>20.349210044282081</v>
      </c>
      <c r="D35" s="42">
        <f t="shared" ref="D35:G35" si="8">+D9/D4</f>
        <v>20.349210044282081</v>
      </c>
      <c r="E35" s="42">
        <f t="shared" si="8"/>
        <v>20.349210044282081</v>
      </c>
      <c r="F35" s="42" t="e">
        <f t="shared" si="8"/>
        <v>#DIV/0!</v>
      </c>
      <c r="G35" s="42" t="e">
        <f t="shared" si="8"/>
        <v>#DIV/0!</v>
      </c>
      <c r="H35" s="42">
        <f>+H9/H4</f>
        <v>20.349210044282081</v>
      </c>
      <c r="I35" s="57"/>
      <c r="AJ35" s="40" t="s">
        <v>66</v>
      </c>
      <c r="AK35" s="40" t="s">
        <v>70</v>
      </c>
    </row>
    <row r="36" spans="1:37" s="36" customFormat="1" ht="15.75" customHeight="1">
      <c r="A36" s="40" t="s">
        <v>20</v>
      </c>
      <c r="B36" s="48" t="s">
        <v>71</v>
      </c>
      <c r="C36" s="42">
        <f>+C10/C4</f>
        <v>6.3239249119211198</v>
      </c>
      <c r="D36" s="42">
        <f t="shared" ref="D36:G36" si="9">+D10/D4</f>
        <v>6.3239249119211198</v>
      </c>
      <c r="E36" s="42">
        <f t="shared" si="9"/>
        <v>6.3239249119211198</v>
      </c>
      <c r="F36" s="42" t="e">
        <f t="shared" si="9"/>
        <v>#DIV/0!</v>
      </c>
      <c r="G36" s="42" t="e">
        <f t="shared" si="9"/>
        <v>#DIV/0!</v>
      </c>
      <c r="H36" s="42">
        <f>+H10/H4</f>
        <v>6.3239249119211198</v>
      </c>
      <c r="I36" s="57"/>
      <c r="AJ36" s="40" t="s">
        <v>23</v>
      </c>
      <c r="AK36" s="40" t="s">
        <v>71</v>
      </c>
    </row>
    <row r="37" spans="1:37" s="36" customFormat="1" ht="15.75" customHeight="1">
      <c r="A37" s="40" t="s">
        <v>66</v>
      </c>
      <c r="B37" s="48" t="s">
        <v>72</v>
      </c>
      <c r="C37" s="42">
        <f>+C11/C4</f>
        <v>22.33009708737864</v>
      </c>
      <c r="D37" s="42">
        <f t="shared" ref="D37:G37" si="10">+D11/D4</f>
        <v>22.330097087378636</v>
      </c>
      <c r="E37" s="42">
        <f t="shared" si="10"/>
        <v>22.330097087378636</v>
      </c>
      <c r="F37" s="42" t="e">
        <f t="shared" si="10"/>
        <v>#DIV/0!</v>
      </c>
      <c r="G37" s="42" t="e">
        <f t="shared" si="10"/>
        <v>#DIV/0!</v>
      </c>
      <c r="H37" s="42">
        <f>+H11/H4</f>
        <v>22.330097087378636</v>
      </c>
      <c r="I37" s="57"/>
      <c r="AJ37" s="40" t="s">
        <v>29</v>
      </c>
      <c r="AK37" s="40" t="s">
        <v>72</v>
      </c>
    </row>
    <row r="38" spans="1:37" s="36" customFormat="1" ht="15.75" customHeight="1">
      <c r="A38" s="40" t="s">
        <v>73</v>
      </c>
      <c r="B38" s="106" t="s">
        <v>74</v>
      </c>
      <c r="C38" s="42"/>
      <c r="D38" s="42"/>
      <c r="E38" s="42"/>
      <c r="F38" s="42"/>
      <c r="G38" s="42"/>
      <c r="H38" s="42"/>
      <c r="I38" s="57"/>
      <c r="AJ38" s="40" t="s">
        <v>73</v>
      </c>
      <c r="AK38" s="43" t="s">
        <v>74</v>
      </c>
    </row>
    <row r="39" spans="1:37" s="36" customFormat="1">
      <c r="A39" s="40" t="s">
        <v>18</v>
      </c>
      <c r="B39" s="48" t="s">
        <v>250</v>
      </c>
      <c r="C39" s="42">
        <f>+C13/C4</f>
        <v>27.655267956418175</v>
      </c>
      <c r="D39" s="42">
        <f t="shared" ref="D39:G39" si="11">+D13/D4</f>
        <v>27.488805456418213</v>
      </c>
      <c r="E39" s="42">
        <f t="shared" si="11"/>
        <v>27.29150451891817</v>
      </c>
      <c r="F39" s="42" t="e">
        <f t="shared" si="11"/>
        <v>#DIV/0!</v>
      </c>
      <c r="G39" s="42" t="e">
        <f t="shared" si="11"/>
        <v>#DIV/0!</v>
      </c>
      <c r="H39" s="42">
        <f>+H13/H4</f>
        <v>27.414256166645455</v>
      </c>
      <c r="I39" s="57"/>
      <c r="AJ39" s="40" t="s">
        <v>18</v>
      </c>
      <c r="AK39" s="40" t="s">
        <v>75</v>
      </c>
    </row>
    <row r="40" spans="1:37" s="36" customFormat="1" ht="15.75" customHeight="1">
      <c r="A40" s="40" t="s">
        <v>20</v>
      </c>
      <c r="B40" s="48" t="s">
        <v>76</v>
      </c>
      <c r="C40" s="101">
        <f t="shared" ref="C40" si="12">+C21/C39</f>
        <v>213.94356677327147</v>
      </c>
      <c r="D40" s="101">
        <f t="shared" ref="D40:G40" si="13">+D21/D39</f>
        <v>979.18648045079169</v>
      </c>
      <c r="E40" s="101">
        <f t="shared" si="13"/>
        <v>986.26540167502787</v>
      </c>
      <c r="F40" s="101" t="e">
        <f t="shared" si="13"/>
        <v>#DIV/0!</v>
      </c>
      <c r="G40" s="101" t="e">
        <f t="shared" si="13"/>
        <v>#DIV/0!</v>
      </c>
      <c r="H40" s="161">
        <f t="shared" ref="H40" si="14">+H21/H39</f>
        <v>2179.5229327687175</v>
      </c>
      <c r="I40" s="57"/>
      <c r="AJ40" s="40" t="s">
        <v>20</v>
      </c>
      <c r="AK40" s="40" t="s">
        <v>76</v>
      </c>
    </row>
    <row r="41" spans="1:37" s="36" customFormat="1" ht="15.75" customHeight="1">
      <c r="A41" s="40" t="s">
        <v>77</v>
      </c>
      <c r="B41" s="43" t="s">
        <v>78</v>
      </c>
      <c r="C41" s="47"/>
      <c r="D41" s="47"/>
      <c r="E41" s="47"/>
      <c r="F41" s="47"/>
      <c r="G41" s="47"/>
      <c r="H41" s="47"/>
      <c r="I41" s="57"/>
      <c r="AJ41" s="40" t="s">
        <v>77</v>
      </c>
      <c r="AK41" s="43" t="s">
        <v>78</v>
      </c>
    </row>
    <row r="42" spans="1:37" s="36" customFormat="1" ht="15.75" customHeight="1">
      <c r="A42" s="40" t="s">
        <v>18</v>
      </c>
      <c r="B42" s="40" t="s">
        <v>79</v>
      </c>
      <c r="C42" s="47">
        <f>+C15/C4</f>
        <v>0</v>
      </c>
      <c r="D42" s="47">
        <f t="shared" ref="D42" si="15">+D15/D4</f>
        <v>0</v>
      </c>
      <c r="E42" s="47">
        <f t="shared" ref="E42:G42" si="16">+E15/E4</f>
        <v>0</v>
      </c>
      <c r="F42" s="47" t="e">
        <f t="shared" si="16"/>
        <v>#DIV/0!</v>
      </c>
      <c r="G42" s="47" t="e">
        <f t="shared" si="16"/>
        <v>#DIV/0!</v>
      </c>
      <c r="H42" s="47">
        <f>+H15/H4</f>
        <v>0</v>
      </c>
      <c r="I42" s="57"/>
      <c r="AJ42" s="40" t="s">
        <v>18</v>
      </c>
      <c r="AK42" s="40" t="s">
        <v>79</v>
      </c>
    </row>
    <row r="43" spans="1:37" s="36" customFormat="1" ht="15.75" customHeight="1">
      <c r="A43" s="40" t="s">
        <v>20</v>
      </c>
      <c r="B43" s="40" t="s">
        <v>80</v>
      </c>
      <c r="C43" s="47">
        <f>+C17/C4</f>
        <v>0</v>
      </c>
      <c r="D43" s="47">
        <f t="shared" ref="D43" si="17">+D17/D4</f>
        <v>0</v>
      </c>
      <c r="E43" s="47">
        <f t="shared" ref="E43:G43" si="18">+E17/E4</f>
        <v>0</v>
      </c>
      <c r="F43" s="47" t="e">
        <f t="shared" si="18"/>
        <v>#DIV/0!</v>
      </c>
      <c r="G43" s="47" t="e">
        <f t="shared" si="18"/>
        <v>#DIV/0!</v>
      </c>
      <c r="H43" s="47">
        <f>+H17/H4</f>
        <v>0</v>
      </c>
      <c r="I43" s="57"/>
      <c r="AJ43" s="40" t="s">
        <v>20</v>
      </c>
      <c r="AK43" s="40" t="s">
        <v>80</v>
      </c>
    </row>
    <row r="44" spans="1:37" s="36" customFormat="1" ht="15.75" customHeight="1">
      <c r="A44" s="40" t="s">
        <v>66</v>
      </c>
      <c r="B44" s="40" t="s">
        <v>81</v>
      </c>
      <c r="C44" s="47">
        <f>+C18/C4</f>
        <v>0</v>
      </c>
      <c r="D44" s="47">
        <f t="shared" ref="D44" si="19">+D18/D4</f>
        <v>0</v>
      </c>
      <c r="E44" s="47">
        <f t="shared" ref="E44:G44" si="20">+E18/E4</f>
        <v>0</v>
      </c>
      <c r="F44" s="47" t="e">
        <f t="shared" si="20"/>
        <v>#DIV/0!</v>
      </c>
      <c r="G44" s="47" t="e">
        <f t="shared" si="20"/>
        <v>#DIV/0!</v>
      </c>
      <c r="H44" s="47">
        <f>+H18/H4</f>
        <v>0</v>
      </c>
      <c r="I44" s="57"/>
      <c r="AJ44" s="40" t="s">
        <v>66</v>
      </c>
      <c r="AK44" s="40" t="s">
        <v>81</v>
      </c>
    </row>
    <row r="45" spans="1:37" s="36" customFormat="1" ht="15.75" customHeight="1">
      <c r="A45" s="40" t="s">
        <v>23</v>
      </c>
      <c r="B45" s="40" t="s">
        <v>82</v>
      </c>
      <c r="C45" s="47"/>
      <c r="D45" s="47"/>
      <c r="E45" s="47"/>
      <c r="F45" s="47"/>
      <c r="G45" s="47"/>
      <c r="H45" s="47"/>
      <c r="I45" s="57"/>
      <c r="AJ45" s="40" t="s">
        <v>23</v>
      </c>
      <c r="AK45" s="40" t="s">
        <v>83</v>
      </c>
    </row>
    <row r="46" spans="1:37" s="36" customFormat="1" ht="15.75" customHeight="1">
      <c r="A46" s="40" t="s">
        <v>26</v>
      </c>
      <c r="B46" s="40" t="s">
        <v>84</v>
      </c>
      <c r="C46" s="47"/>
      <c r="D46" s="47"/>
      <c r="E46" s="47"/>
      <c r="F46" s="47"/>
      <c r="G46" s="47"/>
      <c r="H46" s="47"/>
      <c r="I46" s="57"/>
      <c r="AJ46" s="40" t="s">
        <v>26</v>
      </c>
      <c r="AK46" s="40" t="s">
        <v>84</v>
      </c>
    </row>
    <row r="47" spans="1:37" s="36" customFormat="1" ht="15.75" customHeight="1">
      <c r="A47" s="40" t="s">
        <v>85</v>
      </c>
      <c r="B47" s="43" t="s">
        <v>86</v>
      </c>
      <c r="C47" s="47"/>
      <c r="D47" s="47"/>
      <c r="E47" s="47"/>
      <c r="F47" s="47"/>
      <c r="G47" s="47"/>
      <c r="H47" s="47"/>
      <c r="I47" s="57"/>
      <c r="AJ47" s="40" t="s">
        <v>85</v>
      </c>
      <c r="AK47" s="43" t="s">
        <v>86</v>
      </c>
    </row>
    <row r="48" spans="1:37" s="36" customFormat="1" ht="15.75" customHeight="1">
      <c r="A48" s="40" t="s">
        <v>18</v>
      </c>
      <c r="B48" s="40" t="s">
        <v>87</v>
      </c>
      <c r="C48" s="118">
        <f>+(C11+C17)/C7</f>
        <v>6.3800277392510402E-2</v>
      </c>
      <c r="D48" s="118">
        <f t="shared" ref="D48" si="21">+(D11+D17)/D7</f>
        <v>6.5102323869908565E-2</v>
      </c>
      <c r="E48" s="118">
        <f t="shared" ref="E48:G48" si="22">+(E11+E17)/E7</f>
        <v>6.6430942724396508E-2</v>
      </c>
      <c r="F48" s="118" t="e">
        <f t="shared" si="22"/>
        <v>#DIV/0!</v>
      </c>
      <c r="G48" s="118" t="e">
        <f t="shared" si="22"/>
        <v>#DIV/0!</v>
      </c>
      <c r="H48" s="118">
        <f>+(H11+H17)/H7</f>
        <v>6.5576812868399767E-2</v>
      </c>
      <c r="I48" s="57"/>
      <c r="AJ48" s="40" t="s">
        <v>18</v>
      </c>
      <c r="AK48" s="40" t="s">
        <v>87</v>
      </c>
    </row>
    <row r="49" spans="1:37" s="36" customFormat="1" ht="15.75" customHeight="1">
      <c r="A49" s="40" t="s">
        <v>20</v>
      </c>
      <c r="B49" s="40" t="s">
        <v>88</v>
      </c>
      <c r="C49" s="118">
        <f>+(C9+C10+C15)/C7</f>
        <v>7.6208957017723428E-2</v>
      </c>
      <c r="D49" s="118">
        <f t="shared" ref="D49" si="23">+(D9+D10+D15)/D7</f>
        <v>7.7764241854819838E-2</v>
      </c>
      <c r="E49" s="118">
        <f t="shared" ref="E49:G49" si="24">+(E9+E10+E15)/E7</f>
        <v>7.9351267198795761E-2</v>
      </c>
      <c r="F49" s="118" t="e">
        <f t="shared" si="24"/>
        <v>#DIV/0!</v>
      </c>
      <c r="G49" s="118" t="e">
        <f t="shared" si="24"/>
        <v>#DIV/0!</v>
      </c>
      <c r="H49" s="118">
        <f>+(H9+H10+H15)/H7</f>
        <v>7.8331015435895879E-2</v>
      </c>
      <c r="I49" s="57"/>
      <c r="AJ49" s="40" t="s">
        <v>20</v>
      </c>
      <c r="AK49" s="40" t="s">
        <v>88</v>
      </c>
    </row>
    <row r="50" spans="1:37" s="36" customFormat="1" ht="15.75" customHeight="1">
      <c r="A50" s="40" t="s">
        <v>66</v>
      </c>
      <c r="B50" s="40" t="s">
        <v>89</v>
      </c>
      <c r="C50" s="118">
        <f>+C18/C7</f>
        <v>0</v>
      </c>
      <c r="D50" s="118">
        <f t="shared" ref="D50" si="25">+D18/D7</f>
        <v>0</v>
      </c>
      <c r="E50" s="118">
        <f t="shared" ref="E50:G50" si="26">+E18/E7</f>
        <v>0</v>
      </c>
      <c r="F50" s="118" t="e">
        <f t="shared" si="26"/>
        <v>#DIV/0!</v>
      </c>
      <c r="G50" s="118" t="e">
        <f t="shared" si="26"/>
        <v>#DIV/0!</v>
      </c>
      <c r="H50" s="118">
        <f>+H18/H7</f>
        <v>0</v>
      </c>
      <c r="I50" s="57"/>
      <c r="AJ50" s="40" t="s">
        <v>66</v>
      </c>
      <c r="AK50" s="40" t="s">
        <v>89</v>
      </c>
    </row>
    <row r="51" spans="1:37" s="36" customFormat="1" ht="15.75" customHeight="1">
      <c r="A51" s="40" t="s">
        <v>23</v>
      </c>
      <c r="B51" s="40" t="s">
        <v>90</v>
      </c>
      <c r="C51" s="118">
        <f>+C19/C7</f>
        <v>6.3492063492063492E-3</v>
      </c>
      <c r="D51" s="118">
        <f t="shared" ref="D51" si="27">+D19/D7</f>
        <v>1.2957563977972141E-3</v>
      </c>
      <c r="E51" s="118">
        <f t="shared" ref="E51:G51" si="28">+E19/E7</f>
        <v>1.3222004059155247E-3</v>
      </c>
      <c r="F51" s="118" t="e">
        <f t="shared" si="28"/>
        <v>#DIV/0!</v>
      </c>
      <c r="G51" s="118" t="e">
        <f t="shared" si="28"/>
        <v>#DIV/0!</v>
      </c>
      <c r="H51" s="118">
        <f>+H19/H7</f>
        <v>1.7798186364809427E-3</v>
      </c>
      <c r="I51" s="57"/>
      <c r="AJ51" s="40" t="s">
        <v>23</v>
      </c>
      <c r="AK51" s="40" t="s">
        <v>90</v>
      </c>
    </row>
    <row r="52" spans="1:37" s="36" customFormat="1" ht="15.75" customHeight="1">
      <c r="A52" s="40" t="s">
        <v>26</v>
      </c>
      <c r="B52" s="40" t="s">
        <v>91</v>
      </c>
      <c r="C52" s="118">
        <f>+C20/C7</f>
        <v>0.05</v>
      </c>
      <c r="D52" s="118">
        <f t="shared" ref="D52" si="29">+D20/D7</f>
        <v>5.1020408163265307E-2</v>
      </c>
      <c r="E52" s="118">
        <f t="shared" ref="E52:G52" si="30">+E20/E7</f>
        <v>5.206164098292379E-2</v>
      </c>
      <c r="F52" s="118" t="e">
        <f t="shared" si="30"/>
        <v>#DIV/0!</v>
      </c>
      <c r="G52" s="118" t="e">
        <f t="shared" si="30"/>
        <v>#DIV/0!</v>
      </c>
      <c r="H52" s="118">
        <f>+H20/H7</f>
        <v>5.1392263128387218E-2</v>
      </c>
      <c r="I52" s="57"/>
      <c r="AJ52" s="40" t="s">
        <v>26</v>
      </c>
      <c r="AK52" s="40" t="s">
        <v>91</v>
      </c>
    </row>
    <row r="53" spans="1:37" s="36" customFormat="1" ht="15.75" customHeight="1">
      <c r="A53" s="40" t="s">
        <v>29</v>
      </c>
      <c r="B53" s="40" t="s">
        <v>92</v>
      </c>
      <c r="C53" s="118">
        <f>+C24/C7</f>
        <v>1.9265968211618738E-2</v>
      </c>
      <c r="D53" s="118">
        <f t="shared" ref="D53" si="31">+D24/D7</f>
        <v>2.3652206589439371E-2</v>
      </c>
      <c r="E53" s="118">
        <f t="shared" ref="E53:G53" si="32">+E24/E7</f>
        <v>2.3635988169520634E-2</v>
      </c>
      <c r="F53" s="118" t="e">
        <f t="shared" si="32"/>
        <v>#DIV/0!</v>
      </c>
      <c r="G53" s="118" t="e">
        <f t="shared" si="32"/>
        <v>#DIV/0!</v>
      </c>
      <c r="H53" s="118">
        <f>+H24/H7</f>
        <v>2.3235077152860172E-2</v>
      </c>
      <c r="I53" s="57"/>
      <c r="AJ53" s="40" t="s">
        <v>29</v>
      </c>
      <c r="AK53" s="40" t="s">
        <v>93</v>
      </c>
    </row>
    <row r="54" spans="1:37" s="36" customFormat="1" ht="15.75" customHeight="1">
      <c r="A54" s="40" t="s">
        <v>94</v>
      </c>
      <c r="B54" s="43" t="s">
        <v>95</v>
      </c>
      <c r="C54" s="47">
        <f>+C22/C4</f>
        <v>7.933045734195951</v>
      </c>
      <c r="D54" s="47">
        <f t="shared" ref="D54" si="33">+D22/D4</f>
        <v>9.5443610119737681</v>
      </c>
      <c r="E54" s="47">
        <f t="shared" ref="E54:G54" si="34">+E22/E4</f>
        <v>9.347060074473724</v>
      </c>
      <c r="F54" s="47" t="e">
        <f t="shared" si="34"/>
        <v>#DIV/0!</v>
      </c>
      <c r="G54" s="47" t="e">
        <f t="shared" si="34"/>
        <v>#DIV/0!</v>
      </c>
      <c r="H54" s="47">
        <f>+H22/H4</f>
        <v>9.308195560584851</v>
      </c>
      <c r="I54" s="57"/>
      <c r="AJ54" s="40" t="s">
        <v>94</v>
      </c>
      <c r="AK54" s="43" t="s">
        <v>95</v>
      </c>
    </row>
    <row r="55" spans="1:37" s="36" customFormat="1" ht="15.75" customHeight="1">
      <c r="A55" s="40" t="s">
        <v>96</v>
      </c>
      <c r="B55" s="119" t="s">
        <v>97</v>
      </c>
      <c r="C55" s="47"/>
      <c r="D55" s="47"/>
      <c r="E55" s="47"/>
      <c r="F55" s="47"/>
      <c r="G55" s="47"/>
      <c r="H55" s="47"/>
      <c r="I55" s="57"/>
      <c r="AJ55" s="40"/>
      <c r="AK55" s="43"/>
    </row>
    <row r="56" spans="1:37" s="36" customFormat="1" ht="15.75" customHeight="1">
      <c r="A56" s="40" t="s">
        <v>18</v>
      </c>
      <c r="B56" s="40" t="s">
        <v>98</v>
      </c>
      <c r="C56" s="47">
        <f>C57+C58</f>
        <v>2000</v>
      </c>
      <c r="D56" s="47"/>
      <c r="E56" s="47"/>
      <c r="F56" s="47"/>
      <c r="G56" s="47"/>
      <c r="H56" s="47"/>
      <c r="I56" s="57"/>
    </row>
    <row r="57" spans="1:37" s="36" customFormat="1" ht="15.75" customHeight="1">
      <c r="A57" s="40">
        <v>1.1000000000000001</v>
      </c>
      <c r="B57" s="120" t="s">
        <v>99</v>
      </c>
      <c r="C57" s="47">
        <f>项目投资!B27</f>
        <v>2000</v>
      </c>
      <c r="D57" s="47"/>
      <c r="E57" s="47"/>
      <c r="F57" s="47"/>
      <c r="G57" s="47"/>
      <c r="H57" s="47"/>
      <c r="I57" s="57"/>
    </row>
    <row r="58" spans="1:37" s="36" customFormat="1" ht="15.75" customHeight="1">
      <c r="A58" s="40">
        <v>1.2</v>
      </c>
      <c r="B58" s="40" t="s">
        <v>100</v>
      </c>
      <c r="C58" s="47">
        <f>项目投资!B26</f>
        <v>0</v>
      </c>
      <c r="D58" s="47"/>
      <c r="E58" s="47"/>
      <c r="F58" s="47"/>
      <c r="G58" s="47"/>
      <c r="H58" s="47"/>
      <c r="I58" s="57"/>
    </row>
    <row r="59" spans="1:37" ht="15.75" customHeight="1">
      <c r="A59" s="107" t="s">
        <v>20</v>
      </c>
      <c r="B59" s="107" t="s">
        <v>101</v>
      </c>
      <c r="C59" s="121">
        <f t="shared" ref="C59:G59" si="35">C60+C61</f>
        <v>2022.9266622199675</v>
      </c>
      <c r="D59" s="121">
        <f t="shared" si="35"/>
        <v>12169.060290266556</v>
      </c>
      <c r="E59" s="121">
        <f t="shared" ref="E59:F59" si="36">E60+E61</f>
        <v>11917.501594953997</v>
      </c>
      <c r="F59" s="121" t="e">
        <f t="shared" si="36"/>
        <v>#DIV/0!</v>
      </c>
      <c r="G59" s="121" t="e">
        <f t="shared" si="35"/>
        <v>#DIV/0!</v>
      </c>
      <c r="H59" s="121">
        <f t="shared" ref="H59" si="37">H60+H61</f>
        <v>26109.488547440505</v>
      </c>
      <c r="I59" s="57"/>
    </row>
    <row r="60" spans="1:37" ht="15.75" customHeight="1">
      <c r="A60" s="107" t="s">
        <v>66</v>
      </c>
      <c r="B60" s="107" t="s">
        <v>102</v>
      </c>
      <c r="C60" s="121">
        <f t="shared" ref="C60:G60" si="38">C24</f>
        <v>2022.9266622199675</v>
      </c>
      <c r="D60" s="121">
        <f t="shared" si="38"/>
        <v>12169.060290266556</v>
      </c>
      <c r="E60" s="121">
        <f t="shared" ref="E60:F60" si="39">E24</f>
        <v>11917.501594953997</v>
      </c>
      <c r="F60" s="121" t="e">
        <f t="shared" si="39"/>
        <v>#DIV/0!</v>
      </c>
      <c r="G60" s="121" t="e">
        <f t="shared" si="38"/>
        <v>#DIV/0!</v>
      </c>
      <c r="H60" s="121">
        <f t="shared" ref="H60" si="40">H24</f>
        <v>26109.488547440505</v>
      </c>
      <c r="I60" s="57"/>
    </row>
    <row r="61" spans="1:37" ht="15.75" customHeight="1">
      <c r="A61" s="107" t="s">
        <v>23</v>
      </c>
      <c r="B61" s="107" t="s">
        <v>103</v>
      </c>
      <c r="C61" s="121">
        <f>'2023年'!K18</f>
        <v>0</v>
      </c>
      <c r="D61" s="121">
        <f>'2024年'!K18</f>
        <v>0</v>
      </c>
      <c r="E61" s="121"/>
      <c r="F61" s="121"/>
      <c r="G61" s="121">
        <f>'2027年'!K18</f>
        <v>0</v>
      </c>
      <c r="H61" s="121">
        <f>项目投资!I26</f>
        <v>0</v>
      </c>
      <c r="I61" s="57"/>
    </row>
    <row r="62" spans="1:37" ht="15.75" customHeight="1">
      <c r="A62" s="107" t="s">
        <v>26</v>
      </c>
      <c r="B62" s="107" t="s">
        <v>104</v>
      </c>
      <c r="C62" s="122"/>
      <c r="D62" s="122"/>
      <c r="E62" s="122"/>
      <c r="F62" s="122"/>
      <c r="G62" s="122"/>
      <c r="H62" s="121"/>
      <c r="I62" s="57"/>
    </row>
    <row r="64" spans="1:37">
      <c r="B64"/>
    </row>
  </sheetData>
  <mergeCells count="2">
    <mergeCell ref="A1:H1"/>
    <mergeCell ref="A3:A4"/>
  </mergeCells>
  <phoneticPr fontId="37" type="noConversion"/>
  <pageMargins left="0.31496062992126" right="0.31496062992126" top="0.15748031496063" bottom="0.15748031496063" header="0" footer="0"/>
  <pageSetup paperSize="9" orientation="portrait" horizontalDpi="200" verticalDpi="300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61" customWidth="1"/>
    <col min="2" max="2" width="28.5" style="61" customWidth="1"/>
    <col min="3" max="4" width="9.125" style="61"/>
    <col min="5" max="5" width="13.875" style="61" customWidth="1"/>
    <col min="6" max="12" width="16.125" style="61" customWidth="1"/>
    <col min="13" max="13" width="10.625" style="61" customWidth="1"/>
    <col min="14" max="254" width="9.125" style="61"/>
    <col min="255" max="255" width="8" style="61" customWidth="1"/>
    <col min="256" max="256" width="28.5" style="61" customWidth="1"/>
    <col min="257" max="268" width="9.125" style="61"/>
    <col min="269" max="269" width="10.625" style="61" customWidth="1"/>
    <col min="270" max="510" width="9.125" style="61"/>
    <col min="511" max="511" width="8" style="61" customWidth="1"/>
    <col min="512" max="512" width="28.5" style="61" customWidth="1"/>
    <col min="513" max="524" width="9.125" style="61"/>
    <col min="525" max="525" width="10.625" style="61" customWidth="1"/>
    <col min="526" max="766" width="9.125" style="61"/>
    <col min="767" max="767" width="8" style="61" customWidth="1"/>
    <col min="768" max="768" width="28.5" style="61" customWidth="1"/>
    <col min="769" max="780" width="9.125" style="61"/>
    <col min="781" max="781" width="10.625" style="61" customWidth="1"/>
    <col min="782" max="1022" width="9.125" style="61"/>
    <col min="1023" max="1023" width="8" style="61" customWidth="1"/>
    <col min="1024" max="1024" width="28.5" style="61" customWidth="1"/>
    <col min="1025" max="1036" width="9.125" style="61"/>
    <col min="1037" max="1037" width="10.625" style="61" customWidth="1"/>
    <col min="1038" max="1278" width="9.125" style="61"/>
    <col min="1279" max="1279" width="8" style="61" customWidth="1"/>
    <col min="1280" max="1280" width="28.5" style="61" customWidth="1"/>
    <col min="1281" max="1292" width="9.125" style="61"/>
    <col min="1293" max="1293" width="10.625" style="61" customWidth="1"/>
    <col min="1294" max="1534" width="9.125" style="61"/>
    <col min="1535" max="1535" width="8" style="61" customWidth="1"/>
    <col min="1536" max="1536" width="28.5" style="61" customWidth="1"/>
    <col min="1537" max="1548" width="9.125" style="61"/>
    <col min="1549" max="1549" width="10.625" style="61" customWidth="1"/>
    <col min="1550" max="1790" width="9.125" style="61"/>
    <col min="1791" max="1791" width="8" style="61" customWidth="1"/>
    <col min="1792" max="1792" width="28.5" style="61" customWidth="1"/>
    <col min="1793" max="1804" width="9.125" style="61"/>
    <col min="1805" max="1805" width="10.625" style="61" customWidth="1"/>
    <col min="1806" max="2046" width="9.125" style="61"/>
    <col min="2047" max="2047" width="8" style="61" customWidth="1"/>
    <col min="2048" max="2048" width="28.5" style="61" customWidth="1"/>
    <col min="2049" max="2060" width="9.125" style="61"/>
    <col min="2061" max="2061" width="10.625" style="61" customWidth="1"/>
    <col min="2062" max="2302" width="9.125" style="61"/>
    <col min="2303" max="2303" width="8" style="61" customWidth="1"/>
    <col min="2304" max="2304" width="28.5" style="61" customWidth="1"/>
    <col min="2305" max="2316" width="9.125" style="61"/>
    <col min="2317" max="2317" width="10.625" style="61" customWidth="1"/>
    <col min="2318" max="2558" width="9.125" style="61"/>
    <col min="2559" max="2559" width="8" style="61" customWidth="1"/>
    <col min="2560" max="2560" width="28.5" style="61" customWidth="1"/>
    <col min="2561" max="2572" width="9.125" style="61"/>
    <col min="2573" max="2573" width="10.625" style="61" customWidth="1"/>
    <col min="2574" max="2814" width="9.125" style="61"/>
    <col min="2815" max="2815" width="8" style="61" customWidth="1"/>
    <col min="2816" max="2816" width="28.5" style="61" customWidth="1"/>
    <col min="2817" max="2828" width="9.125" style="61"/>
    <col min="2829" max="2829" width="10.625" style="61" customWidth="1"/>
    <col min="2830" max="3070" width="9.125" style="61"/>
    <col min="3071" max="3071" width="8" style="61" customWidth="1"/>
    <col min="3072" max="3072" width="28.5" style="61" customWidth="1"/>
    <col min="3073" max="3084" width="9.125" style="61"/>
    <col min="3085" max="3085" width="10.625" style="61" customWidth="1"/>
    <col min="3086" max="3326" width="9.125" style="61"/>
    <col min="3327" max="3327" width="8" style="61" customWidth="1"/>
    <col min="3328" max="3328" width="28.5" style="61" customWidth="1"/>
    <col min="3329" max="3340" width="9.125" style="61"/>
    <col min="3341" max="3341" width="10.625" style="61" customWidth="1"/>
    <col min="3342" max="3582" width="9.125" style="61"/>
    <col min="3583" max="3583" width="8" style="61" customWidth="1"/>
    <col min="3584" max="3584" width="28.5" style="61" customWidth="1"/>
    <col min="3585" max="3596" width="9.125" style="61"/>
    <col min="3597" max="3597" width="10.625" style="61" customWidth="1"/>
    <col min="3598" max="3838" width="9.125" style="61"/>
    <col min="3839" max="3839" width="8" style="61" customWidth="1"/>
    <col min="3840" max="3840" width="28.5" style="61" customWidth="1"/>
    <col min="3841" max="3852" width="9.125" style="61"/>
    <col min="3853" max="3853" width="10.625" style="61" customWidth="1"/>
    <col min="3854" max="4094" width="9.125" style="61"/>
    <col min="4095" max="4095" width="8" style="61" customWidth="1"/>
    <col min="4096" max="4096" width="28.5" style="61" customWidth="1"/>
    <col min="4097" max="4108" width="9.125" style="61"/>
    <col min="4109" max="4109" width="10.625" style="61" customWidth="1"/>
    <col min="4110" max="4350" width="9.125" style="61"/>
    <col min="4351" max="4351" width="8" style="61" customWidth="1"/>
    <col min="4352" max="4352" width="28.5" style="61" customWidth="1"/>
    <col min="4353" max="4364" width="9.125" style="61"/>
    <col min="4365" max="4365" width="10.625" style="61" customWidth="1"/>
    <col min="4366" max="4606" width="9.125" style="61"/>
    <col min="4607" max="4607" width="8" style="61" customWidth="1"/>
    <col min="4608" max="4608" width="28.5" style="61" customWidth="1"/>
    <col min="4609" max="4620" width="9.125" style="61"/>
    <col min="4621" max="4621" width="10.625" style="61" customWidth="1"/>
    <col min="4622" max="4862" width="9.125" style="61"/>
    <col min="4863" max="4863" width="8" style="61" customWidth="1"/>
    <col min="4864" max="4864" width="28.5" style="61" customWidth="1"/>
    <col min="4865" max="4876" width="9.125" style="61"/>
    <col min="4877" max="4877" width="10.625" style="61" customWidth="1"/>
    <col min="4878" max="5118" width="9.125" style="61"/>
    <col min="5119" max="5119" width="8" style="61" customWidth="1"/>
    <col min="5120" max="5120" width="28.5" style="61" customWidth="1"/>
    <col min="5121" max="5132" width="9.125" style="61"/>
    <col min="5133" max="5133" width="10.625" style="61" customWidth="1"/>
    <col min="5134" max="5374" width="9.125" style="61"/>
    <col min="5375" max="5375" width="8" style="61" customWidth="1"/>
    <col min="5376" max="5376" width="28.5" style="61" customWidth="1"/>
    <col min="5377" max="5388" width="9.125" style="61"/>
    <col min="5389" max="5389" width="10.625" style="61" customWidth="1"/>
    <col min="5390" max="5630" width="9.125" style="61"/>
    <col min="5631" max="5631" width="8" style="61" customWidth="1"/>
    <col min="5632" max="5632" width="28.5" style="61" customWidth="1"/>
    <col min="5633" max="5644" width="9.125" style="61"/>
    <col min="5645" max="5645" width="10.625" style="61" customWidth="1"/>
    <col min="5646" max="5886" width="9.125" style="61"/>
    <col min="5887" max="5887" width="8" style="61" customWidth="1"/>
    <col min="5888" max="5888" width="28.5" style="61" customWidth="1"/>
    <col min="5889" max="5900" width="9.125" style="61"/>
    <col min="5901" max="5901" width="10.625" style="61" customWidth="1"/>
    <col min="5902" max="6142" width="9.125" style="61"/>
    <col min="6143" max="6143" width="8" style="61" customWidth="1"/>
    <col min="6144" max="6144" width="28.5" style="61" customWidth="1"/>
    <col min="6145" max="6156" width="9.125" style="61"/>
    <col min="6157" max="6157" width="10.625" style="61" customWidth="1"/>
    <col min="6158" max="6398" width="9.125" style="61"/>
    <col min="6399" max="6399" width="8" style="61" customWidth="1"/>
    <col min="6400" max="6400" width="28.5" style="61" customWidth="1"/>
    <col min="6401" max="6412" width="9.125" style="61"/>
    <col min="6413" max="6413" width="10.625" style="61" customWidth="1"/>
    <col min="6414" max="6654" width="9.125" style="61"/>
    <col min="6655" max="6655" width="8" style="61" customWidth="1"/>
    <col min="6656" max="6656" width="28.5" style="61" customWidth="1"/>
    <col min="6657" max="6668" width="9.125" style="61"/>
    <col min="6669" max="6669" width="10.625" style="61" customWidth="1"/>
    <col min="6670" max="6910" width="9.125" style="61"/>
    <col min="6911" max="6911" width="8" style="61" customWidth="1"/>
    <col min="6912" max="6912" width="28.5" style="61" customWidth="1"/>
    <col min="6913" max="6924" width="9.125" style="61"/>
    <col min="6925" max="6925" width="10.625" style="61" customWidth="1"/>
    <col min="6926" max="7166" width="9.125" style="61"/>
    <col min="7167" max="7167" width="8" style="61" customWidth="1"/>
    <col min="7168" max="7168" width="28.5" style="61" customWidth="1"/>
    <col min="7169" max="7180" width="9.125" style="61"/>
    <col min="7181" max="7181" width="10.625" style="61" customWidth="1"/>
    <col min="7182" max="7422" width="9.125" style="61"/>
    <col min="7423" max="7423" width="8" style="61" customWidth="1"/>
    <col min="7424" max="7424" width="28.5" style="61" customWidth="1"/>
    <col min="7425" max="7436" width="9.125" style="61"/>
    <col min="7437" max="7437" width="10.625" style="61" customWidth="1"/>
    <col min="7438" max="7678" width="9.125" style="61"/>
    <col min="7679" max="7679" width="8" style="61" customWidth="1"/>
    <col min="7680" max="7680" width="28.5" style="61" customWidth="1"/>
    <col min="7681" max="7692" width="9.125" style="61"/>
    <col min="7693" max="7693" width="10.625" style="61" customWidth="1"/>
    <col min="7694" max="7934" width="9.125" style="61"/>
    <col min="7935" max="7935" width="8" style="61" customWidth="1"/>
    <col min="7936" max="7936" width="28.5" style="61" customWidth="1"/>
    <col min="7937" max="7948" width="9.125" style="61"/>
    <col min="7949" max="7949" width="10.625" style="61" customWidth="1"/>
    <col min="7950" max="8190" width="9.125" style="61"/>
    <col min="8191" max="8191" width="8" style="61" customWidth="1"/>
    <col min="8192" max="8192" width="28.5" style="61" customWidth="1"/>
    <col min="8193" max="8204" width="9.125" style="61"/>
    <col min="8205" max="8205" width="10.625" style="61" customWidth="1"/>
    <col min="8206" max="8446" width="9.125" style="61"/>
    <col min="8447" max="8447" width="8" style="61" customWidth="1"/>
    <col min="8448" max="8448" width="28.5" style="61" customWidth="1"/>
    <col min="8449" max="8460" width="9.125" style="61"/>
    <col min="8461" max="8461" width="10.625" style="61" customWidth="1"/>
    <col min="8462" max="8702" width="9.125" style="61"/>
    <col min="8703" max="8703" width="8" style="61" customWidth="1"/>
    <col min="8704" max="8704" width="28.5" style="61" customWidth="1"/>
    <col min="8705" max="8716" width="9.125" style="61"/>
    <col min="8717" max="8717" width="10.625" style="61" customWidth="1"/>
    <col min="8718" max="8958" width="9.125" style="61"/>
    <col min="8959" max="8959" width="8" style="61" customWidth="1"/>
    <col min="8960" max="8960" width="28.5" style="61" customWidth="1"/>
    <col min="8961" max="8972" width="9.125" style="61"/>
    <col min="8973" max="8973" width="10.625" style="61" customWidth="1"/>
    <col min="8974" max="9214" width="9.125" style="61"/>
    <col min="9215" max="9215" width="8" style="61" customWidth="1"/>
    <col min="9216" max="9216" width="28.5" style="61" customWidth="1"/>
    <col min="9217" max="9228" width="9.125" style="61"/>
    <col min="9229" max="9229" width="10.625" style="61" customWidth="1"/>
    <col min="9230" max="9470" width="9.125" style="61"/>
    <col min="9471" max="9471" width="8" style="61" customWidth="1"/>
    <col min="9472" max="9472" width="28.5" style="61" customWidth="1"/>
    <col min="9473" max="9484" width="9.125" style="61"/>
    <col min="9485" max="9485" width="10.625" style="61" customWidth="1"/>
    <col min="9486" max="9726" width="9.125" style="61"/>
    <col min="9727" max="9727" width="8" style="61" customWidth="1"/>
    <col min="9728" max="9728" width="28.5" style="61" customWidth="1"/>
    <col min="9729" max="9740" width="9.125" style="61"/>
    <col min="9741" max="9741" width="10.625" style="61" customWidth="1"/>
    <col min="9742" max="9982" width="9.125" style="61"/>
    <col min="9983" max="9983" width="8" style="61" customWidth="1"/>
    <col min="9984" max="9984" width="28.5" style="61" customWidth="1"/>
    <col min="9985" max="9996" width="9.125" style="61"/>
    <col min="9997" max="9997" width="10.625" style="61" customWidth="1"/>
    <col min="9998" max="10238" width="9.125" style="61"/>
    <col min="10239" max="10239" width="8" style="61" customWidth="1"/>
    <col min="10240" max="10240" width="28.5" style="61" customWidth="1"/>
    <col min="10241" max="10252" width="9.125" style="61"/>
    <col min="10253" max="10253" width="10.625" style="61" customWidth="1"/>
    <col min="10254" max="10494" width="9.125" style="61"/>
    <col min="10495" max="10495" width="8" style="61" customWidth="1"/>
    <col min="10496" max="10496" width="28.5" style="61" customWidth="1"/>
    <col min="10497" max="10508" width="9.125" style="61"/>
    <col min="10509" max="10509" width="10.625" style="61" customWidth="1"/>
    <col min="10510" max="10750" width="9.125" style="61"/>
    <col min="10751" max="10751" width="8" style="61" customWidth="1"/>
    <col min="10752" max="10752" width="28.5" style="61" customWidth="1"/>
    <col min="10753" max="10764" width="9.125" style="61"/>
    <col min="10765" max="10765" width="10.625" style="61" customWidth="1"/>
    <col min="10766" max="11006" width="9.125" style="61"/>
    <col min="11007" max="11007" width="8" style="61" customWidth="1"/>
    <col min="11008" max="11008" width="28.5" style="61" customWidth="1"/>
    <col min="11009" max="11020" width="9.125" style="61"/>
    <col min="11021" max="11021" width="10.625" style="61" customWidth="1"/>
    <col min="11022" max="11262" width="9.125" style="61"/>
    <col min="11263" max="11263" width="8" style="61" customWidth="1"/>
    <col min="11264" max="11264" width="28.5" style="61" customWidth="1"/>
    <col min="11265" max="11276" width="9.125" style="61"/>
    <col min="11277" max="11277" width="10.625" style="61" customWidth="1"/>
    <col min="11278" max="11518" width="9.125" style="61"/>
    <col min="11519" max="11519" width="8" style="61" customWidth="1"/>
    <col min="11520" max="11520" width="28.5" style="61" customWidth="1"/>
    <col min="11521" max="11532" width="9.125" style="61"/>
    <col min="11533" max="11533" width="10.625" style="61" customWidth="1"/>
    <col min="11534" max="11774" width="9.125" style="61"/>
    <col min="11775" max="11775" width="8" style="61" customWidth="1"/>
    <col min="11776" max="11776" width="28.5" style="61" customWidth="1"/>
    <col min="11777" max="11788" width="9.125" style="61"/>
    <col min="11789" max="11789" width="10.625" style="61" customWidth="1"/>
    <col min="11790" max="12030" width="9.125" style="61"/>
    <col min="12031" max="12031" width="8" style="61" customWidth="1"/>
    <col min="12032" max="12032" width="28.5" style="61" customWidth="1"/>
    <col min="12033" max="12044" width="9.125" style="61"/>
    <col min="12045" max="12045" width="10.625" style="61" customWidth="1"/>
    <col min="12046" max="12286" width="9.125" style="61"/>
    <col min="12287" max="12287" width="8" style="61" customWidth="1"/>
    <col min="12288" max="12288" width="28.5" style="61" customWidth="1"/>
    <col min="12289" max="12300" width="9.125" style="61"/>
    <col min="12301" max="12301" width="10.625" style="61" customWidth="1"/>
    <col min="12302" max="12542" width="9.125" style="61"/>
    <col min="12543" max="12543" width="8" style="61" customWidth="1"/>
    <col min="12544" max="12544" width="28.5" style="61" customWidth="1"/>
    <col min="12545" max="12556" width="9.125" style="61"/>
    <col min="12557" max="12557" width="10.625" style="61" customWidth="1"/>
    <col min="12558" max="12798" width="9.125" style="61"/>
    <col min="12799" max="12799" width="8" style="61" customWidth="1"/>
    <col min="12800" max="12800" width="28.5" style="61" customWidth="1"/>
    <col min="12801" max="12812" width="9.125" style="61"/>
    <col min="12813" max="12813" width="10.625" style="61" customWidth="1"/>
    <col min="12814" max="13054" width="9.125" style="61"/>
    <col min="13055" max="13055" width="8" style="61" customWidth="1"/>
    <col min="13056" max="13056" width="28.5" style="61" customWidth="1"/>
    <col min="13057" max="13068" width="9.125" style="61"/>
    <col min="13069" max="13069" width="10.625" style="61" customWidth="1"/>
    <col min="13070" max="13310" width="9.125" style="61"/>
    <col min="13311" max="13311" width="8" style="61" customWidth="1"/>
    <col min="13312" max="13312" width="28.5" style="61" customWidth="1"/>
    <col min="13313" max="13324" width="9.125" style="61"/>
    <col min="13325" max="13325" width="10.625" style="61" customWidth="1"/>
    <col min="13326" max="13566" width="9.125" style="61"/>
    <col min="13567" max="13567" width="8" style="61" customWidth="1"/>
    <col min="13568" max="13568" width="28.5" style="61" customWidth="1"/>
    <col min="13569" max="13580" width="9.125" style="61"/>
    <col min="13581" max="13581" width="10.625" style="61" customWidth="1"/>
    <col min="13582" max="13822" width="9.125" style="61"/>
    <col min="13823" max="13823" width="8" style="61" customWidth="1"/>
    <col min="13824" max="13824" width="28.5" style="61" customWidth="1"/>
    <col min="13825" max="13836" width="9.125" style="61"/>
    <col min="13837" max="13837" width="10.625" style="61" customWidth="1"/>
    <col min="13838" max="14078" width="9.125" style="61"/>
    <col min="14079" max="14079" width="8" style="61" customWidth="1"/>
    <col min="14080" max="14080" width="28.5" style="61" customWidth="1"/>
    <col min="14081" max="14092" width="9.125" style="61"/>
    <col min="14093" max="14093" width="10.625" style="61" customWidth="1"/>
    <col min="14094" max="14334" width="9.125" style="61"/>
    <col min="14335" max="14335" width="8" style="61" customWidth="1"/>
    <col min="14336" max="14336" width="28.5" style="61" customWidth="1"/>
    <col min="14337" max="14348" width="9.125" style="61"/>
    <col min="14349" max="14349" width="10.625" style="61" customWidth="1"/>
    <col min="14350" max="14590" width="9.125" style="61"/>
    <col min="14591" max="14591" width="8" style="61" customWidth="1"/>
    <col min="14592" max="14592" width="28.5" style="61" customWidth="1"/>
    <col min="14593" max="14604" width="9.125" style="61"/>
    <col min="14605" max="14605" width="10.625" style="61" customWidth="1"/>
    <col min="14606" max="14846" width="9.125" style="61"/>
    <col min="14847" max="14847" width="8" style="61" customWidth="1"/>
    <col min="14848" max="14848" width="28.5" style="61" customWidth="1"/>
    <col min="14849" max="14860" width="9.125" style="61"/>
    <col min="14861" max="14861" width="10.625" style="61" customWidth="1"/>
    <col min="14862" max="15102" width="9.125" style="61"/>
    <col min="15103" max="15103" width="8" style="61" customWidth="1"/>
    <col min="15104" max="15104" width="28.5" style="61" customWidth="1"/>
    <col min="15105" max="15116" width="9.125" style="61"/>
    <col min="15117" max="15117" width="10.625" style="61" customWidth="1"/>
    <col min="15118" max="15358" width="9.125" style="61"/>
    <col min="15359" max="15359" width="8" style="61" customWidth="1"/>
    <col min="15360" max="15360" width="28.5" style="61" customWidth="1"/>
    <col min="15361" max="15372" width="9.125" style="61"/>
    <col min="15373" max="15373" width="10.625" style="61" customWidth="1"/>
    <col min="15374" max="15614" width="9.125" style="61"/>
    <col min="15615" max="15615" width="8" style="61" customWidth="1"/>
    <col min="15616" max="15616" width="28.5" style="61" customWidth="1"/>
    <col min="15617" max="15628" width="9.125" style="61"/>
    <col min="15629" max="15629" width="10.625" style="61" customWidth="1"/>
    <col min="15630" max="15870" width="9.125" style="61"/>
    <col min="15871" max="15871" width="8" style="61" customWidth="1"/>
    <col min="15872" max="15872" width="28.5" style="61" customWidth="1"/>
    <col min="15873" max="15884" width="9.125" style="61"/>
    <col min="15885" max="15885" width="10.625" style="61" customWidth="1"/>
    <col min="15886" max="16126" width="9.125" style="61"/>
    <col min="16127" max="16127" width="8" style="61" customWidth="1"/>
    <col min="16128" max="16128" width="28.5" style="61" customWidth="1"/>
    <col min="16129" max="16140" width="9.125" style="61"/>
    <col min="16141" max="16141" width="10.625" style="61" customWidth="1"/>
    <col min="16142" max="16384" width="9.125" style="61"/>
  </cols>
  <sheetData>
    <row r="1" spans="1:13" ht="18.75">
      <c r="A1" s="62" t="s">
        <v>105</v>
      </c>
      <c r="B1" s="63"/>
      <c r="C1" s="64"/>
      <c r="D1" s="64"/>
      <c r="E1" s="63"/>
      <c r="F1" s="64"/>
      <c r="G1" s="64"/>
      <c r="H1" s="63"/>
      <c r="I1" s="64"/>
      <c r="J1" s="64"/>
      <c r="K1" s="64"/>
      <c r="L1" s="64"/>
      <c r="M1" s="64"/>
    </row>
    <row r="2" spans="1:13" ht="12">
      <c r="A2" s="61" t="s">
        <v>106</v>
      </c>
      <c r="B2" s="65"/>
    </row>
    <row r="3" spans="1:13" ht="16.899999999999999" customHeight="1">
      <c r="A3" s="66" t="s">
        <v>13</v>
      </c>
      <c r="B3" s="66" t="s">
        <v>107</v>
      </c>
      <c r="C3" s="258" t="s">
        <v>108</v>
      </c>
      <c r="D3" s="258"/>
      <c r="E3" s="258"/>
      <c r="F3" s="68"/>
      <c r="G3" s="69"/>
      <c r="H3" s="70"/>
      <c r="I3" s="70"/>
      <c r="J3" s="70" t="s">
        <v>109</v>
      </c>
      <c r="K3" s="70"/>
      <c r="L3" s="70"/>
      <c r="M3" s="91"/>
    </row>
    <row r="4" spans="1:13" ht="16.149999999999999" customHeight="1">
      <c r="A4" s="71"/>
      <c r="B4" s="71" t="s">
        <v>110</v>
      </c>
      <c r="C4" s="67">
        <v>2017</v>
      </c>
      <c r="D4" s="67">
        <f t="shared" ref="D4:L4" si="0">C4+1</f>
        <v>2018</v>
      </c>
      <c r="E4" s="67">
        <f t="shared" si="0"/>
        <v>2019</v>
      </c>
      <c r="F4" s="67">
        <f t="shared" si="0"/>
        <v>2020</v>
      </c>
      <c r="G4" s="67">
        <f t="shared" si="0"/>
        <v>2021</v>
      </c>
      <c r="H4" s="72">
        <f t="shared" si="0"/>
        <v>2022</v>
      </c>
      <c r="I4" s="72">
        <f t="shared" si="0"/>
        <v>2023</v>
      </c>
      <c r="J4" s="72">
        <f t="shared" si="0"/>
        <v>2024</v>
      </c>
      <c r="K4" s="72">
        <f t="shared" si="0"/>
        <v>2025</v>
      </c>
      <c r="L4" s="72">
        <f t="shared" si="0"/>
        <v>2026</v>
      </c>
      <c r="M4" s="92" t="s">
        <v>111</v>
      </c>
    </row>
    <row r="5" spans="1:13" ht="15.6" customHeight="1">
      <c r="A5" s="73">
        <v>1</v>
      </c>
      <c r="B5" s="74" t="s">
        <v>112</v>
      </c>
      <c r="C5" s="75">
        <f>SUM(C6:C9)</f>
        <v>0</v>
      </c>
      <c r="D5" s="75">
        <f t="shared" ref="D5:L5" si="1">SUM(D6:D9)</f>
        <v>0</v>
      </c>
      <c r="E5" s="75" t="e">
        <f t="shared" si="1"/>
        <v>#REF!</v>
      </c>
      <c r="F5" s="75">
        <f t="shared" si="1"/>
        <v>105000</v>
      </c>
      <c r="G5" s="75">
        <f t="shared" si="1"/>
        <v>525000</v>
      </c>
      <c r="H5" s="75">
        <f t="shared" si="1"/>
        <v>0</v>
      </c>
      <c r="I5" s="75" t="e">
        <f t="shared" si="1"/>
        <v>#REF!</v>
      </c>
      <c r="J5" s="75" t="e">
        <f t="shared" si="1"/>
        <v>#REF!</v>
      </c>
      <c r="K5" s="75" t="e">
        <f t="shared" si="1"/>
        <v>#REF!</v>
      </c>
      <c r="L5" s="75">
        <f t="shared" si="1"/>
        <v>1155000</v>
      </c>
      <c r="M5" s="79" t="e">
        <f t="shared" ref="M5:M17" si="2">SUM(C5:L5)</f>
        <v>#REF!</v>
      </c>
    </row>
    <row r="6" spans="1:13" ht="15.6" customHeight="1">
      <c r="A6" s="73">
        <v>1.1000000000000001</v>
      </c>
      <c r="B6" s="76" t="s">
        <v>113</v>
      </c>
      <c r="C6" s="77"/>
      <c r="D6" s="77"/>
      <c r="E6" s="77" t="e">
        <f>损益表!#REF!</f>
        <v>#REF!</v>
      </c>
      <c r="F6" s="77">
        <f>损益表!C5</f>
        <v>105000</v>
      </c>
      <c r="G6" s="77">
        <f>损益表!D5</f>
        <v>525000</v>
      </c>
      <c r="H6" s="77">
        <f>损益表!G5</f>
        <v>0</v>
      </c>
      <c r="I6" s="77" t="e">
        <f>损益表!#REF!</f>
        <v>#REF!</v>
      </c>
      <c r="J6" s="77" t="e">
        <f>损益表!#REF!</f>
        <v>#REF!</v>
      </c>
      <c r="K6" s="77" t="e">
        <f>损益表!#REF!</f>
        <v>#REF!</v>
      </c>
      <c r="L6" s="77">
        <f>损益表!H5</f>
        <v>1155000</v>
      </c>
      <c r="M6" s="79" t="e">
        <f t="shared" si="2"/>
        <v>#REF!</v>
      </c>
    </row>
    <row r="7" spans="1:13" ht="15.6" customHeight="1">
      <c r="A7" s="73">
        <v>1.2</v>
      </c>
      <c r="B7" s="76" t="s">
        <v>114</v>
      </c>
      <c r="C7" s="77"/>
      <c r="D7" s="77"/>
      <c r="E7" s="77">
        <f>[1]折、摊!G18</f>
        <v>0</v>
      </c>
      <c r="F7" s="77">
        <f>[1]折、摊!H18</f>
        <v>0</v>
      </c>
      <c r="G7" s="77">
        <f>[1]折、摊!I18</f>
        <v>0</v>
      </c>
      <c r="H7" s="77">
        <f>[1]折、摊!J18</f>
        <v>0</v>
      </c>
      <c r="I7" s="77">
        <f>[1]折、摊!K18</f>
        <v>0</v>
      </c>
      <c r="J7" s="77">
        <f>[1]折、摊!L18</f>
        <v>0</v>
      </c>
      <c r="K7" s="77">
        <f>[1]折、摊!M18</f>
        <v>0</v>
      </c>
      <c r="L7" s="77">
        <f>[1]折、摊!N18</f>
        <v>0</v>
      </c>
      <c r="M7" s="79">
        <f t="shared" si="2"/>
        <v>0</v>
      </c>
    </row>
    <row r="8" spans="1:13" ht="15.6" customHeight="1">
      <c r="A8" s="73">
        <v>1.3</v>
      </c>
      <c r="B8" s="76" t="s">
        <v>115</v>
      </c>
      <c r="C8" s="77" t="s">
        <v>116</v>
      </c>
      <c r="D8" s="77" t="s">
        <v>116</v>
      </c>
      <c r="E8" s="77" t="s">
        <v>116</v>
      </c>
      <c r="F8" s="77" t="s">
        <v>116</v>
      </c>
      <c r="G8" s="77" t="s">
        <v>116</v>
      </c>
      <c r="H8" s="77" t="s">
        <v>116</v>
      </c>
      <c r="I8" s="77" t="s">
        <v>116</v>
      </c>
      <c r="J8" s="77" t="s">
        <v>116</v>
      </c>
      <c r="K8" s="77" t="s">
        <v>116</v>
      </c>
      <c r="L8" s="77"/>
      <c r="M8" s="79">
        <f t="shared" si="2"/>
        <v>0</v>
      </c>
    </row>
    <row r="9" spans="1:13" s="60" customFormat="1" ht="15.6" customHeight="1">
      <c r="A9" s="78">
        <v>1.4</v>
      </c>
      <c r="B9" s="79" t="s">
        <v>117</v>
      </c>
      <c r="C9" s="77" t="s">
        <v>116</v>
      </c>
      <c r="D9" s="77" t="s">
        <v>116</v>
      </c>
      <c r="E9" s="77" t="s">
        <v>116</v>
      </c>
      <c r="F9" s="77" t="s">
        <v>116</v>
      </c>
      <c r="G9" s="77" t="s">
        <v>116</v>
      </c>
      <c r="H9" s="77" t="s">
        <v>116</v>
      </c>
      <c r="I9" s="77" t="s">
        <v>116</v>
      </c>
      <c r="J9" s="77" t="s">
        <v>116</v>
      </c>
      <c r="K9" s="77" t="s">
        <v>116</v>
      </c>
      <c r="L9" s="77" t="s">
        <v>116</v>
      </c>
      <c r="M9" s="79">
        <f t="shared" si="2"/>
        <v>0</v>
      </c>
    </row>
    <row r="10" spans="1:13" ht="15.6" customHeight="1">
      <c r="A10" s="78">
        <v>2</v>
      </c>
      <c r="B10" s="74" t="s">
        <v>118</v>
      </c>
      <c r="C10" s="75">
        <f t="shared" ref="C10:L10" si="3">SUM(C11:C16)</f>
        <v>0</v>
      </c>
      <c r="D10" s="75">
        <f t="shared" si="3"/>
        <v>0</v>
      </c>
      <c r="E10" s="75">
        <f t="shared" si="3"/>
        <v>0</v>
      </c>
      <c r="F10" s="75">
        <f t="shared" si="3"/>
        <v>0</v>
      </c>
      <c r="G10" s="75">
        <f t="shared" si="3"/>
        <v>0</v>
      </c>
      <c r="H10" s="75">
        <f t="shared" si="3"/>
        <v>0</v>
      </c>
      <c r="I10" s="75">
        <f t="shared" si="3"/>
        <v>0</v>
      </c>
      <c r="J10" s="75">
        <f t="shared" si="3"/>
        <v>0</v>
      </c>
      <c r="K10" s="75">
        <f t="shared" si="3"/>
        <v>0</v>
      </c>
      <c r="L10" s="75">
        <f t="shared" si="3"/>
        <v>0</v>
      </c>
      <c r="M10" s="79">
        <f t="shared" si="2"/>
        <v>0</v>
      </c>
    </row>
    <row r="11" spans="1:13" ht="15" customHeight="1">
      <c r="A11" s="73">
        <v>2.1</v>
      </c>
      <c r="B11" s="73" t="s">
        <v>119</v>
      </c>
      <c r="C11" s="77">
        <f>([1]计划!C6-[1]计划!C7)</f>
        <v>0</v>
      </c>
      <c r="D11" s="77">
        <f>([1]计划!D6-[1]计划!D7)</f>
        <v>0</v>
      </c>
      <c r="E11" s="77">
        <f>([1]计划!E6-[1]计划!E7)</f>
        <v>0</v>
      </c>
      <c r="F11" s="77">
        <f>([1]计划!F6-[1]计划!F7)</f>
        <v>0</v>
      </c>
      <c r="G11" s="77">
        <f>([1]计划!G6-[1]计划!G7)</f>
        <v>0</v>
      </c>
      <c r="H11" s="77">
        <f>([1]计划!H6-[1]计划!H7)</f>
        <v>0</v>
      </c>
      <c r="I11" s="77">
        <f>([1]计划!I6-[1]计划!I7)</f>
        <v>0</v>
      </c>
      <c r="J11" s="77">
        <f>([1]计划!J6-[1]计划!J7)</f>
        <v>0</v>
      </c>
      <c r="K11" s="77">
        <f>([1]计划!K6-[1]计划!K7)</f>
        <v>0</v>
      </c>
      <c r="L11" s="77">
        <f>([1]计划!L6-[1]计划!L7)</f>
        <v>0</v>
      </c>
      <c r="M11" s="79">
        <f t="shared" si="2"/>
        <v>0</v>
      </c>
    </row>
    <row r="12" spans="1:13" s="60" customFormat="1" ht="15" customHeight="1">
      <c r="A12" s="73">
        <v>2.2000000000000002</v>
      </c>
      <c r="B12" s="79" t="s">
        <v>120</v>
      </c>
      <c r="C12" s="77">
        <f>[1]计划!C8</f>
        <v>0</v>
      </c>
      <c r="D12" s="77">
        <f>[1]计划!D8</f>
        <v>0</v>
      </c>
      <c r="E12" s="77">
        <f>[1]计划!E8</f>
        <v>0</v>
      </c>
      <c r="F12" s="77">
        <f>[1]计划!F8</f>
        <v>0</v>
      </c>
      <c r="G12" s="77">
        <f>[1]计划!G8</f>
        <v>0</v>
      </c>
      <c r="H12" s="77">
        <f>[1]计划!H8</f>
        <v>0</v>
      </c>
      <c r="I12" s="77">
        <f>[1]计划!I8</f>
        <v>0</v>
      </c>
      <c r="J12" s="77">
        <f>[1]计划!J8</f>
        <v>0</v>
      </c>
      <c r="K12" s="77">
        <f>[1]计划!K8</f>
        <v>0</v>
      </c>
      <c r="L12" s="77">
        <f>[1]计划!L8</f>
        <v>0</v>
      </c>
      <c r="M12" s="79">
        <f t="shared" si="2"/>
        <v>0</v>
      </c>
    </row>
    <row r="13" spans="1:13" ht="15" customHeight="1">
      <c r="A13" s="73">
        <v>2.2999999999999998</v>
      </c>
      <c r="B13" s="76" t="s">
        <v>121</v>
      </c>
      <c r="C13" s="77">
        <f>[1]总成本!C22</f>
        <v>0</v>
      </c>
      <c r="D13" s="77">
        <f>[1]总成本!D22</f>
        <v>0</v>
      </c>
      <c r="E13" s="77">
        <f>[1]总成本!E22</f>
        <v>0</v>
      </c>
      <c r="F13" s="77">
        <f>[1]总成本!F22</f>
        <v>0</v>
      </c>
      <c r="G13" s="77">
        <f>[1]总成本!G22</f>
        <v>0</v>
      </c>
      <c r="H13" s="77">
        <f>[1]总成本!H22</f>
        <v>0</v>
      </c>
      <c r="I13" s="77">
        <f>[1]总成本!I22</f>
        <v>0</v>
      </c>
      <c r="J13" s="77">
        <f>[1]总成本!J22</f>
        <v>0</v>
      </c>
      <c r="K13" s="77">
        <f>[1]总成本!K22</f>
        <v>0</v>
      </c>
      <c r="L13" s="77">
        <f>[1]总成本!L22</f>
        <v>0</v>
      </c>
      <c r="M13" s="79">
        <f t="shared" si="2"/>
        <v>0</v>
      </c>
    </row>
    <row r="14" spans="1:13" ht="15" customHeight="1">
      <c r="A14" s="73">
        <v>2.4</v>
      </c>
      <c r="B14" s="76" t="s">
        <v>122</v>
      </c>
      <c r="C14" s="77">
        <f>[1]价格!D15</f>
        <v>0</v>
      </c>
      <c r="D14" s="77">
        <f>[1]价格!E15</f>
        <v>0</v>
      </c>
      <c r="E14" s="77">
        <f>[1]价格!F15</f>
        <v>0</v>
      </c>
      <c r="F14" s="77">
        <f>[1]价格!G15</f>
        <v>0</v>
      </c>
      <c r="G14" s="77">
        <f>[1]价格!H15</f>
        <v>0</v>
      </c>
      <c r="H14" s="77">
        <f>[1]价格!I15</f>
        <v>0</v>
      </c>
      <c r="I14" s="77">
        <f>[1]价格!J15</f>
        <v>0</v>
      </c>
      <c r="J14" s="77">
        <f>[1]价格!K15</f>
        <v>0</v>
      </c>
      <c r="K14" s="77">
        <f>[1]价格!L15</f>
        <v>0</v>
      </c>
      <c r="L14" s="77">
        <f>[1]价格!M15</f>
        <v>0</v>
      </c>
      <c r="M14" s="79">
        <f t="shared" si="2"/>
        <v>0</v>
      </c>
    </row>
    <row r="15" spans="1:13" ht="15" customHeight="1">
      <c r="A15" s="73">
        <v>2.5</v>
      </c>
      <c r="B15" s="76" t="s">
        <v>53</v>
      </c>
      <c r="C15" s="77">
        <f>[1]利润!C13</f>
        <v>0</v>
      </c>
      <c r="D15" s="77">
        <f>[1]利润!D13</f>
        <v>0</v>
      </c>
      <c r="E15" s="77">
        <f>[1]利润!E13</f>
        <v>0</v>
      </c>
      <c r="F15" s="77">
        <f>[1]利润!F13</f>
        <v>0</v>
      </c>
      <c r="G15" s="77">
        <f>[1]利润!G13</f>
        <v>0</v>
      </c>
      <c r="H15" s="77">
        <f>[1]利润!H13</f>
        <v>0</v>
      </c>
      <c r="I15" s="77">
        <f>[1]利润!I13</f>
        <v>0</v>
      </c>
      <c r="J15" s="77">
        <f>[1]利润!J13</f>
        <v>0</v>
      </c>
      <c r="K15" s="77">
        <f>[1]利润!K13</f>
        <v>0</v>
      </c>
      <c r="L15" s="77">
        <f>[1]利润!L13</f>
        <v>0</v>
      </c>
      <c r="M15" s="79">
        <f t="shared" si="2"/>
        <v>0</v>
      </c>
    </row>
    <row r="16" spans="1:13" ht="15" customHeight="1">
      <c r="A16" s="73">
        <v>2.6</v>
      </c>
      <c r="B16" s="76" t="s">
        <v>123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9">
        <f t="shared" si="2"/>
        <v>0</v>
      </c>
    </row>
    <row r="17" spans="1:18" ht="12">
      <c r="A17" s="73">
        <v>3</v>
      </c>
      <c r="B17" s="74" t="s">
        <v>124</v>
      </c>
      <c r="C17" s="75">
        <f t="shared" ref="C17:L17" si="4">C5-C10</f>
        <v>0</v>
      </c>
      <c r="D17" s="75">
        <f t="shared" si="4"/>
        <v>0</v>
      </c>
      <c r="E17" s="75" t="e">
        <f t="shared" si="4"/>
        <v>#REF!</v>
      </c>
      <c r="F17" s="75">
        <f t="shared" si="4"/>
        <v>105000</v>
      </c>
      <c r="G17" s="75">
        <f t="shared" si="4"/>
        <v>525000</v>
      </c>
      <c r="H17" s="75">
        <f t="shared" si="4"/>
        <v>0</v>
      </c>
      <c r="I17" s="75" t="e">
        <f t="shared" si="4"/>
        <v>#REF!</v>
      </c>
      <c r="J17" s="75" t="e">
        <f t="shared" si="4"/>
        <v>#REF!</v>
      </c>
      <c r="K17" s="75" t="e">
        <f t="shared" si="4"/>
        <v>#REF!</v>
      </c>
      <c r="L17" s="75">
        <f t="shared" si="4"/>
        <v>1155000</v>
      </c>
      <c r="M17" s="79" t="e">
        <f t="shared" si="2"/>
        <v>#REF!</v>
      </c>
    </row>
    <row r="18" spans="1:18" ht="12">
      <c r="A18" s="80">
        <v>4</v>
      </c>
      <c r="B18" s="76" t="s">
        <v>125</v>
      </c>
      <c r="C18" s="77">
        <f>C17</f>
        <v>0</v>
      </c>
      <c r="D18" s="77">
        <f t="shared" ref="D18:L18" si="5">C18+D17</f>
        <v>0</v>
      </c>
      <c r="E18" s="77" t="e">
        <f t="shared" si="5"/>
        <v>#REF!</v>
      </c>
      <c r="F18" s="77" t="e">
        <f t="shared" si="5"/>
        <v>#REF!</v>
      </c>
      <c r="G18" s="77" t="e">
        <f t="shared" si="5"/>
        <v>#REF!</v>
      </c>
      <c r="H18" s="77" t="e">
        <f t="shared" si="5"/>
        <v>#REF!</v>
      </c>
      <c r="I18" s="77" t="e">
        <f t="shared" si="5"/>
        <v>#REF!</v>
      </c>
      <c r="J18" s="77" t="e">
        <f t="shared" si="5"/>
        <v>#REF!</v>
      </c>
      <c r="K18" s="77" t="e">
        <f t="shared" si="5"/>
        <v>#REF!</v>
      </c>
      <c r="L18" s="77" t="e">
        <f t="shared" si="5"/>
        <v>#REF!</v>
      </c>
      <c r="M18" s="76" t="s">
        <v>116</v>
      </c>
    </row>
    <row r="19" spans="1:18" s="60" customFormat="1" ht="12">
      <c r="A19" s="80">
        <v>5</v>
      </c>
      <c r="B19" s="76" t="s">
        <v>126</v>
      </c>
      <c r="C19" s="77">
        <f t="shared" ref="C19:L19" si="6">C17+C15</f>
        <v>0</v>
      </c>
      <c r="D19" s="77">
        <f t="shared" si="6"/>
        <v>0</v>
      </c>
      <c r="E19" s="77" t="e">
        <f t="shared" si="6"/>
        <v>#REF!</v>
      </c>
      <c r="F19" s="77">
        <f t="shared" si="6"/>
        <v>105000</v>
      </c>
      <c r="G19" s="77">
        <f t="shared" si="6"/>
        <v>525000</v>
      </c>
      <c r="H19" s="77">
        <f t="shared" si="6"/>
        <v>0</v>
      </c>
      <c r="I19" s="77" t="e">
        <f t="shared" si="6"/>
        <v>#REF!</v>
      </c>
      <c r="J19" s="77" t="e">
        <f t="shared" si="6"/>
        <v>#REF!</v>
      </c>
      <c r="K19" s="77" t="e">
        <f t="shared" si="6"/>
        <v>#REF!</v>
      </c>
      <c r="L19" s="77">
        <f t="shared" si="6"/>
        <v>1155000</v>
      </c>
      <c r="M19" s="79" t="e">
        <f>SUM(C19:L19)</f>
        <v>#REF!</v>
      </c>
    </row>
    <row r="20" spans="1:18" s="60" customFormat="1" ht="12">
      <c r="A20" s="73">
        <v>6</v>
      </c>
      <c r="B20" s="76" t="s">
        <v>127</v>
      </c>
      <c r="C20" s="77">
        <f>C19</f>
        <v>0</v>
      </c>
      <c r="D20" s="77">
        <f t="shared" ref="D20:L20" si="7">C20+D19</f>
        <v>0</v>
      </c>
      <c r="E20" s="77" t="e">
        <f t="shared" si="7"/>
        <v>#REF!</v>
      </c>
      <c r="F20" s="77" t="e">
        <f t="shared" si="7"/>
        <v>#REF!</v>
      </c>
      <c r="G20" s="77" t="e">
        <f t="shared" si="7"/>
        <v>#REF!</v>
      </c>
      <c r="H20" s="77" t="e">
        <f t="shared" si="7"/>
        <v>#REF!</v>
      </c>
      <c r="I20" s="77" t="e">
        <f t="shared" si="7"/>
        <v>#REF!</v>
      </c>
      <c r="J20" s="77" t="e">
        <f t="shared" si="7"/>
        <v>#REF!</v>
      </c>
      <c r="K20" s="77" t="e">
        <f t="shared" si="7"/>
        <v>#REF!</v>
      </c>
      <c r="L20" s="77" t="e">
        <f t="shared" si="7"/>
        <v>#REF!</v>
      </c>
      <c r="M20" s="76" t="s">
        <v>116</v>
      </c>
    </row>
    <row r="21" spans="1:18" ht="12">
      <c r="A21" s="81"/>
      <c r="B21" s="82" t="s">
        <v>128</v>
      </c>
      <c r="C21" s="82"/>
      <c r="D21" s="82"/>
      <c r="E21" s="82" t="s">
        <v>129</v>
      </c>
      <c r="F21" s="82"/>
      <c r="G21" s="82"/>
      <c r="H21" s="82"/>
      <c r="I21" s="82" t="s">
        <v>130</v>
      </c>
      <c r="J21" s="82"/>
      <c r="K21" s="82"/>
      <c r="L21" s="82"/>
      <c r="M21" s="93"/>
    </row>
    <row r="22" spans="1:18" ht="12">
      <c r="A22" s="83"/>
      <c r="B22" s="84" t="s">
        <v>131</v>
      </c>
      <c r="C22" s="84"/>
      <c r="D22" s="85" t="s">
        <v>132</v>
      </c>
      <c r="E22" s="86" t="e">
        <f>IRR(C17:L17,0.15)</f>
        <v>#VALUE!</v>
      </c>
      <c r="F22" s="84"/>
      <c r="G22" s="84"/>
      <c r="H22" s="84"/>
      <c r="I22" s="86" t="e">
        <f>IRR(C19:L19,0.15)</f>
        <v>#VALUE!</v>
      </c>
      <c r="J22" s="84"/>
      <c r="K22" s="84"/>
      <c r="L22" s="84"/>
      <c r="M22" s="94"/>
    </row>
    <row r="23" spans="1:18" ht="12">
      <c r="A23" s="83"/>
      <c r="B23" s="84" t="s">
        <v>133</v>
      </c>
      <c r="C23" s="84"/>
      <c r="D23" s="84"/>
      <c r="E23" s="87" t="e">
        <f>NPV(0.12,C17:L17)</f>
        <v>#REF!</v>
      </c>
      <c r="F23" s="84"/>
      <c r="G23" s="84"/>
      <c r="H23" s="84"/>
      <c r="I23" s="87" t="e">
        <f>NPV(0.12,C19:L19)</f>
        <v>#REF!</v>
      </c>
      <c r="J23" s="84"/>
      <c r="K23" s="84"/>
      <c r="L23" s="84"/>
      <c r="M23" s="94"/>
      <c r="R23" s="61">
        <f>30.9-29.82</f>
        <v>1.0799999999999983</v>
      </c>
    </row>
    <row r="24" spans="1:18" ht="12">
      <c r="A24" s="88"/>
      <c r="B24" s="89" t="s">
        <v>134</v>
      </c>
      <c r="C24" s="89"/>
      <c r="D24" s="89"/>
      <c r="E24" s="90" t="e">
        <f>6-H18/I17</f>
        <v>#REF!</v>
      </c>
      <c r="F24" s="89"/>
      <c r="G24" s="89"/>
      <c r="H24" s="89"/>
      <c r="I24" s="90" t="e">
        <f>6-H20/I19</f>
        <v>#REF!</v>
      </c>
      <c r="J24" s="89"/>
      <c r="K24" s="89"/>
      <c r="L24" s="89"/>
      <c r="M24" s="95"/>
    </row>
  </sheetData>
  <mergeCells count="1">
    <mergeCell ref="C3:E3"/>
  </mergeCells>
  <phoneticPr fontId="37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4"/>
  <sheetViews>
    <sheetView workbookViewId="0">
      <pane xSplit="2" ySplit="7" topLeftCell="C20" activePane="bottomRight" state="frozen"/>
      <selection pane="topRight"/>
      <selection pane="bottomLeft"/>
      <selection pane="bottomRight" activeCell="E42" sqref="E42"/>
    </sheetView>
  </sheetViews>
  <sheetFormatPr defaultColWidth="9" defaultRowHeight="16.5"/>
  <cols>
    <col min="1" max="1" width="5.125" style="36" customWidth="1"/>
    <col min="2" max="2" width="17.5" style="36" customWidth="1"/>
    <col min="3" max="10" width="13.25" style="37" customWidth="1"/>
    <col min="11" max="11" width="18.75" style="37" customWidth="1"/>
    <col min="12" max="12" width="12.375" style="36" customWidth="1"/>
    <col min="13" max="13" width="10.125" style="36" customWidth="1"/>
    <col min="14" max="20" width="9" style="36" customWidth="1"/>
    <col min="21" max="34" width="9" style="36"/>
    <col min="35" max="35" width="4.375" style="36" customWidth="1"/>
    <col min="36" max="36" width="13.875" style="36" customWidth="1"/>
    <col min="37" max="16384" width="9" style="36"/>
  </cols>
  <sheetData>
    <row r="1" spans="1:37">
      <c r="A1" s="259" t="s">
        <v>135</v>
      </c>
      <c r="B1" s="259"/>
      <c r="C1" s="263" t="s">
        <v>233</v>
      </c>
      <c r="D1" s="264"/>
      <c r="E1" s="264"/>
      <c r="F1" s="264"/>
      <c r="G1" s="264"/>
      <c r="H1" s="264"/>
      <c r="I1" s="264"/>
      <c r="J1" s="264"/>
      <c r="K1" s="265"/>
    </row>
    <row r="2" spans="1:37">
      <c r="A2" s="259" t="s">
        <v>136</v>
      </c>
      <c r="B2" s="259"/>
      <c r="C2" s="266" t="s">
        <v>287</v>
      </c>
      <c r="D2" s="266"/>
      <c r="E2" s="266"/>
      <c r="F2" s="266"/>
      <c r="G2" s="266"/>
      <c r="H2" s="266"/>
      <c r="I2" s="266"/>
      <c r="J2" s="266"/>
      <c r="K2" s="266"/>
    </row>
    <row r="3" spans="1:37">
      <c r="A3" s="259" t="s">
        <v>137</v>
      </c>
      <c r="B3" s="259"/>
      <c r="C3" s="147" t="str">
        <f>销量!C5</f>
        <v>轻卡驾驶员座椅</v>
      </c>
      <c r="D3" s="147">
        <f>销量!D5</f>
        <v>0</v>
      </c>
      <c r="E3" s="147">
        <f>销量!E5</f>
        <v>0</v>
      </c>
      <c r="F3" s="147">
        <f>销量!F5</f>
        <v>0</v>
      </c>
      <c r="G3" s="147">
        <f>销量!G5</f>
        <v>0</v>
      </c>
      <c r="H3" s="147">
        <f>销量!H5</f>
        <v>0</v>
      </c>
      <c r="I3" s="147">
        <f>销量!I5</f>
        <v>0</v>
      </c>
      <c r="J3" s="147">
        <f>销量!J5</f>
        <v>0</v>
      </c>
      <c r="K3" s="260" t="s">
        <v>14</v>
      </c>
    </row>
    <row r="4" spans="1:37" ht="43.5" customHeight="1">
      <c r="A4" s="259" t="s">
        <v>138</v>
      </c>
      <c r="B4" s="259"/>
      <c r="C4" s="147" t="str">
        <f>销量!C6</f>
        <v>LZ161251000004</v>
      </c>
      <c r="D4" s="147">
        <f>销量!D6</f>
        <v>0</v>
      </c>
      <c r="E4" s="147">
        <f>销量!E6</f>
        <v>0</v>
      </c>
      <c r="F4" s="147">
        <f>销量!F6</f>
        <v>0</v>
      </c>
      <c r="G4" s="147">
        <f>销量!G6</f>
        <v>0</v>
      </c>
      <c r="H4" s="147">
        <f>销量!H6</f>
        <v>0</v>
      </c>
      <c r="I4" s="147">
        <f>销量!I6</f>
        <v>0</v>
      </c>
      <c r="J4" s="147">
        <f>销量!J6</f>
        <v>0</v>
      </c>
      <c r="K4" s="261"/>
    </row>
    <row r="5" spans="1:37">
      <c r="A5" s="259" t="s">
        <v>139</v>
      </c>
      <c r="B5" s="259"/>
      <c r="C5" s="39"/>
      <c r="D5" s="39"/>
      <c r="E5" s="39"/>
      <c r="F5" s="39"/>
      <c r="G5" s="39"/>
      <c r="H5" s="39"/>
      <c r="I5" s="39"/>
      <c r="J5" s="39"/>
      <c r="K5" s="262"/>
      <c r="AK5" s="36" t="s">
        <v>15</v>
      </c>
    </row>
    <row r="6" spans="1:37" ht="17.25">
      <c r="A6" s="40" t="s">
        <v>13</v>
      </c>
      <c r="B6" s="41" t="s">
        <v>140</v>
      </c>
      <c r="C6" s="12">
        <f>销量!C9</f>
        <v>300</v>
      </c>
      <c r="D6" s="12">
        <f>销量!D9</f>
        <v>0</v>
      </c>
      <c r="E6" s="12">
        <f>销量!E9</f>
        <v>0</v>
      </c>
      <c r="F6" s="12">
        <f>销量!F9</f>
        <v>0</v>
      </c>
      <c r="G6" s="12">
        <f>销量!G9</f>
        <v>0</v>
      </c>
      <c r="H6" s="12">
        <f>销量!H9</f>
        <v>0</v>
      </c>
      <c r="I6" s="12">
        <f>销量!I9</f>
        <v>0</v>
      </c>
      <c r="J6" s="12">
        <f>销量!J9</f>
        <v>0</v>
      </c>
      <c r="K6" s="42">
        <f t="shared" ref="K6:K15" si="0">SUM(C6:J6)</f>
        <v>300</v>
      </c>
      <c r="AI6" s="40" t="s">
        <v>13</v>
      </c>
      <c r="AJ6" s="41" t="s">
        <v>3</v>
      </c>
      <c r="AK6" s="36" t="s">
        <v>16</v>
      </c>
    </row>
    <row r="7" spans="1:37">
      <c r="A7" s="38">
        <v>1</v>
      </c>
      <c r="B7" s="41" t="s">
        <v>17</v>
      </c>
      <c r="C7" s="42">
        <f>C6*销量!C8</f>
        <v>105000</v>
      </c>
      <c r="D7" s="42">
        <f>D6*销量!D8</f>
        <v>0</v>
      </c>
      <c r="E7" s="42">
        <f>E6*销量!E8</f>
        <v>0</v>
      </c>
      <c r="F7" s="42">
        <f>F6*销量!F8</f>
        <v>0</v>
      </c>
      <c r="G7" s="42">
        <f>G6*销量!G8</f>
        <v>0</v>
      </c>
      <c r="H7" s="42">
        <f>H6*销量!H8</f>
        <v>0</v>
      </c>
      <c r="I7" s="42">
        <f>I6*销量!I8</f>
        <v>0</v>
      </c>
      <c r="J7" s="42">
        <f>J6*销量!J8</f>
        <v>0</v>
      </c>
      <c r="K7" s="42">
        <f t="shared" si="0"/>
        <v>105000</v>
      </c>
      <c r="L7" s="37"/>
      <c r="AI7" s="40" t="s">
        <v>18</v>
      </c>
      <c r="AJ7" s="41" t="s">
        <v>17</v>
      </c>
      <c r="AK7" s="36" t="s">
        <v>16</v>
      </c>
    </row>
    <row r="8" spans="1:37">
      <c r="A8" s="38">
        <v>2</v>
      </c>
      <c r="B8" s="38" t="s">
        <v>19</v>
      </c>
      <c r="C8" s="42"/>
      <c r="D8" s="42"/>
      <c r="E8" s="42"/>
      <c r="F8" s="42"/>
      <c r="G8" s="42"/>
      <c r="H8" s="42"/>
      <c r="I8" s="42"/>
      <c r="J8" s="42"/>
      <c r="K8" s="42">
        <f t="shared" si="0"/>
        <v>0</v>
      </c>
      <c r="L8" s="57"/>
      <c r="AI8" s="40" t="s">
        <v>20</v>
      </c>
      <c r="AJ8" s="38" t="s">
        <v>21</v>
      </c>
      <c r="AK8" s="36" t="s">
        <v>16</v>
      </c>
    </row>
    <row r="9" spans="1:37">
      <c r="A9" s="38">
        <v>3</v>
      </c>
      <c r="B9" s="41" t="s">
        <v>22</v>
      </c>
      <c r="C9" s="42">
        <f>+C7-C8</f>
        <v>105000</v>
      </c>
      <c r="D9" s="42">
        <f t="shared" ref="D9:J9" si="1">+D7-D8</f>
        <v>0</v>
      </c>
      <c r="E9" s="42">
        <f t="shared" si="1"/>
        <v>0</v>
      </c>
      <c r="F9" s="42">
        <f t="shared" si="1"/>
        <v>0</v>
      </c>
      <c r="G9" s="42">
        <f t="shared" si="1"/>
        <v>0</v>
      </c>
      <c r="H9" s="42">
        <f t="shared" si="1"/>
        <v>0</v>
      </c>
      <c r="I9" s="42">
        <f t="shared" si="1"/>
        <v>0</v>
      </c>
      <c r="J9" s="42">
        <f t="shared" si="1"/>
        <v>0</v>
      </c>
      <c r="K9" s="42">
        <f t="shared" si="0"/>
        <v>105000</v>
      </c>
      <c r="AI9" s="40" t="s">
        <v>23</v>
      </c>
      <c r="AJ9" s="41" t="s">
        <v>22</v>
      </c>
      <c r="AK9" s="36" t="s">
        <v>24</v>
      </c>
    </row>
    <row r="10" spans="1:37">
      <c r="A10" s="38">
        <v>4</v>
      </c>
      <c r="B10" s="40" t="s">
        <v>25</v>
      </c>
      <c r="C10" s="42">
        <f>C6*C33</f>
        <v>82002.45</v>
      </c>
      <c r="D10" s="42">
        <f>D6*D33</f>
        <v>0</v>
      </c>
      <c r="E10" s="42">
        <f t="shared" ref="E10:J10" si="2">E6*E33</f>
        <v>0</v>
      </c>
      <c r="F10" s="42">
        <f t="shared" si="2"/>
        <v>0</v>
      </c>
      <c r="G10" s="42">
        <f t="shared" si="2"/>
        <v>0</v>
      </c>
      <c r="H10" s="42">
        <f t="shared" si="2"/>
        <v>0</v>
      </c>
      <c r="I10" s="42">
        <f t="shared" si="2"/>
        <v>0</v>
      </c>
      <c r="J10" s="42">
        <f t="shared" si="2"/>
        <v>0</v>
      </c>
      <c r="K10" s="42">
        <f t="shared" si="0"/>
        <v>82002.45</v>
      </c>
      <c r="AI10" s="40" t="s">
        <v>26</v>
      </c>
      <c r="AJ10" s="40" t="s">
        <v>25</v>
      </c>
      <c r="AK10" s="36" t="s">
        <v>27</v>
      </c>
    </row>
    <row r="11" spans="1:37">
      <c r="A11" s="38">
        <v>5</v>
      </c>
      <c r="B11" s="40" t="s">
        <v>28</v>
      </c>
      <c r="C11" s="42">
        <f>+C6*C36</f>
        <v>6104.7630132846243</v>
      </c>
      <c r="D11" s="42">
        <f t="shared" ref="D11:J11" si="3">+D6*D36</f>
        <v>0</v>
      </c>
      <c r="E11" s="42">
        <f t="shared" si="3"/>
        <v>0</v>
      </c>
      <c r="F11" s="42">
        <f t="shared" si="3"/>
        <v>0</v>
      </c>
      <c r="G11" s="42">
        <f t="shared" si="3"/>
        <v>0</v>
      </c>
      <c r="H11" s="42">
        <f t="shared" si="3"/>
        <v>0</v>
      </c>
      <c r="I11" s="42">
        <f t="shared" si="3"/>
        <v>0</v>
      </c>
      <c r="J11" s="42">
        <f t="shared" si="3"/>
        <v>0</v>
      </c>
      <c r="K11" s="42">
        <f t="shared" si="0"/>
        <v>6104.7630132846243</v>
      </c>
      <c r="AI11" s="40" t="s">
        <v>29</v>
      </c>
      <c r="AJ11" s="40" t="s">
        <v>28</v>
      </c>
    </row>
    <row r="12" spans="1:37">
      <c r="A12" s="38">
        <v>6</v>
      </c>
      <c r="B12" s="40" t="s">
        <v>30</v>
      </c>
      <c r="C12" s="42">
        <f>+C6*C37</f>
        <v>1897.1774735763358</v>
      </c>
      <c r="D12" s="42">
        <f t="shared" ref="D12:J12" si="4">+D6*D37</f>
        <v>0</v>
      </c>
      <c r="E12" s="42">
        <f t="shared" si="4"/>
        <v>0</v>
      </c>
      <c r="F12" s="42">
        <f t="shared" si="4"/>
        <v>0</v>
      </c>
      <c r="G12" s="42">
        <f t="shared" si="4"/>
        <v>0</v>
      </c>
      <c r="H12" s="42">
        <f t="shared" si="4"/>
        <v>0</v>
      </c>
      <c r="I12" s="42">
        <f t="shared" si="4"/>
        <v>0</v>
      </c>
      <c r="J12" s="42">
        <f t="shared" si="4"/>
        <v>0</v>
      </c>
      <c r="K12" s="42">
        <f t="shared" si="0"/>
        <v>1897.1774735763358</v>
      </c>
      <c r="AI12" s="40" t="s">
        <v>31</v>
      </c>
      <c r="AJ12" s="40" t="s">
        <v>30</v>
      </c>
    </row>
    <row r="13" spans="1:37">
      <c r="A13" s="38">
        <v>7</v>
      </c>
      <c r="B13" s="40" t="s">
        <v>32</v>
      </c>
      <c r="C13" s="42">
        <f>+C6*C38</f>
        <v>6699.0291262135916</v>
      </c>
      <c r="D13" s="42">
        <f t="shared" ref="D13:J13" si="5">+D6*D38</f>
        <v>0</v>
      </c>
      <c r="E13" s="42">
        <f t="shared" si="5"/>
        <v>0</v>
      </c>
      <c r="F13" s="42">
        <f t="shared" si="5"/>
        <v>0</v>
      </c>
      <c r="G13" s="42">
        <f t="shared" si="5"/>
        <v>0</v>
      </c>
      <c r="H13" s="42">
        <f t="shared" si="5"/>
        <v>0</v>
      </c>
      <c r="I13" s="42">
        <f t="shared" si="5"/>
        <v>0</v>
      </c>
      <c r="J13" s="42">
        <f t="shared" si="5"/>
        <v>0</v>
      </c>
      <c r="K13" s="42">
        <f t="shared" si="0"/>
        <v>6699.0291262135916</v>
      </c>
      <c r="AI13" s="40" t="s">
        <v>33</v>
      </c>
      <c r="AJ13" s="40" t="s">
        <v>32</v>
      </c>
      <c r="AK13" s="36" t="s">
        <v>16</v>
      </c>
    </row>
    <row r="14" spans="1:37">
      <c r="A14" s="38">
        <v>8</v>
      </c>
      <c r="B14" s="43" t="s">
        <v>34</v>
      </c>
      <c r="C14" s="42">
        <f>SUM(C11:C13)</f>
        <v>14700.969613074551</v>
      </c>
      <c r="D14" s="42">
        <f t="shared" ref="D14:J14" si="6">SUM(D11:D13)</f>
        <v>0</v>
      </c>
      <c r="E14" s="42">
        <f t="shared" si="6"/>
        <v>0</v>
      </c>
      <c r="F14" s="42">
        <f t="shared" si="6"/>
        <v>0</v>
      </c>
      <c r="G14" s="42">
        <f t="shared" si="6"/>
        <v>0</v>
      </c>
      <c r="H14" s="42">
        <f t="shared" si="6"/>
        <v>0</v>
      </c>
      <c r="I14" s="42">
        <f t="shared" si="6"/>
        <v>0</v>
      </c>
      <c r="J14" s="42">
        <f t="shared" si="6"/>
        <v>0</v>
      </c>
      <c r="K14" s="42">
        <f t="shared" si="0"/>
        <v>14700.969613074551</v>
      </c>
      <c r="AI14" s="40" t="s">
        <v>35</v>
      </c>
      <c r="AJ14" s="43" t="s">
        <v>34</v>
      </c>
    </row>
    <row r="15" spans="1:37">
      <c r="A15" s="38">
        <v>9</v>
      </c>
      <c r="B15" s="43" t="s">
        <v>36</v>
      </c>
      <c r="C15" s="42">
        <f>+C9-C10-C14</f>
        <v>8296.5803869254523</v>
      </c>
      <c r="D15" s="42">
        <f t="shared" ref="D15:J15" si="7">+D9-D10-D14</f>
        <v>0</v>
      </c>
      <c r="E15" s="42">
        <f t="shared" si="7"/>
        <v>0</v>
      </c>
      <c r="F15" s="42">
        <f t="shared" si="7"/>
        <v>0</v>
      </c>
      <c r="G15" s="42">
        <f t="shared" si="7"/>
        <v>0</v>
      </c>
      <c r="H15" s="42">
        <f t="shared" si="7"/>
        <v>0</v>
      </c>
      <c r="I15" s="42">
        <f t="shared" si="7"/>
        <v>0</v>
      </c>
      <c r="J15" s="42">
        <f t="shared" si="7"/>
        <v>0</v>
      </c>
      <c r="K15" s="42">
        <f t="shared" si="0"/>
        <v>8296.5803869254523</v>
      </c>
      <c r="AI15" s="40" t="s">
        <v>37</v>
      </c>
      <c r="AJ15" s="43" t="s">
        <v>36</v>
      </c>
    </row>
    <row r="16" spans="1:37">
      <c r="A16" s="38">
        <v>10</v>
      </c>
      <c r="B16" s="40" t="s">
        <v>38</v>
      </c>
      <c r="C16" s="44">
        <f>+C15/C9</f>
        <v>7.9015051304051925E-2</v>
      </c>
      <c r="D16" s="44" t="e">
        <f t="shared" ref="D16:J16" si="8">+D15/D9</f>
        <v>#DIV/0!</v>
      </c>
      <c r="E16" s="44" t="e">
        <f t="shared" si="8"/>
        <v>#DIV/0!</v>
      </c>
      <c r="F16" s="44" t="e">
        <f t="shared" si="8"/>
        <v>#DIV/0!</v>
      </c>
      <c r="G16" s="44" t="e">
        <f t="shared" si="8"/>
        <v>#DIV/0!</v>
      </c>
      <c r="H16" s="44" t="e">
        <f t="shared" si="8"/>
        <v>#DIV/0!</v>
      </c>
      <c r="I16" s="44" t="e">
        <f t="shared" si="8"/>
        <v>#DIV/0!</v>
      </c>
      <c r="J16" s="44" t="e">
        <f t="shared" si="8"/>
        <v>#DIV/0!</v>
      </c>
      <c r="K16" s="44">
        <f t="shared" ref="K16" si="9">+K15/K9</f>
        <v>7.9015051304051925E-2</v>
      </c>
      <c r="AI16" s="40" t="s">
        <v>39</v>
      </c>
      <c r="AJ16" s="40" t="s">
        <v>38</v>
      </c>
    </row>
    <row r="17" spans="1:37">
      <c r="A17" s="38">
        <v>11</v>
      </c>
      <c r="B17" s="40" t="s">
        <v>40</v>
      </c>
      <c r="C17" s="42">
        <f>C6*C43+C18</f>
        <v>0</v>
      </c>
      <c r="D17" s="42">
        <f t="shared" ref="D17:J17" si="10">D6*D43+D18</f>
        <v>0</v>
      </c>
      <c r="E17" s="42">
        <f t="shared" si="10"/>
        <v>0</v>
      </c>
      <c r="F17" s="42">
        <f t="shared" si="10"/>
        <v>0</v>
      </c>
      <c r="G17" s="42">
        <f t="shared" si="10"/>
        <v>0</v>
      </c>
      <c r="H17" s="42">
        <f t="shared" si="10"/>
        <v>0</v>
      </c>
      <c r="I17" s="42">
        <f t="shared" si="10"/>
        <v>0</v>
      </c>
      <c r="J17" s="42">
        <f t="shared" si="10"/>
        <v>0</v>
      </c>
      <c r="K17" s="42">
        <f>SUM(C17:J17)</f>
        <v>0</v>
      </c>
      <c r="AI17" s="40" t="s">
        <v>41</v>
      </c>
      <c r="AJ17" s="40" t="s">
        <v>40</v>
      </c>
    </row>
    <row r="18" spans="1:37" s="34" customFormat="1">
      <c r="A18" s="38">
        <v>12</v>
      </c>
      <c r="B18" s="45" t="s">
        <v>141</v>
      </c>
      <c r="C18" s="46">
        <f>$K$18/$K$6*C6</f>
        <v>0</v>
      </c>
      <c r="D18" s="46">
        <f t="shared" ref="D18:J18" si="11">$K$18/$K$6*D6</f>
        <v>0</v>
      </c>
      <c r="E18" s="46">
        <f t="shared" si="11"/>
        <v>0</v>
      </c>
      <c r="F18" s="46">
        <f t="shared" si="11"/>
        <v>0</v>
      </c>
      <c r="G18" s="46">
        <f t="shared" si="11"/>
        <v>0</v>
      </c>
      <c r="H18" s="46">
        <f t="shared" si="11"/>
        <v>0</v>
      </c>
      <c r="I18" s="46">
        <f t="shared" si="11"/>
        <v>0</v>
      </c>
      <c r="J18" s="46">
        <f t="shared" si="11"/>
        <v>0</v>
      </c>
      <c r="K18" s="46">
        <f>项目投资!D26</f>
        <v>0</v>
      </c>
      <c r="L18" s="153" t="s">
        <v>142</v>
      </c>
      <c r="M18" s="153"/>
      <c r="N18" s="36"/>
    </row>
    <row r="19" spans="1:37">
      <c r="A19" s="38">
        <v>13</v>
      </c>
      <c r="B19" s="40" t="s">
        <v>42</v>
      </c>
      <c r="C19" s="42">
        <f>C6*C44</f>
        <v>0</v>
      </c>
      <c r="D19" s="42">
        <f t="shared" ref="D19:J19" si="12">D6*D44</f>
        <v>0</v>
      </c>
      <c r="E19" s="42">
        <f t="shared" si="12"/>
        <v>0</v>
      </c>
      <c r="F19" s="42">
        <f t="shared" si="12"/>
        <v>0</v>
      </c>
      <c r="G19" s="42">
        <f t="shared" si="12"/>
        <v>0</v>
      </c>
      <c r="H19" s="42">
        <f t="shared" si="12"/>
        <v>0</v>
      </c>
      <c r="I19" s="42">
        <f t="shared" si="12"/>
        <v>0</v>
      </c>
      <c r="J19" s="42">
        <f t="shared" si="12"/>
        <v>0</v>
      </c>
      <c r="K19" s="42">
        <f>SUM(C19:J19)</f>
        <v>0</v>
      </c>
      <c r="AI19" s="40" t="s">
        <v>43</v>
      </c>
      <c r="AJ19" s="40" t="s">
        <v>42</v>
      </c>
      <c r="AK19" s="36" t="s">
        <v>16</v>
      </c>
    </row>
    <row r="20" spans="1:37">
      <c r="A20" s="38">
        <v>14</v>
      </c>
      <c r="B20" s="40" t="s">
        <v>44</v>
      </c>
      <c r="C20" s="42">
        <f>C6*C45</f>
        <v>0</v>
      </c>
      <c r="D20" s="42">
        <f t="shared" ref="D20:J20" si="13">D6*D45</f>
        <v>0</v>
      </c>
      <c r="E20" s="42">
        <f t="shared" si="13"/>
        <v>0</v>
      </c>
      <c r="F20" s="42">
        <f t="shared" si="13"/>
        <v>0</v>
      </c>
      <c r="G20" s="42">
        <f t="shared" si="13"/>
        <v>0</v>
      </c>
      <c r="H20" s="42">
        <f t="shared" si="13"/>
        <v>0</v>
      </c>
      <c r="I20" s="42">
        <f t="shared" si="13"/>
        <v>0</v>
      </c>
      <c r="J20" s="42">
        <f t="shared" si="13"/>
        <v>0</v>
      </c>
      <c r="K20" s="42">
        <f>SUM(C20:J20)</f>
        <v>0</v>
      </c>
      <c r="AI20" s="40" t="s">
        <v>45</v>
      </c>
      <c r="AJ20" s="40" t="s">
        <v>44</v>
      </c>
    </row>
    <row r="21" spans="1:37">
      <c r="A21" s="38">
        <v>15</v>
      </c>
      <c r="B21" s="40" t="s">
        <v>46</v>
      </c>
      <c r="C21" s="47">
        <f>$K$21/$K$6*C6</f>
        <v>666.66666666666652</v>
      </c>
      <c r="D21" s="47">
        <f t="shared" ref="D21:J21" si="14">$K$21/$K$6*D6</f>
        <v>0</v>
      </c>
      <c r="E21" s="47">
        <f t="shared" si="14"/>
        <v>0</v>
      </c>
      <c r="F21" s="47">
        <f t="shared" si="14"/>
        <v>0</v>
      </c>
      <c r="G21" s="47">
        <f t="shared" si="14"/>
        <v>0</v>
      </c>
      <c r="H21" s="47">
        <f t="shared" si="14"/>
        <v>0</v>
      </c>
      <c r="I21" s="47">
        <f t="shared" si="14"/>
        <v>0</v>
      </c>
      <c r="J21" s="47">
        <f t="shared" si="14"/>
        <v>0</v>
      </c>
      <c r="K21" s="42">
        <f>项目投资!D27</f>
        <v>666.66666666666663</v>
      </c>
      <c r="AI21" s="40"/>
      <c r="AJ21" s="40"/>
    </row>
    <row r="22" spans="1:37">
      <c r="A22" s="38">
        <v>16</v>
      </c>
      <c r="B22" s="40" t="s">
        <v>47</v>
      </c>
      <c r="C22" s="42">
        <f>C6*C47</f>
        <v>5250</v>
      </c>
      <c r="D22" s="42">
        <f t="shared" ref="D22:J22" si="15">D6*D47</f>
        <v>0</v>
      </c>
      <c r="E22" s="42">
        <f t="shared" si="15"/>
        <v>0</v>
      </c>
      <c r="F22" s="42">
        <f t="shared" si="15"/>
        <v>0</v>
      </c>
      <c r="G22" s="42">
        <f t="shared" si="15"/>
        <v>0</v>
      </c>
      <c r="H22" s="42">
        <f t="shared" si="15"/>
        <v>0</v>
      </c>
      <c r="I22" s="42">
        <f t="shared" si="15"/>
        <v>0</v>
      </c>
      <c r="J22" s="42">
        <f t="shared" si="15"/>
        <v>0</v>
      </c>
      <c r="K22" s="42">
        <f>SUM(C22:J22)</f>
        <v>5250</v>
      </c>
      <c r="AI22" s="40" t="s">
        <v>48</v>
      </c>
      <c r="AJ22" s="40" t="s">
        <v>47</v>
      </c>
    </row>
    <row r="23" spans="1:37">
      <c r="A23" s="38">
        <v>17</v>
      </c>
      <c r="B23" s="43" t="s">
        <v>49</v>
      </c>
      <c r="C23" s="47">
        <f>+C22+C21+C20+C19+C17</f>
        <v>5916.6666666666661</v>
      </c>
      <c r="D23" s="47">
        <f t="shared" ref="D23:J23" si="16">+D22+D21+D20+D19+D17</f>
        <v>0</v>
      </c>
      <c r="E23" s="47">
        <f t="shared" si="16"/>
        <v>0</v>
      </c>
      <c r="F23" s="47">
        <f t="shared" si="16"/>
        <v>0</v>
      </c>
      <c r="G23" s="47">
        <f t="shared" si="16"/>
        <v>0</v>
      </c>
      <c r="H23" s="47">
        <f t="shared" si="16"/>
        <v>0</v>
      </c>
      <c r="I23" s="47">
        <f t="shared" si="16"/>
        <v>0</v>
      </c>
      <c r="J23" s="47">
        <f t="shared" si="16"/>
        <v>0</v>
      </c>
      <c r="K23" s="47">
        <f t="shared" ref="K23" si="17">+K22+K21+K20+K19+K17</f>
        <v>5916.666666666667</v>
      </c>
      <c r="AI23" s="40" t="s">
        <v>50</v>
      </c>
      <c r="AJ23" s="43" t="s">
        <v>49</v>
      </c>
    </row>
    <row r="24" spans="1:37">
      <c r="A24" s="38">
        <v>18</v>
      </c>
      <c r="B24" s="48" t="s">
        <v>51</v>
      </c>
      <c r="C24" s="47">
        <f>+C15-C23</f>
        <v>2379.9137202587863</v>
      </c>
      <c r="D24" s="47">
        <f t="shared" ref="D24:J24" si="18">+D15-D23</f>
        <v>0</v>
      </c>
      <c r="E24" s="47">
        <f t="shared" si="18"/>
        <v>0</v>
      </c>
      <c r="F24" s="47">
        <f t="shared" si="18"/>
        <v>0</v>
      </c>
      <c r="G24" s="47">
        <f t="shared" si="18"/>
        <v>0</v>
      </c>
      <c r="H24" s="47">
        <f t="shared" si="18"/>
        <v>0</v>
      </c>
      <c r="I24" s="47">
        <f t="shared" si="18"/>
        <v>0</v>
      </c>
      <c r="J24" s="47">
        <f t="shared" si="18"/>
        <v>0</v>
      </c>
      <c r="K24" s="47">
        <f t="shared" ref="K24" si="19">+K15-K23</f>
        <v>2379.9137202587854</v>
      </c>
      <c r="M24" s="59"/>
      <c r="AI24" s="40" t="s">
        <v>52</v>
      </c>
      <c r="AJ24" s="40" t="s">
        <v>51</v>
      </c>
    </row>
    <row r="25" spans="1:37">
      <c r="A25" s="38">
        <v>19</v>
      </c>
      <c r="B25" s="40" t="s">
        <v>230</v>
      </c>
      <c r="C25" s="47">
        <f>IF(C24&lt;0,0,C24*0.15)</f>
        <v>356.98705803881791</v>
      </c>
      <c r="D25" s="47">
        <f t="shared" ref="D25:J25" si="20">IF(D24&lt;0,0,D24*0.15)</f>
        <v>0</v>
      </c>
      <c r="E25" s="47">
        <f t="shared" si="20"/>
        <v>0</v>
      </c>
      <c r="F25" s="47">
        <f t="shared" si="20"/>
        <v>0</v>
      </c>
      <c r="G25" s="47">
        <f t="shared" si="20"/>
        <v>0</v>
      </c>
      <c r="H25" s="47">
        <f t="shared" si="20"/>
        <v>0</v>
      </c>
      <c r="I25" s="47">
        <f t="shared" si="20"/>
        <v>0</v>
      </c>
      <c r="J25" s="47">
        <f t="shared" si="20"/>
        <v>0</v>
      </c>
      <c r="K25" s="47">
        <f>IF(K24&lt;0,0,K24*0.15)</f>
        <v>356.98705803881779</v>
      </c>
      <c r="L25" s="55"/>
      <c r="M25" s="55"/>
      <c r="N25" s="55"/>
      <c r="AI25" s="40" t="s">
        <v>54</v>
      </c>
      <c r="AJ25" s="40" t="s">
        <v>53</v>
      </c>
    </row>
    <row r="26" spans="1:37">
      <c r="A26" s="38">
        <v>20</v>
      </c>
      <c r="B26" s="40" t="s">
        <v>55</v>
      </c>
      <c r="C26" s="47">
        <f t="shared" ref="C26" si="21">C24-C25</f>
        <v>2022.9266622199684</v>
      </c>
      <c r="D26" s="47">
        <f t="shared" ref="D26:J26" si="22">D24-D25</f>
        <v>0</v>
      </c>
      <c r="E26" s="47">
        <f t="shared" si="22"/>
        <v>0</v>
      </c>
      <c r="F26" s="47">
        <f t="shared" si="22"/>
        <v>0</v>
      </c>
      <c r="G26" s="47">
        <f t="shared" si="22"/>
        <v>0</v>
      </c>
      <c r="H26" s="47">
        <f t="shared" si="22"/>
        <v>0</v>
      </c>
      <c r="I26" s="47">
        <f t="shared" si="22"/>
        <v>0</v>
      </c>
      <c r="J26" s="47">
        <f t="shared" si="22"/>
        <v>0</v>
      </c>
      <c r="K26" s="42">
        <f>K24-K25</f>
        <v>2022.9266622199675</v>
      </c>
      <c r="L26" s="55"/>
      <c r="M26" s="55"/>
      <c r="N26" s="55"/>
      <c r="AI26" s="40" t="s">
        <v>56</v>
      </c>
      <c r="AJ26" s="40" t="s">
        <v>55</v>
      </c>
    </row>
    <row r="27" spans="1:37">
      <c r="A27" s="38">
        <v>21</v>
      </c>
      <c r="B27" s="40" t="s">
        <v>59</v>
      </c>
      <c r="C27" s="49">
        <f t="shared" ref="C27:K27" si="23">C26/C7</f>
        <v>1.9265968211618748E-2</v>
      </c>
      <c r="D27" s="49" t="e">
        <f t="shared" ref="D27:J27" si="24">D26/D7</f>
        <v>#DIV/0!</v>
      </c>
      <c r="E27" s="49" t="e">
        <f t="shared" si="24"/>
        <v>#DIV/0!</v>
      </c>
      <c r="F27" s="49" t="e">
        <f t="shared" si="24"/>
        <v>#DIV/0!</v>
      </c>
      <c r="G27" s="49" t="e">
        <f t="shared" si="24"/>
        <v>#DIV/0!</v>
      </c>
      <c r="H27" s="49" t="e">
        <f t="shared" si="24"/>
        <v>#DIV/0!</v>
      </c>
      <c r="I27" s="49" t="e">
        <f t="shared" si="24"/>
        <v>#DIV/0!</v>
      </c>
      <c r="J27" s="49" t="e">
        <f t="shared" si="24"/>
        <v>#DIV/0!</v>
      </c>
      <c r="K27" s="49">
        <f t="shared" si="23"/>
        <v>1.9265968211618738E-2</v>
      </c>
      <c r="L27" s="55"/>
      <c r="M27" s="55"/>
      <c r="N27" s="55"/>
      <c r="AI27" s="40" t="s">
        <v>58</v>
      </c>
      <c r="AJ27" s="40" t="s">
        <v>59</v>
      </c>
    </row>
    <row r="28" spans="1:37">
      <c r="L28" s="55"/>
      <c r="M28" s="55"/>
      <c r="N28" s="55"/>
    </row>
    <row r="29" spans="1:37">
      <c r="A29" s="36" t="s">
        <v>60</v>
      </c>
      <c r="K29" s="37" t="s">
        <v>143</v>
      </c>
      <c r="L29" s="55"/>
      <c r="M29" s="55"/>
      <c r="N29" s="55"/>
      <c r="AI29" s="36" t="s">
        <v>60</v>
      </c>
    </row>
    <row r="30" spans="1:37">
      <c r="A30" s="40" t="s">
        <v>61</v>
      </c>
      <c r="B30" s="43" t="s">
        <v>62</v>
      </c>
      <c r="C30" s="47"/>
      <c r="D30" s="47"/>
      <c r="E30" s="47"/>
      <c r="F30" s="47"/>
      <c r="G30" s="47"/>
      <c r="H30" s="47"/>
      <c r="I30" s="47"/>
      <c r="J30" s="47"/>
      <c r="K30" s="47"/>
      <c r="L30" s="55"/>
      <c r="M30" s="55"/>
      <c r="N30" s="55"/>
      <c r="P30" s="55"/>
      <c r="AI30" s="40" t="s">
        <v>63</v>
      </c>
      <c r="AJ30" s="43" t="s">
        <v>62</v>
      </c>
    </row>
    <row r="31" spans="1:37">
      <c r="A31" s="50">
        <v>1</v>
      </c>
      <c r="B31" s="45" t="s">
        <v>64</v>
      </c>
      <c r="C31" s="51">
        <f>销量!C8</f>
        <v>350</v>
      </c>
      <c r="D31" s="51">
        <f>销量!D8</f>
        <v>0</v>
      </c>
      <c r="E31" s="51">
        <f>销量!E8</f>
        <v>0</v>
      </c>
      <c r="F31" s="51">
        <f>销量!F8</f>
        <v>0</v>
      </c>
      <c r="G31" s="51">
        <f>销量!G8</f>
        <v>0</v>
      </c>
      <c r="H31" s="51">
        <f>销量!H8</f>
        <v>0</v>
      </c>
      <c r="I31" s="51">
        <f>销量!I8</f>
        <v>0</v>
      </c>
      <c r="J31" s="51">
        <f>销量!J8</f>
        <v>0</v>
      </c>
      <c r="K31" s="47"/>
      <c r="L31" s="55"/>
      <c r="M31" s="55"/>
      <c r="N31" s="55"/>
      <c r="P31" s="55"/>
      <c r="AI31" s="40" t="s">
        <v>18</v>
      </c>
      <c r="AJ31" s="40" t="s">
        <v>64</v>
      </c>
    </row>
    <row r="32" spans="1:37">
      <c r="A32" s="50">
        <v>2</v>
      </c>
      <c r="B32" s="40" t="s">
        <v>144</v>
      </c>
      <c r="C32" s="42">
        <f>C31*1</f>
        <v>350</v>
      </c>
      <c r="D32" s="42">
        <f t="shared" ref="D32:J32" si="25">D31*1</f>
        <v>0</v>
      </c>
      <c r="E32" s="42">
        <f t="shared" si="25"/>
        <v>0</v>
      </c>
      <c r="F32" s="42">
        <f t="shared" si="25"/>
        <v>0</v>
      </c>
      <c r="G32" s="42">
        <f t="shared" si="25"/>
        <v>0</v>
      </c>
      <c r="H32" s="42">
        <f t="shared" si="25"/>
        <v>0</v>
      </c>
      <c r="I32" s="42">
        <f t="shared" si="25"/>
        <v>0</v>
      </c>
      <c r="J32" s="42">
        <f t="shared" si="25"/>
        <v>0</v>
      </c>
      <c r="K32" s="47"/>
      <c r="L32" s="55"/>
      <c r="M32" s="55"/>
      <c r="N32" s="55"/>
      <c r="O32" s="55"/>
      <c r="P32" s="55"/>
      <c r="Q32" s="55"/>
      <c r="R32" s="55"/>
      <c r="AI32" s="40"/>
      <c r="AJ32" s="40"/>
    </row>
    <row r="33" spans="1:36">
      <c r="A33" s="50">
        <v>3</v>
      </c>
      <c r="B33" s="45" t="s">
        <v>65</v>
      </c>
      <c r="C33" s="183">
        <f>材料成本!E18</f>
        <v>273.3415</v>
      </c>
      <c r="D33" s="183">
        <f>材料成本!E19</f>
        <v>0</v>
      </c>
      <c r="E33" s="183">
        <f>材料成本!E20</f>
        <v>0</v>
      </c>
      <c r="F33" s="183">
        <f>材料成本!E21</f>
        <v>0</v>
      </c>
      <c r="G33" s="183">
        <f>材料成本!E22</f>
        <v>0</v>
      </c>
      <c r="H33" s="183">
        <f>材料成本!E23</f>
        <v>0</v>
      </c>
      <c r="I33" s="183">
        <f>材料成本!E24</f>
        <v>0</v>
      </c>
      <c r="J33" s="183">
        <f>材料成本!E25</f>
        <v>0</v>
      </c>
      <c r="K33" s="47"/>
      <c r="M33" s="55"/>
      <c r="N33" s="55"/>
      <c r="O33" s="55"/>
      <c r="P33" s="55"/>
      <c r="Q33" s="55"/>
      <c r="R33" s="55"/>
      <c r="AI33" s="40" t="s">
        <v>20</v>
      </c>
      <c r="AJ33" s="40" t="s">
        <v>65</v>
      </c>
    </row>
    <row r="34" spans="1:36" ht="17.25" customHeight="1">
      <c r="A34" s="50">
        <v>4</v>
      </c>
      <c r="B34" s="40" t="s">
        <v>67</v>
      </c>
      <c r="C34" s="52">
        <f>C32-C33</f>
        <v>76.658500000000004</v>
      </c>
      <c r="D34" s="52">
        <f t="shared" ref="D34:J34" si="26">D32-D33</f>
        <v>0</v>
      </c>
      <c r="E34" s="52">
        <f t="shared" si="26"/>
        <v>0</v>
      </c>
      <c r="F34" s="52">
        <f t="shared" si="26"/>
        <v>0</v>
      </c>
      <c r="G34" s="52">
        <f t="shared" si="26"/>
        <v>0</v>
      </c>
      <c r="H34" s="52">
        <f t="shared" si="26"/>
        <v>0</v>
      </c>
      <c r="I34" s="52">
        <f t="shared" si="26"/>
        <v>0</v>
      </c>
      <c r="J34" s="52">
        <f t="shared" si="26"/>
        <v>0</v>
      </c>
      <c r="K34" s="47"/>
      <c r="M34" s="55"/>
      <c r="N34" s="55"/>
      <c r="O34" s="55"/>
      <c r="P34" s="55"/>
      <c r="Q34" s="55"/>
      <c r="R34" s="55"/>
      <c r="AI34" s="40" t="s">
        <v>66</v>
      </c>
      <c r="AJ34" s="40" t="s">
        <v>67</v>
      </c>
    </row>
    <row r="35" spans="1:36">
      <c r="A35" s="40" t="s">
        <v>63</v>
      </c>
      <c r="B35" s="43" t="s">
        <v>7</v>
      </c>
      <c r="C35" s="47"/>
      <c r="D35" s="47"/>
      <c r="E35" s="47"/>
      <c r="F35" s="47"/>
      <c r="G35" s="47"/>
      <c r="H35" s="47"/>
      <c r="I35" s="47"/>
      <c r="J35" s="47"/>
      <c r="K35" s="47"/>
      <c r="L35" s="55"/>
      <c r="M35" s="55"/>
      <c r="N35" s="55"/>
      <c r="O35" s="55"/>
      <c r="P35" s="55"/>
      <c r="Q35" s="55"/>
      <c r="R35" s="55"/>
      <c r="S35" s="55"/>
      <c r="T35" s="55"/>
      <c r="AI35" s="40" t="s">
        <v>69</v>
      </c>
      <c r="AJ35" s="43" t="s">
        <v>7</v>
      </c>
    </row>
    <row r="36" spans="1:36">
      <c r="A36" s="50">
        <v>1</v>
      </c>
      <c r="B36" s="40" t="s">
        <v>70</v>
      </c>
      <c r="C36" s="46">
        <f>标准成本!D4</f>
        <v>20.349210044282081</v>
      </c>
      <c r="D36" s="46">
        <f>标准成本!D18</f>
        <v>0</v>
      </c>
      <c r="E36" s="46">
        <f>标准成本!D32</f>
        <v>0</v>
      </c>
      <c r="F36" s="46">
        <f>标准成本!D45</f>
        <v>0</v>
      </c>
      <c r="G36" s="46">
        <f>标准成本!D58</f>
        <v>0</v>
      </c>
      <c r="H36" s="46">
        <f>标准成本!D71</f>
        <v>0</v>
      </c>
      <c r="I36" s="46">
        <f>标准成本!D84</f>
        <v>0</v>
      </c>
      <c r="J36" s="46">
        <f>标准成本!D97</f>
        <v>0</v>
      </c>
      <c r="K36" s="51"/>
      <c r="L36" s="55"/>
      <c r="M36" s="55"/>
      <c r="N36" s="55"/>
      <c r="O36" s="55"/>
      <c r="P36" s="55"/>
      <c r="Q36" s="55"/>
      <c r="R36" s="55"/>
      <c r="S36" s="55"/>
      <c r="T36" s="55"/>
      <c r="AI36" s="40" t="s">
        <v>66</v>
      </c>
      <c r="AJ36" s="40" t="s">
        <v>70</v>
      </c>
    </row>
    <row r="37" spans="1:36">
      <c r="A37" s="50">
        <v>2</v>
      </c>
      <c r="B37" s="40" t="s">
        <v>71</v>
      </c>
      <c r="C37" s="46">
        <f>标准成本!D6</f>
        <v>6.3239249119211198</v>
      </c>
      <c r="D37" s="46">
        <f>标准成本!D20</f>
        <v>0</v>
      </c>
      <c r="E37" s="46">
        <f>标准成本!D34</f>
        <v>0</v>
      </c>
      <c r="F37" s="46">
        <f>标准成本!D47</f>
        <v>0</v>
      </c>
      <c r="G37" s="46">
        <f>标准成本!D60</f>
        <v>0</v>
      </c>
      <c r="H37" s="46">
        <f>标准成本!D73</f>
        <v>0</v>
      </c>
      <c r="I37" s="46">
        <f>标准成本!D86</f>
        <v>0</v>
      </c>
      <c r="J37" s="46">
        <f>标准成本!D99</f>
        <v>0</v>
      </c>
      <c r="K37" s="51"/>
      <c r="L37" s="55"/>
      <c r="M37" s="55"/>
      <c r="N37" s="55"/>
      <c r="O37" s="55"/>
      <c r="P37" s="55"/>
      <c r="Q37" s="55"/>
      <c r="R37" s="55"/>
      <c r="S37" s="55"/>
      <c r="T37" s="55"/>
      <c r="AI37" s="40" t="s">
        <v>23</v>
      </c>
      <c r="AJ37" s="40" t="s">
        <v>71</v>
      </c>
    </row>
    <row r="38" spans="1:36">
      <c r="A38" s="50">
        <v>3</v>
      </c>
      <c r="B38" s="40" t="s">
        <v>72</v>
      </c>
      <c r="C38" s="46">
        <f>标准成本!D10</f>
        <v>22.33009708737864</v>
      </c>
      <c r="D38" s="46">
        <f>标准成本!D24</f>
        <v>0</v>
      </c>
      <c r="E38" s="46">
        <f>标准成本!D38</f>
        <v>0</v>
      </c>
      <c r="F38" s="46">
        <f>标准成本!D51</f>
        <v>0</v>
      </c>
      <c r="G38" s="46">
        <f>标准成本!D64</f>
        <v>0</v>
      </c>
      <c r="H38" s="46">
        <f>标准成本!D77</f>
        <v>0</v>
      </c>
      <c r="I38" s="46">
        <f>标准成本!D90</f>
        <v>0</v>
      </c>
      <c r="J38" s="46">
        <f>标准成本!D103</f>
        <v>0</v>
      </c>
      <c r="K38" s="51"/>
      <c r="L38" s="55"/>
      <c r="M38" s="55"/>
      <c r="N38" s="55"/>
      <c r="O38" s="55"/>
      <c r="P38" s="55"/>
      <c r="Q38" s="55"/>
      <c r="R38" s="55"/>
      <c r="S38" s="55"/>
      <c r="T38" s="55"/>
      <c r="AI38" s="40" t="s">
        <v>29</v>
      </c>
      <c r="AJ38" s="40" t="s">
        <v>72</v>
      </c>
    </row>
    <row r="39" spans="1:36">
      <c r="A39" s="40" t="s">
        <v>69</v>
      </c>
      <c r="B39" s="43" t="s">
        <v>74</v>
      </c>
      <c r="C39" s="47"/>
      <c r="D39" s="47"/>
      <c r="E39" s="47"/>
      <c r="F39" s="47"/>
      <c r="G39" s="47"/>
      <c r="H39" s="47"/>
      <c r="I39" s="47"/>
      <c r="J39" s="47"/>
      <c r="K39" s="47"/>
      <c r="AI39" s="40" t="s">
        <v>73</v>
      </c>
      <c r="AJ39" s="43" t="s">
        <v>74</v>
      </c>
    </row>
    <row r="40" spans="1:36">
      <c r="A40" s="50">
        <v>1</v>
      </c>
      <c r="B40" s="40" t="s">
        <v>75</v>
      </c>
      <c r="C40" s="47">
        <f>C34-C36-C37-C38</f>
        <v>27.655267956418164</v>
      </c>
      <c r="D40" s="47">
        <f t="shared" ref="D40:J40" si="27">D34-D36-D37-D38</f>
        <v>0</v>
      </c>
      <c r="E40" s="47">
        <f t="shared" si="27"/>
        <v>0</v>
      </c>
      <c r="F40" s="47">
        <f t="shared" si="27"/>
        <v>0</v>
      </c>
      <c r="G40" s="47">
        <f t="shared" si="27"/>
        <v>0</v>
      </c>
      <c r="H40" s="47">
        <f t="shared" si="27"/>
        <v>0</v>
      </c>
      <c r="I40" s="47">
        <f t="shared" si="27"/>
        <v>0</v>
      </c>
      <c r="J40" s="47">
        <f t="shared" si="27"/>
        <v>0</v>
      </c>
      <c r="K40" s="47"/>
      <c r="AI40" s="40" t="s">
        <v>18</v>
      </c>
      <c r="AJ40" s="40" t="s">
        <v>75</v>
      </c>
    </row>
    <row r="41" spans="1:36">
      <c r="A41" s="50">
        <v>2</v>
      </c>
      <c r="B41" s="40" t="s">
        <v>76</v>
      </c>
      <c r="C41" s="47"/>
      <c r="D41" s="47"/>
      <c r="E41" s="47"/>
      <c r="F41" s="47"/>
      <c r="G41" s="47"/>
      <c r="H41" s="47"/>
      <c r="I41" s="47"/>
      <c r="J41" s="47"/>
      <c r="K41" s="47"/>
      <c r="AI41" s="40" t="s">
        <v>20</v>
      </c>
      <c r="AJ41" s="40" t="s">
        <v>76</v>
      </c>
    </row>
    <row r="42" spans="1:36">
      <c r="A42" s="40" t="s">
        <v>73</v>
      </c>
      <c r="B42" s="43" t="s">
        <v>78</v>
      </c>
      <c r="C42" s="47"/>
      <c r="D42" s="47"/>
      <c r="E42" s="47"/>
      <c r="F42" s="47"/>
      <c r="G42" s="47"/>
      <c r="H42" s="47"/>
      <c r="I42" s="47"/>
      <c r="J42" s="47"/>
      <c r="K42" s="47"/>
      <c r="AI42" s="40" t="s">
        <v>77</v>
      </c>
      <c r="AJ42" s="43" t="s">
        <v>78</v>
      </c>
    </row>
    <row r="43" spans="1:36">
      <c r="A43" s="50">
        <v>1</v>
      </c>
      <c r="B43" s="48" t="s">
        <v>79</v>
      </c>
      <c r="C43" s="46">
        <f>标准成本!D5</f>
        <v>0</v>
      </c>
      <c r="D43" s="46">
        <f>标准成本!D19</f>
        <v>0</v>
      </c>
      <c r="E43" s="46">
        <f>标准成本!D33</f>
        <v>0</v>
      </c>
      <c r="F43" s="46">
        <f>标准成本!D46</f>
        <v>0</v>
      </c>
      <c r="G43" s="46">
        <f>标准成本!D59</f>
        <v>0</v>
      </c>
      <c r="H43" s="46">
        <f>标准成本!D72</f>
        <v>0</v>
      </c>
      <c r="I43" s="46">
        <f>标准成本!D85</f>
        <v>0</v>
      </c>
      <c r="J43" s="46">
        <f>标准成本!D98</f>
        <v>0</v>
      </c>
      <c r="K43" s="47"/>
      <c r="AI43" s="40" t="s">
        <v>18</v>
      </c>
      <c r="AJ43" s="40" t="s">
        <v>79</v>
      </c>
    </row>
    <row r="44" spans="1:36">
      <c r="A44" s="50">
        <v>2</v>
      </c>
      <c r="B44" s="48" t="s">
        <v>80</v>
      </c>
      <c r="C44" s="46">
        <f>标准成本!D9</f>
        <v>0</v>
      </c>
      <c r="D44" s="46">
        <f>标准成本!D23</f>
        <v>0</v>
      </c>
      <c r="E44" s="46">
        <f>标准成本!D37</f>
        <v>0</v>
      </c>
      <c r="F44" s="46">
        <f>标准成本!D50</f>
        <v>0</v>
      </c>
      <c r="G44" s="46">
        <f>标准成本!D63</f>
        <v>0</v>
      </c>
      <c r="H44" s="46">
        <f>标准成本!D76</f>
        <v>0</v>
      </c>
      <c r="I44" s="46">
        <f>标准成本!D89</f>
        <v>0</v>
      </c>
      <c r="J44" s="46">
        <f>标准成本!D102</f>
        <v>0</v>
      </c>
      <c r="K44" s="47"/>
      <c r="AI44" s="40" t="s">
        <v>20</v>
      </c>
      <c r="AJ44" s="40" t="s">
        <v>80</v>
      </c>
    </row>
    <row r="45" spans="1:36">
      <c r="A45" s="50">
        <v>3</v>
      </c>
      <c r="B45" s="48" t="s">
        <v>81</v>
      </c>
      <c r="C45" s="46">
        <f>标准成本!D8</f>
        <v>0</v>
      </c>
      <c r="D45" s="46">
        <f>标准成本!D22</f>
        <v>0</v>
      </c>
      <c r="E45" s="46">
        <f>标准成本!D36</f>
        <v>0</v>
      </c>
      <c r="F45" s="46">
        <f>标准成本!D49</f>
        <v>0</v>
      </c>
      <c r="G45" s="46">
        <f>标准成本!D62</f>
        <v>0</v>
      </c>
      <c r="H45" s="46">
        <f>标准成本!D75</f>
        <v>0</v>
      </c>
      <c r="I45" s="46">
        <f>标准成本!D88</f>
        <v>0</v>
      </c>
      <c r="J45" s="46">
        <f>标准成本!D101</f>
        <v>0</v>
      </c>
      <c r="K45" s="47"/>
      <c r="AI45" s="40" t="s">
        <v>66</v>
      </c>
      <c r="AJ45" s="40" t="s">
        <v>81</v>
      </c>
    </row>
    <row r="46" spans="1:36" s="35" customFormat="1">
      <c r="A46" s="50">
        <v>4</v>
      </c>
      <c r="B46" s="48" t="s">
        <v>82</v>
      </c>
      <c r="C46" s="53">
        <f>C21/C6</f>
        <v>2.2222222222222219</v>
      </c>
      <c r="D46" s="53" t="e">
        <f t="shared" ref="D46:J46" si="28">D21/D6</f>
        <v>#DIV/0!</v>
      </c>
      <c r="E46" s="53" t="e">
        <f t="shared" si="28"/>
        <v>#DIV/0!</v>
      </c>
      <c r="F46" s="53" t="e">
        <f t="shared" si="28"/>
        <v>#DIV/0!</v>
      </c>
      <c r="G46" s="53" t="e">
        <f t="shared" si="28"/>
        <v>#DIV/0!</v>
      </c>
      <c r="H46" s="53" t="e">
        <f t="shared" si="28"/>
        <v>#DIV/0!</v>
      </c>
      <c r="I46" s="53" t="e">
        <f t="shared" si="28"/>
        <v>#DIV/0!</v>
      </c>
      <c r="J46" s="53" t="e">
        <f t="shared" si="28"/>
        <v>#DIV/0!</v>
      </c>
      <c r="K46" s="53"/>
      <c r="AI46" s="48" t="s">
        <v>26</v>
      </c>
      <c r="AJ46" s="48" t="s">
        <v>84</v>
      </c>
    </row>
    <row r="47" spans="1:36" s="35" customFormat="1">
      <c r="A47" s="50">
        <v>5</v>
      </c>
      <c r="B47" s="48" t="s">
        <v>84</v>
      </c>
      <c r="C47" s="46">
        <f>标准成本!D11</f>
        <v>17.5</v>
      </c>
      <c r="D47" s="46">
        <f>标准成本!D25</f>
        <v>0</v>
      </c>
      <c r="E47" s="46">
        <f>标准成本!D39</f>
        <v>0</v>
      </c>
      <c r="F47" s="46">
        <f>标准成本!D52</f>
        <v>0</v>
      </c>
      <c r="G47" s="46">
        <f>标准成本!D65</f>
        <v>0</v>
      </c>
      <c r="H47" s="46">
        <f>标准成本!D78</f>
        <v>0</v>
      </c>
      <c r="I47" s="46">
        <f>标准成本!D91</f>
        <v>0</v>
      </c>
      <c r="J47" s="46">
        <f>标准成本!D104</f>
        <v>0</v>
      </c>
      <c r="K47" s="53"/>
      <c r="AI47" s="48" t="s">
        <v>26</v>
      </c>
      <c r="AJ47" s="48" t="s">
        <v>84</v>
      </c>
    </row>
    <row r="48" spans="1:36">
      <c r="A48" s="40" t="s">
        <v>77</v>
      </c>
      <c r="B48" s="43" t="s">
        <v>95</v>
      </c>
      <c r="C48" s="47">
        <f>C40-C43-C44-C45-C47-C46</f>
        <v>7.9330457341959431</v>
      </c>
      <c r="D48" s="47" t="e">
        <f t="shared" ref="D48:J48" si="29">D40-D43-D44-D45-D47-D46</f>
        <v>#DIV/0!</v>
      </c>
      <c r="E48" s="47" t="e">
        <f t="shared" si="29"/>
        <v>#DIV/0!</v>
      </c>
      <c r="F48" s="47" t="e">
        <f t="shared" si="29"/>
        <v>#DIV/0!</v>
      </c>
      <c r="G48" s="47" t="e">
        <f t="shared" si="29"/>
        <v>#DIV/0!</v>
      </c>
      <c r="H48" s="47" t="e">
        <f t="shared" si="29"/>
        <v>#DIV/0!</v>
      </c>
      <c r="I48" s="47" t="e">
        <f t="shared" si="29"/>
        <v>#DIV/0!</v>
      </c>
      <c r="J48" s="47" t="e">
        <f t="shared" si="29"/>
        <v>#DIV/0!</v>
      </c>
      <c r="K48" s="47"/>
      <c r="AI48" s="40" t="s">
        <v>94</v>
      </c>
      <c r="AJ48" s="43" t="s">
        <v>95</v>
      </c>
    </row>
    <row r="51" spans="2:16">
      <c r="C51" s="54"/>
      <c r="D51" s="54"/>
      <c r="E51" s="54"/>
      <c r="F51" s="54"/>
      <c r="G51" s="54"/>
      <c r="H51" s="54"/>
      <c r="I51" s="54"/>
      <c r="J51" s="54"/>
    </row>
    <row r="54" spans="2:16">
      <c r="B54" s="55"/>
      <c r="C54" s="56"/>
      <c r="D54" s="56"/>
      <c r="E54" s="56"/>
      <c r="F54" s="56"/>
      <c r="G54" s="56"/>
      <c r="H54" s="56"/>
      <c r="I54" s="56"/>
      <c r="J54" s="56"/>
      <c r="K54" s="56"/>
      <c r="L54" s="55"/>
      <c r="M54" s="55"/>
      <c r="N54" s="55"/>
      <c r="O54" s="55"/>
      <c r="P54" s="55"/>
    </row>
    <row r="55" spans="2:16">
      <c r="B55" s="55"/>
      <c r="C55" s="56"/>
      <c r="D55" s="56"/>
      <c r="E55" s="56"/>
      <c r="F55" s="56"/>
      <c r="G55" s="56"/>
      <c r="H55" s="56"/>
      <c r="I55" s="56"/>
      <c r="J55" s="56"/>
      <c r="K55" s="56"/>
      <c r="L55" s="55"/>
      <c r="M55" s="55"/>
      <c r="N55" s="55"/>
      <c r="O55" s="55"/>
      <c r="P55" s="55"/>
    </row>
    <row r="56" spans="2:16">
      <c r="B56" s="55"/>
      <c r="C56" s="56"/>
      <c r="D56" s="56"/>
      <c r="E56" s="56"/>
      <c r="F56" s="56"/>
      <c r="G56" s="56"/>
      <c r="H56" s="56"/>
      <c r="I56" s="56"/>
      <c r="J56" s="56"/>
      <c r="K56" s="56"/>
      <c r="L56" s="55"/>
      <c r="M56" s="55"/>
      <c r="N56" s="55"/>
      <c r="O56" s="55"/>
      <c r="P56" s="55"/>
    </row>
    <row r="57" spans="2:16">
      <c r="B57" s="55"/>
      <c r="C57" s="56"/>
      <c r="D57" s="56"/>
      <c r="E57" s="56"/>
      <c r="F57" s="56"/>
      <c r="G57" s="56"/>
      <c r="H57" s="56"/>
      <c r="I57" s="56"/>
      <c r="J57" s="56"/>
      <c r="K57" s="56"/>
      <c r="L57" s="55"/>
      <c r="M57" s="55"/>
      <c r="N57" s="55"/>
      <c r="O57" s="55"/>
      <c r="P57" s="55"/>
    </row>
    <row r="58" spans="2:16">
      <c r="B58" s="55"/>
      <c r="C58" s="56"/>
      <c r="D58" s="56"/>
      <c r="E58" s="56"/>
      <c r="F58" s="56"/>
      <c r="G58" s="56"/>
      <c r="H58" s="56"/>
      <c r="I58" s="56"/>
      <c r="J58" s="56"/>
      <c r="K58" s="56"/>
      <c r="L58" s="55"/>
      <c r="M58" s="55"/>
      <c r="N58" s="55"/>
      <c r="O58" s="55"/>
      <c r="P58" s="55"/>
    </row>
    <row r="59" spans="2:16">
      <c r="B59" s="55"/>
      <c r="C59" s="56"/>
      <c r="D59" s="56"/>
      <c r="E59" s="56"/>
      <c r="F59" s="56"/>
      <c r="G59" s="56"/>
      <c r="H59" s="56"/>
      <c r="I59" s="56"/>
      <c r="J59" s="56"/>
      <c r="K59" s="56"/>
      <c r="L59" s="55"/>
      <c r="M59" s="55"/>
      <c r="N59" s="55"/>
      <c r="O59" s="55"/>
      <c r="P59" s="55"/>
    </row>
    <row r="60" spans="2:16">
      <c r="B60" s="55"/>
      <c r="C60" s="56"/>
      <c r="D60" s="56"/>
      <c r="E60" s="56"/>
      <c r="F60" s="56"/>
      <c r="G60" s="56"/>
      <c r="H60" s="56"/>
      <c r="I60" s="56"/>
      <c r="J60" s="56"/>
      <c r="K60" s="56"/>
      <c r="L60" s="55"/>
      <c r="M60" s="55"/>
      <c r="N60" s="55"/>
      <c r="O60" s="55"/>
      <c r="P60" s="55"/>
    </row>
    <row r="61" spans="2:16">
      <c r="B61" s="55"/>
      <c r="C61" s="56"/>
      <c r="D61" s="56"/>
      <c r="E61" s="56"/>
      <c r="F61" s="56"/>
      <c r="G61" s="56"/>
      <c r="H61" s="56"/>
      <c r="I61" s="56"/>
      <c r="J61" s="56"/>
      <c r="K61" s="56"/>
      <c r="L61" s="55"/>
      <c r="M61" s="55"/>
      <c r="N61" s="55"/>
      <c r="O61" s="55"/>
      <c r="P61" s="55"/>
    </row>
    <row r="62" spans="2:16">
      <c r="B62" s="55"/>
      <c r="C62" s="56"/>
      <c r="D62" s="56"/>
      <c r="E62" s="56"/>
      <c r="F62" s="56"/>
      <c r="G62" s="56"/>
      <c r="H62" s="56"/>
      <c r="I62" s="56"/>
      <c r="J62" s="56"/>
      <c r="K62" s="56"/>
      <c r="L62" s="55"/>
      <c r="M62" s="55"/>
      <c r="N62" s="55"/>
      <c r="O62" s="55"/>
      <c r="P62" s="55"/>
    </row>
    <row r="63" spans="2:16">
      <c r="B63" s="55"/>
      <c r="C63" s="56"/>
      <c r="D63" s="56"/>
      <c r="E63" s="56"/>
      <c r="F63" s="56"/>
      <c r="G63" s="56"/>
      <c r="H63" s="56"/>
      <c r="I63" s="56"/>
      <c r="J63" s="56"/>
      <c r="K63" s="56"/>
      <c r="L63" s="55"/>
      <c r="M63" s="55"/>
      <c r="N63" s="55"/>
      <c r="O63" s="55"/>
      <c r="P63" s="55"/>
    </row>
    <row r="64" spans="2:16">
      <c r="B64" s="55"/>
      <c r="C64" s="56"/>
      <c r="D64" s="56"/>
      <c r="E64" s="56"/>
      <c r="F64" s="56"/>
      <c r="G64" s="56"/>
      <c r="H64" s="56"/>
      <c r="I64" s="56"/>
      <c r="J64" s="56"/>
      <c r="K64" s="56"/>
      <c r="L64" s="55"/>
      <c r="M64" s="55"/>
      <c r="N64" s="55"/>
      <c r="O64" s="55"/>
      <c r="P64" s="55"/>
    </row>
    <row r="65" spans="2:16">
      <c r="B65" s="55"/>
      <c r="C65" s="56"/>
      <c r="D65" s="56"/>
      <c r="E65" s="56"/>
      <c r="F65" s="56"/>
      <c r="G65" s="56"/>
      <c r="H65" s="56"/>
      <c r="I65" s="56"/>
      <c r="J65" s="56"/>
      <c r="K65" s="56"/>
      <c r="L65" s="55"/>
      <c r="M65" s="55"/>
      <c r="N65" s="55"/>
      <c r="O65" s="55"/>
      <c r="P65" s="55"/>
    </row>
    <row r="66" spans="2:16">
      <c r="B66" s="55"/>
      <c r="C66" s="56"/>
      <c r="D66" s="56"/>
      <c r="E66" s="56"/>
      <c r="F66" s="56"/>
      <c r="G66" s="56"/>
      <c r="H66" s="56"/>
      <c r="I66" s="56"/>
      <c r="J66" s="56"/>
      <c r="K66" s="56"/>
      <c r="L66" s="55"/>
      <c r="M66" s="55"/>
      <c r="N66" s="55"/>
      <c r="O66" s="55"/>
      <c r="P66" s="55"/>
    </row>
    <row r="67" spans="2:16">
      <c r="B67" s="55"/>
      <c r="C67" s="56"/>
      <c r="D67" s="56"/>
      <c r="E67" s="56"/>
      <c r="F67" s="56"/>
      <c r="G67" s="56"/>
      <c r="H67" s="56"/>
      <c r="I67" s="56"/>
      <c r="J67" s="56"/>
      <c r="K67" s="56"/>
      <c r="L67" s="55"/>
    </row>
    <row r="68" spans="2:16">
      <c r="B68" s="55"/>
      <c r="C68" s="56"/>
      <c r="D68" s="56"/>
      <c r="E68" s="56"/>
      <c r="F68" s="56"/>
      <c r="G68" s="56"/>
      <c r="H68" s="56"/>
      <c r="I68" s="56"/>
      <c r="J68" s="56"/>
      <c r="K68" s="56"/>
      <c r="L68" s="55"/>
    </row>
    <row r="69" spans="2:16">
      <c r="B69" s="55"/>
      <c r="C69" s="56"/>
      <c r="D69" s="56"/>
      <c r="E69" s="56"/>
      <c r="F69" s="56"/>
      <c r="G69" s="56"/>
      <c r="H69" s="56"/>
      <c r="I69" s="56"/>
      <c r="J69" s="56"/>
      <c r="K69" s="56"/>
      <c r="L69" s="55"/>
    </row>
    <row r="70" spans="2:16">
      <c r="B70" s="55"/>
      <c r="C70" s="56"/>
      <c r="D70" s="56"/>
      <c r="E70" s="56"/>
      <c r="F70" s="56"/>
      <c r="G70" s="56"/>
      <c r="H70" s="56"/>
      <c r="I70" s="56"/>
      <c r="J70" s="56"/>
      <c r="K70" s="56"/>
      <c r="L70" s="55"/>
    </row>
    <row r="71" spans="2:16">
      <c r="B71" s="55"/>
      <c r="C71" s="56"/>
      <c r="D71" s="56"/>
      <c r="E71" s="56"/>
      <c r="F71" s="56"/>
      <c r="G71" s="56"/>
      <c r="H71" s="56"/>
      <c r="I71" s="56"/>
      <c r="J71" s="56"/>
      <c r="K71" s="56"/>
      <c r="L71" s="55"/>
    </row>
    <row r="72" spans="2:16">
      <c r="B72" s="55"/>
      <c r="C72" s="56"/>
      <c r="D72" s="56"/>
      <c r="E72" s="56"/>
      <c r="F72" s="56"/>
      <c r="G72" s="56"/>
      <c r="H72" s="56"/>
      <c r="I72" s="56"/>
      <c r="J72" s="56"/>
      <c r="K72" s="56"/>
      <c r="L72" s="55"/>
    </row>
    <row r="73" spans="2:16">
      <c r="B73" s="55"/>
      <c r="C73" s="56"/>
      <c r="D73" s="56"/>
      <c r="E73" s="56"/>
      <c r="F73" s="56"/>
      <c r="G73" s="56"/>
      <c r="H73" s="56"/>
      <c r="I73" s="56"/>
      <c r="J73" s="56"/>
      <c r="K73" s="56"/>
      <c r="L73" s="55"/>
    </row>
    <row r="74" spans="2:16">
      <c r="B74" s="55"/>
      <c r="C74" s="56"/>
      <c r="D74" s="56"/>
      <c r="E74" s="56"/>
      <c r="F74" s="56"/>
      <c r="G74" s="56"/>
      <c r="H74" s="56"/>
      <c r="I74" s="56"/>
      <c r="J74" s="56"/>
      <c r="K74" s="56"/>
      <c r="L74" s="55"/>
    </row>
  </sheetData>
  <mergeCells count="8">
    <mergeCell ref="A4:B4"/>
    <mergeCell ref="A5:B5"/>
    <mergeCell ref="K3:K5"/>
    <mergeCell ref="A1:B1"/>
    <mergeCell ref="C1:K1"/>
    <mergeCell ref="A2:B2"/>
    <mergeCell ref="C2:K2"/>
    <mergeCell ref="A3:B3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4"/>
  <sheetViews>
    <sheetView workbookViewId="0">
      <pane xSplit="2" ySplit="7" topLeftCell="C17" activePane="bottomRight" state="frozen"/>
      <selection pane="topRight"/>
      <selection pane="bottomLeft"/>
      <selection pane="bottomRight" activeCell="K26" sqref="K26"/>
    </sheetView>
  </sheetViews>
  <sheetFormatPr defaultColWidth="9" defaultRowHeight="16.5"/>
  <cols>
    <col min="1" max="1" width="5.125" style="36" customWidth="1"/>
    <col min="2" max="2" width="17.5" style="36" customWidth="1"/>
    <col min="3" max="10" width="13.25" style="37" customWidth="1"/>
    <col min="11" max="11" width="18.75" style="37" customWidth="1"/>
    <col min="12" max="12" width="12.375" style="36" customWidth="1"/>
    <col min="13" max="13" width="10.125" style="36" customWidth="1"/>
    <col min="14" max="20" width="9" style="36" customWidth="1"/>
    <col min="21" max="37" width="9" style="36"/>
    <col min="38" max="38" width="4.375" style="36" customWidth="1"/>
    <col min="39" max="39" width="13.875" style="36" customWidth="1"/>
    <col min="40" max="16384" width="9" style="36"/>
  </cols>
  <sheetData>
    <row r="1" spans="1:40">
      <c r="A1" s="259" t="s">
        <v>135</v>
      </c>
      <c r="B1" s="259"/>
      <c r="C1" s="263" t="s">
        <v>232</v>
      </c>
      <c r="D1" s="264"/>
      <c r="E1" s="264"/>
      <c r="F1" s="264"/>
      <c r="G1" s="264"/>
      <c r="H1" s="264"/>
      <c r="I1" s="264"/>
      <c r="J1" s="264"/>
      <c r="K1" s="265"/>
    </row>
    <row r="2" spans="1:40">
      <c r="A2" s="259" t="s">
        <v>136</v>
      </c>
      <c r="B2" s="259"/>
      <c r="C2" s="266" t="str">
        <f>'2023年'!C2:K2</f>
        <v>中国重汽济南轻卡</v>
      </c>
      <c r="D2" s="266"/>
      <c r="E2" s="266"/>
      <c r="F2" s="266"/>
      <c r="G2" s="266"/>
      <c r="H2" s="266"/>
      <c r="I2" s="266"/>
      <c r="J2" s="266"/>
      <c r="K2" s="266"/>
    </row>
    <row r="3" spans="1:40">
      <c r="A3" s="259" t="s">
        <v>137</v>
      </c>
      <c r="B3" s="259"/>
      <c r="C3" s="147" t="str">
        <f>'2023年'!C3</f>
        <v>轻卡驾驶员座椅</v>
      </c>
      <c r="D3" s="147">
        <f>'2023年'!D3</f>
        <v>0</v>
      </c>
      <c r="E3" s="147">
        <f>'2023年'!E3</f>
        <v>0</v>
      </c>
      <c r="F3" s="147">
        <f>'2023年'!F3</f>
        <v>0</v>
      </c>
      <c r="G3" s="147">
        <f>'2023年'!G3</f>
        <v>0</v>
      </c>
      <c r="H3" s="147">
        <f>'2023年'!H3</f>
        <v>0</v>
      </c>
      <c r="I3" s="147">
        <f>'2023年'!I3</f>
        <v>0</v>
      </c>
      <c r="J3" s="147">
        <f>'2023年'!J3</f>
        <v>0</v>
      </c>
      <c r="K3" s="260" t="s">
        <v>14</v>
      </c>
    </row>
    <row r="4" spans="1:40">
      <c r="A4" s="259" t="s">
        <v>138</v>
      </c>
      <c r="B4" s="259"/>
      <c r="C4" s="147" t="str">
        <f>'2023年'!C4</f>
        <v>LZ161251000004</v>
      </c>
      <c r="D4" s="147">
        <f>'2023年'!D4</f>
        <v>0</v>
      </c>
      <c r="E4" s="147">
        <f>'2023年'!E4</f>
        <v>0</v>
      </c>
      <c r="F4" s="147">
        <f>'2023年'!F4</f>
        <v>0</v>
      </c>
      <c r="G4" s="147">
        <f>'2023年'!G4</f>
        <v>0</v>
      </c>
      <c r="H4" s="147">
        <f>'2023年'!H4</f>
        <v>0</v>
      </c>
      <c r="I4" s="147">
        <f>'2023年'!I4</f>
        <v>0</v>
      </c>
      <c r="J4" s="147">
        <f>'2023年'!J4</f>
        <v>0</v>
      </c>
      <c r="K4" s="261"/>
    </row>
    <row r="5" spans="1:40">
      <c r="A5" s="259" t="s">
        <v>139</v>
      </c>
      <c r="B5" s="259"/>
      <c r="C5" s="39"/>
      <c r="D5" s="39"/>
      <c r="E5" s="39"/>
      <c r="F5" s="39"/>
      <c r="G5" s="39"/>
      <c r="H5" s="39"/>
      <c r="I5" s="39"/>
      <c r="J5" s="39"/>
      <c r="K5" s="262"/>
      <c r="AN5" s="36" t="s">
        <v>15</v>
      </c>
    </row>
    <row r="6" spans="1:40" ht="17.25">
      <c r="A6" s="40" t="s">
        <v>13</v>
      </c>
      <c r="B6" s="41" t="s">
        <v>140</v>
      </c>
      <c r="C6" s="12">
        <f>销量!C10</f>
        <v>1500</v>
      </c>
      <c r="D6" s="12">
        <f>销量!D10</f>
        <v>0</v>
      </c>
      <c r="E6" s="12">
        <f>销量!E10</f>
        <v>0</v>
      </c>
      <c r="F6" s="12">
        <f>销量!F10</f>
        <v>0</v>
      </c>
      <c r="G6" s="12">
        <f>销量!G10</f>
        <v>0</v>
      </c>
      <c r="H6" s="12">
        <f>销量!H10</f>
        <v>0</v>
      </c>
      <c r="I6" s="12">
        <f>销量!I10</f>
        <v>0</v>
      </c>
      <c r="J6" s="12">
        <f>销量!J10</f>
        <v>0</v>
      </c>
      <c r="K6" s="42">
        <f t="shared" ref="K6:K15" si="0">SUM(C6:J6)</f>
        <v>1500</v>
      </c>
      <c r="V6" s="41" t="s">
        <v>3</v>
      </c>
      <c r="AL6" s="40" t="s">
        <v>13</v>
      </c>
      <c r="AM6" s="41" t="s">
        <v>3</v>
      </c>
      <c r="AN6" s="36" t="s">
        <v>16</v>
      </c>
    </row>
    <row r="7" spans="1:40">
      <c r="A7" s="146">
        <v>1</v>
      </c>
      <c r="B7" s="41" t="s">
        <v>17</v>
      </c>
      <c r="C7" s="42">
        <f>C6*销量!C8</f>
        <v>525000</v>
      </c>
      <c r="D7" s="42">
        <f>D6*销量!D8</f>
        <v>0</v>
      </c>
      <c r="E7" s="42">
        <f>E6*销量!E8</f>
        <v>0</v>
      </c>
      <c r="F7" s="42">
        <f>F6*销量!F8</f>
        <v>0</v>
      </c>
      <c r="G7" s="42">
        <f>G6*销量!G8</f>
        <v>0</v>
      </c>
      <c r="H7" s="42">
        <f>H6*销量!H8</f>
        <v>0</v>
      </c>
      <c r="I7" s="42">
        <f>I6*销量!I8</f>
        <v>0</v>
      </c>
      <c r="J7" s="42">
        <f>J6*销量!J8</f>
        <v>0</v>
      </c>
      <c r="K7" s="42">
        <f>SUM(C7:J7)</f>
        <v>525000</v>
      </c>
      <c r="L7" s="37"/>
      <c r="V7" s="41" t="s">
        <v>17</v>
      </c>
      <c r="AL7" s="40" t="s">
        <v>18</v>
      </c>
      <c r="AM7" s="41" t="s">
        <v>17</v>
      </c>
      <c r="AN7" s="36" t="s">
        <v>16</v>
      </c>
    </row>
    <row r="8" spans="1:40">
      <c r="A8" s="146">
        <v>2</v>
      </c>
      <c r="B8" s="146" t="s">
        <v>19</v>
      </c>
      <c r="C8" s="42">
        <f>C7*(1-销量!$O$7)</f>
        <v>10500.000000000009</v>
      </c>
      <c r="D8" s="42">
        <f>D7*(1-销量!$O$7)</f>
        <v>0</v>
      </c>
      <c r="E8" s="42">
        <f>E7*(1-销量!$O$7)</f>
        <v>0</v>
      </c>
      <c r="F8" s="42">
        <f>F7*(1-销量!$O$7)</f>
        <v>0</v>
      </c>
      <c r="G8" s="42">
        <f>G7*(1-销量!$O$7)</f>
        <v>0</v>
      </c>
      <c r="H8" s="42">
        <f>H7*(1-销量!$O$7)</f>
        <v>0</v>
      </c>
      <c r="I8" s="42">
        <f>I7*(1-销量!$O$7)</f>
        <v>0</v>
      </c>
      <c r="J8" s="42">
        <f>J7*(1-销量!$O$7)</f>
        <v>0</v>
      </c>
      <c r="K8" s="42">
        <f t="shared" si="0"/>
        <v>10500.000000000009</v>
      </c>
      <c r="L8" s="57"/>
      <c r="V8" s="146" t="s">
        <v>21</v>
      </c>
      <c r="AL8" s="40" t="s">
        <v>20</v>
      </c>
      <c r="AM8" s="146" t="s">
        <v>21</v>
      </c>
      <c r="AN8" s="36" t="s">
        <v>16</v>
      </c>
    </row>
    <row r="9" spans="1:40">
      <c r="A9" s="146">
        <v>3</v>
      </c>
      <c r="B9" s="41" t="s">
        <v>22</v>
      </c>
      <c r="C9" s="42">
        <f>+C7-C8</f>
        <v>514500</v>
      </c>
      <c r="D9" s="42">
        <f t="shared" ref="D9:J9" si="1">+D7-D8</f>
        <v>0</v>
      </c>
      <c r="E9" s="42">
        <f t="shared" si="1"/>
        <v>0</v>
      </c>
      <c r="F9" s="42">
        <f t="shared" si="1"/>
        <v>0</v>
      </c>
      <c r="G9" s="42">
        <f t="shared" si="1"/>
        <v>0</v>
      </c>
      <c r="H9" s="42">
        <f t="shared" si="1"/>
        <v>0</v>
      </c>
      <c r="I9" s="42">
        <f t="shared" si="1"/>
        <v>0</v>
      </c>
      <c r="J9" s="42">
        <f t="shared" si="1"/>
        <v>0</v>
      </c>
      <c r="K9" s="42">
        <f t="shared" si="0"/>
        <v>514500</v>
      </c>
      <c r="V9" s="41" t="s">
        <v>22</v>
      </c>
      <c r="AL9" s="40" t="s">
        <v>23</v>
      </c>
      <c r="AM9" s="41" t="s">
        <v>22</v>
      </c>
      <c r="AN9" s="36" t="s">
        <v>24</v>
      </c>
    </row>
    <row r="10" spans="1:40">
      <c r="A10" s="146">
        <v>4</v>
      </c>
      <c r="B10" s="40" t="s">
        <v>25</v>
      </c>
      <c r="C10" s="42">
        <f>C6*C33</f>
        <v>399761.94374999992</v>
      </c>
      <c r="D10" s="42">
        <f t="shared" ref="D10:J10" si="2">D6*D33</f>
        <v>0</v>
      </c>
      <c r="E10" s="42">
        <f t="shared" si="2"/>
        <v>0</v>
      </c>
      <c r="F10" s="42">
        <f t="shared" si="2"/>
        <v>0</v>
      </c>
      <c r="G10" s="42">
        <f t="shared" si="2"/>
        <v>0</v>
      </c>
      <c r="H10" s="42">
        <f t="shared" si="2"/>
        <v>0</v>
      </c>
      <c r="I10" s="42">
        <f t="shared" si="2"/>
        <v>0</v>
      </c>
      <c r="J10" s="42">
        <f t="shared" si="2"/>
        <v>0</v>
      </c>
      <c r="K10" s="42">
        <f t="shared" si="0"/>
        <v>399761.94374999992</v>
      </c>
      <c r="V10" s="40" t="s">
        <v>25</v>
      </c>
      <c r="AL10" s="40" t="s">
        <v>26</v>
      </c>
      <c r="AM10" s="40" t="s">
        <v>25</v>
      </c>
      <c r="AN10" s="36" t="s">
        <v>27</v>
      </c>
    </row>
    <row r="11" spans="1:40">
      <c r="A11" s="146">
        <v>5</v>
      </c>
      <c r="B11" s="40" t="s">
        <v>28</v>
      </c>
      <c r="C11" s="42">
        <f>+C6*C36</f>
        <v>30523.815066423122</v>
      </c>
      <c r="D11" s="42">
        <f t="shared" ref="D11:J11" si="3">+D6*D36</f>
        <v>0</v>
      </c>
      <c r="E11" s="42">
        <f t="shared" si="3"/>
        <v>0</v>
      </c>
      <c r="F11" s="42">
        <f t="shared" si="3"/>
        <v>0</v>
      </c>
      <c r="G11" s="42">
        <f t="shared" si="3"/>
        <v>0</v>
      </c>
      <c r="H11" s="42">
        <f t="shared" si="3"/>
        <v>0</v>
      </c>
      <c r="I11" s="42">
        <f t="shared" si="3"/>
        <v>0</v>
      </c>
      <c r="J11" s="42">
        <f t="shared" si="3"/>
        <v>0</v>
      </c>
      <c r="K11" s="42">
        <f t="shared" si="0"/>
        <v>30523.815066423122</v>
      </c>
      <c r="V11" s="40" t="s">
        <v>28</v>
      </c>
      <c r="AL11" s="40" t="s">
        <v>29</v>
      </c>
      <c r="AM11" s="40" t="s">
        <v>28</v>
      </c>
    </row>
    <row r="12" spans="1:40">
      <c r="A12" s="146">
        <v>6</v>
      </c>
      <c r="B12" s="40" t="s">
        <v>30</v>
      </c>
      <c r="C12" s="42">
        <f>+C6*C37</f>
        <v>9485.8873678816799</v>
      </c>
      <c r="D12" s="42">
        <f t="shared" ref="D12:J12" si="4">+D6*D37</f>
        <v>0</v>
      </c>
      <c r="E12" s="42">
        <f t="shared" si="4"/>
        <v>0</v>
      </c>
      <c r="F12" s="42">
        <f t="shared" si="4"/>
        <v>0</v>
      </c>
      <c r="G12" s="42">
        <f t="shared" si="4"/>
        <v>0</v>
      </c>
      <c r="H12" s="42">
        <f t="shared" si="4"/>
        <v>0</v>
      </c>
      <c r="I12" s="42">
        <f t="shared" si="4"/>
        <v>0</v>
      </c>
      <c r="J12" s="42">
        <f t="shared" si="4"/>
        <v>0</v>
      </c>
      <c r="K12" s="42">
        <f t="shared" si="0"/>
        <v>9485.8873678816799</v>
      </c>
      <c r="V12" s="40" t="s">
        <v>30</v>
      </c>
      <c r="AL12" s="40" t="s">
        <v>31</v>
      </c>
      <c r="AM12" s="40" t="s">
        <v>30</v>
      </c>
    </row>
    <row r="13" spans="1:40">
      <c r="A13" s="146">
        <v>7</v>
      </c>
      <c r="B13" s="40" t="s">
        <v>32</v>
      </c>
      <c r="C13" s="42">
        <f>+C6*C38</f>
        <v>33495.145631067957</v>
      </c>
      <c r="D13" s="42">
        <f t="shared" ref="D13:J13" si="5">+D6*D38</f>
        <v>0</v>
      </c>
      <c r="E13" s="42">
        <f t="shared" si="5"/>
        <v>0</v>
      </c>
      <c r="F13" s="42">
        <f t="shared" si="5"/>
        <v>0</v>
      </c>
      <c r="G13" s="42">
        <f t="shared" si="5"/>
        <v>0</v>
      </c>
      <c r="H13" s="42">
        <f t="shared" si="5"/>
        <v>0</v>
      </c>
      <c r="I13" s="42">
        <f t="shared" si="5"/>
        <v>0</v>
      </c>
      <c r="J13" s="42">
        <f t="shared" si="5"/>
        <v>0</v>
      </c>
      <c r="K13" s="42">
        <f t="shared" si="0"/>
        <v>33495.145631067957</v>
      </c>
      <c r="V13" s="40" t="s">
        <v>32</v>
      </c>
      <c r="AL13" s="40" t="s">
        <v>33</v>
      </c>
      <c r="AM13" s="40" t="s">
        <v>32</v>
      </c>
      <c r="AN13" s="36" t="s">
        <v>16</v>
      </c>
    </row>
    <row r="14" spans="1:40">
      <c r="A14" s="146">
        <v>8</v>
      </c>
      <c r="B14" s="43" t="s">
        <v>34</v>
      </c>
      <c r="C14" s="42">
        <f>SUM(C11:C13)</f>
        <v>73504.84806537276</v>
      </c>
      <c r="D14" s="42">
        <f t="shared" ref="D14:J14" si="6">SUM(D11:D13)</f>
        <v>0</v>
      </c>
      <c r="E14" s="42">
        <f t="shared" si="6"/>
        <v>0</v>
      </c>
      <c r="F14" s="42">
        <f t="shared" si="6"/>
        <v>0</v>
      </c>
      <c r="G14" s="42">
        <f t="shared" si="6"/>
        <v>0</v>
      </c>
      <c r="H14" s="42">
        <f t="shared" si="6"/>
        <v>0</v>
      </c>
      <c r="I14" s="42">
        <f t="shared" si="6"/>
        <v>0</v>
      </c>
      <c r="J14" s="42">
        <f t="shared" si="6"/>
        <v>0</v>
      </c>
      <c r="K14" s="42">
        <f t="shared" si="0"/>
        <v>73504.84806537276</v>
      </c>
      <c r="V14" s="43" t="s">
        <v>34</v>
      </c>
      <c r="AL14" s="40" t="s">
        <v>35</v>
      </c>
      <c r="AM14" s="43" t="s">
        <v>34</v>
      </c>
    </row>
    <row r="15" spans="1:40">
      <c r="A15" s="146">
        <v>9</v>
      </c>
      <c r="B15" s="43" t="s">
        <v>36</v>
      </c>
      <c r="C15" s="42">
        <f>+C9-C10-C14</f>
        <v>41233.208184627321</v>
      </c>
      <c r="D15" s="42">
        <f t="shared" ref="D15:J15" si="7">+D9-D10-D14</f>
        <v>0</v>
      </c>
      <c r="E15" s="42">
        <f t="shared" si="7"/>
        <v>0</v>
      </c>
      <c r="F15" s="42">
        <f t="shared" si="7"/>
        <v>0</v>
      </c>
      <c r="G15" s="42">
        <f t="shared" si="7"/>
        <v>0</v>
      </c>
      <c r="H15" s="42">
        <f t="shared" si="7"/>
        <v>0</v>
      </c>
      <c r="I15" s="42">
        <f t="shared" si="7"/>
        <v>0</v>
      </c>
      <c r="J15" s="42">
        <f t="shared" si="7"/>
        <v>0</v>
      </c>
      <c r="K15" s="42">
        <f t="shared" si="0"/>
        <v>41233.208184627321</v>
      </c>
      <c r="V15" s="43" t="s">
        <v>36</v>
      </c>
      <c r="AL15" s="40" t="s">
        <v>37</v>
      </c>
      <c r="AM15" s="43" t="s">
        <v>36</v>
      </c>
    </row>
    <row r="16" spans="1:40">
      <c r="A16" s="146">
        <v>10</v>
      </c>
      <c r="B16" s="40" t="s">
        <v>38</v>
      </c>
      <c r="C16" s="44">
        <f>+C15/C9</f>
        <v>8.0142289960402957E-2</v>
      </c>
      <c r="D16" s="44" t="e">
        <f t="shared" ref="D16:J16" si="8">+D15/D9</f>
        <v>#DIV/0!</v>
      </c>
      <c r="E16" s="44" t="e">
        <f t="shared" si="8"/>
        <v>#DIV/0!</v>
      </c>
      <c r="F16" s="44" t="e">
        <f t="shared" si="8"/>
        <v>#DIV/0!</v>
      </c>
      <c r="G16" s="44" t="e">
        <f t="shared" si="8"/>
        <v>#DIV/0!</v>
      </c>
      <c r="H16" s="44" t="e">
        <f t="shared" si="8"/>
        <v>#DIV/0!</v>
      </c>
      <c r="I16" s="44" t="e">
        <f t="shared" si="8"/>
        <v>#DIV/0!</v>
      </c>
      <c r="J16" s="44" t="e">
        <f t="shared" si="8"/>
        <v>#DIV/0!</v>
      </c>
      <c r="K16" s="44">
        <f t="shared" ref="K16" si="9">+K15/K9</f>
        <v>8.0142289960402957E-2</v>
      </c>
      <c r="V16" s="40" t="s">
        <v>38</v>
      </c>
      <c r="AL16" s="40" t="s">
        <v>39</v>
      </c>
      <c r="AM16" s="40" t="s">
        <v>38</v>
      </c>
    </row>
    <row r="17" spans="1:40">
      <c r="A17" s="146">
        <v>11</v>
      </c>
      <c r="B17" s="40" t="s">
        <v>40</v>
      </c>
      <c r="C17" s="42">
        <f>C6*C43+C18</f>
        <v>0</v>
      </c>
      <c r="D17" s="42">
        <f t="shared" ref="D17:J17" si="10">D6*D43+D18</f>
        <v>0</v>
      </c>
      <c r="E17" s="42">
        <f t="shared" si="10"/>
        <v>0</v>
      </c>
      <c r="F17" s="42">
        <f t="shared" si="10"/>
        <v>0</v>
      </c>
      <c r="G17" s="42">
        <f t="shared" si="10"/>
        <v>0</v>
      </c>
      <c r="H17" s="42">
        <f t="shared" si="10"/>
        <v>0</v>
      </c>
      <c r="I17" s="42">
        <f t="shared" si="10"/>
        <v>0</v>
      </c>
      <c r="J17" s="42">
        <f t="shared" si="10"/>
        <v>0</v>
      </c>
      <c r="K17" s="42">
        <f>SUM(C17:J17)</f>
        <v>0</v>
      </c>
      <c r="L17" s="57"/>
      <c r="V17" s="40" t="s">
        <v>40</v>
      </c>
      <c r="AL17" s="40" t="s">
        <v>41</v>
      </c>
      <c r="AM17" s="40" t="s">
        <v>40</v>
      </c>
    </row>
    <row r="18" spans="1:40" s="34" customFormat="1">
      <c r="A18" s="146">
        <v>12</v>
      </c>
      <c r="B18" s="45" t="s">
        <v>141</v>
      </c>
      <c r="C18" s="46">
        <f>$K$18/$K$6*C6</f>
        <v>0</v>
      </c>
      <c r="D18" s="46">
        <f t="shared" ref="D18:J18" si="11">$K$18/$K$6*D6</f>
        <v>0</v>
      </c>
      <c r="E18" s="46">
        <f t="shared" si="11"/>
        <v>0</v>
      </c>
      <c r="F18" s="46">
        <f t="shared" si="11"/>
        <v>0</v>
      </c>
      <c r="G18" s="46">
        <f t="shared" si="11"/>
        <v>0</v>
      </c>
      <c r="H18" s="46">
        <f t="shared" si="11"/>
        <v>0</v>
      </c>
      <c r="I18" s="46">
        <f t="shared" si="11"/>
        <v>0</v>
      </c>
      <c r="J18" s="46">
        <f t="shared" si="11"/>
        <v>0</v>
      </c>
      <c r="K18" s="46">
        <f>项目投资!D26</f>
        <v>0</v>
      </c>
      <c r="L18" s="58" t="s">
        <v>142</v>
      </c>
      <c r="M18" s="58"/>
      <c r="N18" s="58"/>
    </row>
    <row r="19" spans="1:40">
      <c r="A19" s="146">
        <v>13</v>
      </c>
      <c r="B19" s="40" t="s">
        <v>42</v>
      </c>
      <c r="C19" s="42">
        <f>C6*C44</f>
        <v>0</v>
      </c>
      <c r="D19" s="42">
        <f t="shared" ref="D19:J19" si="12">D6*D44</f>
        <v>0</v>
      </c>
      <c r="E19" s="42">
        <f t="shared" si="12"/>
        <v>0</v>
      </c>
      <c r="F19" s="42">
        <f t="shared" si="12"/>
        <v>0</v>
      </c>
      <c r="G19" s="42">
        <f t="shared" si="12"/>
        <v>0</v>
      </c>
      <c r="H19" s="42">
        <f t="shared" si="12"/>
        <v>0</v>
      </c>
      <c r="I19" s="42">
        <f t="shared" si="12"/>
        <v>0</v>
      </c>
      <c r="J19" s="42">
        <f t="shared" si="12"/>
        <v>0</v>
      </c>
      <c r="K19" s="42">
        <f>SUM(C19:J19)</f>
        <v>0</v>
      </c>
      <c r="L19" s="34"/>
      <c r="V19" s="40" t="s">
        <v>42</v>
      </c>
      <c r="AL19" s="40" t="s">
        <v>43</v>
      </c>
      <c r="AM19" s="40" t="s">
        <v>42</v>
      </c>
      <c r="AN19" s="36" t="s">
        <v>16</v>
      </c>
    </row>
    <row r="20" spans="1:40">
      <c r="A20" s="146">
        <v>14</v>
      </c>
      <c r="B20" s="40" t="s">
        <v>44</v>
      </c>
      <c r="C20" s="42">
        <f>C6*C45</f>
        <v>0</v>
      </c>
      <c r="D20" s="42">
        <f t="shared" ref="D20:J20" si="13">D6*D45</f>
        <v>0</v>
      </c>
      <c r="E20" s="42">
        <f t="shared" si="13"/>
        <v>0</v>
      </c>
      <c r="F20" s="42">
        <f t="shared" si="13"/>
        <v>0</v>
      </c>
      <c r="G20" s="42">
        <f t="shared" si="13"/>
        <v>0</v>
      </c>
      <c r="H20" s="42">
        <f t="shared" si="13"/>
        <v>0</v>
      </c>
      <c r="I20" s="42">
        <f t="shared" si="13"/>
        <v>0</v>
      </c>
      <c r="J20" s="42">
        <f t="shared" si="13"/>
        <v>0</v>
      </c>
      <c r="K20" s="42">
        <f>SUM(C20:J20)</f>
        <v>0</v>
      </c>
      <c r="V20" s="40" t="s">
        <v>44</v>
      </c>
      <c r="AL20" s="40" t="s">
        <v>45</v>
      </c>
      <c r="AM20" s="40" t="s">
        <v>44</v>
      </c>
    </row>
    <row r="21" spans="1:40">
      <c r="A21" s="146">
        <v>15</v>
      </c>
      <c r="B21" s="40" t="s">
        <v>46</v>
      </c>
      <c r="C21" s="47">
        <f>$K$21/$K$6*C6</f>
        <v>666.66666666666663</v>
      </c>
      <c r="D21" s="47">
        <f t="shared" ref="D21:J21" si="14">$K$21/$K$6*D6</f>
        <v>0</v>
      </c>
      <c r="E21" s="47">
        <f t="shared" si="14"/>
        <v>0</v>
      </c>
      <c r="F21" s="47">
        <f t="shared" si="14"/>
        <v>0</v>
      </c>
      <c r="G21" s="47">
        <f t="shared" si="14"/>
        <v>0</v>
      </c>
      <c r="H21" s="47">
        <f t="shared" si="14"/>
        <v>0</v>
      </c>
      <c r="I21" s="47">
        <f t="shared" si="14"/>
        <v>0</v>
      </c>
      <c r="J21" s="47">
        <f t="shared" si="14"/>
        <v>0</v>
      </c>
      <c r="K21" s="42">
        <f>项目投资!E27</f>
        <v>666.66666666666663</v>
      </c>
      <c r="V21" s="40" t="s">
        <v>46</v>
      </c>
      <c r="AL21" s="40"/>
      <c r="AM21" s="40"/>
    </row>
    <row r="22" spans="1:40">
      <c r="A22" s="146">
        <v>16</v>
      </c>
      <c r="B22" s="40" t="s">
        <v>47</v>
      </c>
      <c r="C22" s="42">
        <f>C6*C47</f>
        <v>26250</v>
      </c>
      <c r="D22" s="42">
        <f t="shared" ref="D22:J22" si="15">D6*D47</f>
        <v>0</v>
      </c>
      <c r="E22" s="42">
        <f t="shared" si="15"/>
        <v>0</v>
      </c>
      <c r="F22" s="42">
        <f t="shared" si="15"/>
        <v>0</v>
      </c>
      <c r="G22" s="42">
        <f t="shared" si="15"/>
        <v>0</v>
      </c>
      <c r="H22" s="42">
        <f t="shared" si="15"/>
        <v>0</v>
      </c>
      <c r="I22" s="42">
        <f t="shared" si="15"/>
        <v>0</v>
      </c>
      <c r="J22" s="42">
        <f t="shared" si="15"/>
        <v>0</v>
      </c>
      <c r="K22" s="42">
        <f>SUM(C22:J22)</f>
        <v>26250</v>
      </c>
      <c r="V22" s="40" t="s">
        <v>47</v>
      </c>
      <c r="AL22" s="40" t="s">
        <v>48</v>
      </c>
      <c r="AM22" s="40" t="s">
        <v>47</v>
      </c>
    </row>
    <row r="23" spans="1:40">
      <c r="A23" s="146">
        <v>17</v>
      </c>
      <c r="B23" s="43" t="s">
        <v>49</v>
      </c>
      <c r="C23" s="47">
        <f>+C22+C21+C20+C19+C17</f>
        <v>26916.666666666668</v>
      </c>
      <c r="D23" s="47">
        <f t="shared" ref="D23:J23" si="16">+D22+D21+D20+D19+D17</f>
        <v>0</v>
      </c>
      <c r="E23" s="47">
        <f t="shared" si="16"/>
        <v>0</v>
      </c>
      <c r="F23" s="47">
        <f t="shared" si="16"/>
        <v>0</v>
      </c>
      <c r="G23" s="47">
        <f t="shared" si="16"/>
        <v>0</v>
      </c>
      <c r="H23" s="47">
        <f t="shared" si="16"/>
        <v>0</v>
      </c>
      <c r="I23" s="47">
        <f t="shared" si="16"/>
        <v>0</v>
      </c>
      <c r="J23" s="47">
        <f t="shared" si="16"/>
        <v>0</v>
      </c>
      <c r="K23" s="47">
        <f t="shared" ref="K23" si="17">+K22+K21+K20+K19+K17</f>
        <v>26916.666666666668</v>
      </c>
      <c r="V23" s="43" t="s">
        <v>49</v>
      </c>
      <c r="AL23" s="40" t="s">
        <v>50</v>
      </c>
      <c r="AM23" s="43" t="s">
        <v>49</v>
      </c>
    </row>
    <row r="24" spans="1:40">
      <c r="A24" s="146">
        <v>18</v>
      </c>
      <c r="B24" s="48" t="s">
        <v>51</v>
      </c>
      <c r="C24" s="47">
        <f>+C15-C23</f>
        <v>14316.541517960653</v>
      </c>
      <c r="D24" s="47">
        <f t="shared" ref="D24:J24" si="18">+D15-D23</f>
        <v>0</v>
      </c>
      <c r="E24" s="47">
        <f t="shared" si="18"/>
        <v>0</v>
      </c>
      <c r="F24" s="47">
        <f t="shared" si="18"/>
        <v>0</v>
      </c>
      <c r="G24" s="47">
        <f t="shared" si="18"/>
        <v>0</v>
      </c>
      <c r="H24" s="47">
        <f t="shared" si="18"/>
        <v>0</v>
      </c>
      <c r="I24" s="47">
        <f t="shared" si="18"/>
        <v>0</v>
      </c>
      <c r="J24" s="47">
        <f t="shared" si="18"/>
        <v>0</v>
      </c>
      <c r="K24" s="47">
        <f t="shared" ref="K24" si="19">+K15-K23</f>
        <v>14316.541517960653</v>
      </c>
      <c r="M24" s="59"/>
      <c r="V24" s="40" t="s">
        <v>51</v>
      </c>
      <c r="AL24" s="40" t="s">
        <v>52</v>
      </c>
      <c r="AM24" s="40" t="s">
        <v>51</v>
      </c>
    </row>
    <row r="25" spans="1:40">
      <c r="A25" s="146">
        <v>19</v>
      </c>
      <c r="B25" s="40" t="s">
        <v>229</v>
      </c>
      <c r="C25" s="47">
        <f>IF(C24&lt;0,0,C24*0.15)</f>
        <v>2147.4812276940979</v>
      </c>
      <c r="D25" s="47">
        <f t="shared" ref="D25:J25" si="20">IF(D24&lt;0,0,D24*0.15)</f>
        <v>0</v>
      </c>
      <c r="E25" s="47">
        <f t="shared" si="20"/>
        <v>0</v>
      </c>
      <c r="F25" s="47">
        <f t="shared" si="20"/>
        <v>0</v>
      </c>
      <c r="G25" s="47">
        <f t="shared" si="20"/>
        <v>0</v>
      </c>
      <c r="H25" s="47">
        <f t="shared" si="20"/>
        <v>0</v>
      </c>
      <c r="I25" s="47">
        <f t="shared" si="20"/>
        <v>0</v>
      </c>
      <c r="J25" s="47">
        <f t="shared" si="20"/>
        <v>0</v>
      </c>
      <c r="K25" s="47">
        <f>IF(K24&lt;0,0,K24*0.15)</f>
        <v>2147.4812276940979</v>
      </c>
      <c r="L25" s="55"/>
      <c r="M25" s="55"/>
      <c r="N25" s="55"/>
      <c r="V25" s="40" t="s">
        <v>53</v>
      </c>
      <c r="AL25" s="40" t="s">
        <v>54</v>
      </c>
      <c r="AM25" s="40" t="s">
        <v>53</v>
      </c>
    </row>
    <row r="26" spans="1:40">
      <c r="A26" s="146">
        <v>20</v>
      </c>
      <c r="B26" s="40" t="s">
        <v>55</v>
      </c>
      <c r="C26" s="47">
        <f t="shared" ref="C26" si="21">C24-C25</f>
        <v>12169.060290266556</v>
      </c>
      <c r="D26" s="47">
        <f t="shared" ref="D26:J26" si="22">D24-D25</f>
        <v>0</v>
      </c>
      <c r="E26" s="47">
        <f t="shared" si="22"/>
        <v>0</v>
      </c>
      <c r="F26" s="47">
        <f t="shared" si="22"/>
        <v>0</v>
      </c>
      <c r="G26" s="47">
        <f t="shared" si="22"/>
        <v>0</v>
      </c>
      <c r="H26" s="47">
        <f t="shared" si="22"/>
        <v>0</v>
      </c>
      <c r="I26" s="47">
        <f t="shared" si="22"/>
        <v>0</v>
      </c>
      <c r="J26" s="47">
        <f t="shared" si="22"/>
        <v>0</v>
      </c>
      <c r="K26" s="42">
        <f>K24-K25</f>
        <v>12169.060290266556</v>
      </c>
      <c r="L26" s="55"/>
      <c r="M26" s="55"/>
      <c r="N26" s="55"/>
      <c r="V26" s="40" t="s">
        <v>55</v>
      </c>
      <c r="AL26" s="40" t="s">
        <v>56</v>
      </c>
      <c r="AM26" s="40" t="s">
        <v>55</v>
      </c>
    </row>
    <row r="27" spans="1:40">
      <c r="A27" s="146">
        <v>21</v>
      </c>
      <c r="B27" s="40" t="s">
        <v>59</v>
      </c>
      <c r="C27" s="49">
        <f t="shared" ref="C27:K27" si="23">C26/C7</f>
        <v>2.3179162457650584E-2</v>
      </c>
      <c r="D27" s="49" t="e">
        <f t="shared" ref="D27:J27" si="24">D26/D7</f>
        <v>#DIV/0!</v>
      </c>
      <c r="E27" s="49" t="e">
        <f t="shared" si="24"/>
        <v>#DIV/0!</v>
      </c>
      <c r="F27" s="49" t="e">
        <f t="shared" si="24"/>
        <v>#DIV/0!</v>
      </c>
      <c r="G27" s="49" t="e">
        <f t="shared" si="24"/>
        <v>#DIV/0!</v>
      </c>
      <c r="H27" s="49" t="e">
        <f t="shared" si="24"/>
        <v>#DIV/0!</v>
      </c>
      <c r="I27" s="49" t="e">
        <f t="shared" si="24"/>
        <v>#DIV/0!</v>
      </c>
      <c r="J27" s="49" t="e">
        <f t="shared" si="24"/>
        <v>#DIV/0!</v>
      </c>
      <c r="K27" s="49">
        <f t="shared" si="23"/>
        <v>2.3179162457650584E-2</v>
      </c>
      <c r="L27" s="55"/>
      <c r="M27" s="55"/>
      <c r="N27" s="55"/>
      <c r="V27" s="40" t="s">
        <v>59</v>
      </c>
      <c r="AL27" s="40" t="s">
        <v>58</v>
      </c>
      <c r="AM27" s="40" t="s">
        <v>59</v>
      </c>
    </row>
    <row r="28" spans="1:40">
      <c r="L28" s="55"/>
      <c r="M28" s="55"/>
      <c r="N28" s="55"/>
      <c r="V28" s="40"/>
    </row>
    <row r="29" spans="1:40">
      <c r="A29" s="36" t="s">
        <v>60</v>
      </c>
      <c r="K29" s="37" t="s">
        <v>143</v>
      </c>
      <c r="L29" s="55"/>
      <c r="M29" s="55"/>
      <c r="N29" s="55"/>
      <c r="V29" s="40"/>
      <c r="AL29" s="36" t="s">
        <v>60</v>
      </c>
    </row>
    <row r="30" spans="1:40">
      <c r="A30" s="40" t="s">
        <v>61</v>
      </c>
      <c r="B30" s="43" t="s">
        <v>62</v>
      </c>
      <c r="C30" s="47"/>
      <c r="D30" s="47"/>
      <c r="E30" s="47"/>
      <c r="F30" s="47"/>
      <c r="G30" s="47"/>
      <c r="H30" s="47"/>
      <c r="I30" s="47"/>
      <c r="J30" s="47"/>
      <c r="K30" s="47"/>
      <c r="L30" s="55"/>
      <c r="M30" s="55"/>
      <c r="N30" s="55"/>
      <c r="P30" s="55"/>
      <c r="V30" s="43" t="s">
        <v>62</v>
      </c>
      <c r="AL30" s="40" t="s">
        <v>63</v>
      </c>
      <c r="AM30" s="43" t="s">
        <v>62</v>
      </c>
    </row>
    <row r="31" spans="1:40">
      <c r="A31" s="146">
        <v>1</v>
      </c>
      <c r="B31" s="45" t="s">
        <v>64</v>
      </c>
      <c r="C31" s="51">
        <f>'2023年'!C31</f>
        <v>350</v>
      </c>
      <c r="D31" s="51">
        <f>'2023年'!D31</f>
        <v>0</v>
      </c>
      <c r="E31" s="51">
        <f>'2023年'!E31</f>
        <v>0</v>
      </c>
      <c r="F31" s="51">
        <f>'2023年'!F31</f>
        <v>0</v>
      </c>
      <c r="G31" s="51">
        <f>'2023年'!G31</f>
        <v>0</v>
      </c>
      <c r="H31" s="51">
        <f>'2023年'!H31</f>
        <v>0</v>
      </c>
      <c r="I31" s="51">
        <f>'2023年'!I31</f>
        <v>0</v>
      </c>
      <c r="J31" s="51">
        <f>'2023年'!J31</f>
        <v>0</v>
      </c>
      <c r="K31" s="47"/>
      <c r="L31" s="55"/>
      <c r="M31" s="55"/>
      <c r="N31" s="55"/>
      <c r="P31" s="55"/>
      <c r="V31" s="40" t="s">
        <v>64</v>
      </c>
      <c r="AL31" s="40" t="s">
        <v>18</v>
      </c>
      <c r="AM31" s="40" t="s">
        <v>64</v>
      </c>
    </row>
    <row r="32" spans="1:40">
      <c r="A32" s="146">
        <v>2</v>
      </c>
      <c r="B32" s="40" t="s">
        <v>144</v>
      </c>
      <c r="C32" s="42">
        <f>C9/C6</f>
        <v>343</v>
      </c>
      <c r="D32" s="42" t="e">
        <f t="shared" ref="D32:J32" si="25">D9/D6</f>
        <v>#DIV/0!</v>
      </c>
      <c r="E32" s="42" t="e">
        <f t="shared" si="25"/>
        <v>#DIV/0!</v>
      </c>
      <c r="F32" s="42" t="e">
        <f t="shared" si="25"/>
        <v>#DIV/0!</v>
      </c>
      <c r="G32" s="42" t="e">
        <f t="shared" si="25"/>
        <v>#DIV/0!</v>
      </c>
      <c r="H32" s="42" t="e">
        <f t="shared" si="25"/>
        <v>#DIV/0!</v>
      </c>
      <c r="I32" s="42" t="e">
        <f t="shared" si="25"/>
        <v>#DIV/0!</v>
      </c>
      <c r="J32" s="42" t="e">
        <f t="shared" si="25"/>
        <v>#DIV/0!</v>
      </c>
      <c r="K32" s="47"/>
      <c r="L32" s="55"/>
      <c r="M32" s="55"/>
      <c r="N32" s="55"/>
      <c r="O32" s="55"/>
      <c r="P32" s="55"/>
      <c r="Q32" s="55"/>
      <c r="R32" s="55"/>
      <c r="AL32" s="40"/>
      <c r="AM32" s="40"/>
    </row>
    <row r="33" spans="1:39">
      <c r="A33" s="146">
        <v>3</v>
      </c>
      <c r="B33" s="45" t="s">
        <v>65</v>
      </c>
      <c r="C33" s="154">
        <f>'2023年'!C33*(1-0.025)</f>
        <v>266.50796249999996</v>
      </c>
      <c r="D33" s="154">
        <f>'2023年'!D33*(1-0.025)</f>
        <v>0</v>
      </c>
      <c r="E33" s="154">
        <f>'2023年'!E33*(1-0.025)</f>
        <v>0</v>
      </c>
      <c r="F33" s="154">
        <f>'2023年'!F33*(1-0.025)</f>
        <v>0</v>
      </c>
      <c r="G33" s="154">
        <f>'2023年'!G33*(1-0.025)</f>
        <v>0</v>
      </c>
      <c r="H33" s="154">
        <f>'2023年'!H33*(1-0.025)</f>
        <v>0</v>
      </c>
      <c r="I33" s="154">
        <f>'2023年'!I33*(1-0.025)</f>
        <v>0</v>
      </c>
      <c r="J33" s="154">
        <f>'2023年'!J33*(1-0.025)</f>
        <v>0</v>
      </c>
      <c r="K33" s="47"/>
      <c r="M33" s="55"/>
      <c r="N33" s="55"/>
      <c r="O33" s="55"/>
      <c r="P33" s="55"/>
      <c r="Q33" s="55"/>
      <c r="R33" s="55"/>
      <c r="V33" s="40" t="s">
        <v>65</v>
      </c>
      <c r="AL33" s="40" t="s">
        <v>20</v>
      </c>
      <c r="AM33" s="40" t="s">
        <v>65</v>
      </c>
    </row>
    <row r="34" spans="1:39" ht="17.25" customHeight="1">
      <c r="A34" s="146">
        <v>4</v>
      </c>
      <c r="B34" s="40" t="s">
        <v>67</v>
      </c>
      <c r="C34" s="52">
        <f>C32-C33</f>
        <v>76.492037500000038</v>
      </c>
      <c r="D34" s="52" t="e">
        <f t="shared" ref="D34:J34" si="26">D32-D33</f>
        <v>#DIV/0!</v>
      </c>
      <c r="E34" s="52" t="e">
        <f t="shared" si="26"/>
        <v>#DIV/0!</v>
      </c>
      <c r="F34" s="52" t="e">
        <f t="shared" si="26"/>
        <v>#DIV/0!</v>
      </c>
      <c r="G34" s="52" t="e">
        <f t="shared" si="26"/>
        <v>#DIV/0!</v>
      </c>
      <c r="H34" s="52" t="e">
        <f t="shared" si="26"/>
        <v>#DIV/0!</v>
      </c>
      <c r="I34" s="52" t="e">
        <f t="shared" si="26"/>
        <v>#DIV/0!</v>
      </c>
      <c r="J34" s="52" t="e">
        <f t="shared" si="26"/>
        <v>#DIV/0!</v>
      </c>
      <c r="K34" s="47"/>
      <c r="M34" s="55"/>
      <c r="N34" s="55"/>
      <c r="O34" s="55"/>
      <c r="P34" s="55"/>
      <c r="Q34" s="55"/>
      <c r="R34" s="55"/>
      <c r="V34" s="40" t="s">
        <v>67</v>
      </c>
      <c r="AL34" s="40" t="s">
        <v>66</v>
      </c>
      <c r="AM34" s="40" t="s">
        <v>67</v>
      </c>
    </row>
    <row r="35" spans="1:39">
      <c r="A35" s="40" t="s">
        <v>63</v>
      </c>
      <c r="B35" s="43" t="s">
        <v>7</v>
      </c>
      <c r="C35" s="47"/>
      <c r="D35" s="47"/>
      <c r="E35" s="47"/>
      <c r="F35" s="47"/>
      <c r="G35" s="47"/>
      <c r="H35" s="47"/>
      <c r="I35" s="47"/>
      <c r="J35" s="47"/>
      <c r="K35" s="47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43" t="s">
        <v>7</v>
      </c>
      <c r="AL35" s="40" t="s">
        <v>69</v>
      </c>
      <c r="AM35" s="43" t="s">
        <v>7</v>
      </c>
    </row>
    <row r="36" spans="1:39">
      <c r="A36" s="146">
        <v>1</v>
      </c>
      <c r="B36" s="40" t="s">
        <v>70</v>
      </c>
      <c r="C36" s="46">
        <f>'2023年'!C36</f>
        <v>20.349210044282081</v>
      </c>
      <c r="D36" s="46">
        <f>'2023年'!D36</f>
        <v>0</v>
      </c>
      <c r="E36" s="46">
        <f>'2023年'!E36</f>
        <v>0</v>
      </c>
      <c r="F36" s="46">
        <f>'2023年'!F36</f>
        <v>0</v>
      </c>
      <c r="G36" s="46">
        <f>'2023年'!G36</f>
        <v>0</v>
      </c>
      <c r="H36" s="46">
        <f>'2023年'!H36</f>
        <v>0</v>
      </c>
      <c r="I36" s="46">
        <f>'2023年'!I36</f>
        <v>0</v>
      </c>
      <c r="J36" s="46">
        <f>'2023年'!J36</f>
        <v>0</v>
      </c>
      <c r="K36" s="51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40" t="s">
        <v>70</v>
      </c>
      <c r="AL36" s="40" t="s">
        <v>66</v>
      </c>
      <c r="AM36" s="40" t="s">
        <v>70</v>
      </c>
    </row>
    <row r="37" spans="1:39">
      <c r="A37" s="146">
        <v>2</v>
      </c>
      <c r="B37" s="40" t="s">
        <v>71</v>
      </c>
      <c r="C37" s="46">
        <f>'2023年'!C37</f>
        <v>6.3239249119211198</v>
      </c>
      <c r="D37" s="46">
        <f>'2023年'!D37</f>
        <v>0</v>
      </c>
      <c r="E37" s="46">
        <f>'2023年'!E37</f>
        <v>0</v>
      </c>
      <c r="F37" s="46">
        <f>'2023年'!F37</f>
        <v>0</v>
      </c>
      <c r="G37" s="46">
        <f>'2023年'!G37</f>
        <v>0</v>
      </c>
      <c r="H37" s="46">
        <f>'2023年'!H37</f>
        <v>0</v>
      </c>
      <c r="I37" s="46">
        <f>'2023年'!I37</f>
        <v>0</v>
      </c>
      <c r="J37" s="46">
        <f>'2023年'!J37</f>
        <v>0</v>
      </c>
      <c r="K37" s="51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40" t="s">
        <v>71</v>
      </c>
      <c r="AL37" s="40" t="s">
        <v>23</v>
      </c>
      <c r="AM37" s="40" t="s">
        <v>71</v>
      </c>
    </row>
    <row r="38" spans="1:39">
      <c r="A38" s="146">
        <v>3</v>
      </c>
      <c r="B38" s="40" t="s">
        <v>72</v>
      </c>
      <c r="C38" s="46">
        <f>'2023年'!C38</f>
        <v>22.33009708737864</v>
      </c>
      <c r="D38" s="46">
        <f>'2023年'!D38</f>
        <v>0</v>
      </c>
      <c r="E38" s="46">
        <f>'2023年'!E38</f>
        <v>0</v>
      </c>
      <c r="F38" s="46">
        <f>'2023年'!F38</f>
        <v>0</v>
      </c>
      <c r="G38" s="46">
        <f>'2023年'!G38</f>
        <v>0</v>
      </c>
      <c r="H38" s="46">
        <f>'2023年'!H38</f>
        <v>0</v>
      </c>
      <c r="I38" s="46">
        <f>'2023年'!I38</f>
        <v>0</v>
      </c>
      <c r="J38" s="46">
        <f>'2023年'!J38</f>
        <v>0</v>
      </c>
      <c r="K38" s="51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40" t="s">
        <v>72</v>
      </c>
      <c r="AL38" s="40" t="s">
        <v>29</v>
      </c>
      <c r="AM38" s="40" t="s">
        <v>72</v>
      </c>
    </row>
    <row r="39" spans="1:39">
      <c r="A39" s="40" t="s">
        <v>69</v>
      </c>
      <c r="B39" s="43" t="s">
        <v>74</v>
      </c>
      <c r="C39" s="47"/>
      <c r="D39" s="47"/>
      <c r="E39" s="47"/>
      <c r="F39" s="47"/>
      <c r="G39" s="47"/>
      <c r="H39" s="47"/>
      <c r="I39" s="47"/>
      <c r="J39" s="47"/>
      <c r="K39" s="47"/>
      <c r="V39" s="43" t="s">
        <v>74</v>
      </c>
      <c r="AL39" s="40" t="s">
        <v>73</v>
      </c>
      <c r="AM39" s="43" t="s">
        <v>74</v>
      </c>
    </row>
    <row r="40" spans="1:39">
      <c r="A40" s="146">
        <v>1</v>
      </c>
      <c r="B40" s="40" t="s">
        <v>75</v>
      </c>
      <c r="C40" s="47">
        <f>C34-C36-C37-C38</f>
        <v>27.488805456418199</v>
      </c>
      <c r="D40" s="47" t="e">
        <f t="shared" ref="D40:J40" si="27">D34-D36-D37-D38</f>
        <v>#DIV/0!</v>
      </c>
      <c r="E40" s="47" t="e">
        <f t="shared" si="27"/>
        <v>#DIV/0!</v>
      </c>
      <c r="F40" s="47" t="e">
        <f t="shared" si="27"/>
        <v>#DIV/0!</v>
      </c>
      <c r="G40" s="47" t="e">
        <f t="shared" si="27"/>
        <v>#DIV/0!</v>
      </c>
      <c r="H40" s="47" t="e">
        <f t="shared" si="27"/>
        <v>#DIV/0!</v>
      </c>
      <c r="I40" s="47" t="e">
        <f t="shared" si="27"/>
        <v>#DIV/0!</v>
      </c>
      <c r="J40" s="47" t="e">
        <f t="shared" si="27"/>
        <v>#DIV/0!</v>
      </c>
      <c r="K40" s="47"/>
      <c r="V40" s="40" t="s">
        <v>75</v>
      </c>
      <c r="AL40" s="40" t="s">
        <v>18</v>
      </c>
      <c r="AM40" s="40" t="s">
        <v>75</v>
      </c>
    </row>
    <row r="41" spans="1:39">
      <c r="A41" s="146">
        <v>2</v>
      </c>
      <c r="B41" s="40" t="s">
        <v>76</v>
      </c>
      <c r="C41" s="47"/>
      <c r="D41" s="47"/>
      <c r="E41" s="47"/>
      <c r="F41" s="47"/>
      <c r="G41" s="47"/>
      <c r="H41" s="47"/>
      <c r="I41" s="47"/>
      <c r="J41" s="47"/>
      <c r="K41" s="47"/>
      <c r="V41" s="40" t="s">
        <v>76</v>
      </c>
      <c r="AL41" s="40" t="s">
        <v>20</v>
      </c>
      <c r="AM41" s="40" t="s">
        <v>76</v>
      </c>
    </row>
    <row r="42" spans="1:39">
      <c r="A42" s="40" t="s">
        <v>73</v>
      </c>
      <c r="B42" s="43" t="s">
        <v>78</v>
      </c>
      <c r="C42" s="47"/>
      <c r="D42" s="47"/>
      <c r="E42" s="47"/>
      <c r="F42" s="47"/>
      <c r="G42" s="47"/>
      <c r="H42" s="47"/>
      <c r="I42" s="47"/>
      <c r="J42" s="47"/>
      <c r="K42" s="47"/>
      <c r="V42" s="43" t="s">
        <v>78</v>
      </c>
      <c r="AL42" s="40" t="s">
        <v>77</v>
      </c>
      <c r="AM42" s="43" t="s">
        <v>78</v>
      </c>
    </row>
    <row r="43" spans="1:39">
      <c r="A43" s="146">
        <v>1</v>
      </c>
      <c r="B43" s="48" t="s">
        <v>79</v>
      </c>
      <c r="C43" s="46">
        <f>'2023年'!C43</f>
        <v>0</v>
      </c>
      <c r="D43" s="46">
        <f>'2023年'!D43</f>
        <v>0</v>
      </c>
      <c r="E43" s="46">
        <f>'2023年'!E43</f>
        <v>0</v>
      </c>
      <c r="F43" s="46">
        <f>'2023年'!F43</f>
        <v>0</v>
      </c>
      <c r="G43" s="46">
        <f>'2023年'!G43</f>
        <v>0</v>
      </c>
      <c r="H43" s="46">
        <f>'2023年'!H43</f>
        <v>0</v>
      </c>
      <c r="I43" s="46">
        <f>'2023年'!I43</f>
        <v>0</v>
      </c>
      <c r="J43" s="46">
        <f>'2023年'!J43</f>
        <v>0</v>
      </c>
      <c r="K43" s="47"/>
      <c r="V43" s="40" t="s">
        <v>79</v>
      </c>
      <c r="AL43" s="40" t="s">
        <v>18</v>
      </c>
      <c r="AM43" s="40" t="s">
        <v>79</v>
      </c>
    </row>
    <row r="44" spans="1:39">
      <c r="A44" s="146">
        <v>2</v>
      </c>
      <c r="B44" s="48" t="s">
        <v>80</v>
      </c>
      <c r="C44" s="46">
        <f>'2023年'!C44</f>
        <v>0</v>
      </c>
      <c r="D44" s="46">
        <f>'2023年'!D44</f>
        <v>0</v>
      </c>
      <c r="E44" s="46">
        <f>'2023年'!E44</f>
        <v>0</v>
      </c>
      <c r="F44" s="46">
        <f>'2023年'!F44</f>
        <v>0</v>
      </c>
      <c r="G44" s="46">
        <f>'2023年'!G44</f>
        <v>0</v>
      </c>
      <c r="H44" s="46">
        <f>'2023年'!H44</f>
        <v>0</v>
      </c>
      <c r="I44" s="46">
        <f>'2023年'!I44</f>
        <v>0</v>
      </c>
      <c r="J44" s="46">
        <f>'2023年'!J44</f>
        <v>0</v>
      </c>
      <c r="K44" s="47"/>
      <c r="V44" s="40" t="s">
        <v>80</v>
      </c>
      <c r="AL44" s="40" t="s">
        <v>20</v>
      </c>
      <c r="AM44" s="40" t="s">
        <v>80</v>
      </c>
    </row>
    <row r="45" spans="1:39">
      <c r="A45" s="146">
        <v>3</v>
      </c>
      <c r="B45" s="48" t="s">
        <v>81</v>
      </c>
      <c r="C45" s="46">
        <f>'2023年'!C45</f>
        <v>0</v>
      </c>
      <c r="D45" s="46">
        <f>'2023年'!D45</f>
        <v>0</v>
      </c>
      <c r="E45" s="46">
        <f>'2023年'!E45</f>
        <v>0</v>
      </c>
      <c r="F45" s="46">
        <f>'2023年'!F45</f>
        <v>0</v>
      </c>
      <c r="G45" s="46">
        <f>'2023年'!G45</f>
        <v>0</v>
      </c>
      <c r="H45" s="46">
        <f>'2023年'!H45</f>
        <v>0</v>
      </c>
      <c r="I45" s="46">
        <f>'2023年'!I45</f>
        <v>0</v>
      </c>
      <c r="J45" s="46">
        <f>'2023年'!J45</f>
        <v>0</v>
      </c>
      <c r="K45" s="47"/>
      <c r="V45" s="40" t="s">
        <v>81</v>
      </c>
      <c r="AL45" s="40" t="s">
        <v>66</v>
      </c>
      <c r="AM45" s="40" t="s">
        <v>81</v>
      </c>
    </row>
    <row r="46" spans="1:39" s="35" customFormat="1">
      <c r="A46" s="146">
        <v>4</v>
      </c>
      <c r="B46" s="48" t="s">
        <v>82</v>
      </c>
      <c r="C46" s="53">
        <f>C21/C6</f>
        <v>0.44444444444444442</v>
      </c>
      <c r="D46" s="53" t="e">
        <f t="shared" ref="D46:J46" si="28">D21/D6</f>
        <v>#DIV/0!</v>
      </c>
      <c r="E46" s="53" t="e">
        <f t="shared" si="28"/>
        <v>#DIV/0!</v>
      </c>
      <c r="F46" s="53" t="e">
        <f t="shared" si="28"/>
        <v>#DIV/0!</v>
      </c>
      <c r="G46" s="53" t="e">
        <f t="shared" si="28"/>
        <v>#DIV/0!</v>
      </c>
      <c r="H46" s="53" t="e">
        <f t="shared" si="28"/>
        <v>#DIV/0!</v>
      </c>
      <c r="I46" s="53" t="e">
        <f t="shared" si="28"/>
        <v>#DIV/0!</v>
      </c>
      <c r="J46" s="53" t="e">
        <f t="shared" si="28"/>
        <v>#DIV/0!</v>
      </c>
      <c r="K46" s="53"/>
      <c r="V46" s="48" t="s">
        <v>84</v>
      </c>
      <c r="AL46" s="48" t="s">
        <v>26</v>
      </c>
      <c r="AM46" s="48" t="s">
        <v>84</v>
      </c>
    </row>
    <row r="47" spans="1:39" s="35" customFormat="1">
      <c r="A47" s="146">
        <v>5</v>
      </c>
      <c r="B47" s="48" t="s">
        <v>84</v>
      </c>
      <c r="C47" s="53">
        <f>'2023年'!C47</f>
        <v>17.5</v>
      </c>
      <c r="D47" s="53">
        <f>'2023年'!D47</f>
        <v>0</v>
      </c>
      <c r="E47" s="53">
        <f>'2023年'!E47</f>
        <v>0</v>
      </c>
      <c r="F47" s="53">
        <f>'2023年'!F47</f>
        <v>0</v>
      </c>
      <c r="G47" s="53">
        <f>'2023年'!G47</f>
        <v>0</v>
      </c>
      <c r="H47" s="53">
        <f>'2023年'!H47</f>
        <v>0</v>
      </c>
      <c r="I47" s="53">
        <f>'2023年'!I47</f>
        <v>0</v>
      </c>
      <c r="J47" s="53">
        <f>'2023年'!J47</f>
        <v>0</v>
      </c>
      <c r="K47" s="53"/>
      <c r="V47" s="48" t="s">
        <v>84</v>
      </c>
      <c r="AL47" s="48" t="s">
        <v>26</v>
      </c>
      <c r="AM47" s="48" t="s">
        <v>84</v>
      </c>
    </row>
    <row r="48" spans="1:39">
      <c r="A48" s="40" t="s">
        <v>77</v>
      </c>
      <c r="B48" s="43" t="s">
        <v>95</v>
      </c>
      <c r="C48" s="47">
        <f>C40-C43-C44-C45-C47-C46</f>
        <v>9.5443610119737539</v>
      </c>
      <c r="D48" s="47" t="e">
        <f t="shared" ref="D48:J48" si="29">D40-D43-D44-D45-D47-D46</f>
        <v>#DIV/0!</v>
      </c>
      <c r="E48" s="47" t="e">
        <f t="shared" si="29"/>
        <v>#DIV/0!</v>
      </c>
      <c r="F48" s="47" t="e">
        <f t="shared" si="29"/>
        <v>#DIV/0!</v>
      </c>
      <c r="G48" s="47" t="e">
        <f t="shared" si="29"/>
        <v>#DIV/0!</v>
      </c>
      <c r="H48" s="47" t="e">
        <f t="shared" si="29"/>
        <v>#DIV/0!</v>
      </c>
      <c r="I48" s="47" t="e">
        <f t="shared" si="29"/>
        <v>#DIV/0!</v>
      </c>
      <c r="J48" s="47" t="e">
        <f t="shared" si="29"/>
        <v>#DIV/0!</v>
      </c>
      <c r="K48" s="47"/>
      <c r="V48" s="43" t="s">
        <v>95</v>
      </c>
      <c r="AL48" s="40" t="s">
        <v>94</v>
      </c>
      <c r="AM48" s="43" t="s">
        <v>95</v>
      </c>
    </row>
    <row r="51" spans="2:16">
      <c r="C51" s="54"/>
      <c r="D51" s="54"/>
      <c r="E51" s="54"/>
      <c r="F51" s="54"/>
      <c r="G51" s="54"/>
      <c r="H51" s="54"/>
      <c r="I51" s="54"/>
      <c r="J51" s="54"/>
    </row>
    <row r="54" spans="2:16">
      <c r="B54" s="55"/>
      <c r="C54" s="56"/>
      <c r="D54" s="56"/>
      <c r="E54" s="56"/>
      <c r="F54" s="56"/>
      <c r="G54" s="56"/>
      <c r="H54" s="56"/>
      <c r="I54" s="56"/>
      <c r="J54" s="56"/>
      <c r="K54" s="56"/>
      <c r="L54" s="55"/>
      <c r="M54" s="55"/>
      <c r="N54" s="55"/>
      <c r="O54" s="55"/>
      <c r="P54" s="55"/>
    </row>
    <row r="55" spans="2:16">
      <c r="B55" s="55"/>
      <c r="C55" s="56"/>
      <c r="D55" s="56"/>
      <c r="E55" s="56"/>
      <c r="F55" s="56"/>
      <c r="G55" s="56"/>
      <c r="H55" s="56"/>
      <c r="I55" s="56"/>
      <c r="J55" s="56"/>
      <c r="K55" s="56"/>
      <c r="L55" s="55"/>
      <c r="M55" s="55"/>
      <c r="N55" s="55"/>
      <c r="O55" s="55"/>
      <c r="P55" s="55"/>
    </row>
    <row r="56" spans="2:16">
      <c r="B56" s="55"/>
      <c r="C56" s="56"/>
      <c r="D56" s="56"/>
      <c r="E56" s="56"/>
      <c r="F56" s="56"/>
      <c r="G56" s="56"/>
      <c r="H56" s="56"/>
      <c r="I56" s="56"/>
      <c r="J56" s="56"/>
      <c r="K56" s="56"/>
      <c r="L56" s="55"/>
      <c r="M56" s="55"/>
      <c r="N56" s="55"/>
      <c r="O56" s="55"/>
      <c r="P56" s="55"/>
    </row>
    <row r="57" spans="2:16">
      <c r="B57" s="55"/>
      <c r="C57" s="56"/>
      <c r="D57" s="56"/>
      <c r="E57" s="56"/>
      <c r="F57" s="56"/>
      <c r="G57" s="56"/>
      <c r="H57" s="56"/>
      <c r="I57" s="56"/>
      <c r="J57" s="56"/>
      <c r="K57" s="56"/>
      <c r="L57" s="55"/>
      <c r="M57" s="55"/>
      <c r="N57" s="55"/>
      <c r="O57" s="55"/>
      <c r="P57" s="55"/>
    </row>
    <row r="58" spans="2:16">
      <c r="B58" s="55"/>
      <c r="C58" s="56"/>
      <c r="D58" s="56"/>
      <c r="E58" s="56"/>
      <c r="F58" s="56"/>
      <c r="G58" s="56"/>
      <c r="H58" s="56"/>
      <c r="I58" s="56"/>
      <c r="J58" s="56"/>
      <c r="K58" s="56"/>
      <c r="L58" s="55"/>
      <c r="M58" s="55"/>
      <c r="N58" s="55"/>
      <c r="O58" s="55"/>
      <c r="P58" s="55"/>
    </row>
    <row r="59" spans="2:16">
      <c r="B59" s="55"/>
      <c r="C59" s="56"/>
      <c r="D59" s="56"/>
      <c r="E59" s="56"/>
      <c r="F59" s="56"/>
      <c r="G59" s="56"/>
      <c r="H59" s="56"/>
      <c r="I59" s="56"/>
      <c r="J59" s="56"/>
      <c r="K59" s="56"/>
      <c r="L59" s="55"/>
      <c r="M59" s="55"/>
      <c r="N59" s="55"/>
      <c r="O59" s="55"/>
      <c r="P59" s="55"/>
    </row>
    <row r="60" spans="2:16">
      <c r="B60" s="55"/>
      <c r="C60" s="56"/>
      <c r="D60" s="56"/>
      <c r="E60" s="56"/>
      <c r="F60" s="56"/>
      <c r="G60" s="56"/>
      <c r="H60" s="56"/>
      <c r="I60" s="56"/>
      <c r="J60" s="56"/>
      <c r="K60" s="56"/>
      <c r="L60" s="55"/>
      <c r="M60" s="55"/>
      <c r="N60" s="55"/>
      <c r="O60" s="55"/>
      <c r="P60" s="55"/>
    </row>
    <row r="61" spans="2:16">
      <c r="B61" s="55"/>
      <c r="C61" s="56"/>
      <c r="D61" s="56"/>
      <c r="E61" s="56"/>
      <c r="F61" s="56"/>
      <c r="G61" s="56"/>
      <c r="H61" s="56"/>
      <c r="I61" s="56"/>
      <c r="J61" s="56"/>
      <c r="K61" s="56"/>
      <c r="L61" s="55"/>
      <c r="M61" s="55"/>
      <c r="N61" s="55"/>
      <c r="O61" s="55"/>
      <c r="P61" s="55"/>
    </row>
    <row r="62" spans="2:16">
      <c r="B62" s="55"/>
      <c r="C62" s="56"/>
      <c r="D62" s="56"/>
      <c r="E62" s="56"/>
      <c r="F62" s="56"/>
      <c r="G62" s="56"/>
      <c r="H62" s="56"/>
      <c r="I62" s="56"/>
      <c r="J62" s="56"/>
      <c r="K62" s="56"/>
      <c r="L62" s="55"/>
      <c r="M62" s="55"/>
      <c r="N62" s="55"/>
      <c r="O62" s="55"/>
      <c r="P62" s="55"/>
    </row>
    <row r="63" spans="2:16">
      <c r="B63" s="55"/>
      <c r="C63" s="56"/>
      <c r="D63" s="56"/>
      <c r="E63" s="56"/>
      <c r="F63" s="56"/>
      <c r="G63" s="56"/>
      <c r="H63" s="56"/>
      <c r="I63" s="56"/>
      <c r="J63" s="56"/>
      <c r="K63" s="56"/>
      <c r="L63" s="55"/>
      <c r="M63" s="55"/>
      <c r="N63" s="55"/>
      <c r="O63" s="55"/>
      <c r="P63" s="55"/>
    </row>
    <row r="64" spans="2:16">
      <c r="B64" s="55"/>
      <c r="C64" s="56"/>
      <c r="D64" s="56"/>
      <c r="E64" s="56"/>
      <c r="F64" s="56"/>
      <c r="G64" s="56"/>
      <c r="H64" s="56"/>
      <c r="I64" s="56"/>
      <c r="J64" s="56"/>
      <c r="K64" s="56"/>
      <c r="L64" s="55"/>
      <c r="M64" s="55"/>
      <c r="N64" s="55"/>
      <c r="O64" s="55"/>
      <c r="P64" s="55"/>
    </row>
    <row r="65" spans="2:16">
      <c r="B65" s="55"/>
      <c r="C65" s="56"/>
      <c r="D65" s="56"/>
      <c r="E65" s="56"/>
      <c r="F65" s="56"/>
      <c r="G65" s="56"/>
      <c r="H65" s="56"/>
      <c r="I65" s="56"/>
      <c r="J65" s="56"/>
      <c r="K65" s="56"/>
      <c r="L65" s="55"/>
      <c r="M65" s="55"/>
      <c r="N65" s="55"/>
      <c r="O65" s="55"/>
      <c r="P65" s="55"/>
    </row>
    <row r="66" spans="2:16">
      <c r="B66" s="55"/>
      <c r="C66" s="56"/>
      <c r="D66" s="56"/>
      <c r="E66" s="56"/>
      <c r="F66" s="56"/>
      <c r="G66" s="56"/>
      <c r="H66" s="56"/>
      <c r="I66" s="56"/>
      <c r="J66" s="56"/>
      <c r="K66" s="56"/>
      <c r="L66" s="55"/>
      <c r="M66" s="55"/>
      <c r="N66" s="55"/>
      <c r="O66" s="55"/>
      <c r="P66" s="55"/>
    </row>
    <row r="67" spans="2:16">
      <c r="B67" s="55"/>
      <c r="C67" s="56"/>
      <c r="D67" s="56"/>
      <c r="E67" s="56"/>
      <c r="F67" s="56"/>
      <c r="G67" s="56"/>
      <c r="H67" s="56"/>
      <c r="I67" s="56"/>
      <c r="J67" s="56"/>
      <c r="K67" s="56"/>
      <c r="L67" s="55"/>
    </row>
    <row r="68" spans="2:16">
      <c r="B68" s="55"/>
      <c r="C68" s="56"/>
      <c r="D68" s="56"/>
      <c r="E68" s="56"/>
      <c r="F68" s="56"/>
      <c r="G68" s="56"/>
      <c r="H68" s="56"/>
      <c r="I68" s="56"/>
      <c r="J68" s="56"/>
      <c r="K68" s="56"/>
      <c r="L68" s="55"/>
    </row>
    <row r="69" spans="2:16">
      <c r="B69" s="55"/>
      <c r="C69" s="56"/>
      <c r="D69" s="56"/>
      <c r="E69" s="56"/>
      <c r="F69" s="56"/>
      <c r="G69" s="56"/>
      <c r="H69" s="56"/>
      <c r="I69" s="56"/>
      <c r="J69" s="56"/>
      <c r="K69" s="56"/>
      <c r="L69" s="55"/>
    </row>
    <row r="70" spans="2:16">
      <c r="B70" s="55"/>
      <c r="C70" s="56"/>
      <c r="D70" s="56"/>
      <c r="E70" s="56"/>
      <c r="F70" s="56"/>
      <c r="G70" s="56"/>
      <c r="H70" s="56"/>
      <c r="I70" s="56"/>
      <c r="J70" s="56"/>
      <c r="K70" s="56"/>
      <c r="L70" s="55"/>
    </row>
    <row r="71" spans="2:16">
      <c r="B71" s="55"/>
      <c r="C71" s="56"/>
      <c r="D71" s="56"/>
      <c r="E71" s="56"/>
      <c r="F71" s="56"/>
      <c r="G71" s="56"/>
      <c r="H71" s="56"/>
      <c r="I71" s="56"/>
      <c r="J71" s="56"/>
      <c r="K71" s="56"/>
      <c r="L71" s="55"/>
    </row>
    <row r="72" spans="2:16">
      <c r="B72" s="55"/>
      <c r="C72" s="56"/>
      <c r="D72" s="56"/>
      <c r="E72" s="56"/>
      <c r="F72" s="56"/>
      <c r="G72" s="56"/>
      <c r="H72" s="56"/>
      <c r="I72" s="56"/>
      <c r="J72" s="56"/>
      <c r="K72" s="56"/>
      <c r="L72" s="55"/>
    </row>
    <row r="73" spans="2:16">
      <c r="B73" s="55"/>
      <c r="C73" s="56"/>
      <c r="D73" s="56"/>
      <c r="E73" s="56"/>
      <c r="F73" s="56"/>
      <c r="G73" s="56"/>
      <c r="H73" s="56"/>
      <c r="I73" s="56"/>
      <c r="J73" s="56"/>
      <c r="K73" s="56"/>
      <c r="L73" s="55"/>
    </row>
    <row r="74" spans="2:16">
      <c r="B74" s="55"/>
      <c r="C74" s="56"/>
      <c r="D74" s="56"/>
      <c r="E74" s="56"/>
      <c r="F74" s="56"/>
      <c r="G74" s="56"/>
      <c r="H74" s="56"/>
      <c r="I74" s="56"/>
      <c r="J74" s="56"/>
      <c r="K74" s="56"/>
      <c r="L74" s="55"/>
    </row>
  </sheetData>
  <mergeCells count="8">
    <mergeCell ref="A1:B1"/>
    <mergeCell ref="C1:K1"/>
    <mergeCell ref="A2:B2"/>
    <mergeCell ref="C2:K2"/>
    <mergeCell ref="A3:B3"/>
    <mergeCell ref="K3:K5"/>
    <mergeCell ref="A4:B4"/>
    <mergeCell ref="A5:B5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4"/>
  <sheetViews>
    <sheetView workbookViewId="0">
      <pane xSplit="2" ySplit="7" topLeftCell="C20" activePane="bottomRight" state="frozen"/>
      <selection pane="topRight"/>
      <selection pane="bottomLeft"/>
      <selection pane="bottomRight" activeCell="K26" sqref="K26"/>
    </sheetView>
  </sheetViews>
  <sheetFormatPr defaultColWidth="9" defaultRowHeight="16.5"/>
  <cols>
    <col min="1" max="1" width="5.125" style="36" customWidth="1"/>
    <col min="2" max="2" width="17.5" style="36" customWidth="1"/>
    <col min="3" max="10" width="13.25" style="37" customWidth="1"/>
    <col min="11" max="11" width="18.75" style="37" customWidth="1"/>
    <col min="12" max="12" width="12.375" style="36" customWidth="1"/>
    <col min="13" max="13" width="10.125" style="36" customWidth="1"/>
    <col min="14" max="19" width="9" style="36" customWidth="1"/>
    <col min="20" max="32" width="9" style="36"/>
    <col min="33" max="33" width="4.375" style="36" customWidth="1"/>
    <col min="34" max="34" width="13.875" style="36" customWidth="1"/>
    <col min="35" max="16384" width="9" style="36"/>
  </cols>
  <sheetData>
    <row r="1" spans="1:35">
      <c r="A1" s="259" t="s">
        <v>135</v>
      </c>
      <c r="B1" s="259"/>
      <c r="C1" s="263" t="s">
        <v>226</v>
      </c>
      <c r="D1" s="264"/>
      <c r="E1" s="264"/>
      <c r="F1" s="264"/>
      <c r="G1" s="264"/>
      <c r="H1" s="264"/>
      <c r="I1" s="264"/>
      <c r="J1" s="264"/>
      <c r="K1" s="265"/>
    </row>
    <row r="2" spans="1:35">
      <c r="A2" s="259" t="s">
        <v>136</v>
      </c>
      <c r="B2" s="259"/>
      <c r="C2" s="267" t="str">
        <f>'2023年'!C2:K2</f>
        <v>中国重汽济南轻卡</v>
      </c>
      <c r="D2" s="268"/>
      <c r="E2" s="268"/>
      <c r="F2" s="268"/>
      <c r="G2" s="268"/>
      <c r="H2" s="268"/>
      <c r="I2" s="268"/>
      <c r="J2" s="268"/>
      <c r="K2" s="269"/>
    </row>
    <row r="3" spans="1:35">
      <c r="A3" s="259" t="s">
        <v>137</v>
      </c>
      <c r="B3" s="259"/>
      <c r="C3" s="147" t="str">
        <f>'2023年'!C3</f>
        <v>轻卡驾驶员座椅</v>
      </c>
      <c r="D3" s="147">
        <f>'2023年'!D3</f>
        <v>0</v>
      </c>
      <c r="E3" s="147">
        <f>'2023年'!E3</f>
        <v>0</v>
      </c>
      <c r="F3" s="147">
        <f>'2023年'!F3</f>
        <v>0</v>
      </c>
      <c r="G3" s="147">
        <f>'2023年'!G3</f>
        <v>0</v>
      </c>
      <c r="H3" s="147">
        <f>'2023年'!H3</f>
        <v>0</v>
      </c>
      <c r="I3" s="147">
        <f>'2023年'!I3</f>
        <v>0</v>
      </c>
      <c r="J3" s="147">
        <f>'2023年'!J3</f>
        <v>0</v>
      </c>
      <c r="K3" s="260" t="s">
        <v>14</v>
      </c>
    </row>
    <row r="4" spans="1:35" ht="16.5" customHeight="1">
      <c r="A4" s="259" t="s">
        <v>138</v>
      </c>
      <c r="B4" s="259"/>
      <c r="C4" s="147" t="str">
        <f>'2023年'!C4</f>
        <v>LZ161251000004</v>
      </c>
      <c r="D4" s="147">
        <f>'2023年'!D4</f>
        <v>0</v>
      </c>
      <c r="E4" s="147">
        <f>'2023年'!E4</f>
        <v>0</v>
      </c>
      <c r="F4" s="147">
        <f>'2023年'!F4</f>
        <v>0</v>
      </c>
      <c r="G4" s="147">
        <f>'2023年'!G4</f>
        <v>0</v>
      </c>
      <c r="H4" s="147">
        <f>'2023年'!H4</f>
        <v>0</v>
      </c>
      <c r="I4" s="147">
        <f>'2023年'!I4</f>
        <v>0</v>
      </c>
      <c r="J4" s="147">
        <f>'2023年'!J4</f>
        <v>0</v>
      </c>
      <c r="K4" s="261"/>
    </row>
    <row r="5" spans="1:35">
      <c r="A5" s="259" t="s">
        <v>139</v>
      </c>
      <c r="B5" s="259"/>
      <c r="C5" s="39"/>
      <c r="D5" s="39"/>
      <c r="E5" s="39"/>
      <c r="F5" s="39"/>
      <c r="G5" s="39"/>
      <c r="H5" s="39"/>
      <c r="I5" s="39"/>
      <c r="J5" s="39"/>
      <c r="K5" s="262"/>
      <c r="AI5" s="36" t="s">
        <v>15</v>
      </c>
    </row>
    <row r="6" spans="1:35" ht="17.25">
      <c r="A6" s="40" t="s">
        <v>13</v>
      </c>
      <c r="B6" s="41" t="s">
        <v>140</v>
      </c>
      <c r="C6" s="12">
        <f>销量!C11</f>
        <v>1500</v>
      </c>
      <c r="D6" s="12">
        <f>销量!D11</f>
        <v>0</v>
      </c>
      <c r="E6" s="12">
        <f>销量!E11</f>
        <v>0</v>
      </c>
      <c r="F6" s="12">
        <f>销量!F11</f>
        <v>0</v>
      </c>
      <c r="G6" s="12">
        <f>销量!G11</f>
        <v>0</v>
      </c>
      <c r="H6" s="12">
        <f>销量!H11</f>
        <v>0</v>
      </c>
      <c r="I6" s="12">
        <f>销量!I11</f>
        <v>0</v>
      </c>
      <c r="J6" s="12">
        <f>销量!J11</f>
        <v>0</v>
      </c>
      <c r="K6" s="42">
        <f>SUM(C6:J6)</f>
        <v>1500</v>
      </c>
      <c r="AG6" s="40" t="s">
        <v>13</v>
      </c>
      <c r="AH6" s="41" t="s">
        <v>3</v>
      </c>
      <c r="AI6" s="36" t="s">
        <v>16</v>
      </c>
    </row>
    <row r="7" spans="1:35">
      <c r="A7" s="146">
        <v>1</v>
      </c>
      <c r="B7" s="41" t="s">
        <v>17</v>
      </c>
      <c r="C7" s="42">
        <f>C6*销量!C8</f>
        <v>525000</v>
      </c>
      <c r="D7" s="42">
        <f>D6*销量!D8</f>
        <v>0</v>
      </c>
      <c r="E7" s="42">
        <f>E6*销量!E8</f>
        <v>0</v>
      </c>
      <c r="F7" s="42">
        <f>F6*销量!F8</f>
        <v>0</v>
      </c>
      <c r="G7" s="42">
        <f>G6*销量!G8</f>
        <v>0</v>
      </c>
      <c r="H7" s="42">
        <f>H6*销量!H8</f>
        <v>0</v>
      </c>
      <c r="I7" s="42">
        <f>I6*销量!I8</f>
        <v>0</v>
      </c>
      <c r="J7" s="42">
        <f>J6*销量!J8</f>
        <v>0</v>
      </c>
      <c r="K7" s="42">
        <f t="shared" ref="K7:K17" si="0">SUM(C7:J7)</f>
        <v>525000</v>
      </c>
      <c r="L7" s="37"/>
      <c r="AG7" s="40" t="s">
        <v>18</v>
      </c>
      <c r="AH7" s="41" t="s">
        <v>17</v>
      </c>
      <c r="AI7" s="36" t="s">
        <v>16</v>
      </c>
    </row>
    <row r="8" spans="1:35">
      <c r="A8" s="146">
        <v>2</v>
      </c>
      <c r="B8" s="146" t="s">
        <v>19</v>
      </c>
      <c r="C8" s="42">
        <f>C7*(1-销量!$O$8)</f>
        <v>20790.00000000004</v>
      </c>
      <c r="D8" s="42">
        <f>D7*(1-销量!$O$8)</f>
        <v>0</v>
      </c>
      <c r="E8" s="42">
        <f>E7*(1-销量!$O$8)</f>
        <v>0</v>
      </c>
      <c r="F8" s="42">
        <f>F7*(1-销量!$O$8)</f>
        <v>0</v>
      </c>
      <c r="G8" s="42">
        <f>G7*(1-销量!$O$8)</f>
        <v>0</v>
      </c>
      <c r="H8" s="42">
        <f>H7*(1-销量!$O$8)</f>
        <v>0</v>
      </c>
      <c r="I8" s="42">
        <f>I7*(1-销量!$O$8)</f>
        <v>0</v>
      </c>
      <c r="J8" s="42">
        <f>J7*(1-销量!$O$8)</f>
        <v>0</v>
      </c>
      <c r="K8" s="42">
        <f t="shared" si="0"/>
        <v>20790.00000000004</v>
      </c>
      <c r="L8" s="57"/>
      <c r="AG8" s="40" t="s">
        <v>20</v>
      </c>
      <c r="AH8" s="146" t="s">
        <v>21</v>
      </c>
      <c r="AI8" s="36" t="s">
        <v>16</v>
      </c>
    </row>
    <row r="9" spans="1:35">
      <c r="A9" s="146">
        <v>3</v>
      </c>
      <c r="B9" s="41" t="s">
        <v>22</v>
      </c>
      <c r="C9" s="42">
        <f>+C7-C8</f>
        <v>504209.99999999994</v>
      </c>
      <c r="D9" s="42">
        <f t="shared" ref="D9:J9" si="1">+D7-D8</f>
        <v>0</v>
      </c>
      <c r="E9" s="42">
        <f t="shared" si="1"/>
        <v>0</v>
      </c>
      <c r="F9" s="42">
        <f t="shared" si="1"/>
        <v>0</v>
      </c>
      <c r="G9" s="42">
        <f t="shared" si="1"/>
        <v>0</v>
      </c>
      <c r="H9" s="42">
        <f t="shared" si="1"/>
        <v>0</v>
      </c>
      <c r="I9" s="42">
        <f t="shared" si="1"/>
        <v>0</v>
      </c>
      <c r="J9" s="42">
        <f t="shared" si="1"/>
        <v>0</v>
      </c>
      <c r="K9" s="42">
        <f t="shared" si="0"/>
        <v>504209.99999999994</v>
      </c>
      <c r="AG9" s="40" t="s">
        <v>23</v>
      </c>
      <c r="AH9" s="41" t="s">
        <v>22</v>
      </c>
      <c r="AI9" s="36" t="s">
        <v>24</v>
      </c>
    </row>
    <row r="10" spans="1:35">
      <c r="A10" s="146">
        <v>4</v>
      </c>
      <c r="B10" s="40" t="s">
        <v>25</v>
      </c>
      <c r="C10" s="42">
        <f t="shared" ref="C10:J10" si="2">C6*C33</f>
        <v>389767.89515624993</v>
      </c>
      <c r="D10" s="42">
        <f t="shared" si="2"/>
        <v>0</v>
      </c>
      <c r="E10" s="42">
        <f t="shared" si="2"/>
        <v>0</v>
      </c>
      <c r="F10" s="42">
        <f t="shared" si="2"/>
        <v>0</v>
      </c>
      <c r="G10" s="42">
        <f t="shared" si="2"/>
        <v>0</v>
      </c>
      <c r="H10" s="42">
        <f t="shared" si="2"/>
        <v>0</v>
      </c>
      <c r="I10" s="42">
        <f t="shared" si="2"/>
        <v>0</v>
      </c>
      <c r="J10" s="42">
        <f t="shared" si="2"/>
        <v>0</v>
      </c>
      <c r="K10" s="42">
        <f t="shared" si="0"/>
        <v>389767.89515624993</v>
      </c>
      <c r="AG10" s="40" t="s">
        <v>26</v>
      </c>
      <c r="AH10" s="40" t="s">
        <v>25</v>
      </c>
      <c r="AI10" s="36" t="s">
        <v>27</v>
      </c>
    </row>
    <row r="11" spans="1:35">
      <c r="A11" s="146">
        <v>5</v>
      </c>
      <c r="B11" s="40" t="s">
        <v>28</v>
      </c>
      <c r="C11" s="42">
        <f>+C6*C36</f>
        <v>30523.815066423122</v>
      </c>
      <c r="D11" s="42">
        <f t="shared" ref="D11:J11" si="3">+D6*D36</f>
        <v>0</v>
      </c>
      <c r="E11" s="42">
        <f t="shared" si="3"/>
        <v>0</v>
      </c>
      <c r="F11" s="42">
        <f t="shared" si="3"/>
        <v>0</v>
      </c>
      <c r="G11" s="42">
        <f t="shared" si="3"/>
        <v>0</v>
      </c>
      <c r="H11" s="42">
        <f t="shared" si="3"/>
        <v>0</v>
      </c>
      <c r="I11" s="42">
        <f t="shared" si="3"/>
        <v>0</v>
      </c>
      <c r="J11" s="42">
        <f t="shared" si="3"/>
        <v>0</v>
      </c>
      <c r="K11" s="42">
        <f t="shared" si="0"/>
        <v>30523.815066423122</v>
      </c>
      <c r="AG11" s="40" t="s">
        <v>29</v>
      </c>
      <c r="AH11" s="40" t="s">
        <v>28</v>
      </c>
    </row>
    <row r="12" spans="1:35">
      <c r="A12" s="146">
        <v>6</v>
      </c>
      <c r="B12" s="40" t="s">
        <v>30</v>
      </c>
      <c r="C12" s="42">
        <f>+C6*C37</f>
        <v>9485.8873678816799</v>
      </c>
      <c r="D12" s="42">
        <f t="shared" ref="D12:J12" si="4">+D6*D37</f>
        <v>0</v>
      </c>
      <c r="E12" s="42">
        <f t="shared" si="4"/>
        <v>0</v>
      </c>
      <c r="F12" s="42">
        <f t="shared" si="4"/>
        <v>0</v>
      </c>
      <c r="G12" s="42">
        <f t="shared" si="4"/>
        <v>0</v>
      </c>
      <c r="H12" s="42">
        <f t="shared" si="4"/>
        <v>0</v>
      </c>
      <c r="I12" s="42">
        <f t="shared" si="4"/>
        <v>0</v>
      </c>
      <c r="J12" s="42">
        <f t="shared" si="4"/>
        <v>0</v>
      </c>
      <c r="K12" s="42">
        <f t="shared" si="0"/>
        <v>9485.8873678816799</v>
      </c>
      <c r="AG12" s="40" t="s">
        <v>31</v>
      </c>
      <c r="AH12" s="40" t="s">
        <v>30</v>
      </c>
    </row>
    <row r="13" spans="1:35">
      <c r="A13" s="146">
        <v>7</v>
      </c>
      <c r="B13" s="40" t="s">
        <v>32</v>
      </c>
      <c r="C13" s="42">
        <f>+C6*C38</f>
        <v>33495.145631067957</v>
      </c>
      <c r="D13" s="42">
        <f t="shared" ref="D13:J13" si="5">+D6*D38</f>
        <v>0</v>
      </c>
      <c r="E13" s="42">
        <f t="shared" si="5"/>
        <v>0</v>
      </c>
      <c r="F13" s="42">
        <f t="shared" si="5"/>
        <v>0</v>
      </c>
      <c r="G13" s="42">
        <f t="shared" si="5"/>
        <v>0</v>
      </c>
      <c r="H13" s="42">
        <f t="shared" si="5"/>
        <v>0</v>
      </c>
      <c r="I13" s="42">
        <f t="shared" si="5"/>
        <v>0</v>
      </c>
      <c r="J13" s="42">
        <f t="shared" si="5"/>
        <v>0</v>
      </c>
      <c r="K13" s="42">
        <f t="shared" si="0"/>
        <v>33495.145631067957</v>
      </c>
      <c r="AG13" s="40" t="s">
        <v>33</v>
      </c>
      <c r="AH13" s="40" t="s">
        <v>32</v>
      </c>
      <c r="AI13" s="36" t="s">
        <v>16</v>
      </c>
    </row>
    <row r="14" spans="1:35">
      <c r="A14" s="146">
        <v>8</v>
      </c>
      <c r="B14" s="43" t="s">
        <v>34</v>
      </c>
      <c r="C14" s="42">
        <f>SUM(C11:C13)</f>
        <v>73504.84806537276</v>
      </c>
      <c r="D14" s="42">
        <f t="shared" ref="D14:J14" si="6">SUM(D11:D13)</f>
        <v>0</v>
      </c>
      <c r="E14" s="42">
        <f t="shared" si="6"/>
        <v>0</v>
      </c>
      <c r="F14" s="42">
        <f t="shared" si="6"/>
        <v>0</v>
      </c>
      <c r="G14" s="42">
        <f t="shared" si="6"/>
        <v>0</v>
      </c>
      <c r="H14" s="42">
        <f t="shared" si="6"/>
        <v>0</v>
      </c>
      <c r="I14" s="42">
        <f t="shared" si="6"/>
        <v>0</v>
      </c>
      <c r="J14" s="42">
        <f t="shared" si="6"/>
        <v>0</v>
      </c>
      <c r="K14" s="42">
        <f t="shared" si="0"/>
        <v>73504.84806537276</v>
      </c>
      <c r="AG14" s="40" t="s">
        <v>35</v>
      </c>
      <c r="AH14" s="43" t="s">
        <v>34</v>
      </c>
    </row>
    <row r="15" spans="1:35">
      <c r="A15" s="146">
        <v>9</v>
      </c>
      <c r="B15" s="43" t="s">
        <v>36</v>
      </c>
      <c r="C15" s="42">
        <f>+C9-C10-C14</f>
        <v>40937.256778377254</v>
      </c>
      <c r="D15" s="42">
        <f t="shared" ref="D15:J15" si="7">+D9-D10-D14</f>
        <v>0</v>
      </c>
      <c r="E15" s="42">
        <f t="shared" si="7"/>
        <v>0</v>
      </c>
      <c r="F15" s="42">
        <f t="shared" si="7"/>
        <v>0</v>
      </c>
      <c r="G15" s="42">
        <f t="shared" si="7"/>
        <v>0</v>
      </c>
      <c r="H15" s="42">
        <f t="shared" si="7"/>
        <v>0</v>
      </c>
      <c r="I15" s="42">
        <f t="shared" si="7"/>
        <v>0</v>
      </c>
      <c r="J15" s="42">
        <f t="shared" si="7"/>
        <v>0</v>
      </c>
      <c r="K15" s="42">
        <f t="shared" si="0"/>
        <v>40937.256778377254</v>
      </c>
      <c r="AG15" s="40" t="s">
        <v>37</v>
      </c>
      <c r="AH15" s="43" t="s">
        <v>36</v>
      </c>
    </row>
    <row r="16" spans="1:35">
      <c r="A16" s="146">
        <v>10</v>
      </c>
      <c r="B16" s="40" t="s">
        <v>38</v>
      </c>
      <c r="C16" s="44">
        <f>+C15/C9</f>
        <v>8.1190886294157716E-2</v>
      </c>
      <c r="D16" s="44" t="e">
        <f t="shared" ref="D16:J16" si="8">+D15/D9</f>
        <v>#DIV/0!</v>
      </c>
      <c r="E16" s="44" t="e">
        <f t="shared" si="8"/>
        <v>#DIV/0!</v>
      </c>
      <c r="F16" s="44" t="e">
        <f t="shared" si="8"/>
        <v>#DIV/0!</v>
      </c>
      <c r="G16" s="44" t="e">
        <f t="shared" si="8"/>
        <v>#DIV/0!</v>
      </c>
      <c r="H16" s="44" t="e">
        <f t="shared" si="8"/>
        <v>#DIV/0!</v>
      </c>
      <c r="I16" s="44" t="e">
        <f t="shared" si="8"/>
        <v>#DIV/0!</v>
      </c>
      <c r="J16" s="44" t="e">
        <f t="shared" si="8"/>
        <v>#DIV/0!</v>
      </c>
      <c r="K16" s="44">
        <f t="shared" ref="K16" si="9">+K15/K9</f>
        <v>8.1190886294157716E-2</v>
      </c>
      <c r="AG16" s="40" t="s">
        <v>39</v>
      </c>
      <c r="AH16" s="40" t="s">
        <v>38</v>
      </c>
    </row>
    <row r="17" spans="1:35">
      <c r="A17" s="146">
        <v>11</v>
      </c>
      <c r="B17" s="40" t="s">
        <v>40</v>
      </c>
      <c r="C17" s="42">
        <f>C6*C43+C18</f>
        <v>0</v>
      </c>
      <c r="D17" s="42">
        <f t="shared" ref="D17:J17" si="10">D6*D43+D18</f>
        <v>0</v>
      </c>
      <c r="E17" s="42">
        <f t="shared" si="10"/>
        <v>0</v>
      </c>
      <c r="F17" s="42">
        <f t="shared" si="10"/>
        <v>0</v>
      </c>
      <c r="G17" s="42">
        <f t="shared" si="10"/>
        <v>0</v>
      </c>
      <c r="H17" s="42">
        <f t="shared" si="10"/>
        <v>0</v>
      </c>
      <c r="I17" s="42">
        <f t="shared" si="10"/>
        <v>0</v>
      </c>
      <c r="J17" s="42">
        <f t="shared" si="10"/>
        <v>0</v>
      </c>
      <c r="K17" s="42">
        <f t="shared" si="0"/>
        <v>0</v>
      </c>
      <c r="L17" s="57"/>
      <c r="AG17" s="40" t="s">
        <v>41</v>
      </c>
      <c r="AH17" s="40" t="s">
        <v>40</v>
      </c>
    </row>
    <row r="18" spans="1:35" s="34" customFormat="1">
      <c r="A18" s="146">
        <v>12</v>
      </c>
      <c r="B18" s="45" t="s">
        <v>141</v>
      </c>
      <c r="C18" s="46">
        <f>$K$18/$K$6*C6</f>
        <v>0</v>
      </c>
      <c r="D18" s="46">
        <f t="shared" ref="D18:J18" si="11">$K$18/$K$6*D6</f>
        <v>0</v>
      </c>
      <c r="E18" s="46">
        <f t="shared" si="11"/>
        <v>0</v>
      </c>
      <c r="F18" s="46">
        <f t="shared" si="11"/>
        <v>0</v>
      </c>
      <c r="G18" s="46">
        <f t="shared" si="11"/>
        <v>0</v>
      </c>
      <c r="H18" s="46">
        <f t="shared" si="11"/>
        <v>0</v>
      </c>
      <c r="I18" s="46">
        <f t="shared" si="11"/>
        <v>0</v>
      </c>
      <c r="J18" s="46">
        <f t="shared" si="11"/>
        <v>0</v>
      </c>
      <c r="K18" s="46">
        <f>项目投资!D26</f>
        <v>0</v>
      </c>
      <c r="L18" s="58" t="s">
        <v>142</v>
      </c>
      <c r="M18" s="58"/>
      <c r="N18" s="58"/>
    </row>
    <row r="19" spans="1:35">
      <c r="A19" s="146">
        <v>13</v>
      </c>
      <c r="B19" s="40" t="s">
        <v>42</v>
      </c>
      <c r="C19" s="42">
        <f>C6*C44</f>
        <v>0</v>
      </c>
      <c r="D19" s="42">
        <f t="shared" ref="D19:J19" si="12">D6*D44</f>
        <v>0</v>
      </c>
      <c r="E19" s="42">
        <f t="shared" si="12"/>
        <v>0</v>
      </c>
      <c r="F19" s="42">
        <f t="shared" si="12"/>
        <v>0</v>
      </c>
      <c r="G19" s="42">
        <f t="shared" si="12"/>
        <v>0</v>
      </c>
      <c r="H19" s="42">
        <f t="shared" si="12"/>
        <v>0</v>
      </c>
      <c r="I19" s="42">
        <f t="shared" si="12"/>
        <v>0</v>
      </c>
      <c r="J19" s="42">
        <f t="shared" si="12"/>
        <v>0</v>
      </c>
      <c r="K19" s="42">
        <f t="shared" ref="K19:K20" si="13">SUM(C19:J19)</f>
        <v>0</v>
      </c>
      <c r="L19" s="34"/>
      <c r="AG19" s="40" t="s">
        <v>43</v>
      </c>
      <c r="AH19" s="40" t="s">
        <v>42</v>
      </c>
      <c r="AI19" s="36" t="s">
        <v>16</v>
      </c>
    </row>
    <row r="20" spans="1:35">
      <c r="A20" s="146">
        <v>14</v>
      </c>
      <c r="B20" s="40" t="s">
        <v>44</v>
      </c>
      <c r="C20" s="42">
        <f>C6*C45</f>
        <v>0</v>
      </c>
      <c r="D20" s="42">
        <f t="shared" ref="D20:J20" si="14">D6*D45</f>
        <v>0</v>
      </c>
      <c r="E20" s="42">
        <f t="shared" si="14"/>
        <v>0</v>
      </c>
      <c r="F20" s="42">
        <f t="shared" si="14"/>
        <v>0</v>
      </c>
      <c r="G20" s="42">
        <f t="shared" si="14"/>
        <v>0</v>
      </c>
      <c r="H20" s="42">
        <f t="shared" si="14"/>
        <v>0</v>
      </c>
      <c r="I20" s="42">
        <f t="shared" si="14"/>
        <v>0</v>
      </c>
      <c r="J20" s="42">
        <f t="shared" si="14"/>
        <v>0</v>
      </c>
      <c r="K20" s="42">
        <f t="shared" si="13"/>
        <v>0</v>
      </c>
      <c r="AG20" s="40" t="s">
        <v>45</v>
      </c>
      <c r="AH20" s="40" t="s">
        <v>44</v>
      </c>
    </row>
    <row r="21" spans="1:35">
      <c r="A21" s="146">
        <v>15</v>
      </c>
      <c r="B21" s="40" t="s">
        <v>46</v>
      </c>
      <c r="C21" s="47">
        <f>$K$21/$K$6*C6</f>
        <v>666.66666666666663</v>
      </c>
      <c r="D21" s="47">
        <f t="shared" ref="D21:J21" si="15">$K$21/$K$6*D6</f>
        <v>0</v>
      </c>
      <c r="E21" s="47">
        <f t="shared" si="15"/>
        <v>0</v>
      </c>
      <c r="F21" s="47">
        <f t="shared" si="15"/>
        <v>0</v>
      </c>
      <c r="G21" s="47">
        <f t="shared" si="15"/>
        <v>0</v>
      </c>
      <c r="H21" s="47">
        <f t="shared" si="15"/>
        <v>0</v>
      </c>
      <c r="I21" s="47">
        <f t="shared" si="15"/>
        <v>0</v>
      </c>
      <c r="J21" s="47">
        <f t="shared" si="15"/>
        <v>0</v>
      </c>
      <c r="K21" s="42">
        <f>项目投资!F27</f>
        <v>666.66666666666663</v>
      </c>
      <c r="AG21" s="40"/>
      <c r="AH21" s="40"/>
    </row>
    <row r="22" spans="1:35">
      <c r="A22" s="146">
        <v>16</v>
      </c>
      <c r="B22" s="40" t="s">
        <v>47</v>
      </c>
      <c r="C22" s="42">
        <f>C6*C47</f>
        <v>26250</v>
      </c>
      <c r="D22" s="42">
        <f t="shared" ref="D22:J22" si="16">D6*D47</f>
        <v>0</v>
      </c>
      <c r="E22" s="42">
        <f t="shared" si="16"/>
        <v>0</v>
      </c>
      <c r="F22" s="42">
        <f t="shared" si="16"/>
        <v>0</v>
      </c>
      <c r="G22" s="42">
        <f t="shared" si="16"/>
        <v>0</v>
      </c>
      <c r="H22" s="42">
        <f t="shared" si="16"/>
        <v>0</v>
      </c>
      <c r="I22" s="42">
        <f t="shared" si="16"/>
        <v>0</v>
      </c>
      <c r="J22" s="42">
        <f t="shared" si="16"/>
        <v>0</v>
      </c>
      <c r="K22" s="42">
        <f t="shared" ref="K22" si="17">SUM(C22:J22)</f>
        <v>26250</v>
      </c>
      <c r="AG22" s="40" t="s">
        <v>48</v>
      </c>
      <c r="AH22" s="40" t="s">
        <v>47</v>
      </c>
    </row>
    <row r="23" spans="1:35">
      <c r="A23" s="146">
        <v>17</v>
      </c>
      <c r="B23" s="43" t="s">
        <v>49</v>
      </c>
      <c r="C23" s="47">
        <f>+C22+C21+C20+C19+C17</f>
        <v>26916.666666666668</v>
      </c>
      <c r="D23" s="47">
        <f t="shared" ref="D23:J23" si="18">+D22+D21+D20+D19+D17</f>
        <v>0</v>
      </c>
      <c r="E23" s="47">
        <f>+E22+E21+E20+E19+E17</f>
        <v>0</v>
      </c>
      <c r="F23" s="47">
        <f t="shared" si="18"/>
        <v>0</v>
      </c>
      <c r="G23" s="47">
        <f t="shared" si="18"/>
        <v>0</v>
      </c>
      <c r="H23" s="47">
        <f t="shared" si="18"/>
        <v>0</v>
      </c>
      <c r="I23" s="47">
        <f t="shared" si="18"/>
        <v>0</v>
      </c>
      <c r="J23" s="47">
        <f t="shared" si="18"/>
        <v>0</v>
      </c>
      <c r="K23" s="47">
        <f t="shared" ref="K23" si="19">+K22+K21+K20+K19+K17</f>
        <v>26916.666666666668</v>
      </c>
      <c r="AG23" s="40" t="s">
        <v>50</v>
      </c>
      <c r="AH23" s="43" t="s">
        <v>49</v>
      </c>
    </row>
    <row r="24" spans="1:35">
      <c r="A24" s="146">
        <v>18</v>
      </c>
      <c r="B24" s="48" t="s">
        <v>51</v>
      </c>
      <c r="C24" s="47">
        <f>+C15-C23</f>
        <v>14020.590111710586</v>
      </c>
      <c r="D24" s="47">
        <f t="shared" ref="D24:J24" si="20">+D15-D23</f>
        <v>0</v>
      </c>
      <c r="E24" s="47">
        <f t="shared" si="20"/>
        <v>0</v>
      </c>
      <c r="F24" s="47">
        <f t="shared" si="20"/>
        <v>0</v>
      </c>
      <c r="G24" s="47">
        <f t="shared" si="20"/>
        <v>0</v>
      </c>
      <c r="H24" s="47">
        <f t="shared" si="20"/>
        <v>0</v>
      </c>
      <c r="I24" s="47">
        <f t="shared" si="20"/>
        <v>0</v>
      </c>
      <c r="J24" s="47">
        <f t="shared" si="20"/>
        <v>0</v>
      </c>
      <c r="K24" s="47">
        <f t="shared" ref="K24" si="21">+K15-K23</f>
        <v>14020.590111710586</v>
      </c>
      <c r="M24" s="59"/>
      <c r="AG24" s="40" t="s">
        <v>52</v>
      </c>
      <c r="AH24" s="40" t="s">
        <v>51</v>
      </c>
    </row>
    <row r="25" spans="1:35">
      <c r="A25" s="146">
        <v>19</v>
      </c>
      <c r="B25" s="40" t="s">
        <v>228</v>
      </c>
      <c r="C25" s="47">
        <f>IF(C24&lt;0,0,C24*0.15)</f>
        <v>2103.088516756588</v>
      </c>
      <c r="D25" s="47">
        <f t="shared" ref="D25:J25" si="22">IF(D24&lt;0,0,D24*0.15)</f>
        <v>0</v>
      </c>
      <c r="E25" s="47">
        <f t="shared" si="22"/>
        <v>0</v>
      </c>
      <c r="F25" s="47">
        <f t="shared" si="22"/>
        <v>0</v>
      </c>
      <c r="G25" s="47">
        <f t="shared" si="22"/>
        <v>0</v>
      </c>
      <c r="H25" s="47">
        <f t="shared" si="22"/>
        <v>0</v>
      </c>
      <c r="I25" s="47">
        <f t="shared" si="22"/>
        <v>0</v>
      </c>
      <c r="J25" s="47">
        <f t="shared" si="22"/>
        <v>0</v>
      </c>
      <c r="K25" s="47">
        <f>IF(K24&lt;0,0,K24*0.15)</f>
        <v>2103.088516756588</v>
      </c>
      <c r="L25" s="55"/>
      <c r="M25" s="55"/>
      <c r="N25" s="55"/>
      <c r="AG25" s="40" t="s">
        <v>54</v>
      </c>
      <c r="AH25" s="40" t="s">
        <v>53</v>
      </c>
    </row>
    <row r="26" spans="1:35">
      <c r="A26" s="146">
        <v>20</v>
      </c>
      <c r="B26" s="40" t="s">
        <v>55</v>
      </c>
      <c r="C26" s="47">
        <f t="shared" ref="C26" si="23">C24-C25</f>
        <v>11917.501594953997</v>
      </c>
      <c r="D26" s="47">
        <f t="shared" ref="D26:J26" si="24">D24-D25</f>
        <v>0</v>
      </c>
      <c r="E26" s="47">
        <f t="shared" si="24"/>
        <v>0</v>
      </c>
      <c r="F26" s="47">
        <f t="shared" si="24"/>
        <v>0</v>
      </c>
      <c r="G26" s="47">
        <f t="shared" si="24"/>
        <v>0</v>
      </c>
      <c r="H26" s="47">
        <f t="shared" si="24"/>
        <v>0</v>
      </c>
      <c r="I26" s="47">
        <f t="shared" si="24"/>
        <v>0</v>
      </c>
      <c r="J26" s="47">
        <f t="shared" si="24"/>
        <v>0</v>
      </c>
      <c r="K26" s="42">
        <f>K24-K25</f>
        <v>11917.501594953997</v>
      </c>
      <c r="L26" s="55"/>
      <c r="M26" s="55"/>
      <c r="N26" s="55"/>
      <c r="AG26" s="40" t="s">
        <v>56</v>
      </c>
      <c r="AH26" s="40" t="s">
        <v>55</v>
      </c>
    </row>
    <row r="27" spans="1:35">
      <c r="A27" s="146">
        <v>21</v>
      </c>
      <c r="B27" s="40" t="s">
        <v>59</v>
      </c>
      <c r="C27" s="49">
        <f t="shared" ref="C27:K27" si="25">C26/C7</f>
        <v>2.2700003038007614E-2</v>
      </c>
      <c r="D27" s="49" t="e">
        <f t="shared" ref="D27:J27" si="26">D26/D7</f>
        <v>#DIV/0!</v>
      </c>
      <c r="E27" s="49" t="e">
        <f t="shared" si="26"/>
        <v>#DIV/0!</v>
      </c>
      <c r="F27" s="49" t="e">
        <f t="shared" si="26"/>
        <v>#DIV/0!</v>
      </c>
      <c r="G27" s="49" t="e">
        <f t="shared" si="26"/>
        <v>#DIV/0!</v>
      </c>
      <c r="H27" s="49" t="e">
        <f t="shared" si="26"/>
        <v>#DIV/0!</v>
      </c>
      <c r="I27" s="49" t="e">
        <f t="shared" si="26"/>
        <v>#DIV/0!</v>
      </c>
      <c r="J27" s="49" t="e">
        <f t="shared" si="26"/>
        <v>#DIV/0!</v>
      </c>
      <c r="K27" s="49">
        <f t="shared" si="25"/>
        <v>2.2700003038007614E-2</v>
      </c>
      <c r="L27" s="55"/>
      <c r="M27" s="55"/>
      <c r="N27" s="55"/>
      <c r="AG27" s="40" t="s">
        <v>58</v>
      </c>
      <c r="AH27" s="40" t="s">
        <v>59</v>
      </c>
    </row>
    <row r="28" spans="1:35">
      <c r="L28" s="55"/>
      <c r="M28" s="55"/>
      <c r="N28" s="55"/>
    </row>
    <row r="29" spans="1:35">
      <c r="A29" s="36" t="s">
        <v>60</v>
      </c>
      <c r="K29" s="37" t="s">
        <v>143</v>
      </c>
      <c r="L29" s="55"/>
      <c r="M29" s="55"/>
      <c r="N29" s="55"/>
      <c r="AG29" s="36" t="s">
        <v>60</v>
      </c>
    </row>
    <row r="30" spans="1:35">
      <c r="A30" s="40" t="s">
        <v>61</v>
      </c>
      <c r="B30" s="43" t="s">
        <v>62</v>
      </c>
      <c r="C30" s="47"/>
      <c r="D30" s="47"/>
      <c r="E30" s="47"/>
      <c r="F30" s="47"/>
      <c r="G30" s="47"/>
      <c r="H30" s="47"/>
      <c r="I30" s="47"/>
      <c r="J30" s="47"/>
      <c r="K30" s="47"/>
      <c r="L30" s="55"/>
      <c r="M30" s="55"/>
      <c r="N30" s="55"/>
      <c r="P30" s="55"/>
      <c r="AG30" s="40" t="s">
        <v>63</v>
      </c>
      <c r="AH30" s="43" t="s">
        <v>62</v>
      </c>
    </row>
    <row r="31" spans="1:35">
      <c r="A31" s="146">
        <v>1</v>
      </c>
      <c r="B31" s="45" t="s">
        <v>64</v>
      </c>
      <c r="C31" s="51">
        <f>'2023年'!C31</f>
        <v>350</v>
      </c>
      <c r="D31" s="51">
        <f>'2023年'!D31</f>
        <v>0</v>
      </c>
      <c r="E31" s="51">
        <f>'2023年'!E31</f>
        <v>0</v>
      </c>
      <c r="F31" s="51">
        <f>'2023年'!F31</f>
        <v>0</v>
      </c>
      <c r="G31" s="51">
        <f>'2023年'!G31</f>
        <v>0</v>
      </c>
      <c r="H31" s="51">
        <f>'2023年'!H31</f>
        <v>0</v>
      </c>
      <c r="I31" s="51">
        <f>'2023年'!I31</f>
        <v>0</v>
      </c>
      <c r="J31" s="51">
        <f>'2023年'!J31</f>
        <v>0</v>
      </c>
      <c r="K31" s="47"/>
      <c r="L31" s="55"/>
      <c r="M31" s="55"/>
      <c r="N31" s="55"/>
      <c r="P31" s="55"/>
      <c r="AG31" s="40" t="s">
        <v>18</v>
      </c>
      <c r="AH31" s="40" t="s">
        <v>64</v>
      </c>
    </row>
    <row r="32" spans="1:35">
      <c r="A32" s="146">
        <v>2</v>
      </c>
      <c r="B32" s="40" t="s">
        <v>144</v>
      </c>
      <c r="C32" s="42">
        <f>C9/C6</f>
        <v>336.14</v>
      </c>
      <c r="D32" s="42" t="e">
        <f t="shared" ref="D32:J32" si="27">D9/D6</f>
        <v>#DIV/0!</v>
      </c>
      <c r="E32" s="42" t="e">
        <f t="shared" si="27"/>
        <v>#DIV/0!</v>
      </c>
      <c r="F32" s="42" t="e">
        <f t="shared" si="27"/>
        <v>#DIV/0!</v>
      </c>
      <c r="G32" s="42" t="e">
        <f t="shared" si="27"/>
        <v>#DIV/0!</v>
      </c>
      <c r="H32" s="42" t="e">
        <f t="shared" si="27"/>
        <v>#DIV/0!</v>
      </c>
      <c r="I32" s="42" t="e">
        <f t="shared" si="27"/>
        <v>#DIV/0!</v>
      </c>
      <c r="J32" s="42" t="e">
        <f t="shared" si="27"/>
        <v>#DIV/0!</v>
      </c>
      <c r="K32" s="47"/>
      <c r="L32" s="55"/>
      <c r="M32" s="55"/>
      <c r="N32" s="55"/>
      <c r="O32" s="55"/>
      <c r="P32" s="55"/>
      <c r="Q32" s="55"/>
      <c r="R32" s="55"/>
      <c r="AG32" s="40"/>
      <c r="AH32" s="40"/>
    </row>
    <row r="33" spans="1:34">
      <c r="A33" s="146">
        <v>3</v>
      </c>
      <c r="B33" s="45" t="s">
        <v>65</v>
      </c>
      <c r="C33" s="42">
        <f>'2024年'!C33*(1-0.025)</f>
        <v>259.84526343749997</v>
      </c>
      <c r="D33" s="42">
        <f>'2024年'!D33*(1-0.025)</f>
        <v>0</v>
      </c>
      <c r="E33" s="42">
        <f>'2024年'!E33*(1-0.025)</f>
        <v>0</v>
      </c>
      <c r="F33" s="42">
        <f>'2024年'!F33*(1-0.025)</f>
        <v>0</v>
      </c>
      <c r="G33" s="42">
        <f>'2024年'!G33*(1-0.025)</f>
        <v>0</v>
      </c>
      <c r="H33" s="42">
        <f>'2024年'!H33*(1-0.025)</f>
        <v>0</v>
      </c>
      <c r="I33" s="42">
        <f>'2024年'!I33*(1-0.025)</f>
        <v>0</v>
      </c>
      <c r="J33" s="42">
        <f>'2024年'!J33*(1-0.025)</f>
        <v>0</v>
      </c>
      <c r="K33" s="47"/>
      <c r="M33" s="55"/>
      <c r="N33" s="55"/>
      <c r="O33" s="55"/>
      <c r="P33" s="55"/>
      <c r="Q33" s="55"/>
      <c r="R33" s="55"/>
      <c r="AG33" s="40" t="s">
        <v>20</v>
      </c>
      <c r="AH33" s="40" t="s">
        <v>65</v>
      </c>
    </row>
    <row r="34" spans="1:34" ht="17.25" customHeight="1">
      <c r="A34" s="146">
        <v>4</v>
      </c>
      <c r="B34" s="40" t="s">
        <v>67</v>
      </c>
      <c r="C34" s="52">
        <f>C32-C33</f>
        <v>76.29473656250002</v>
      </c>
      <c r="D34" s="52" t="e">
        <f t="shared" ref="D34:J34" si="28">D32-D33</f>
        <v>#DIV/0!</v>
      </c>
      <c r="E34" s="52" t="e">
        <f t="shared" si="28"/>
        <v>#DIV/0!</v>
      </c>
      <c r="F34" s="52" t="e">
        <f t="shared" si="28"/>
        <v>#DIV/0!</v>
      </c>
      <c r="G34" s="52" t="e">
        <f t="shared" si="28"/>
        <v>#DIV/0!</v>
      </c>
      <c r="H34" s="52" t="e">
        <f t="shared" si="28"/>
        <v>#DIV/0!</v>
      </c>
      <c r="I34" s="52" t="e">
        <f t="shared" si="28"/>
        <v>#DIV/0!</v>
      </c>
      <c r="J34" s="52" t="e">
        <f t="shared" si="28"/>
        <v>#DIV/0!</v>
      </c>
      <c r="K34" s="47"/>
      <c r="M34" s="55"/>
      <c r="N34" s="55"/>
      <c r="O34" s="55"/>
      <c r="P34" s="55"/>
      <c r="Q34" s="55"/>
      <c r="R34" s="55"/>
      <c r="AG34" s="40" t="s">
        <v>66</v>
      </c>
      <c r="AH34" s="40" t="s">
        <v>67</v>
      </c>
    </row>
    <row r="35" spans="1:34">
      <c r="A35" s="40" t="s">
        <v>63</v>
      </c>
      <c r="B35" s="43" t="s">
        <v>7</v>
      </c>
      <c r="C35" s="47"/>
      <c r="D35" s="47"/>
      <c r="E35" s="47"/>
      <c r="F35" s="47"/>
      <c r="G35" s="47"/>
      <c r="H35" s="47"/>
      <c r="I35" s="47"/>
      <c r="J35" s="47"/>
      <c r="K35" s="47"/>
      <c r="L35" s="55"/>
      <c r="M35" s="55"/>
      <c r="N35" s="55"/>
      <c r="O35" s="55"/>
      <c r="P35" s="55"/>
      <c r="Q35" s="55"/>
      <c r="R35" s="55"/>
      <c r="S35" s="55"/>
      <c r="AG35" s="40" t="s">
        <v>69</v>
      </c>
      <c r="AH35" s="43" t="s">
        <v>7</v>
      </c>
    </row>
    <row r="36" spans="1:34">
      <c r="A36" s="146">
        <v>1</v>
      </c>
      <c r="B36" s="40" t="s">
        <v>70</v>
      </c>
      <c r="C36" s="46">
        <f>'2023年'!C36</f>
        <v>20.349210044282081</v>
      </c>
      <c r="D36" s="46">
        <f>'2023年'!D36</f>
        <v>0</v>
      </c>
      <c r="E36" s="46">
        <f>'2023年'!E36</f>
        <v>0</v>
      </c>
      <c r="F36" s="46">
        <f>'2023年'!F36</f>
        <v>0</v>
      </c>
      <c r="G36" s="46">
        <f>'2023年'!G36</f>
        <v>0</v>
      </c>
      <c r="H36" s="46">
        <f>'2023年'!H36</f>
        <v>0</v>
      </c>
      <c r="I36" s="46">
        <f>'2023年'!I36</f>
        <v>0</v>
      </c>
      <c r="J36" s="46">
        <f>'2023年'!J36</f>
        <v>0</v>
      </c>
      <c r="K36" s="51"/>
      <c r="L36" s="55"/>
      <c r="M36" s="55"/>
      <c r="N36" s="55"/>
      <c r="O36" s="55"/>
      <c r="P36" s="55"/>
      <c r="Q36" s="55"/>
      <c r="R36" s="55"/>
      <c r="S36" s="55"/>
      <c r="AG36" s="40" t="s">
        <v>66</v>
      </c>
      <c r="AH36" s="40" t="s">
        <v>70</v>
      </c>
    </row>
    <row r="37" spans="1:34">
      <c r="A37" s="146">
        <v>2</v>
      </c>
      <c r="B37" s="40" t="s">
        <v>71</v>
      </c>
      <c r="C37" s="46">
        <f>'2023年'!C37</f>
        <v>6.3239249119211198</v>
      </c>
      <c r="D37" s="46">
        <f>'2023年'!D37</f>
        <v>0</v>
      </c>
      <c r="E37" s="46">
        <f>'2023年'!E37</f>
        <v>0</v>
      </c>
      <c r="F37" s="46">
        <f>'2023年'!F37</f>
        <v>0</v>
      </c>
      <c r="G37" s="46">
        <f>'2023年'!G37</f>
        <v>0</v>
      </c>
      <c r="H37" s="46">
        <f>'2023年'!H37</f>
        <v>0</v>
      </c>
      <c r="I37" s="46">
        <f>'2023年'!I37</f>
        <v>0</v>
      </c>
      <c r="J37" s="46">
        <f>'2023年'!J37</f>
        <v>0</v>
      </c>
      <c r="K37" s="51"/>
      <c r="L37" s="55"/>
      <c r="M37" s="55"/>
      <c r="N37" s="55"/>
      <c r="O37" s="55"/>
      <c r="P37" s="55"/>
      <c r="Q37" s="55"/>
      <c r="R37" s="55"/>
      <c r="S37" s="55"/>
      <c r="AG37" s="40" t="s">
        <v>23</v>
      </c>
      <c r="AH37" s="40" t="s">
        <v>71</v>
      </c>
    </row>
    <row r="38" spans="1:34">
      <c r="A38" s="146">
        <v>3</v>
      </c>
      <c r="B38" s="40" t="s">
        <v>72</v>
      </c>
      <c r="C38" s="46">
        <f>'2023年'!C38</f>
        <v>22.33009708737864</v>
      </c>
      <c r="D38" s="46">
        <f>'2023年'!D38</f>
        <v>0</v>
      </c>
      <c r="E38" s="46">
        <f>'2023年'!E38</f>
        <v>0</v>
      </c>
      <c r="F38" s="46">
        <f>'2023年'!F38</f>
        <v>0</v>
      </c>
      <c r="G38" s="46">
        <f>'2023年'!G38</f>
        <v>0</v>
      </c>
      <c r="H38" s="46">
        <f>'2023年'!H38</f>
        <v>0</v>
      </c>
      <c r="I38" s="46">
        <f>'2023年'!I38</f>
        <v>0</v>
      </c>
      <c r="J38" s="46">
        <f>'2023年'!J38</f>
        <v>0</v>
      </c>
      <c r="K38" s="51"/>
      <c r="L38" s="55"/>
      <c r="M38" s="55"/>
      <c r="N38" s="55"/>
      <c r="O38" s="55"/>
      <c r="P38" s="55"/>
      <c r="Q38" s="55"/>
      <c r="R38" s="55"/>
      <c r="S38" s="55"/>
      <c r="AG38" s="40" t="s">
        <v>29</v>
      </c>
      <c r="AH38" s="40" t="s">
        <v>72</v>
      </c>
    </row>
    <row r="39" spans="1:34">
      <c r="A39" s="40" t="s">
        <v>69</v>
      </c>
      <c r="B39" s="43" t="s">
        <v>74</v>
      </c>
      <c r="C39" s="47"/>
      <c r="D39" s="47"/>
      <c r="E39" s="47"/>
      <c r="F39" s="47"/>
      <c r="G39" s="47"/>
      <c r="H39" s="47"/>
      <c r="I39" s="47"/>
      <c r="J39" s="47"/>
      <c r="K39" s="47"/>
      <c r="AG39" s="40" t="s">
        <v>73</v>
      </c>
      <c r="AH39" s="43" t="s">
        <v>74</v>
      </c>
    </row>
    <row r="40" spans="1:34">
      <c r="A40" s="146">
        <v>1</v>
      </c>
      <c r="B40" s="40" t="s">
        <v>75</v>
      </c>
      <c r="C40" s="47">
        <f>C34-C36-C37-C38</f>
        <v>27.291504518918181</v>
      </c>
      <c r="D40" s="47" t="e">
        <f t="shared" ref="D40:J40" si="29">D34-D36-D37-D38</f>
        <v>#DIV/0!</v>
      </c>
      <c r="E40" s="47" t="e">
        <f t="shared" si="29"/>
        <v>#DIV/0!</v>
      </c>
      <c r="F40" s="47" t="e">
        <f t="shared" si="29"/>
        <v>#DIV/0!</v>
      </c>
      <c r="G40" s="47" t="e">
        <f t="shared" si="29"/>
        <v>#DIV/0!</v>
      </c>
      <c r="H40" s="47" t="e">
        <f t="shared" si="29"/>
        <v>#DIV/0!</v>
      </c>
      <c r="I40" s="47" t="e">
        <f t="shared" si="29"/>
        <v>#DIV/0!</v>
      </c>
      <c r="J40" s="47" t="e">
        <f t="shared" si="29"/>
        <v>#DIV/0!</v>
      </c>
      <c r="K40" s="47"/>
      <c r="AG40" s="40" t="s">
        <v>18</v>
      </c>
      <c r="AH40" s="40" t="s">
        <v>75</v>
      </c>
    </row>
    <row r="41" spans="1:34">
      <c r="A41" s="146">
        <v>2</v>
      </c>
      <c r="B41" s="40" t="s">
        <v>76</v>
      </c>
      <c r="C41" s="47"/>
      <c r="D41" s="47"/>
      <c r="E41" s="47"/>
      <c r="F41" s="47"/>
      <c r="G41" s="47"/>
      <c r="H41" s="47"/>
      <c r="I41" s="47"/>
      <c r="J41" s="47"/>
      <c r="K41" s="47"/>
      <c r="AG41" s="40" t="s">
        <v>20</v>
      </c>
      <c r="AH41" s="40" t="s">
        <v>76</v>
      </c>
    </row>
    <row r="42" spans="1:34">
      <c r="A42" s="40" t="s">
        <v>73</v>
      </c>
      <c r="B42" s="43" t="s">
        <v>78</v>
      </c>
      <c r="C42" s="47"/>
      <c r="D42" s="47"/>
      <c r="E42" s="47"/>
      <c r="F42" s="47"/>
      <c r="G42" s="47"/>
      <c r="H42" s="47"/>
      <c r="I42" s="47"/>
      <c r="J42" s="47"/>
      <c r="K42" s="47"/>
      <c r="AG42" s="40" t="s">
        <v>77</v>
      </c>
      <c r="AH42" s="43" t="s">
        <v>78</v>
      </c>
    </row>
    <row r="43" spans="1:34">
      <c r="A43" s="146">
        <v>1</v>
      </c>
      <c r="B43" s="48" t="s">
        <v>79</v>
      </c>
      <c r="C43" s="46">
        <f>'2023年'!C43</f>
        <v>0</v>
      </c>
      <c r="D43" s="46">
        <f>'2023年'!D43</f>
        <v>0</v>
      </c>
      <c r="E43" s="46">
        <f>'2023年'!E43</f>
        <v>0</v>
      </c>
      <c r="F43" s="46">
        <f>'2023年'!F43</f>
        <v>0</v>
      </c>
      <c r="G43" s="46">
        <f>'2023年'!G43</f>
        <v>0</v>
      </c>
      <c r="H43" s="46">
        <f>'2023年'!H43</f>
        <v>0</v>
      </c>
      <c r="I43" s="46">
        <f>'2023年'!I43</f>
        <v>0</v>
      </c>
      <c r="J43" s="46">
        <f>'2023年'!J43</f>
        <v>0</v>
      </c>
      <c r="K43" s="47"/>
      <c r="AG43" s="40" t="s">
        <v>18</v>
      </c>
      <c r="AH43" s="40" t="s">
        <v>79</v>
      </c>
    </row>
    <row r="44" spans="1:34">
      <c r="A44" s="146">
        <v>2</v>
      </c>
      <c r="B44" s="48" t="s">
        <v>80</v>
      </c>
      <c r="C44" s="46">
        <f>'2023年'!C44</f>
        <v>0</v>
      </c>
      <c r="D44" s="46">
        <f>'2023年'!D44</f>
        <v>0</v>
      </c>
      <c r="E44" s="46">
        <f>'2023年'!E44</f>
        <v>0</v>
      </c>
      <c r="F44" s="46">
        <f>'2023年'!F44</f>
        <v>0</v>
      </c>
      <c r="G44" s="46">
        <f>'2023年'!G44</f>
        <v>0</v>
      </c>
      <c r="H44" s="46">
        <f>'2023年'!H44</f>
        <v>0</v>
      </c>
      <c r="I44" s="46">
        <f>'2023年'!I44</f>
        <v>0</v>
      </c>
      <c r="J44" s="46">
        <f>'2023年'!J44</f>
        <v>0</v>
      </c>
      <c r="K44" s="47"/>
      <c r="AG44" s="40" t="s">
        <v>20</v>
      </c>
      <c r="AH44" s="40" t="s">
        <v>80</v>
      </c>
    </row>
    <row r="45" spans="1:34">
      <c r="A45" s="146">
        <v>3</v>
      </c>
      <c r="B45" s="48" t="s">
        <v>81</v>
      </c>
      <c r="C45" s="46">
        <f>'2023年'!C45</f>
        <v>0</v>
      </c>
      <c r="D45" s="46">
        <f>'2023年'!D45</f>
        <v>0</v>
      </c>
      <c r="E45" s="46">
        <f>'2023年'!E45</f>
        <v>0</v>
      </c>
      <c r="F45" s="46">
        <f>'2023年'!F45</f>
        <v>0</v>
      </c>
      <c r="G45" s="46">
        <f>'2023年'!G45</f>
        <v>0</v>
      </c>
      <c r="H45" s="46">
        <f>'2023年'!H45</f>
        <v>0</v>
      </c>
      <c r="I45" s="46">
        <f>'2023年'!I45</f>
        <v>0</v>
      </c>
      <c r="J45" s="46">
        <f>'2023年'!J45</f>
        <v>0</v>
      </c>
      <c r="K45" s="47"/>
      <c r="AG45" s="40" t="s">
        <v>66</v>
      </c>
      <c r="AH45" s="40" t="s">
        <v>81</v>
      </c>
    </row>
    <row r="46" spans="1:34" s="35" customFormat="1">
      <c r="A46" s="146">
        <v>4</v>
      </c>
      <c r="B46" s="48" t="s">
        <v>82</v>
      </c>
      <c r="C46" s="53">
        <f>C21/C6</f>
        <v>0.44444444444444442</v>
      </c>
      <c r="D46" s="53" t="e">
        <f t="shared" ref="D46:J46" si="30">D21/D6</f>
        <v>#DIV/0!</v>
      </c>
      <c r="E46" s="53" t="e">
        <f t="shared" si="30"/>
        <v>#DIV/0!</v>
      </c>
      <c r="F46" s="53" t="e">
        <f t="shared" si="30"/>
        <v>#DIV/0!</v>
      </c>
      <c r="G46" s="53" t="e">
        <f t="shared" si="30"/>
        <v>#DIV/0!</v>
      </c>
      <c r="H46" s="53" t="e">
        <f t="shared" si="30"/>
        <v>#DIV/0!</v>
      </c>
      <c r="I46" s="53" t="e">
        <f t="shared" si="30"/>
        <v>#DIV/0!</v>
      </c>
      <c r="J46" s="53" t="e">
        <f t="shared" si="30"/>
        <v>#DIV/0!</v>
      </c>
      <c r="K46" s="53"/>
      <c r="AG46" s="48" t="s">
        <v>26</v>
      </c>
      <c r="AH46" s="48" t="s">
        <v>84</v>
      </c>
    </row>
    <row r="47" spans="1:34" s="35" customFormat="1">
      <c r="A47" s="146">
        <v>5</v>
      </c>
      <c r="B47" s="48" t="s">
        <v>84</v>
      </c>
      <c r="C47" s="53">
        <f>'2023年'!C47</f>
        <v>17.5</v>
      </c>
      <c r="D47" s="53">
        <f>'2023年'!D47</f>
        <v>0</v>
      </c>
      <c r="E47" s="53">
        <f>'2023年'!E47</f>
        <v>0</v>
      </c>
      <c r="F47" s="53">
        <f>'2023年'!F47</f>
        <v>0</v>
      </c>
      <c r="G47" s="53">
        <f>'2023年'!G47</f>
        <v>0</v>
      </c>
      <c r="H47" s="53">
        <f>'2023年'!H47</f>
        <v>0</v>
      </c>
      <c r="I47" s="53">
        <f>'2023年'!I47</f>
        <v>0</v>
      </c>
      <c r="J47" s="53">
        <f>'2023年'!J47</f>
        <v>0</v>
      </c>
      <c r="K47" s="53"/>
      <c r="AG47" s="48" t="s">
        <v>26</v>
      </c>
      <c r="AH47" s="48" t="s">
        <v>84</v>
      </c>
    </row>
    <row r="48" spans="1:34">
      <c r="A48" s="40" t="s">
        <v>77</v>
      </c>
      <c r="B48" s="43" t="s">
        <v>95</v>
      </c>
      <c r="C48" s="47">
        <f>C40-C43-C44-C45-C47-C46</f>
        <v>9.3470600744737364</v>
      </c>
      <c r="D48" s="47" t="e">
        <f t="shared" ref="D48:J48" si="31">D40-D43-D44-D45-D47-D46</f>
        <v>#DIV/0!</v>
      </c>
      <c r="E48" s="47" t="e">
        <f t="shared" si="31"/>
        <v>#DIV/0!</v>
      </c>
      <c r="F48" s="47" t="e">
        <f t="shared" si="31"/>
        <v>#DIV/0!</v>
      </c>
      <c r="G48" s="47" t="e">
        <f t="shared" si="31"/>
        <v>#DIV/0!</v>
      </c>
      <c r="H48" s="47" t="e">
        <f t="shared" si="31"/>
        <v>#DIV/0!</v>
      </c>
      <c r="I48" s="47" t="e">
        <f t="shared" si="31"/>
        <v>#DIV/0!</v>
      </c>
      <c r="J48" s="47" t="e">
        <f t="shared" si="31"/>
        <v>#DIV/0!</v>
      </c>
      <c r="K48" s="47"/>
      <c r="AG48" s="40" t="s">
        <v>94</v>
      </c>
      <c r="AH48" s="43" t="s">
        <v>95</v>
      </c>
    </row>
    <row r="51" spans="2:16">
      <c r="C51" s="54"/>
      <c r="D51" s="54"/>
      <c r="E51" s="54"/>
      <c r="F51" s="54"/>
      <c r="G51" s="54"/>
      <c r="H51" s="54"/>
      <c r="I51" s="54"/>
      <c r="J51" s="54"/>
    </row>
    <row r="54" spans="2:16">
      <c r="B54" s="55"/>
      <c r="C54" s="56"/>
      <c r="D54" s="56"/>
      <c r="E54" s="56"/>
      <c r="F54" s="56"/>
      <c r="G54" s="56"/>
      <c r="H54" s="56"/>
      <c r="I54" s="56"/>
      <c r="J54" s="56"/>
      <c r="K54" s="56"/>
      <c r="L54" s="55"/>
      <c r="M54" s="55"/>
      <c r="N54" s="55"/>
      <c r="O54" s="55"/>
      <c r="P54" s="55"/>
    </row>
    <row r="55" spans="2:16">
      <c r="B55" s="55"/>
      <c r="C55" s="56"/>
      <c r="D55" s="56"/>
      <c r="E55" s="56"/>
      <c r="F55" s="56"/>
      <c r="G55" s="56"/>
      <c r="H55" s="56"/>
      <c r="I55" s="56"/>
      <c r="J55" s="56"/>
      <c r="K55" s="56"/>
      <c r="L55" s="55"/>
      <c r="M55" s="55"/>
      <c r="N55" s="55"/>
      <c r="O55" s="55"/>
      <c r="P55" s="55"/>
    </row>
    <row r="56" spans="2:16">
      <c r="B56" s="55"/>
      <c r="C56" s="56"/>
      <c r="D56" s="56"/>
      <c r="E56" s="56"/>
      <c r="F56" s="56"/>
      <c r="G56" s="56"/>
      <c r="H56" s="56"/>
      <c r="I56" s="56"/>
      <c r="J56" s="56"/>
      <c r="K56" s="56"/>
      <c r="L56" s="55"/>
      <c r="M56" s="55"/>
      <c r="N56" s="55"/>
      <c r="O56" s="55"/>
      <c r="P56" s="55"/>
    </row>
    <row r="57" spans="2:16">
      <c r="B57" s="55"/>
      <c r="C57" s="56"/>
      <c r="D57" s="56"/>
      <c r="E57" s="56"/>
      <c r="F57" s="56"/>
      <c r="G57" s="56"/>
      <c r="H57" s="56"/>
      <c r="I57" s="56"/>
      <c r="J57" s="56"/>
      <c r="K57" s="56"/>
      <c r="L57" s="55"/>
      <c r="M57" s="55"/>
      <c r="N57" s="55"/>
      <c r="O57" s="55"/>
      <c r="P57" s="55"/>
    </row>
    <row r="58" spans="2:16">
      <c r="B58" s="55"/>
      <c r="C58" s="56"/>
      <c r="D58" s="56"/>
      <c r="E58" s="56"/>
      <c r="F58" s="56"/>
      <c r="G58" s="56"/>
      <c r="H58" s="56"/>
      <c r="I58" s="56"/>
      <c r="J58" s="56"/>
      <c r="K58" s="56"/>
      <c r="L58" s="55"/>
      <c r="M58" s="55"/>
      <c r="N58" s="55"/>
      <c r="O58" s="55"/>
      <c r="P58" s="55"/>
    </row>
    <row r="59" spans="2:16">
      <c r="B59" s="55"/>
      <c r="C59" s="56"/>
      <c r="D59" s="56"/>
      <c r="E59" s="56"/>
      <c r="F59" s="56"/>
      <c r="G59" s="56"/>
      <c r="H59" s="56"/>
      <c r="I59" s="56"/>
      <c r="J59" s="56"/>
      <c r="K59" s="56"/>
      <c r="L59" s="55"/>
      <c r="M59" s="55"/>
      <c r="N59" s="55"/>
      <c r="O59" s="55"/>
      <c r="P59" s="55"/>
    </row>
    <row r="60" spans="2:16">
      <c r="B60" s="55"/>
      <c r="C60" s="56"/>
      <c r="D60" s="56"/>
      <c r="E60" s="56"/>
      <c r="F60" s="56"/>
      <c r="G60" s="56"/>
      <c r="H60" s="56"/>
      <c r="I60" s="56"/>
      <c r="J60" s="56"/>
      <c r="K60" s="56"/>
      <c r="L60" s="55"/>
      <c r="M60" s="55"/>
      <c r="N60" s="55"/>
      <c r="O60" s="55"/>
      <c r="P60" s="55"/>
    </row>
    <row r="61" spans="2:16">
      <c r="B61" s="55"/>
      <c r="C61" s="56"/>
      <c r="D61" s="56"/>
      <c r="E61" s="56"/>
      <c r="F61" s="56"/>
      <c r="G61" s="56"/>
      <c r="H61" s="56"/>
      <c r="I61" s="56"/>
      <c r="J61" s="56"/>
      <c r="K61" s="56"/>
      <c r="L61" s="55"/>
      <c r="M61" s="55"/>
      <c r="N61" s="55"/>
      <c r="O61" s="55"/>
      <c r="P61" s="55"/>
    </row>
    <row r="62" spans="2:16">
      <c r="B62" s="55"/>
      <c r="C62" s="56"/>
      <c r="D62" s="56"/>
      <c r="E62" s="56"/>
      <c r="F62" s="56"/>
      <c r="G62" s="56"/>
      <c r="H62" s="56"/>
      <c r="I62" s="56"/>
      <c r="J62" s="56"/>
      <c r="K62" s="56"/>
      <c r="L62" s="55"/>
      <c r="M62" s="55"/>
      <c r="N62" s="55"/>
      <c r="O62" s="55"/>
      <c r="P62" s="55"/>
    </row>
    <row r="63" spans="2:16">
      <c r="B63" s="55"/>
      <c r="C63" s="56"/>
      <c r="D63" s="56"/>
      <c r="E63" s="56"/>
      <c r="F63" s="56"/>
      <c r="G63" s="56"/>
      <c r="H63" s="56"/>
      <c r="I63" s="56"/>
      <c r="J63" s="56"/>
      <c r="K63" s="56"/>
      <c r="L63" s="55"/>
      <c r="M63" s="55"/>
      <c r="N63" s="55"/>
      <c r="O63" s="55"/>
      <c r="P63" s="55"/>
    </row>
    <row r="64" spans="2:16">
      <c r="B64" s="55"/>
      <c r="C64" s="56"/>
      <c r="D64" s="56"/>
      <c r="E64" s="56"/>
      <c r="F64" s="56"/>
      <c r="G64" s="56"/>
      <c r="H64" s="56"/>
      <c r="I64" s="56"/>
      <c r="J64" s="56"/>
      <c r="K64" s="56"/>
      <c r="L64" s="55"/>
      <c r="M64" s="55"/>
      <c r="N64" s="55"/>
      <c r="O64" s="55"/>
      <c r="P64" s="55"/>
    </row>
    <row r="65" spans="2:16">
      <c r="B65" s="55"/>
      <c r="C65" s="56"/>
      <c r="D65" s="56"/>
      <c r="E65" s="56"/>
      <c r="F65" s="56"/>
      <c r="G65" s="56"/>
      <c r="H65" s="56"/>
      <c r="I65" s="56"/>
      <c r="J65" s="56"/>
      <c r="K65" s="56"/>
      <c r="L65" s="55"/>
      <c r="M65" s="55"/>
      <c r="N65" s="55"/>
      <c r="O65" s="55"/>
      <c r="P65" s="55"/>
    </row>
    <row r="66" spans="2:16">
      <c r="B66" s="55"/>
      <c r="C66" s="56"/>
      <c r="D66" s="56"/>
      <c r="E66" s="56"/>
      <c r="F66" s="56"/>
      <c r="G66" s="56"/>
      <c r="H66" s="56"/>
      <c r="I66" s="56"/>
      <c r="J66" s="56"/>
      <c r="K66" s="56"/>
      <c r="L66" s="55"/>
      <c r="M66" s="55"/>
      <c r="N66" s="55"/>
      <c r="O66" s="55"/>
      <c r="P66" s="55"/>
    </row>
    <row r="67" spans="2:16">
      <c r="B67" s="55"/>
      <c r="C67" s="56"/>
      <c r="D67" s="56"/>
      <c r="E67" s="56"/>
      <c r="F67" s="56"/>
      <c r="G67" s="56"/>
      <c r="H67" s="56"/>
      <c r="I67" s="56"/>
      <c r="J67" s="56"/>
      <c r="K67" s="56"/>
      <c r="L67" s="55"/>
    </row>
    <row r="68" spans="2:16">
      <c r="B68" s="55"/>
      <c r="C68" s="56"/>
      <c r="D68" s="56"/>
      <c r="E68" s="56"/>
      <c r="F68" s="56"/>
      <c r="G68" s="56"/>
      <c r="H68" s="56"/>
      <c r="I68" s="56"/>
      <c r="J68" s="56"/>
      <c r="K68" s="56"/>
      <c r="L68" s="55"/>
    </row>
    <row r="69" spans="2:16">
      <c r="B69" s="55"/>
      <c r="C69" s="56"/>
      <c r="D69" s="56"/>
      <c r="E69" s="56"/>
      <c r="F69" s="56"/>
      <c r="G69" s="56"/>
      <c r="H69" s="56"/>
      <c r="I69" s="56"/>
      <c r="J69" s="56"/>
      <c r="K69" s="56"/>
      <c r="L69" s="55"/>
    </row>
    <row r="70" spans="2:16">
      <c r="B70" s="55"/>
      <c r="C70" s="56"/>
      <c r="D70" s="56"/>
      <c r="E70" s="56"/>
      <c r="F70" s="56"/>
      <c r="G70" s="56"/>
      <c r="H70" s="56"/>
      <c r="I70" s="56"/>
      <c r="J70" s="56"/>
      <c r="K70" s="56"/>
      <c r="L70" s="55"/>
    </row>
    <row r="71" spans="2:16">
      <c r="B71" s="55"/>
      <c r="C71" s="56"/>
      <c r="D71" s="56"/>
      <c r="E71" s="56"/>
      <c r="F71" s="56"/>
      <c r="G71" s="56"/>
      <c r="H71" s="56"/>
      <c r="I71" s="56"/>
      <c r="J71" s="56"/>
      <c r="K71" s="56"/>
      <c r="L71" s="55"/>
    </row>
    <row r="72" spans="2:16">
      <c r="B72" s="55"/>
      <c r="C72" s="56"/>
      <c r="D72" s="56"/>
      <c r="E72" s="56"/>
      <c r="F72" s="56"/>
      <c r="G72" s="56"/>
      <c r="H72" s="56"/>
      <c r="I72" s="56"/>
      <c r="J72" s="56"/>
      <c r="K72" s="56"/>
      <c r="L72" s="55"/>
    </row>
    <row r="73" spans="2:16">
      <c r="B73" s="55"/>
      <c r="C73" s="56"/>
      <c r="D73" s="56"/>
      <c r="E73" s="56"/>
      <c r="F73" s="56"/>
      <c r="G73" s="56"/>
      <c r="H73" s="56"/>
      <c r="I73" s="56"/>
      <c r="J73" s="56"/>
      <c r="K73" s="56"/>
      <c r="L73" s="55"/>
    </row>
    <row r="74" spans="2:16">
      <c r="B74" s="55"/>
      <c r="C74" s="56"/>
      <c r="D74" s="56"/>
      <c r="E74" s="56"/>
      <c r="F74" s="56"/>
      <c r="G74" s="56"/>
      <c r="H74" s="56"/>
      <c r="I74" s="56"/>
      <c r="J74" s="56"/>
      <c r="K74" s="56"/>
      <c r="L74" s="55"/>
    </row>
  </sheetData>
  <mergeCells count="8">
    <mergeCell ref="K3:K5"/>
    <mergeCell ref="C2:K2"/>
    <mergeCell ref="C1:K1"/>
    <mergeCell ref="A1:B1"/>
    <mergeCell ref="A2:B2"/>
    <mergeCell ref="A3:B3"/>
    <mergeCell ref="A4:B4"/>
    <mergeCell ref="A5:B5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4"/>
  <sheetViews>
    <sheetView workbookViewId="0">
      <pane xSplit="2" ySplit="7" topLeftCell="C17" activePane="bottomRight" state="frozen"/>
      <selection pane="topRight"/>
      <selection pane="bottomLeft"/>
      <selection pane="bottomRight" activeCell="K26" sqref="K26"/>
    </sheetView>
  </sheetViews>
  <sheetFormatPr defaultColWidth="9" defaultRowHeight="16.5"/>
  <cols>
    <col min="1" max="1" width="5.125" style="36" customWidth="1"/>
    <col min="2" max="2" width="17.5" style="36" customWidth="1"/>
    <col min="3" max="10" width="13.25" style="37" customWidth="1"/>
    <col min="11" max="11" width="18.75" style="37" customWidth="1"/>
    <col min="12" max="12" width="12.375" style="36" customWidth="1"/>
    <col min="13" max="13" width="10.125" style="36" customWidth="1"/>
    <col min="14" max="20" width="9" style="36" customWidth="1"/>
    <col min="21" max="37" width="9" style="36"/>
    <col min="38" max="38" width="4.375" style="36" customWidth="1"/>
    <col min="39" max="39" width="13.875" style="36" customWidth="1"/>
    <col min="40" max="16384" width="9" style="36"/>
  </cols>
  <sheetData>
    <row r="1" spans="1:40">
      <c r="A1" s="259" t="s">
        <v>135</v>
      </c>
      <c r="B1" s="259"/>
      <c r="C1" s="263" t="s">
        <v>227</v>
      </c>
      <c r="D1" s="264"/>
      <c r="E1" s="264"/>
      <c r="F1" s="264"/>
      <c r="G1" s="264"/>
      <c r="H1" s="264"/>
      <c r="I1" s="264"/>
      <c r="J1" s="264"/>
      <c r="K1" s="265"/>
    </row>
    <row r="2" spans="1:40">
      <c r="A2" s="259" t="s">
        <v>136</v>
      </c>
      <c r="B2" s="259"/>
      <c r="C2" s="266" t="str">
        <f>'2023年'!C2:K2</f>
        <v>中国重汽济南轻卡</v>
      </c>
      <c r="D2" s="266"/>
      <c r="E2" s="266"/>
      <c r="F2" s="266"/>
      <c r="G2" s="266"/>
      <c r="H2" s="266"/>
      <c r="I2" s="266"/>
      <c r="J2" s="266"/>
      <c r="K2" s="266"/>
    </row>
    <row r="3" spans="1:40">
      <c r="A3" s="259" t="s">
        <v>137</v>
      </c>
      <c r="B3" s="259"/>
      <c r="C3" s="147" t="str">
        <f>'2023年'!C3</f>
        <v>轻卡驾驶员座椅</v>
      </c>
      <c r="D3" s="147">
        <f>'2023年'!D3</f>
        <v>0</v>
      </c>
      <c r="E3" s="147">
        <f>'2023年'!E3</f>
        <v>0</v>
      </c>
      <c r="F3" s="147">
        <f>'2023年'!F3</f>
        <v>0</v>
      </c>
      <c r="G3" s="147">
        <f>'2023年'!G3</f>
        <v>0</v>
      </c>
      <c r="H3" s="147">
        <f>'2023年'!H3</f>
        <v>0</v>
      </c>
      <c r="I3" s="147">
        <f>'2023年'!I3</f>
        <v>0</v>
      </c>
      <c r="J3" s="147">
        <f>'2023年'!J3</f>
        <v>0</v>
      </c>
      <c r="K3" s="260" t="s">
        <v>14</v>
      </c>
    </row>
    <row r="4" spans="1:40">
      <c r="A4" s="259" t="s">
        <v>138</v>
      </c>
      <c r="B4" s="259"/>
      <c r="C4" s="147" t="str">
        <f>'2023年'!C4</f>
        <v>LZ161251000004</v>
      </c>
      <c r="D4" s="147">
        <f>'2023年'!D4</f>
        <v>0</v>
      </c>
      <c r="E4" s="147">
        <f>'2023年'!E4</f>
        <v>0</v>
      </c>
      <c r="F4" s="147">
        <f>'2023年'!F4</f>
        <v>0</v>
      </c>
      <c r="G4" s="147">
        <f>'2023年'!G4</f>
        <v>0</v>
      </c>
      <c r="H4" s="147">
        <f>'2023年'!H4</f>
        <v>0</v>
      </c>
      <c r="I4" s="147">
        <f>'2023年'!I4</f>
        <v>0</v>
      </c>
      <c r="J4" s="147">
        <f>'2023年'!J4</f>
        <v>0</v>
      </c>
      <c r="K4" s="261"/>
    </row>
    <row r="5" spans="1:40">
      <c r="A5" s="259" t="s">
        <v>139</v>
      </c>
      <c r="B5" s="259"/>
      <c r="C5" s="39"/>
      <c r="D5" s="39"/>
      <c r="E5" s="39"/>
      <c r="F5" s="39"/>
      <c r="G5" s="39"/>
      <c r="H5" s="39"/>
      <c r="I5" s="39"/>
      <c r="J5" s="39"/>
      <c r="K5" s="262"/>
      <c r="AN5" s="36" t="s">
        <v>15</v>
      </c>
    </row>
    <row r="6" spans="1:40" ht="17.25">
      <c r="A6" s="40" t="s">
        <v>13</v>
      </c>
      <c r="B6" s="41" t="s">
        <v>140</v>
      </c>
      <c r="C6" s="12">
        <f>销量!C12</f>
        <v>0</v>
      </c>
      <c r="D6" s="12">
        <f>销量!D12</f>
        <v>0</v>
      </c>
      <c r="E6" s="12">
        <f>销量!E12</f>
        <v>0</v>
      </c>
      <c r="F6" s="12">
        <f>销量!F12</f>
        <v>0</v>
      </c>
      <c r="G6" s="12">
        <f>销量!G12</f>
        <v>0</v>
      </c>
      <c r="H6" s="12">
        <f>销量!H12</f>
        <v>0</v>
      </c>
      <c r="I6" s="12">
        <f>销量!I12</f>
        <v>0</v>
      </c>
      <c r="J6" s="12">
        <f>销量!J12</f>
        <v>0</v>
      </c>
      <c r="K6" s="42">
        <f>SUM(C6:J6)</f>
        <v>0</v>
      </c>
      <c r="V6" s="41" t="s">
        <v>3</v>
      </c>
      <c r="AL6" s="40" t="s">
        <v>13</v>
      </c>
      <c r="AM6" s="41" t="s">
        <v>3</v>
      </c>
      <c r="AN6" s="36" t="s">
        <v>16</v>
      </c>
    </row>
    <row r="7" spans="1:40">
      <c r="A7" s="146">
        <v>1</v>
      </c>
      <c r="B7" s="41" t="s">
        <v>17</v>
      </c>
      <c r="C7" s="42">
        <f>C6*销量!C8</f>
        <v>0</v>
      </c>
      <c r="D7" s="42">
        <f>D6*销量!D8</f>
        <v>0</v>
      </c>
      <c r="E7" s="42">
        <f>E6*销量!E8</f>
        <v>0</v>
      </c>
      <c r="F7" s="42">
        <f>F6*销量!F8</f>
        <v>0</v>
      </c>
      <c r="G7" s="42">
        <f>G6*销量!G8</f>
        <v>0</v>
      </c>
      <c r="H7" s="42">
        <f>H6*销量!H8</f>
        <v>0</v>
      </c>
      <c r="I7" s="42">
        <f>I6*销量!I8</f>
        <v>0</v>
      </c>
      <c r="J7" s="42">
        <f>J6*销量!J8</f>
        <v>0</v>
      </c>
      <c r="K7" s="42">
        <f t="shared" ref="K7:K22" si="0">SUM(C7:J7)</f>
        <v>0</v>
      </c>
      <c r="L7" s="37"/>
      <c r="V7" s="41" t="s">
        <v>17</v>
      </c>
      <c r="AL7" s="40" t="s">
        <v>18</v>
      </c>
      <c r="AM7" s="41" t="s">
        <v>17</v>
      </c>
      <c r="AN7" s="36" t="s">
        <v>16</v>
      </c>
    </row>
    <row r="8" spans="1:40">
      <c r="A8" s="146">
        <v>2</v>
      </c>
      <c r="B8" s="146" t="s">
        <v>19</v>
      </c>
      <c r="C8" s="42">
        <f>C7*(1-销量!$O$9)</f>
        <v>0</v>
      </c>
      <c r="D8" s="42">
        <f>D7*(1-销量!$O$9)</f>
        <v>0</v>
      </c>
      <c r="E8" s="42">
        <f>E7*(1-销量!$O$9)</f>
        <v>0</v>
      </c>
      <c r="F8" s="42">
        <f>F7*(1-销量!$O$9)</f>
        <v>0</v>
      </c>
      <c r="G8" s="42">
        <f>G7*(1-销量!$O$9)</f>
        <v>0</v>
      </c>
      <c r="H8" s="42">
        <f>H7*(1-销量!$O$9)</f>
        <v>0</v>
      </c>
      <c r="I8" s="42">
        <f>I7*(1-销量!$O$9)</f>
        <v>0</v>
      </c>
      <c r="J8" s="42">
        <f>J7*(1-销量!$O$9)</f>
        <v>0</v>
      </c>
      <c r="K8" s="42">
        <f t="shared" si="0"/>
        <v>0</v>
      </c>
      <c r="L8" s="57"/>
      <c r="V8" s="146" t="s">
        <v>21</v>
      </c>
      <c r="AL8" s="40" t="s">
        <v>20</v>
      </c>
      <c r="AM8" s="146" t="s">
        <v>21</v>
      </c>
      <c r="AN8" s="36" t="s">
        <v>16</v>
      </c>
    </row>
    <row r="9" spans="1:40">
      <c r="A9" s="146">
        <v>3</v>
      </c>
      <c r="B9" s="41" t="s">
        <v>22</v>
      </c>
      <c r="C9" s="42">
        <f>+C7-C8</f>
        <v>0</v>
      </c>
      <c r="D9" s="42">
        <f t="shared" ref="D9:J9" si="1">+D7-D8</f>
        <v>0</v>
      </c>
      <c r="E9" s="42">
        <f t="shared" si="1"/>
        <v>0</v>
      </c>
      <c r="F9" s="42">
        <f t="shared" si="1"/>
        <v>0</v>
      </c>
      <c r="G9" s="42">
        <f t="shared" si="1"/>
        <v>0</v>
      </c>
      <c r="H9" s="42">
        <f t="shared" si="1"/>
        <v>0</v>
      </c>
      <c r="I9" s="42">
        <f t="shared" si="1"/>
        <v>0</v>
      </c>
      <c r="J9" s="42">
        <f t="shared" si="1"/>
        <v>0</v>
      </c>
      <c r="K9" s="42">
        <f t="shared" si="0"/>
        <v>0</v>
      </c>
      <c r="V9" s="41" t="s">
        <v>22</v>
      </c>
      <c r="AL9" s="40" t="s">
        <v>23</v>
      </c>
      <c r="AM9" s="41" t="s">
        <v>22</v>
      </c>
      <c r="AN9" s="36" t="s">
        <v>24</v>
      </c>
    </row>
    <row r="10" spans="1:40">
      <c r="A10" s="146">
        <v>4</v>
      </c>
      <c r="B10" s="40" t="s">
        <v>25</v>
      </c>
      <c r="C10" s="42">
        <f>C6*C33</f>
        <v>0</v>
      </c>
      <c r="D10" s="42">
        <f t="shared" ref="D10:J10" si="2">D6*D33</f>
        <v>0</v>
      </c>
      <c r="E10" s="42">
        <f t="shared" si="2"/>
        <v>0</v>
      </c>
      <c r="F10" s="42">
        <f t="shared" si="2"/>
        <v>0</v>
      </c>
      <c r="G10" s="42">
        <f t="shared" si="2"/>
        <v>0</v>
      </c>
      <c r="H10" s="42">
        <f t="shared" si="2"/>
        <v>0</v>
      </c>
      <c r="I10" s="42">
        <f t="shared" si="2"/>
        <v>0</v>
      </c>
      <c r="J10" s="42">
        <f t="shared" si="2"/>
        <v>0</v>
      </c>
      <c r="K10" s="42">
        <f t="shared" si="0"/>
        <v>0</v>
      </c>
      <c r="V10" s="40" t="s">
        <v>25</v>
      </c>
      <c r="AL10" s="40" t="s">
        <v>26</v>
      </c>
      <c r="AM10" s="40" t="s">
        <v>25</v>
      </c>
      <c r="AN10" s="36" t="s">
        <v>27</v>
      </c>
    </row>
    <row r="11" spans="1:40">
      <c r="A11" s="146">
        <v>5</v>
      </c>
      <c r="B11" s="40" t="s">
        <v>28</v>
      </c>
      <c r="C11" s="42">
        <f>+C6*C36</f>
        <v>0</v>
      </c>
      <c r="D11" s="42">
        <f t="shared" ref="D11:J11" si="3">+D6*D36</f>
        <v>0</v>
      </c>
      <c r="E11" s="42">
        <f t="shared" si="3"/>
        <v>0</v>
      </c>
      <c r="F11" s="42">
        <f t="shared" si="3"/>
        <v>0</v>
      </c>
      <c r="G11" s="42">
        <f t="shared" si="3"/>
        <v>0</v>
      </c>
      <c r="H11" s="42">
        <f t="shared" si="3"/>
        <v>0</v>
      </c>
      <c r="I11" s="42">
        <f t="shared" si="3"/>
        <v>0</v>
      </c>
      <c r="J11" s="42">
        <f t="shared" si="3"/>
        <v>0</v>
      </c>
      <c r="K11" s="42">
        <f t="shared" si="0"/>
        <v>0</v>
      </c>
      <c r="V11" s="40" t="s">
        <v>28</v>
      </c>
      <c r="AL11" s="40" t="s">
        <v>29</v>
      </c>
      <c r="AM11" s="40" t="s">
        <v>28</v>
      </c>
    </row>
    <row r="12" spans="1:40">
      <c r="A12" s="146">
        <v>6</v>
      </c>
      <c r="B12" s="40" t="s">
        <v>30</v>
      </c>
      <c r="C12" s="42">
        <f>+C6*C37</f>
        <v>0</v>
      </c>
      <c r="D12" s="42">
        <f t="shared" ref="D12:J12" si="4">+D6*D37</f>
        <v>0</v>
      </c>
      <c r="E12" s="42">
        <f t="shared" si="4"/>
        <v>0</v>
      </c>
      <c r="F12" s="42">
        <f t="shared" si="4"/>
        <v>0</v>
      </c>
      <c r="G12" s="42">
        <f t="shared" si="4"/>
        <v>0</v>
      </c>
      <c r="H12" s="42">
        <f t="shared" si="4"/>
        <v>0</v>
      </c>
      <c r="I12" s="42">
        <f t="shared" si="4"/>
        <v>0</v>
      </c>
      <c r="J12" s="42">
        <f t="shared" si="4"/>
        <v>0</v>
      </c>
      <c r="K12" s="42">
        <f t="shared" si="0"/>
        <v>0</v>
      </c>
      <c r="V12" s="40" t="s">
        <v>30</v>
      </c>
      <c r="AL12" s="40" t="s">
        <v>31</v>
      </c>
      <c r="AM12" s="40" t="s">
        <v>30</v>
      </c>
    </row>
    <row r="13" spans="1:40">
      <c r="A13" s="146">
        <v>7</v>
      </c>
      <c r="B13" s="40" t="s">
        <v>32</v>
      </c>
      <c r="C13" s="42">
        <f>+C6*C38</f>
        <v>0</v>
      </c>
      <c r="D13" s="42">
        <f t="shared" ref="D13:J13" si="5">+D6*D38</f>
        <v>0</v>
      </c>
      <c r="E13" s="42">
        <f t="shared" si="5"/>
        <v>0</v>
      </c>
      <c r="F13" s="42">
        <f t="shared" si="5"/>
        <v>0</v>
      </c>
      <c r="G13" s="42">
        <f t="shared" si="5"/>
        <v>0</v>
      </c>
      <c r="H13" s="42">
        <f t="shared" si="5"/>
        <v>0</v>
      </c>
      <c r="I13" s="42">
        <f t="shared" si="5"/>
        <v>0</v>
      </c>
      <c r="J13" s="42">
        <f t="shared" si="5"/>
        <v>0</v>
      </c>
      <c r="K13" s="42">
        <f t="shared" si="0"/>
        <v>0</v>
      </c>
      <c r="V13" s="40" t="s">
        <v>32</v>
      </c>
      <c r="AL13" s="40" t="s">
        <v>33</v>
      </c>
      <c r="AM13" s="40" t="s">
        <v>32</v>
      </c>
      <c r="AN13" s="36" t="s">
        <v>16</v>
      </c>
    </row>
    <row r="14" spans="1:40">
      <c r="A14" s="146">
        <v>8</v>
      </c>
      <c r="B14" s="43" t="s">
        <v>34</v>
      </c>
      <c r="C14" s="42">
        <f>SUM(C11:C13)</f>
        <v>0</v>
      </c>
      <c r="D14" s="42">
        <f t="shared" ref="D14:J14" si="6">SUM(D11:D13)</f>
        <v>0</v>
      </c>
      <c r="E14" s="42">
        <f t="shared" si="6"/>
        <v>0</v>
      </c>
      <c r="F14" s="42">
        <f t="shared" si="6"/>
        <v>0</v>
      </c>
      <c r="G14" s="42">
        <f t="shared" si="6"/>
        <v>0</v>
      </c>
      <c r="H14" s="42">
        <f t="shared" si="6"/>
        <v>0</v>
      </c>
      <c r="I14" s="42">
        <f t="shared" si="6"/>
        <v>0</v>
      </c>
      <c r="J14" s="42">
        <f t="shared" si="6"/>
        <v>0</v>
      </c>
      <c r="K14" s="42">
        <f t="shared" si="0"/>
        <v>0</v>
      </c>
      <c r="V14" s="43" t="s">
        <v>34</v>
      </c>
      <c r="AL14" s="40" t="s">
        <v>35</v>
      </c>
      <c r="AM14" s="43" t="s">
        <v>34</v>
      </c>
    </row>
    <row r="15" spans="1:40">
      <c r="A15" s="146">
        <v>9</v>
      </c>
      <c r="B15" s="43" t="s">
        <v>36</v>
      </c>
      <c r="C15" s="42">
        <f>+C9-C10-C14</f>
        <v>0</v>
      </c>
      <c r="D15" s="42">
        <f t="shared" ref="D15:J15" si="7">+D9-D10-D14</f>
        <v>0</v>
      </c>
      <c r="E15" s="42">
        <f t="shared" si="7"/>
        <v>0</v>
      </c>
      <c r="F15" s="42">
        <f t="shared" si="7"/>
        <v>0</v>
      </c>
      <c r="G15" s="42">
        <f t="shared" si="7"/>
        <v>0</v>
      </c>
      <c r="H15" s="42">
        <f t="shared" si="7"/>
        <v>0</v>
      </c>
      <c r="I15" s="42">
        <f t="shared" si="7"/>
        <v>0</v>
      </c>
      <c r="J15" s="42">
        <f t="shared" si="7"/>
        <v>0</v>
      </c>
      <c r="K15" s="42">
        <f t="shared" si="0"/>
        <v>0</v>
      </c>
      <c r="V15" s="43" t="s">
        <v>36</v>
      </c>
      <c r="AL15" s="40" t="s">
        <v>37</v>
      </c>
      <c r="AM15" s="43" t="s">
        <v>36</v>
      </c>
    </row>
    <row r="16" spans="1:40">
      <c r="A16" s="146">
        <v>10</v>
      </c>
      <c r="B16" s="40" t="s">
        <v>38</v>
      </c>
      <c r="C16" s="44" t="e">
        <f>+C15/C9</f>
        <v>#DIV/0!</v>
      </c>
      <c r="D16" s="44" t="e">
        <f t="shared" ref="D16:J16" si="8">+D15/D9</f>
        <v>#DIV/0!</v>
      </c>
      <c r="E16" s="44" t="e">
        <f t="shared" si="8"/>
        <v>#DIV/0!</v>
      </c>
      <c r="F16" s="44" t="e">
        <f t="shared" si="8"/>
        <v>#DIV/0!</v>
      </c>
      <c r="G16" s="44" t="e">
        <f t="shared" si="8"/>
        <v>#DIV/0!</v>
      </c>
      <c r="H16" s="44" t="e">
        <f t="shared" si="8"/>
        <v>#DIV/0!</v>
      </c>
      <c r="I16" s="44" t="e">
        <f t="shared" si="8"/>
        <v>#DIV/0!</v>
      </c>
      <c r="J16" s="44" t="e">
        <f t="shared" si="8"/>
        <v>#DIV/0!</v>
      </c>
      <c r="K16" s="44" t="e">
        <f t="shared" ref="K16" si="9">+K15/K9</f>
        <v>#DIV/0!</v>
      </c>
      <c r="V16" s="40" t="s">
        <v>38</v>
      </c>
      <c r="AL16" s="40" t="s">
        <v>39</v>
      </c>
      <c r="AM16" s="40" t="s">
        <v>38</v>
      </c>
    </row>
    <row r="17" spans="1:40">
      <c r="A17" s="146">
        <v>11</v>
      </c>
      <c r="B17" s="40" t="s">
        <v>40</v>
      </c>
      <c r="C17" s="42" t="e">
        <f>C6*C43+C18</f>
        <v>#DIV/0!</v>
      </c>
      <c r="D17" s="42" t="e">
        <f t="shared" ref="D17:J17" si="10">D6*D43+D18</f>
        <v>#DIV/0!</v>
      </c>
      <c r="E17" s="42" t="e">
        <f t="shared" si="10"/>
        <v>#DIV/0!</v>
      </c>
      <c r="F17" s="42" t="e">
        <f t="shared" si="10"/>
        <v>#DIV/0!</v>
      </c>
      <c r="G17" s="42" t="e">
        <f t="shared" si="10"/>
        <v>#DIV/0!</v>
      </c>
      <c r="H17" s="42" t="e">
        <f t="shared" si="10"/>
        <v>#DIV/0!</v>
      </c>
      <c r="I17" s="42" t="e">
        <f t="shared" si="10"/>
        <v>#DIV/0!</v>
      </c>
      <c r="J17" s="42" t="e">
        <f t="shared" si="10"/>
        <v>#DIV/0!</v>
      </c>
      <c r="K17" s="42" t="e">
        <f t="shared" si="0"/>
        <v>#DIV/0!</v>
      </c>
      <c r="L17" s="57"/>
      <c r="V17" s="40" t="s">
        <v>40</v>
      </c>
      <c r="AL17" s="40" t="s">
        <v>41</v>
      </c>
      <c r="AM17" s="40" t="s">
        <v>40</v>
      </c>
    </row>
    <row r="18" spans="1:40" s="34" customFormat="1">
      <c r="A18" s="146">
        <v>12</v>
      </c>
      <c r="B18" s="45" t="s">
        <v>141</v>
      </c>
      <c r="C18" s="46" t="e">
        <f>$K$18/$K$6*C6</f>
        <v>#DIV/0!</v>
      </c>
      <c r="D18" s="46" t="e">
        <f t="shared" ref="D18:J18" si="11">$K$18/$K$6*D6</f>
        <v>#DIV/0!</v>
      </c>
      <c r="E18" s="46" t="e">
        <f t="shared" si="11"/>
        <v>#DIV/0!</v>
      </c>
      <c r="F18" s="46" t="e">
        <f t="shared" si="11"/>
        <v>#DIV/0!</v>
      </c>
      <c r="G18" s="46" t="e">
        <f t="shared" si="11"/>
        <v>#DIV/0!</v>
      </c>
      <c r="H18" s="46" t="e">
        <f t="shared" si="11"/>
        <v>#DIV/0!</v>
      </c>
      <c r="I18" s="46" t="e">
        <f t="shared" si="11"/>
        <v>#DIV/0!</v>
      </c>
      <c r="J18" s="46" t="e">
        <f t="shared" si="11"/>
        <v>#DIV/0!</v>
      </c>
      <c r="K18" s="46">
        <f>项目投资!D26</f>
        <v>0</v>
      </c>
      <c r="L18" s="58" t="s">
        <v>142</v>
      </c>
      <c r="M18" s="58"/>
      <c r="N18" s="58"/>
    </row>
    <row r="19" spans="1:40">
      <c r="A19" s="146">
        <v>13</v>
      </c>
      <c r="B19" s="40" t="s">
        <v>42</v>
      </c>
      <c r="C19" s="42">
        <f>C6*C44</f>
        <v>0</v>
      </c>
      <c r="D19" s="42">
        <f t="shared" ref="D19:J19" si="12">D6*D44</f>
        <v>0</v>
      </c>
      <c r="E19" s="42">
        <f t="shared" si="12"/>
        <v>0</v>
      </c>
      <c r="F19" s="42">
        <f t="shared" si="12"/>
        <v>0</v>
      </c>
      <c r="G19" s="42">
        <f t="shared" si="12"/>
        <v>0</v>
      </c>
      <c r="H19" s="42">
        <f t="shared" si="12"/>
        <v>0</v>
      </c>
      <c r="I19" s="42">
        <f t="shared" si="12"/>
        <v>0</v>
      </c>
      <c r="J19" s="42">
        <f t="shared" si="12"/>
        <v>0</v>
      </c>
      <c r="K19" s="42">
        <f t="shared" si="0"/>
        <v>0</v>
      </c>
      <c r="L19" s="34"/>
      <c r="V19" s="40" t="s">
        <v>42</v>
      </c>
      <c r="AL19" s="40" t="s">
        <v>43</v>
      </c>
      <c r="AM19" s="40" t="s">
        <v>42</v>
      </c>
      <c r="AN19" s="36" t="s">
        <v>16</v>
      </c>
    </row>
    <row r="20" spans="1:40">
      <c r="A20" s="146">
        <v>14</v>
      </c>
      <c r="B20" s="40" t="s">
        <v>44</v>
      </c>
      <c r="C20" s="42">
        <f>C6*C45</f>
        <v>0</v>
      </c>
      <c r="D20" s="42">
        <f t="shared" ref="D20:J20" si="13">D6*D45</f>
        <v>0</v>
      </c>
      <c r="E20" s="42">
        <f t="shared" si="13"/>
        <v>0</v>
      </c>
      <c r="F20" s="42">
        <f t="shared" si="13"/>
        <v>0</v>
      </c>
      <c r="G20" s="42">
        <f t="shared" si="13"/>
        <v>0</v>
      </c>
      <c r="H20" s="42">
        <f t="shared" si="13"/>
        <v>0</v>
      </c>
      <c r="I20" s="42">
        <f t="shared" si="13"/>
        <v>0</v>
      </c>
      <c r="J20" s="42">
        <f t="shared" si="13"/>
        <v>0</v>
      </c>
      <c r="K20" s="42">
        <f t="shared" si="0"/>
        <v>0</v>
      </c>
      <c r="V20" s="40" t="s">
        <v>44</v>
      </c>
      <c r="AL20" s="40" t="s">
        <v>45</v>
      </c>
      <c r="AM20" s="40" t="s">
        <v>44</v>
      </c>
    </row>
    <row r="21" spans="1:40">
      <c r="A21" s="146">
        <v>15</v>
      </c>
      <c r="B21" s="40" t="s">
        <v>46</v>
      </c>
      <c r="C21" s="47" t="e">
        <f>$K$21/$K$6*C6</f>
        <v>#DIV/0!</v>
      </c>
      <c r="D21" s="47" t="e">
        <f t="shared" ref="D21:J21" si="14">$K$21/$K$6*D6</f>
        <v>#DIV/0!</v>
      </c>
      <c r="E21" s="47" t="e">
        <f t="shared" si="14"/>
        <v>#DIV/0!</v>
      </c>
      <c r="F21" s="47" t="e">
        <f t="shared" si="14"/>
        <v>#DIV/0!</v>
      </c>
      <c r="G21" s="47" t="e">
        <f t="shared" si="14"/>
        <v>#DIV/0!</v>
      </c>
      <c r="H21" s="47" t="e">
        <f t="shared" si="14"/>
        <v>#DIV/0!</v>
      </c>
      <c r="I21" s="47" t="e">
        <f t="shared" si="14"/>
        <v>#DIV/0!</v>
      </c>
      <c r="J21" s="47" t="e">
        <f t="shared" si="14"/>
        <v>#DIV/0!</v>
      </c>
      <c r="K21" s="42">
        <f>项目投资!G27</f>
        <v>0</v>
      </c>
      <c r="V21" s="40" t="s">
        <v>46</v>
      </c>
      <c r="AL21" s="40"/>
      <c r="AM21" s="40"/>
    </row>
    <row r="22" spans="1:40">
      <c r="A22" s="146">
        <v>16</v>
      </c>
      <c r="B22" s="40" t="s">
        <v>47</v>
      </c>
      <c r="C22" s="42">
        <f>C6*C47</f>
        <v>0</v>
      </c>
      <c r="D22" s="42">
        <f t="shared" ref="D22:J22" si="15">D6*D47</f>
        <v>0</v>
      </c>
      <c r="E22" s="42">
        <f t="shared" si="15"/>
        <v>0</v>
      </c>
      <c r="F22" s="42">
        <f t="shared" si="15"/>
        <v>0</v>
      </c>
      <c r="G22" s="42">
        <f t="shared" si="15"/>
        <v>0</v>
      </c>
      <c r="H22" s="42">
        <f t="shared" si="15"/>
        <v>0</v>
      </c>
      <c r="I22" s="42">
        <f t="shared" si="15"/>
        <v>0</v>
      </c>
      <c r="J22" s="42">
        <f t="shared" si="15"/>
        <v>0</v>
      </c>
      <c r="K22" s="42">
        <f t="shared" si="0"/>
        <v>0</v>
      </c>
      <c r="V22" s="40" t="s">
        <v>47</v>
      </c>
      <c r="AL22" s="40" t="s">
        <v>48</v>
      </c>
      <c r="AM22" s="40" t="s">
        <v>47</v>
      </c>
    </row>
    <row r="23" spans="1:40">
      <c r="A23" s="146">
        <v>17</v>
      </c>
      <c r="B23" s="43" t="s">
        <v>49</v>
      </c>
      <c r="C23" s="47" t="e">
        <f>+C22+C21+C20+C19+C17</f>
        <v>#DIV/0!</v>
      </c>
      <c r="D23" s="47" t="e">
        <f t="shared" ref="D23:J23" si="16">+D22+D21+D20+D19+D17</f>
        <v>#DIV/0!</v>
      </c>
      <c r="E23" s="47" t="e">
        <f t="shared" si="16"/>
        <v>#DIV/0!</v>
      </c>
      <c r="F23" s="47" t="e">
        <f t="shared" si="16"/>
        <v>#DIV/0!</v>
      </c>
      <c r="G23" s="47" t="e">
        <f t="shared" si="16"/>
        <v>#DIV/0!</v>
      </c>
      <c r="H23" s="47" t="e">
        <f t="shared" si="16"/>
        <v>#DIV/0!</v>
      </c>
      <c r="I23" s="47" t="e">
        <f t="shared" si="16"/>
        <v>#DIV/0!</v>
      </c>
      <c r="J23" s="47" t="e">
        <f t="shared" si="16"/>
        <v>#DIV/0!</v>
      </c>
      <c r="K23" s="47" t="e">
        <f t="shared" ref="K23" si="17">+K22+K21+K20+K19+K17</f>
        <v>#DIV/0!</v>
      </c>
      <c r="V23" s="43" t="s">
        <v>49</v>
      </c>
      <c r="AL23" s="40" t="s">
        <v>50</v>
      </c>
      <c r="AM23" s="43" t="s">
        <v>49</v>
      </c>
    </row>
    <row r="24" spans="1:40">
      <c r="A24" s="146">
        <v>18</v>
      </c>
      <c r="B24" s="48" t="s">
        <v>51</v>
      </c>
      <c r="C24" s="47" t="e">
        <f>+C15-C23</f>
        <v>#DIV/0!</v>
      </c>
      <c r="D24" s="47" t="e">
        <f t="shared" ref="D24:J24" si="18">+D15-D23</f>
        <v>#DIV/0!</v>
      </c>
      <c r="E24" s="47" t="e">
        <f t="shared" si="18"/>
        <v>#DIV/0!</v>
      </c>
      <c r="F24" s="47" t="e">
        <f t="shared" si="18"/>
        <v>#DIV/0!</v>
      </c>
      <c r="G24" s="47" t="e">
        <f t="shared" si="18"/>
        <v>#DIV/0!</v>
      </c>
      <c r="H24" s="47" t="e">
        <f t="shared" si="18"/>
        <v>#DIV/0!</v>
      </c>
      <c r="I24" s="47" t="e">
        <f t="shared" si="18"/>
        <v>#DIV/0!</v>
      </c>
      <c r="J24" s="47" t="e">
        <f t="shared" si="18"/>
        <v>#DIV/0!</v>
      </c>
      <c r="K24" s="47" t="e">
        <f t="shared" ref="K24" si="19">+K15-K23</f>
        <v>#DIV/0!</v>
      </c>
      <c r="M24" s="59"/>
      <c r="V24" s="40" t="s">
        <v>51</v>
      </c>
      <c r="AL24" s="40" t="s">
        <v>52</v>
      </c>
      <c r="AM24" s="40" t="s">
        <v>51</v>
      </c>
    </row>
    <row r="25" spans="1:40">
      <c r="A25" s="146">
        <v>19</v>
      </c>
      <c r="B25" s="40" t="s">
        <v>228</v>
      </c>
      <c r="C25" s="47" t="e">
        <f>IF(C24&lt;0,0,C24*0.15)</f>
        <v>#DIV/0!</v>
      </c>
      <c r="D25" s="47" t="e">
        <f t="shared" ref="D25:J25" si="20">IF(D24&lt;0,0,D24*0.15)</f>
        <v>#DIV/0!</v>
      </c>
      <c r="E25" s="47" t="e">
        <f t="shared" si="20"/>
        <v>#DIV/0!</v>
      </c>
      <c r="F25" s="47" t="e">
        <f t="shared" si="20"/>
        <v>#DIV/0!</v>
      </c>
      <c r="G25" s="47" t="e">
        <f t="shared" si="20"/>
        <v>#DIV/0!</v>
      </c>
      <c r="H25" s="47" t="e">
        <f t="shared" si="20"/>
        <v>#DIV/0!</v>
      </c>
      <c r="I25" s="47" t="e">
        <f t="shared" si="20"/>
        <v>#DIV/0!</v>
      </c>
      <c r="J25" s="47" t="e">
        <f t="shared" si="20"/>
        <v>#DIV/0!</v>
      </c>
      <c r="K25" s="47" t="e">
        <f>IF(K24&lt;0,0,K24*0.15)</f>
        <v>#DIV/0!</v>
      </c>
      <c r="L25" s="55"/>
      <c r="M25" s="55"/>
      <c r="N25" s="55"/>
      <c r="V25" s="40" t="s">
        <v>53</v>
      </c>
      <c r="AL25" s="40" t="s">
        <v>54</v>
      </c>
      <c r="AM25" s="40" t="s">
        <v>53</v>
      </c>
    </row>
    <row r="26" spans="1:40">
      <c r="A26" s="146">
        <v>20</v>
      </c>
      <c r="B26" s="40" t="s">
        <v>55</v>
      </c>
      <c r="C26" s="47" t="e">
        <f t="shared" ref="C26" si="21">C24-C25</f>
        <v>#DIV/0!</v>
      </c>
      <c r="D26" s="47" t="e">
        <f t="shared" ref="D26:J26" si="22">D24-D25</f>
        <v>#DIV/0!</v>
      </c>
      <c r="E26" s="47" t="e">
        <f t="shared" si="22"/>
        <v>#DIV/0!</v>
      </c>
      <c r="F26" s="47" t="e">
        <f t="shared" si="22"/>
        <v>#DIV/0!</v>
      </c>
      <c r="G26" s="47" t="e">
        <f t="shared" si="22"/>
        <v>#DIV/0!</v>
      </c>
      <c r="H26" s="47" t="e">
        <f t="shared" si="22"/>
        <v>#DIV/0!</v>
      </c>
      <c r="I26" s="47" t="e">
        <f t="shared" si="22"/>
        <v>#DIV/0!</v>
      </c>
      <c r="J26" s="47" t="e">
        <f t="shared" si="22"/>
        <v>#DIV/0!</v>
      </c>
      <c r="K26" s="42" t="e">
        <f>K24-K25</f>
        <v>#DIV/0!</v>
      </c>
      <c r="L26" s="55"/>
      <c r="M26" s="55"/>
      <c r="N26" s="55"/>
      <c r="V26" s="40" t="s">
        <v>55</v>
      </c>
      <c r="AL26" s="40" t="s">
        <v>56</v>
      </c>
      <c r="AM26" s="40" t="s">
        <v>55</v>
      </c>
    </row>
    <row r="27" spans="1:40">
      <c r="A27" s="146">
        <v>21</v>
      </c>
      <c r="B27" s="40" t="s">
        <v>59</v>
      </c>
      <c r="C27" s="49" t="e">
        <f t="shared" ref="C27:K27" si="23">C26/C7</f>
        <v>#DIV/0!</v>
      </c>
      <c r="D27" s="49" t="e">
        <f t="shared" ref="D27:J27" si="24">D26/D7</f>
        <v>#DIV/0!</v>
      </c>
      <c r="E27" s="49" t="e">
        <f t="shared" si="24"/>
        <v>#DIV/0!</v>
      </c>
      <c r="F27" s="49" t="e">
        <f t="shared" si="24"/>
        <v>#DIV/0!</v>
      </c>
      <c r="G27" s="49" t="e">
        <f t="shared" si="24"/>
        <v>#DIV/0!</v>
      </c>
      <c r="H27" s="49" t="e">
        <f t="shared" si="24"/>
        <v>#DIV/0!</v>
      </c>
      <c r="I27" s="49" t="e">
        <f t="shared" si="24"/>
        <v>#DIV/0!</v>
      </c>
      <c r="J27" s="49" t="e">
        <f t="shared" si="24"/>
        <v>#DIV/0!</v>
      </c>
      <c r="K27" s="49" t="e">
        <f t="shared" si="23"/>
        <v>#DIV/0!</v>
      </c>
      <c r="L27" s="55"/>
      <c r="M27" s="55"/>
      <c r="N27" s="55"/>
      <c r="V27" s="40" t="s">
        <v>59</v>
      </c>
      <c r="AL27" s="40" t="s">
        <v>58</v>
      </c>
      <c r="AM27" s="40" t="s">
        <v>59</v>
      </c>
    </row>
    <row r="28" spans="1:40">
      <c r="L28" s="55"/>
      <c r="M28" s="55"/>
      <c r="N28" s="55"/>
      <c r="V28" s="40"/>
    </row>
    <row r="29" spans="1:40">
      <c r="A29" s="36" t="s">
        <v>60</v>
      </c>
      <c r="K29" s="37" t="s">
        <v>143</v>
      </c>
      <c r="L29" s="55"/>
      <c r="M29" s="55"/>
      <c r="N29" s="55"/>
      <c r="V29" s="40"/>
      <c r="AL29" s="36" t="s">
        <v>60</v>
      </c>
    </row>
    <row r="30" spans="1:40">
      <c r="A30" s="40" t="s">
        <v>61</v>
      </c>
      <c r="B30" s="43" t="s">
        <v>62</v>
      </c>
      <c r="C30" s="47"/>
      <c r="D30" s="47"/>
      <c r="E30" s="47"/>
      <c r="F30" s="47"/>
      <c r="G30" s="47"/>
      <c r="H30" s="47"/>
      <c r="I30" s="47"/>
      <c r="J30" s="47"/>
      <c r="K30" s="47"/>
      <c r="L30" s="55"/>
      <c r="M30" s="55"/>
      <c r="N30" s="55"/>
      <c r="P30" s="55"/>
      <c r="V30" s="43" t="s">
        <v>62</v>
      </c>
      <c r="AL30" s="40" t="s">
        <v>63</v>
      </c>
      <c r="AM30" s="43" t="s">
        <v>62</v>
      </c>
    </row>
    <row r="31" spans="1:40">
      <c r="A31" s="146">
        <v>1</v>
      </c>
      <c r="B31" s="45" t="s">
        <v>64</v>
      </c>
      <c r="C31" s="51">
        <f>'2023年'!C31</f>
        <v>350</v>
      </c>
      <c r="D31" s="51">
        <f>'2023年'!D31</f>
        <v>0</v>
      </c>
      <c r="E31" s="51">
        <f>'2023年'!E31</f>
        <v>0</v>
      </c>
      <c r="F31" s="51">
        <f>'2023年'!F31</f>
        <v>0</v>
      </c>
      <c r="G31" s="51">
        <f>'2023年'!G31</f>
        <v>0</v>
      </c>
      <c r="H31" s="51">
        <f>'2023年'!H31</f>
        <v>0</v>
      </c>
      <c r="I31" s="51">
        <f>'2023年'!I31</f>
        <v>0</v>
      </c>
      <c r="J31" s="51">
        <f>'2023年'!J31</f>
        <v>0</v>
      </c>
      <c r="K31" s="47"/>
      <c r="L31" s="55"/>
      <c r="M31" s="55"/>
      <c r="N31" s="55"/>
      <c r="P31" s="55"/>
      <c r="V31" s="40" t="s">
        <v>64</v>
      </c>
      <c r="AL31" s="40" t="s">
        <v>18</v>
      </c>
      <c r="AM31" s="40" t="s">
        <v>64</v>
      </c>
    </row>
    <row r="32" spans="1:40">
      <c r="A32" s="146">
        <v>2</v>
      </c>
      <c r="B32" s="40" t="s">
        <v>144</v>
      </c>
      <c r="C32" s="42" t="e">
        <f>C9/C6</f>
        <v>#DIV/0!</v>
      </c>
      <c r="D32" s="42" t="e">
        <f t="shared" ref="D32:J32" si="25">D9/D6</f>
        <v>#DIV/0!</v>
      </c>
      <c r="E32" s="42" t="e">
        <f t="shared" si="25"/>
        <v>#DIV/0!</v>
      </c>
      <c r="F32" s="42" t="e">
        <f t="shared" si="25"/>
        <v>#DIV/0!</v>
      </c>
      <c r="G32" s="42" t="e">
        <f t="shared" si="25"/>
        <v>#DIV/0!</v>
      </c>
      <c r="H32" s="42" t="e">
        <f t="shared" si="25"/>
        <v>#DIV/0!</v>
      </c>
      <c r="I32" s="42" t="e">
        <f t="shared" si="25"/>
        <v>#DIV/0!</v>
      </c>
      <c r="J32" s="42" t="e">
        <f t="shared" si="25"/>
        <v>#DIV/0!</v>
      </c>
      <c r="K32" s="47"/>
      <c r="L32" s="55"/>
      <c r="M32" s="55"/>
      <c r="N32" s="55"/>
      <c r="O32" s="55"/>
      <c r="P32" s="55"/>
      <c r="Q32" s="55"/>
      <c r="R32" s="55"/>
      <c r="AL32" s="40"/>
      <c r="AM32" s="40"/>
    </row>
    <row r="33" spans="1:39">
      <c r="A33" s="146">
        <v>3</v>
      </c>
      <c r="B33" s="45" t="s">
        <v>65</v>
      </c>
      <c r="C33" s="42">
        <f>'2025年'!C33*(1-0.025)</f>
        <v>253.34913185156245</v>
      </c>
      <c r="D33" s="42">
        <f>'2025年'!D33*(1-0.025)</f>
        <v>0</v>
      </c>
      <c r="E33" s="42">
        <f>'2025年'!E33*(1-0.025)</f>
        <v>0</v>
      </c>
      <c r="F33" s="42">
        <f>'2025年'!F33*(1-0.025)</f>
        <v>0</v>
      </c>
      <c r="G33" s="42">
        <f>'2025年'!G33*(1-0.025)</f>
        <v>0</v>
      </c>
      <c r="H33" s="42">
        <f>'2025年'!H33*(1-0.025)</f>
        <v>0</v>
      </c>
      <c r="I33" s="42">
        <f>'2025年'!I33*(1-0.025)</f>
        <v>0</v>
      </c>
      <c r="J33" s="42">
        <f>'2025年'!J33*(1-0.025)</f>
        <v>0</v>
      </c>
      <c r="K33" s="47"/>
      <c r="M33" s="55"/>
      <c r="N33" s="55"/>
      <c r="O33" s="55"/>
      <c r="P33" s="55"/>
      <c r="Q33" s="55"/>
      <c r="R33" s="55"/>
      <c r="V33" s="40" t="s">
        <v>65</v>
      </c>
      <c r="AL33" s="40" t="s">
        <v>20</v>
      </c>
      <c r="AM33" s="40" t="s">
        <v>65</v>
      </c>
    </row>
    <row r="34" spans="1:39" ht="17.25" customHeight="1">
      <c r="A34" s="146">
        <v>4</v>
      </c>
      <c r="B34" s="40" t="s">
        <v>67</v>
      </c>
      <c r="C34" s="52" t="e">
        <f>C32-C33</f>
        <v>#DIV/0!</v>
      </c>
      <c r="D34" s="52" t="e">
        <f t="shared" ref="D34:J34" si="26">D32-D33</f>
        <v>#DIV/0!</v>
      </c>
      <c r="E34" s="52" t="e">
        <f t="shared" si="26"/>
        <v>#DIV/0!</v>
      </c>
      <c r="F34" s="52" t="e">
        <f t="shared" si="26"/>
        <v>#DIV/0!</v>
      </c>
      <c r="G34" s="52" t="e">
        <f t="shared" si="26"/>
        <v>#DIV/0!</v>
      </c>
      <c r="H34" s="52" t="e">
        <f t="shared" si="26"/>
        <v>#DIV/0!</v>
      </c>
      <c r="I34" s="52" t="e">
        <f t="shared" si="26"/>
        <v>#DIV/0!</v>
      </c>
      <c r="J34" s="52" t="e">
        <f t="shared" si="26"/>
        <v>#DIV/0!</v>
      </c>
      <c r="K34" s="47"/>
      <c r="M34" s="55"/>
      <c r="N34" s="55"/>
      <c r="O34" s="55"/>
      <c r="P34" s="55"/>
      <c r="Q34" s="55"/>
      <c r="R34" s="55"/>
      <c r="V34" s="40" t="s">
        <v>67</v>
      </c>
      <c r="AL34" s="40" t="s">
        <v>66</v>
      </c>
      <c r="AM34" s="40" t="s">
        <v>67</v>
      </c>
    </row>
    <row r="35" spans="1:39">
      <c r="A35" s="40" t="s">
        <v>63</v>
      </c>
      <c r="B35" s="43" t="s">
        <v>7</v>
      </c>
      <c r="C35" s="47"/>
      <c r="D35" s="47"/>
      <c r="E35" s="47"/>
      <c r="F35" s="47"/>
      <c r="G35" s="47"/>
      <c r="H35" s="47"/>
      <c r="I35" s="47"/>
      <c r="J35" s="47"/>
      <c r="K35" s="47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43" t="s">
        <v>7</v>
      </c>
      <c r="AL35" s="40" t="s">
        <v>69</v>
      </c>
      <c r="AM35" s="43" t="s">
        <v>7</v>
      </c>
    </row>
    <row r="36" spans="1:39">
      <c r="A36" s="146">
        <v>1</v>
      </c>
      <c r="B36" s="40" t="s">
        <v>70</v>
      </c>
      <c r="C36" s="46">
        <f>'2023年'!C36</f>
        <v>20.349210044282081</v>
      </c>
      <c r="D36" s="46">
        <f>'2023年'!D36</f>
        <v>0</v>
      </c>
      <c r="E36" s="46">
        <f>'2023年'!E36</f>
        <v>0</v>
      </c>
      <c r="F36" s="46">
        <f>'2023年'!F36</f>
        <v>0</v>
      </c>
      <c r="G36" s="46">
        <f>'2023年'!G36</f>
        <v>0</v>
      </c>
      <c r="H36" s="46">
        <f>'2023年'!H36</f>
        <v>0</v>
      </c>
      <c r="I36" s="46">
        <f>'2023年'!I36</f>
        <v>0</v>
      </c>
      <c r="J36" s="46">
        <f>'2023年'!J36</f>
        <v>0</v>
      </c>
      <c r="K36" s="51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40" t="s">
        <v>70</v>
      </c>
      <c r="AL36" s="40" t="s">
        <v>66</v>
      </c>
      <c r="AM36" s="40" t="s">
        <v>70</v>
      </c>
    </row>
    <row r="37" spans="1:39">
      <c r="A37" s="146">
        <v>2</v>
      </c>
      <c r="B37" s="40" t="s">
        <v>71</v>
      </c>
      <c r="C37" s="46">
        <f>'2023年'!C37</f>
        <v>6.3239249119211198</v>
      </c>
      <c r="D37" s="46">
        <f>'2023年'!D37</f>
        <v>0</v>
      </c>
      <c r="E37" s="46">
        <f>'2023年'!E37</f>
        <v>0</v>
      </c>
      <c r="F37" s="46">
        <f>'2023年'!F37</f>
        <v>0</v>
      </c>
      <c r="G37" s="46">
        <f>'2023年'!G37</f>
        <v>0</v>
      </c>
      <c r="H37" s="46">
        <f>'2023年'!H37</f>
        <v>0</v>
      </c>
      <c r="I37" s="46">
        <f>'2023年'!I37</f>
        <v>0</v>
      </c>
      <c r="J37" s="46">
        <f>'2023年'!J37</f>
        <v>0</v>
      </c>
      <c r="K37" s="51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40" t="s">
        <v>71</v>
      </c>
      <c r="AL37" s="40" t="s">
        <v>23</v>
      </c>
      <c r="AM37" s="40" t="s">
        <v>71</v>
      </c>
    </row>
    <row r="38" spans="1:39">
      <c r="A38" s="146">
        <v>3</v>
      </c>
      <c r="B38" s="40" t="s">
        <v>72</v>
      </c>
      <c r="C38" s="46">
        <f>'2023年'!C38</f>
        <v>22.33009708737864</v>
      </c>
      <c r="D38" s="46">
        <f>'2023年'!D38</f>
        <v>0</v>
      </c>
      <c r="E38" s="46">
        <f>'2023年'!E38</f>
        <v>0</v>
      </c>
      <c r="F38" s="46">
        <f>'2023年'!F38</f>
        <v>0</v>
      </c>
      <c r="G38" s="46">
        <f>'2023年'!G38</f>
        <v>0</v>
      </c>
      <c r="H38" s="46">
        <f>'2023年'!H38</f>
        <v>0</v>
      </c>
      <c r="I38" s="46">
        <f>'2023年'!I38</f>
        <v>0</v>
      </c>
      <c r="J38" s="46">
        <f>'2023年'!J38</f>
        <v>0</v>
      </c>
      <c r="K38" s="51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40" t="s">
        <v>72</v>
      </c>
      <c r="AL38" s="40" t="s">
        <v>29</v>
      </c>
      <c r="AM38" s="40" t="s">
        <v>72</v>
      </c>
    </row>
    <row r="39" spans="1:39">
      <c r="A39" s="40" t="s">
        <v>69</v>
      </c>
      <c r="B39" s="43" t="s">
        <v>74</v>
      </c>
      <c r="C39" s="47"/>
      <c r="D39" s="47"/>
      <c r="E39" s="47"/>
      <c r="F39" s="47"/>
      <c r="G39" s="47"/>
      <c r="H39" s="47"/>
      <c r="I39" s="47"/>
      <c r="J39" s="47"/>
      <c r="K39" s="47"/>
      <c r="V39" s="43" t="s">
        <v>74</v>
      </c>
      <c r="AL39" s="40" t="s">
        <v>73</v>
      </c>
      <c r="AM39" s="43" t="s">
        <v>74</v>
      </c>
    </row>
    <row r="40" spans="1:39">
      <c r="A40" s="146">
        <v>1</v>
      </c>
      <c r="B40" s="40" t="s">
        <v>75</v>
      </c>
      <c r="C40" s="47" t="e">
        <f>C34-C36-C37-C38</f>
        <v>#DIV/0!</v>
      </c>
      <c r="D40" s="47" t="e">
        <f t="shared" ref="D40:J40" si="27">D34-D36-D37-D38</f>
        <v>#DIV/0!</v>
      </c>
      <c r="E40" s="47" t="e">
        <f t="shared" si="27"/>
        <v>#DIV/0!</v>
      </c>
      <c r="F40" s="47" t="e">
        <f t="shared" si="27"/>
        <v>#DIV/0!</v>
      </c>
      <c r="G40" s="47" t="e">
        <f t="shared" si="27"/>
        <v>#DIV/0!</v>
      </c>
      <c r="H40" s="47" t="e">
        <f t="shared" si="27"/>
        <v>#DIV/0!</v>
      </c>
      <c r="I40" s="47" t="e">
        <f t="shared" si="27"/>
        <v>#DIV/0!</v>
      </c>
      <c r="J40" s="47" t="e">
        <f t="shared" si="27"/>
        <v>#DIV/0!</v>
      </c>
      <c r="K40" s="47"/>
      <c r="V40" s="40" t="s">
        <v>75</v>
      </c>
      <c r="AL40" s="40" t="s">
        <v>18</v>
      </c>
      <c r="AM40" s="40" t="s">
        <v>75</v>
      </c>
    </row>
    <row r="41" spans="1:39">
      <c r="A41" s="146">
        <v>2</v>
      </c>
      <c r="B41" s="40" t="s">
        <v>76</v>
      </c>
      <c r="C41" s="47"/>
      <c r="D41" s="47"/>
      <c r="E41" s="47"/>
      <c r="F41" s="47"/>
      <c r="G41" s="47"/>
      <c r="H41" s="47"/>
      <c r="I41" s="47"/>
      <c r="J41" s="47"/>
      <c r="K41" s="47"/>
      <c r="V41" s="40" t="s">
        <v>76</v>
      </c>
      <c r="AL41" s="40" t="s">
        <v>20</v>
      </c>
      <c r="AM41" s="40" t="s">
        <v>76</v>
      </c>
    </row>
    <row r="42" spans="1:39">
      <c r="A42" s="40" t="s">
        <v>73</v>
      </c>
      <c r="B42" s="43" t="s">
        <v>78</v>
      </c>
      <c r="C42" s="47"/>
      <c r="D42" s="47"/>
      <c r="E42" s="47"/>
      <c r="F42" s="47"/>
      <c r="G42" s="47"/>
      <c r="H42" s="47"/>
      <c r="I42" s="47"/>
      <c r="J42" s="47"/>
      <c r="K42" s="47"/>
      <c r="V42" s="43" t="s">
        <v>78</v>
      </c>
      <c r="AL42" s="40" t="s">
        <v>77</v>
      </c>
      <c r="AM42" s="43" t="s">
        <v>78</v>
      </c>
    </row>
    <row r="43" spans="1:39">
      <c r="A43" s="146">
        <v>1</v>
      </c>
      <c r="B43" s="48" t="s">
        <v>79</v>
      </c>
      <c r="C43" s="46">
        <f>'2023年'!C43</f>
        <v>0</v>
      </c>
      <c r="D43" s="46">
        <f>'2023年'!D43</f>
        <v>0</v>
      </c>
      <c r="E43" s="46">
        <f>'2023年'!E43</f>
        <v>0</v>
      </c>
      <c r="F43" s="46">
        <f>'2023年'!F43</f>
        <v>0</v>
      </c>
      <c r="G43" s="46">
        <f>'2023年'!G43</f>
        <v>0</v>
      </c>
      <c r="H43" s="46">
        <f>'2023年'!H43</f>
        <v>0</v>
      </c>
      <c r="I43" s="46">
        <f>'2023年'!I43</f>
        <v>0</v>
      </c>
      <c r="J43" s="46">
        <f>'2023年'!J43</f>
        <v>0</v>
      </c>
      <c r="K43" s="47"/>
      <c r="V43" s="40" t="s">
        <v>79</v>
      </c>
      <c r="AL43" s="40" t="s">
        <v>18</v>
      </c>
      <c r="AM43" s="40" t="s">
        <v>79</v>
      </c>
    </row>
    <row r="44" spans="1:39">
      <c r="A44" s="146">
        <v>2</v>
      </c>
      <c r="B44" s="48" t="s">
        <v>80</v>
      </c>
      <c r="C44" s="46">
        <f>'2023年'!C44</f>
        <v>0</v>
      </c>
      <c r="D44" s="46">
        <f>'2023年'!D44</f>
        <v>0</v>
      </c>
      <c r="E44" s="46">
        <f>'2023年'!E44</f>
        <v>0</v>
      </c>
      <c r="F44" s="46">
        <f>'2023年'!F44</f>
        <v>0</v>
      </c>
      <c r="G44" s="46">
        <f>'2023年'!G44</f>
        <v>0</v>
      </c>
      <c r="H44" s="46">
        <f>'2023年'!H44</f>
        <v>0</v>
      </c>
      <c r="I44" s="46">
        <f>'2023年'!I44</f>
        <v>0</v>
      </c>
      <c r="J44" s="46">
        <f>'2023年'!J44</f>
        <v>0</v>
      </c>
      <c r="K44" s="47"/>
      <c r="V44" s="40" t="s">
        <v>80</v>
      </c>
      <c r="AL44" s="40" t="s">
        <v>20</v>
      </c>
      <c r="AM44" s="40" t="s">
        <v>80</v>
      </c>
    </row>
    <row r="45" spans="1:39">
      <c r="A45" s="146">
        <v>3</v>
      </c>
      <c r="B45" s="48" t="s">
        <v>81</v>
      </c>
      <c r="C45" s="46">
        <f>'2023年'!C45</f>
        <v>0</v>
      </c>
      <c r="D45" s="46">
        <f>'2023年'!D45</f>
        <v>0</v>
      </c>
      <c r="E45" s="46">
        <f>'2023年'!E45</f>
        <v>0</v>
      </c>
      <c r="F45" s="46">
        <f>'2023年'!F45</f>
        <v>0</v>
      </c>
      <c r="G45" s="46">
        <f>'2023年'!G45</f>
        <v>0</v>
      </c>
      <c r="H45" s="46">
        <f>'2023年'!H45</f>
        <v>0</v>
      </c>
      <c r="I45" s="46">
        <f>'2023年'!I45</f>
        <v>0</v>
      </c>
      <c r="J45" s="46">
        <f>'2023年'!J45</f>
        <v>0</v>
      </c>
      <c r="K45" s="47"/>
      <c r="V45" s="40" t="s">
        <v>81</v>
      </c>
      <c r="AL45" s="40" t="s">
        <v>66</v>
      </c>
      <c r="AM45" s="40" t="s">
        <v>81</v>
      </c>
    </row>
    <row r="46" spans="1:39" s="35" customFormat="1">
      <c r="A46" s="146">
        <v>4</v>
      </c>
      <c r="B46" s="48" t="s">
        <v>82</v>
      </c>
      <c r="C46" s="53" t="e">
        <f>C21/C6</f>
        <v>#DIV/0!</v>
      </c>
      <c r="D46" s="53" t="e">
        <f t="shared" ref="D46:J46" si="28">D21/D6</f>
        <v>#DIV/0!</v>
      </c>
      <c r="E46" s="53" t="e">
        <f t="shared" si="28"/>
        <v>#DIV/0!</v>
      </c>
      <c r="F46" s="53" t="e">
        <f t="shared" si="28"/>
        <v>#DIV/0!</v>
      </c>
      <c r="G46" s="53" t="e">
        <f t="shared" si="28"/>
        <v>#DIV/0!</v>
      </c>
      <c r="H46" s="53" t="e">
        <f t="shared" si="28"/>
        <v>#DIV/0!</v>
      </c>
      <c r="I46" s="53" t="e">
        <f t="shared" si="28"/>
        <v>#DIV/0!</v>
      </c>
      <c r="J46" s="53" t="e">
        <f t="shared" si="28"/>
        <v>#DIV/0!</v>
      </c>
      <c r="K46" s="53"/>
      <c r="V46" s="48" t="s">
        <v>84</v>
      </c>
      <c r="AL46" s="48" t="s">
        <v>26</v>
      </c>
      <c r="AM46" s="48" t="s">
        <v>84</v>
      </c>
    </row>
    <row r="47" spans="1:39" s="35" customFormat="1">
      <c r="A47" s="146">
        <v>5</v>
      </c>
      <c r="B47" s="48" t="s">
        <v>84</v>
      </c>
      <c r="C47" s="53">
        <f>'2023年'!C47</f>
        <v>17.5</v>
      </c>
      <c r="D47" s="53">
        <f>'2023年'!D47</f>
        <v>0</v>
      </c>
      <c r="E47" s="53">
        <f>'2023年'!E47</f>
        <v>0</v>
      </c>
      <c r="F47" s="53">
        <f>'2023年'!F47</f>
        <v>0</v>
      </c>
      <c r="G47" s="53">
        <f>'2023年'!G47</f>
        <v>0</v>
      </c>
      <c r="H47" s="53">
        <f>'2023年'!H47</f>
        <v>0</v>
      </c>
      <c r="I47" s="53">
        <f>'2023年'!I47</f>
        <v>0</v>
      </c>
      <c r="J47" s="53">
        <f>'2023年'!J47</f>
        <v>0</v>
      </c>
      <c r="K47" s="53"/>
      <c r="V47" s="48" t="s">
        <v>84</v>
      </c>
      <c r="AL47" s="48" t="s">
        <v>26</v>
      </c>
      <c r="AM47" s="48" t="s">
        <v>84</v>
      </c>
    </row>
    <row r="48" spans="1:39">
      <c r="A48" s="40" t="s">
        <v>77</v>
      </c>
      <c r="B48" s="43" t="s">
        <v>95</v>
      </c>
      <c r="C48" s="47" t="e">
        <f>C40-C43-C44-C45-C47-C46</f>
        <v>#DIV/0!</v>
      </c>
      <c r="D48" s="47" t="e">
        <f t="shared" ref="D48:J48" si="29">D40-D43-D44-D45-D47-D46</f>
        <v>#DIV/0!</v>
      </c>
      <c r="E48" s="47" t="e">
        <f t="shared" si="29"/>
        <v>#DIV/0!</v>
      </c>
      <c r="F48" s="47" t="e">
        <f t="shared" si="29"/>
        <v>#DIV/0!</v>
      </c>
      <c r="G48" s="47" t="e">
        <f t="shared" si="29"/>
        <v>#DIV/0!</v>
      </c>
      <c r="H48" s="47" t="e">
        <f t="shared" si="29"/>
        <v>#DIV/0!</v>
      </c>
      <c r="I48" s="47" t="e">
        <f t="shared" si="29"/>
        <v>#DIV/0!</v>
      </c>
      <c r="J48" s="47" t="e">
        <f t="shared" si="29"/>
        <v>#DIV/0!</v>
      </c>
      <c r="K48" s="47"/>
      <c r="V48" s="43" t="s">
        <v>95</v>
      </c>
      <c r="AL48" s="40" t="s">
        <v>94</v>
      </c>
      <c r="AM48" s="43" t="s">
        <v>95</v>
      </c>
    </row>
    <row r="51" spans="2:16">
      <c r="C51" s="54"/>
      <c r="D51" s="54"/>
      <c r="E51" s="54"/>
      <c r="F51" s="54"/>
      <c r="G51" s="54"/>
      <c r="H51" s="54"/>
      <c r="I51" s="54"/>
      <c r="J51" s="54"/>
    </row>
    <row r="54" spans="2:16">
      <c r="B54" s="55"/>
      <c r="C54" s="56"/>
      <c r="D54" s="56"/>
      <c r="E54" s="56"/>
      <c r="F54" s="56"/>
      <c r="G54" s="56"/>
      <c r="H54" s="56"/>
      <c r="I54" s="56"/>
      <c r="J54" s="56"/>
      <c r="K54" s="56"/>
      <c r="L54" s="55"/>
      <c r="M54" s="55"/>
      <c r="N54" s="55"/>
      <c r="O54" s="55"/>
      <c r="P54" s="55"/>
    </row>
    <row r="55" spans="2:16">
      <c r="B55" s="55"/>
      <c r="C55" s="56"/>
      <c r="D55" s="56"/>
      <c r="E55" s="56"/>
      <c r="F55" s="56"/>
      <c r="G55" s="56"/>
      <c r="H55" s="56"/>
      <c r="I55" s="56"/>
      <c r="J55" s="56"/>
      <c r="K55" s="56"/>
      <c r="L55" s="55"/>
      <c r="M55" s="55"/>
      <c r="N55" s="55"/>
      <c r="O55" s="55"/>
      <c r="P55" s="55"/>
    </row>
    <row r="56" spans="2:16">
      <c r="B56" s="55"/>
      <c r="C56" s="56"/>
      <c r="D56" s="56"/>
      <c r="E56" s="56"/>
      <c r="F56" s="56"/>
      <c r="G56" s="56"/>
      <c r="H56" s="56"/>
      <c r="I56" s="56"/>
      <c r="J56" s="56"/>
      <c r="K56" s="56"/>
      <c r="L56" s="55"/>
      <c r="M56" s="55"/>
      <c r="N56" s="55"/>
      <c r="O56" s="55"/>
      <c r="P56" s="55"/>
    </row>
    <row r="57" spans="2:16">
      <c r="B57" s="55"/>
      <c r="C57" s="56"/>
      <c r="D57" s="56"/>
      <c r="E57" s="56"/>
      <c r="F57" s="56"/>
      <c r="G57" s="56"/>
      <c r="H57" s="56"/>
      <c r="I57" s="56"/>
      <c r="J57" s="56"/>
      <c r="K57" s="56"/>
      <c r="L57" s="55"/>
      <c r="M57" s="55"/>
      <c r="N57" s="55"/>
      <c r="O57" s="55"/>
      <c r="P57" s="55"/>
    </row>
    <row r="58" spans="2:16">
      <c r="B58" s="55"/>
      <c r="C58" s="56"/>
      <c r="D58" s="56"/>
      <c r="E58" s="56"/>
      <c r="F58" s="56"/>
      <c r="G58" s="56"/>
      <c r="H58" s="56"/>
      <c r="I58" s="56"/>
      <c r="J58" s="56"/>
      <c r="K58" s="56"/>
      <c r="L58" s="55"/>
      <c r="M58" s="55"/>
      <c r="N58" s="55"/>
      <c r="O58" s="55"/>
      <c r="P58" s="55"/>
    </row>
    <row r="59" spans="2:16">
      <c r="B59" s="55"/>
      <c r="C59" s="56"/>
      <c r="D59" s="56"/>
      <c r="E59" s="56"/>
      <c r="F59" s="56"/>
      <c r="G59" s="56"/>
      <c r="H59" s="56"/>
      <c r="I59" s="56"/>
      <c r="J59" s="56"/>
      <c r="K59" s="56"/>
      <c r="L59" s="55"/>
      <c r="M59" s="55"/>
      <c r="N59" s="55"/>
      <c r="O59" s="55"/>
      <c r="P59" s="55"/>
    </row>
    <row r="60" spans="2:16">
      <c r="B60" s="55"/>
      <c r="C60" s="56"/>
      <c r="D60" s="56"/>
      <c r="E60" s="56"/>
      <c r="F60" s="56"/>
      <c r="G60" s="56"/>
      <c r="H60" s="56"/>
      <c r="I60" s="56"/>
      <c r="J60" s="56"/>
      <c r="K60" s="56"/>
      <c r="L60" s="55"/>
      <c r="M60" s="55"/>
      <c r="N60" s="55"/>
      <c r="O60" s="55"/>
      <c r="P60" s="55"/>
    </row>
    <row r="61" spans="2:16">
      <c r="B61" s="55"/>
      <c r="C61" s="56"/>
      <c r="D61" s="56"/>
      <c r="E61" s="56"/>
      <c r="F61" s="56"/>
      <c r="G61" s="56"/>
      <c r="H61" s="56"/>
      <c r="I61" s="56"/>
      <c r="J61" s="56"/>
      <c r="K61" s="56"/>
      <c r="L61" s="55"/>
      <c r="M61" s="55"/>
      <c r="N61" s="55"/>
      <c r="O61" s="55"/>
      <c r="P61" s="55"/>
    </row>
    <row r="62" spans="2:16">
      <c r="B62" s="55"/>
      <c r="C62" s="56"/>
      <c r="D62" s="56"/>
      <c r="E62" s="56"/>
      <c r="F62" s="56"/>
      <c r="G62" s="56"/>
      <c r="H62" s="56"/>
      <c r="I62" s="56"/>
      <c r="J62" s="56"/>
      <c r="K62" s="56"/>
      <c r="L62" s="55"/>
      <c r="M62" s="55"/>
      <c r="N62" s="55"/>
      <c r="O62" s="55"/>
      <c r="P62" s="55"/>
    </row>
    <row r="63" spans="2:16">
      <c r="B63" s="55"/>
      <c r="C63" s="56"/>
      <c r="D63" s="56"/>
      <c r="E63" s="56"/>
      <c r="F63" s="56"/>
      <c r="G63" s="56"/>
      <c r="H63" s="56"/>
      <c r="I63" s="56"/>
      <c r="J63" s="56"/>
      <c r="K63" s="56"/>
      <c r="L63" s="55"/>
      <c r="M63" s="55"/>
      <c r="N63" s="55"/>
      <c r="O63" s="55"/>
      <c r="P63" s="55"/>
    </row>
    <row r="64" spans="2:16">
      <c r="B64" s="55"/>
      <c r="C64" s="56"/>
      <c r="D64" s="56"/>
      <c r="E64" s="56"/>
      <c r="F64" s="56"/>
      <c r="G64" s="56"/>
      <c r="H64" s="56"/>
      <c r="I64" s="56"/>
      <c r="J64" s="56"/>
      <c r="K64" s="56"/>
      <c r="L64" s="55"/>
      <c r="M64" s="55"/>
      <c r="N64" s="55"/>
      <c r="O64" s="55"/>
      <c r="P64" s="55"/>
    </row>
    <row r="65" spans="2:16">
      <c r="B65" s="55"/>
      <c r="C65" s="56"/>
      <c r="D65" s="56"/>
      <c r="E65" s="56"/>
      <c r="F65" s="56"/>
      <c r="G65" s="56"/>
      <c r="H65" s="56"/>
      <c r="I65" s="56"/>
      <c r="J65" s="56"/>
      <c r="K65" s="56"/>
      <c r="L65" s="55"/>
      <c r="M65" s="55"/>
      <c r="N65" s="55"/>
      <c r="O65" s="55"/>
      <c r="P65" s="55"/>
    </row>
    <row r="66" spans="2:16">
      <c r="B66" s="55"/>
      <c r="C66" s="56"/>
      <c r="D66" s="56"/>
      <c r="E66" s="56"/>
      <c r="F66" s="56"/>
      <c r="G66" s="56"/>
      <c r="H66" s="56"/>
      <c r="I66" s="56"/>
      <c r="J66" s="56"/>
      <c r="K66" s="56"/>
      <c r="L66" s="55"/>
      <c r="M66" s="55"/>
      <c r="N66" s="55"/>
      <c r="O66" s="55"/>
      <c r="P66" s="55"/>
    </row>
    <row r="67" spans="2:16">
      <c r="B67" s="55"/>
      <c r="C67" s="56"/>
      <c r="D67" s="56"/>
      <c r="E67" s="56"/>
      <c r="F67" s="56"/>
      <c r="G67" s="56"/>
      <c r="H67" s="56"/>
      <c r="I67" s="56"/>
      <c r="J67" s="56"/>
      <c r="K67" s="56"/>
      <c r="L67" s="55"/>
    </row>
    <row r="68" spans="2:16">
      <c r="B68" s="55"/>
      <c r="C68" s="56"/>
      <c r="D68" s="56"/>
      <c r="E68" s="56"/>
      <c r="F68" s="56"/>
      <c r="G68" s="56"/>
      <c r="H68" s="56"/>
      <c r="I68" s="56"/>
      <c r="J68" s="56"/>
      <c r="K68" s="56"/>
      <c r="L68" s="55"/>
    </row>
    <row r="69" spans="2:16">
      <c r="B69" s="55"/>
      <c r="C69" s="56"/>
      <c r="D69" s="56"/>
      <c r="E69" s="56"/>
      <c r="F69" s="56"/>
      <c r="G69" s="56"/>
      <c r="H69" s="56"/>
      <c r="I69" s="56"/>
      <c r="J69" s="56"/>
      <c r="K69" s="56"/>
      <c r="L69" s="55"/>
    </row>
    <row r="70" spans="2:16">
      <c r="B70" s="55"/>
      <c r="C70" s="56"/>
      <c r="D70" s="56"/>
      <c r="E70" s="56"/>
      <c r="F70" s="56"/>
      <c r="G70" s="56"/>
      <c r="H70" s="56"/>
      <c r="I70" s="56"/>
      <c r="J70" s="56"/>
      <c r="K70" s="56"/>
      <c r="L70" s="55"/>
    </row>
    <row r="71" spans="2:16">
      <c r="B71" s="55"/>
      <c r="C71" s="56"/>
      <c r="D71" s="56"/>
      <c r="E71" s="56"/>
      <c r="F71" s="56"/>
      <c r="G71" s="56"/>
      <c r="H71" s="56"/>
      <c r="I71" s="56"/>
      <c r="J71" s="56"/>
      <c r="K71" s="56"/>
      <c r="L71" s="55"/>
    </row>
    <row r="72" spans="2:16">
      <c r="B72" s="55"/>
      <c r="C72" s="56"/>
      <c r="D72" s="56"/>
      <c r="E72" s="56"/>
      <c r="F72" s="56"/>
      <c r="G72" s="56"/>
      <c r="H72" s="56"/>
      <c r="I72" s="56"/>
      <c r="J72" s="56"/>
      <c r="K72" s="56"/>
      <c r="L72" s="55"/>
    </row>
    <row r="73" spans="2:16">
      <c r="B73" s="55"/>
      <c r="C73" s="56"/>
      <c r="D73" s="56"/>
      <c r="E73" s="56"/>
      <c r="F73" s="56"/>
      <c r="G73" s="56"/>
      <c r="H73" s="56"/>
      <c r="I73" s="56"/>
      <c r="J73" s="56"/>
      <c r="K73" s="56"/>
      <c r="L73" s="55"/>
    </row>
    <row r="74" spans="2:16">
      <c r="B74" s="55"/>
      <c r="C74" s="56"/>
      <c r="D74" s="56"/>
      <c r="E74" s="56"/>
      <c r="F74" s="56"/>
      <c r="G74" s="56"/>
      <c r="H74" s="56"/>
      <c r="I74" s="56"/>
      <c r="J74" s="56"/>
      <c r="K74" s="56"/>
      <c r="L74" s="55"/>
    </row>
  </sheetData>
  <mergeCells count="8">
    <mergeCell ref="A1:B1"/>
    <mergeCell ref="C1:K1"/>
    <mergeCell ref="A2:B2"/>
    <mergeCell ref="C2:K2"/>
    <mergeCell ref="A3:B3"/>
    <mergeCell ref="K3:K5"/>
    <mergeCell ref="A4:B4"/>
    <mergeCell ref="A5:B5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4"/>
  <sheetViews>
    <sheetView workbookViewId="0">
      <pane xSplit="2" ySplit="7" topLeftCell="C17" activePane="bottomRight" state="frozen"/>
      <selection pane="topRight"/>
      <selection pane="bottomLeft"/>
      <selection pane="bottomRight" activeCell="I24" sqref="I24"/>
    </sheetView>
  </sheetViews>
  <sheetFormatPr defaultColWidth="9" defaultRowHeight="16.5"/>
  <cols>
    <col min="1" max="1" width="5.125" style="36" customWidth="1"/>
    <col min="2" max="2" width="17.5" style="36" customWidth="1"/>
    <col min="3" max="10" width="13.25" style="37" customWidth="1"/>
    <col min="11" max="11" width="18.75" style="37" customWidth="1"/>
    <col min="12" max="12" width="12.375" style="36" customWidth="1"/>
    <col min="13" max="13" width="10.125" style="36" customWidth="1"/>
    <col min="14" max="20" width="9" style="36" customWidth="1"/>
    <col min="21" max="37" width="9" style="36"/>
    <col min="38" max="38" width="4.375" style="36" customWidth="1"/>
    <col min="39" max="39" width="13.875" style="36" customWidth="1"/>
    <col min="40" max="16384" width="9" style="36"/>
  </cols>
  <sheetData>
    <row r="1" spans="1:40">
      <c r="A1" s="259" t="s">
        <v>135</v>
      </c>
      <c r="B1" s="259"/>
      <c r="C1" s="263" t="s">
        <v>231</v>
      </c>
      <c r="D1" s="264"/>
      <c r="E1" s="264"/>
      <c r="F1" s="264"/>
      <c r="G1" s="264"/>
      <c r="H1" s="264"/>
      <c r="I1" s="264"/>
      <c r="J1" s="264"/>
      <c r="K1" s="265"/>
    </row>
    <row r="2" spans="1:40">
      <c r="A2" s="259" t="s">
        <v>136</v>
      </c>
      <c r="B2" s="259"/>
      <c r="C2" s="266" t="str">
        <f>'2023年'!C2:K2</f>
        <v>中国重汽济南轻卡</v>
      </c>
      <c r="D2" s="266"/>
      <c r="E2" s="266"/>
      <c r="F2" s="266"/>
      <c r="G2" s="266"/>
      <c r="H2" s="266"/>
      <c r="I2" s="266"/>
      <c r="J2" s="266"/>
      <c r="K2" s="266"/>
    </row>
    <row r="3" spans="1:40">
      <c r="A3" s="259" t="s">
        <v>137</v>
      </c>
      <c r="B3" s="259"/>
      <c r="C3" s="147" t="str">
        <f>'2023年'!C3</f>
        <v>轻卡驾驶员座椅</v>
      </c>
      <c r="D3" s="147">
        <f>'2023年'!D3</f>
        <v>0</v>
      </c>
      <c r="E3" s="147">
        <f>'2023年'!E3</f>
        <v>0</v>
      </c>
      <c r="F3" s="147">
        <f>'2023年'!F3</f>
        <v>0</v>
      </c>
      <c r="G3" s="147">
        <f>'2023年'!G3</f>
        <v>0</v>
      </c>
      <c r="H3" s="147">
        <f>'2023年'!H3</f>
        <v>0</v>
      </c>
      <c r="I3" s="147">
        <f>'2023年'!I3</f>
        <v>0</v>
      </c>
      <c r="J3" s="147">
        <f>'2023年'!J3</f>
        <v>0</v>
      </c>
      <c r="K3" s="260" t="s">
        <v>14</v>
      </c>
    </row>
    <row r="4" spans="1:40">
      <c r="A4" s="259" t="s">
        <v>138</v>
      </c>
      <c r="B4" s="259"/>
      <c r="C4" s="147" t="str">
        <f>'2023年'!C4</f>
        <v>LZ161251000004</v>
      </c>
      <c r="D4" s="147">
        <f>'2023年'!D4</f>
        <v>0</v>
      </c>
      <c r="E4" s="147">
        <f>'2023年'!E4</f>
        <v>0</v>
      </c>
      <c r="F4" s="147">
        <f>'2023年'!F4</f>
        <v>0</v>
      </c>
      <c r="G4" s="147">
        <f>'2023年'!G4</f>
        <v>0</v>
      </c>
      <c r="H4" s="147">
        <f>'2023年'!H4</f>
        <v>0</v>
      </c>
      <c r="I4" s="147">
        <f>'2023年'!I4</f>
        <v>0</v>
      </c>
      <c r="J4" s="147">
        <f>'2023年'!J4</f>
        <v>0</v>
      </c>
      <c r="K4" s="261"/>
    </row>
    <row r="5" spans="1:40">
      <c r="A5" s="259" t="s">
        <v>139</v>
      </c>
      <c r="B5" s="259"/>
      <c r="C5" s="39"/>
      <c r="D5" s="39"/>
      <c r="E5" s="39"/>
      <c r="F5" s="39"/>
      <c r="G5" s="39"/>
      <c r="H5" s="39"/>
      <c r="I5" s="39"/>
      <c r="J5" s="39"/>
      <c r="K5" s="262"/>
      <c r="AN5" s="36" t="s">
        <v>15</v>
      </c>
    </row>
    <row r="6" spans="1:40" ht="17.25">
      <c r="A6" s="40" t="s">
        <v>13</v>
      </c>
      <c r="B6" s="41" t="s">
        <v>140</v>
      </c>
      <c r="C6" s="12">
        <f>销量!C13</f>
        <v>0</v>
      </c>
      <c r="D6" s="12">
        <f>销量!D13</f>
        <v>0</v>
      </c>
      <c r="E6" s="12">
        <f>销量!E13</f>
        <v>0</v>
      </c>
      <c r="F6" s="12">
        <f>销量!F13</f>
        <v>0</v>
      </c>
      <c r="G6" s="12">
        <f>销量!G13</f>
        <v>0</v>
      </c>
      <c r="H6" s="12">
        <f>销量!H13</f>
        <v>0</v>
      </c>
      <c r="I6" s="12">
        <f>销量!I13</f>
        <v>0</v>
      </c>
      <c r="J6" s="12">
        <f>销量!J13</f>
        <v>0</v>
      </c>
      <c r="K6" s="42">
        <f t="shared" ref="K6:K15" si="0">SUM(C6:J6)</f>
        <v>0</v>
      </c>
      <c r="V6" s="41" t="s">
        <v>3</v>
      </c>
      <c r="AL6" s="40" t="s">
        <v>13</v>
      </c>
      <c r="AM6" s="41" t="s">
        <v>3</v>
      </c>
      <c r="AN6" s="36" t="s">
        <v>16</v>
      </c>
    </row>
    <row r="7" spans="1:40">
      <c r="A7" s="146">
        <v>1</v>
      </c>
      <c r="B7" s="41" t="s">
        <v>17</v>
      </c>
      <c r="C7" s="42">
        <f>C6*销量!C8</f>
        <v>0</v>
      </c>
      <c r="D7" s="42">
        <f>D6*销量!D8</f>
        <v>0</v>
      </c>
      <c r="E7" s="42">
        <f>E6*销量!E8</f>
        <v>0</v>
      </c>
      <c r="F7" s="42">
        <f>F6*销量!F8</f>
        <v>0</v>
      </c>
      <c r="G7" s="42">
        <f>G6*销量!G8</f>
        <v>0</v>
      </c>
      <c r="H7" s="42">
        <f>H6*销量!H8</f>
        <v>0</v>
      </c>
      <c r="I7" s="42">
        <f>I6*销量!I8</f>
        <v>0</v>
      </c>
      <c r="J7" s="42">
        <f>J6*销量!J8</f>
        <v>0</v>
      </c>
      <c r="K7" s="42">
        <f t="shared" si="0"/>
        <v>0</v>
      </c>
      <c r="L7" s="37"/>
      <c r="V7" s="41" t="s">
        <v>17</v>
      </c>
      <c r="AL7" s="40" t="s">
        <v>18</v>
      </c>
      <c r="AM7" s="41" t="s">
        <v>17</v>
      </c>
      <c r="AN7" s="36" t="s">
        <v>16</v>
      </c>
    </row>
    <row r="8" spans="1:40">
      <c r="A8" s="146">
        <v>2</v>
      </c>
      <c r="B8" s="146" t="s">
        <v>19</v>
      </c>
      <c r="C8" s="42">
        <f>C7*(1-销量!$O$10)</f>
        <v>0</v>
      </c>
      <c r="D8" s="42">
        <f>D7*(1-销量!$O$10)</f>
        <v>0</v>
      </c>
      <c r="E8" s="42">
        <f>E7*(1-销量!$O$10)</f>
        <v>0</v>
      </c>
      <c r="F8" s="42">
        <f>F7*(1-销量!$O$10)</f>
        <v>0</v>
      </c>
      <c r="G8" s="42">
        <f>G7*(1-销量!$O$10)</f>
        <v>0</v>
      </c>
      <c r="H8" s="42">
        <f>H7*(1-销量!$O$10)</f>
        <v>0</v>
      </c>
      <c r="I8" s="42">
        <f>I7*(1-销量!$O$10)</f>
        <v>0</v>
      </c>
      <c r="J8" s="42">
        <f>J7*(1-销量!$O$10)</f>
        <v>0</v>
      </c>
      <c r="K8" s="42">
        <f t="shared" si="0"/>
        <v>0</v>
      </c>
      <c r="L8" s="57"/>
      <c r="V8" s="146" t="s">
        <v>21</v>
      </c>
      <c r="AL8" s="40" t="s">
        <v>20</v>
      </c>
      <c r="AM8" s="146" t="s">
        <v>21</v>
      </c>
      <c r="AN8" s="36" t="s">
        <v>16</v>
      </c>
    </row>
    <row r="9" spans="1:40">
      <c r="A9" s="146">
        <v>3</v>
      </c>
      <c r="B9" s="41" t="s">
        <v>22</v>
      </c>
      <c r="C9" s="42">
        <f>+C7-C8</f>
        <v>0</v>
      </c>
      <c r="D9" s="42">
        <f t="shared" ref="D9:J9" si="1">+D7-D8</f>
        <v>0</v>
      </c>
      <c r="E9" s="42">
        <f t="shared" si="1"/>
        <v>0</v>
      </c>
      <c r="F9" s="42">
        <f t="shared" si="1"/>
        <v>0</v>
      </c>
      <c r="G9" s="42">
        <f t="shared" si="1"/>
        <v>0</v>
      </c>
      <c r="H9" s="42">
        <f t="shared" si="1"/>
        <v>0</v>
      </c>
      <c r="I9" s="42">
        <f t="shared" si="1"/>
        <v>0</v>
      </c>
      <c r="J9" s="42">
        <f t="shared" si="1"/>
        <v>0</v>
      </c>
      <c r="K9" s="42">
        <f t="shared" si="0"/>
        <v>0</v>
      </c>
      <c r="V9" s="41" t="s">
        <v>22</v>
      </c>
      <c r="AL9" s="40" t="s">
        <v>23</v>
      </c>
      <c r="AM9" s="41" t="s">
        <v>22</v>
      </c>
      <c r="AN9" s="36" t="s">
        <v>24</v>
      </c>
    </row>
    <row r="10" spans="1:40">
      <c r="A10" s="146">
        <v>4</v>
      </c>
      <c r="B10" s="40" t="s">
        <v>25</v>
      </c>
      <c r="C10" s="42">
        <f>C6*C33</f>
        <v>0</v>
      </c>
      <c r="D10" s="42">
        <f t="shared" ref="D10:J10" si="2">D6*D33</f>
        <v>0</v>
      </c>
      <c r="E10" s="42">
        <f t="shared" si="2"/>
        <v>0</v>
      </c>
      <c r="F10" s="42">
        <f t="shared" si="2"/>
        <v>0</v>
      </c>
      <c r="G10" s="42">
        <f t="shared" si="2"/>
        <v>0</v>
      </c>
      <c r="H10" s="42">
        <f t="shared" si="2"/>
        <v>0</v>
      </c>
      <c r="I10" s="42">
        <f t="shared" si="2"/>
        <v>0</v>
      </c>
      <c r="J10" s="42">
        <f t="shared" si="2"/>
        <v>0</v>
      </c>
      <c r="K10" s="42">
        <f t="shared" si="0"/>
        <v>0</v>
      </c>
      <c r="V10" s="40" t="s">
        <v>25</v>
      </c>
      <c r="AL10" s="40" t="s">
        <v>26</v>
      </c>
      <c r="AM10" s="40" t="s">
        <v>25</v>
      </c>
      <c r="AN10" s="36" t="s">
        <v>27</v>
      </c>
    </row>
    <row r="11" spans="1:40">
      <c r="A11" s="146">
        <v>5</v>
      </c>
      <c r="B11" s="40" t="s">
        <v>28</v>
      </c>
      <c r="C11" s="42">
        <f>+C6*C36</f>
        <v>0</v>
      </c>
      <c r="D11" s="42">
        <f t="shared" ref="D11:J11" si="3">+D6*D36</f>
        <v>0</v>
      </c>
      <c r="E11" s="42">
        <f t="shared" si="3"/>
        <v>0</v>
      </c>
      <c r="F11" s="42">
        <f t="shared" si="3"/>
        <v>0</v>
      </c>
      <c r="G11" s="42">
        <f t="shared" si="3"/>
        <v>0</v>
      </c>
      <c r="H11" s="42">
        <f t="shared" si="3"/>
        <v>0</v>
      </c>
      <c r="I11" s="42">
        <f t="shared" si="3"/>
        <v>0</v>
      </c>
      <c r="J11" s="42">
        <f t="shared" si="3"/>
        <v>0</v>
      </c>
      <c r="K11" s="42">
        <f t="shared" si="0"/>
        <v>0</v>
      </c>
      <c r="V11" s="40" t="s">
        <v>28</v>
      </c>
      <c r="AL11" s="40" t="s">
        <v>29</v>
      </c>
      <c r="AM11" s="40" t="s">
        <v>28</v>
      </c>
    </row>
    <row r="12" spans="1:40">
      <c r="A12" s="146">
        <v>6</v>
      </c>
      <c r="B12" s="40" t="s">
        <v>30</v>
      </c>
      <c r="C12" s="42">
        <f>+C6*C37</f>
        <v>0</v>
      </c>
      <c r="D12" s="42">
        <f t="shared" ref="D12:J12" si="4">+D6*D37</f>
        <v>0</v>
      </c>
      <c r="E12" s="42">
        <f t="shared" si="4"/>
        <v>0</v>
      </c>
      <c r="F12" s="42">
        <f t="shared" si="4"/>
        <v>0</v>
      </c>
      <c r="G12" s="42">
        <f t="shared" si="4"/>
        <v>0</v>
      </c>
      <c r="H12" s="42">
        <f t="shared" si="4"/>
        <v>0</v>
      </c>
      <c r="I12" s="42">
        <f t="shared" si="4"/>
        <v>0</v>
      </c>
      <c r="J12" s="42">
        <f t="shared" si="4"/>
        <v>0</v>
      </c>
      <c r="K12" s="42">
        <f t="shared" si="0"/>
        <v>0</v>
      </c>
      <c r="V12" s="40" t="s">
        <v>30</v>
      </c>
      <c r="AL12" s="40" t="s">
        <v>31</v>
      </c>
      <c r="AM12" s="40" t="s">
        <v>30</v>
      </c>
    </row>
    <row r="13" spans="1:40">
      <c r="A13" s="146">
        <v>7</v>
      </c>
      <c r="B13" s="40" t="s">
        <v>32</v>
      </c>
      <c r="C13" s="42">
        <f>+C6*C38</f>
        <v>0</v>
      </c>
      <c r="D13" s="42">
        <f t="shared" ref="D13:J13" si="5">+D6*D38</f>
        <v>0</v>
      </c>
      <c r="E13" s="42">
        <f t="shared" si="5"/>
        <v>0</v>
      </c>
      <c r="F13" s="42">
        <f t="shared" si="5"/>
        <v>0</v>
      </c>
      <c r="G13" s="42">
        <f t="shared" si="5"/>
        <v>0</v>
      </c>
      <c r="H13" s="42">
        <f t="shared" si="5"/>
        <v>0</v>
      </c>
      <c r="I13" s="42">
        <f t="shared" si="5"/>
        <v>0</v>
      </c>
      <c r="J13" s="42">
        <f t="shared" si="5"/>
        <v>0</v>
      </c>
      <c r="K13" s="42">
        <f t="shared" si="0"/>
        <v>0</v>
      </c>
      <c r="V13" s="40" t="s">
        <v>32</v>
      </c>
      <c r="AL13" s="40" t="s">
        <v>33</v>
      </c>
      <c r="AM13" s="40" t="s">
        <v>32</v>
      </c>
      <c r="AN13" s="36" t="s">
        <v>16</v>
      </c>
    </row>
    <row r="14" spans="1:40">
      <c r="A14" s="146">
        <v>8</v>
      </c>
      <c r="B14" s="43" t="s">
        <v>34</v>
      </c>
      <c r="C14" s="42">
        <f>SUM(C11:C13)</f>
        <v>0</v>
      </c>
      <c r="D14" s="42">
        <f t="shared" ref="D14:J14" si="6">SUM(D11:D13)</f>
        <v>0</v>
      </c>
      <c r="E14" s="42">
        <f t="shared" si="6"/>
        <v>0</v>
      </c>
      <c r="F14" s="42">
        <f t="shared" si="6"/>
        <v>0</v>
      </c>
      <c r="G14" s="42">
        <f t="shared" si="6"/>
        <v>0</v>
      </c>
      <c r="H14" s="42">
        <f t="shared" si="6"/>
        <v>0</v>
      </c>
      <c r="I14" s="42">
        <f t="shared" si="6"/>
        <v>0</v>
      </c>
      <c r="J14" s="42">
        <f t="shared" si="6"/>
        <v>0</v>
      </c>
      <c r="K14" s="42">
        <f t="shared" si="0"/>
        <v>0</v>
      </c>
      <c r="V14" s="43" t="s">
        <v>34</v>
      </c>
      <c r="AL14" s="40" t="s">
        <v>35</v>
      </c>
      <c r="AM14" s="43" t="s">
        <v>34</v>
      </c>
    </row>
    <row r="15" spans="1:40">
      <c r="A15" s="146">
        <v>9</v>
      </c>
      <c r="B15" s="43" t="s">
        <v>36</v>
      </c>
      <c r="C15" s="42">
        <f>+C9-C10-C14</f>
        <v>0</v>
      </c>
      <c r="D15" s="42">
        <f t="shared" ref="D15:J15" si="7">+D9-D10-D14</f>
        <v>0</v>
      </c>
      <c r="E15" s="42">
        <f t="shared" si="7"/>
        <v>0</v>
      </c>
      <c r="F15" s="42">
        <f t="shared" si="7"/>
        <v>0</v>
      </c>
      <c r="G15" s="42">
        <f t="shared" si="7"/>
        <v>0</v>
      </c>
      <c r="H15" s="42">
        <f t="shared" si="7"/>
        <v>0</v>
      </c>
      <c r="I15" s="42">
        <f t="shared" si="7"/>
        <v>0</v>
      </c>
      <c r="J15" s="42">
        <f t="shared" si="7"/>
        <v>0</v>
      </c>
      <c r="K15" s="42">
        <f t="shared" si="0"/>
        <v>0</v>
      </c>
      <c r="V15" s="43" t="s">
        <v>36</v>
      </c>
      <c r="AL15" s="40" t="s">
        <v>37</v>
      </c>
      <c r="AM15" s="43" t="s">
        <v>36</v>
      </c>
    </row>
    <row r="16" spans="1:40">
      <c r="A16" s="146">
        <v>10</v>
      </c>
      <c r="B16" s="40" t="s">
        <v>38</v>
      </c>
      <c r="C16" s="44" t="e">
        <f>+C15/C9</f>
        <v>#DIV/0!</v>
      </c>
      <c r="D16" s="44" t="e">
        <f t="shared" ref="D16:J16" si="8">+D15/D9</f>
        <v>#DIV/0!</v>
      </c>
      <c r="E16" s="44" t="e">
        <f t="shared" si="8"/>
        <v>#DIV/0!</v>
      </c>
      <c r="F16" s="44" t="e">
        <f t="shared" si="8"/>
        <v>#DIV/0!</v>
      </c>
      <c r="G16" s="44" t="e">
        <f t="shared" si="8"/>
        <v>#DIV/0!</v>
      </c>
      <c r="H16" s="44" t="e">
        <f t="shared" si="8"/>
        <v>#DIV/0!</v>
      </c>
      <c r="I16" s="44" t="e">
        <f t="shared" si="8"/>
        <v>#DIV/0!</v>
      </c>
      <c r="J16" s="44" t="e">
        <f t="shared" si="8"/>
        <v>#DIV/0!</v>
      </c>
      <c r="K16" s="44" t="e">
        <f t="shared" ref="K16" si="9">+K15/K9</f>
        <v>#DIV/0!</v>
      </c>
      <c r="V16" s="40" t="s">
        <v>38</v>
      </c>
      <c r="AL16" s="40" t="s">
        <v>39</v>
      </c>
      <c r="AM16" s="40" t="s">
        <v>38</v>
      </c>
    </row>
    <row r="17" spans="1:40">
      <c r="A17" s="146">
        <v>11</v>
      </c>
      <c r="B17" s="40" t="s">
        <v>40</v>
      </c>
      <c r="C17" s="42" t="e">
        <f>C6*C43+C18</f>
        <v>#DIV/0!</v>
      </c>
      <c r="D17" s="42" t="e">
        <f t="shared" ref="D17:J17" si="10">D6*D43+D18</f>
        <v>#DIV/0!</v>
      </c>
      <c r="E17" s="42" t="e">
        <f t="shared" si="10"/>
        <v>#DIV/0!</v>
      </c>
      <c r="F17" s="42" t="e">
        <f t="shared" si="10"/>
        <v>#DIV/0!</v>
      </c>
      <c r="G17" s="42" t="e">
        <f t="shared" si="10"/>
        <v>#DIV/0!</v>
      </c>
      <c r="H17" s="42" t="e">
        <f t="shared" si="10"/>
        <v>#DIV/0!</v>
      </c>
      <c r="I17" s="42" t="e">
        <f t="shared" si="10"/>
        <v>#DIV/0!</v>
      </c>
      <c r="J17" s="42" t="e">
        <f t="shared" si="10"/>
        <v>#DIV/0!</v>
      </c>
      <c r="K17" s="42" t="e">
        <f>SUM(C17:J17)</f>
        <v>#DIV/0!</v>
      </c>
      <c r="L17" s="57"/>
      <c r="V17" s="40" t="s">
        <v>40</v>
      </c>
      <c r="AL17" s="40" t="s">
        <v>41</v>
      </c>
      <c r="AM17" s="40" t="s">
        <v>40</v>
      </c>
    </row>
    <row r="18" spans="1:40" s="34" customFormat="1">
      <c r="A18" s="146">
        <v>12</v>
      </c>
      <c r="B18" s="45" t="s">
        <v>141</v>
      </c>
      <c r="C18" s="46" t="e">
        <f>$K$18/$K$6*C6</f>
        <v>#DIV/0!</v>
      </c>
      <c r="D18" s="46" t="e">
        <f t="shared" ref="D18:J18" si="11">$K$18/$K$6*D6</f>
        <v>#DIV/0!</v>
      </c>
      <c r="E18" s="46" t="e">
        <f t="shared" si="11"/>
        <v>#DIV/0!</v>
      </c>
      <c r="F18" s="46" t="e">
        <f t="shared" si="11"/>
        <v>#DIV/0!</v>
      </c>
      <c r="G18" s="46" t="e">
        <f t="shared" si="11"/>
        <v>#DIV/0!</v>
      </c>
      <c r="H18" s="46" t="e">
        <f t="shared" si="11"/>
        <v>#DIV/0!</v>
      </c>
      <c r="I18" s="46" t="e">
        <f t="shared" si="11"/>
        <v>#DIV/0!</v>
      </c>
      <c r="J18" s="46" t="e">
        <f t="shared" si="11"/>
        <v>#DIV/0!</v>
      </c>
      <c r="K18" s="46">
        <f>项目投资!D26</f>
        <v>0</v>
      </c>
      <c r="L18" s="58" t="s">
        <v>142</v>
      </c>
      <c r="M18" s="58"/>
      <c r="N18" s="58"/>
    </row>
    <row r="19" spans="1:40">
      <c r="A19" s="146">
        <v>13</v>
      </c>
      <c r="B19" s="40" t="s">
        <v>42</v>
      </c>
      <c r="C19" s="42">
        <f>C6*C44</f>
        <v>0</v>
      </c>
      <c r="D19" s="42">
        <f t="shared" ref="D19:J19" si="12">D6*D44</f>
        <v>0</v>
      </c>
      <c r="E19" s="42">
        <f t="shared" si="12"/>
        <v>0</v>
      </c>
      <c r="F19" s="42">
        <f t="shared" si="12"/>
        <v>0</v>
      </c>
      <c r="G19" s="42">
        <f t="shared" si="12"/>
        <v>0</v>
      </c>
      <c r="H19" s="42">
        <f t="shared" si="12"/>
        <v>0</v>
      </c>
      <c r="I19" s="42">
        <f t="shared" si="12"/>
        <v>0</v>
      </c>
      <c r="J19" s="42">
        <f t="shared" si="12"/>
        <v>0</v>
      </c>
      <c r="K19" s="42">
        <f>SUM(C19:J19)</f>
        <v>0</v>
      </c>
      <c r="L19" s="34"/>
      <c r="V19" s="40" t="s">
        <v>42</v>
      </c>
      <c r="AL19" s="40" t="s">
        <v>43</v>
      </c>
      <c r="AM19" s="40" t="s">
        <v>42</v>
      </c>
      <c r="AN19" s="36" t="s">
        <v>16</v>
      </c>
    </row>
    <row r="20" spans="1:40">
      <c r="A20" s="146">
        <v>14</v>
      </c>
      <c r="B20" s="40" t="s">
        <v>44</v>
      </c>
      <c r="C20" s="42">
        <f>C6*C45</f>
        <v>0</v>
      </c>
      <c r="D20" s="42">
        <f t="shared" ref="D20:J20" si="13">D6*D45</f>
        <v>0</v>
      </c>
      <c r="E20" s="42">
        <f t="shared" si="13"/>
        <v>0</v>
      </c>
      <c r="F20" s="42">
        <f t="shared" si="13"/>
        <v>0</v>
      </c>
      <c r="G20" s="42">
        <f t="shared" si="13"/>
        <v>0</v>
      </c>
      <c r="H20" s="42">
        <f t="shared" si="13"/>
        <v>0</v>
      </c>
      <c r="I20" s="42">
        <f t="shared" si="13"/>
        <v>0</v>
      </c>
      <c r="J20" s="42">
        <f t="shared" si="13"/>
        <v>0</v>
      </c>
      <c r="K20" s="42">
        <f>SUM(C20:J20)</f>
        <v>0</v>
      </c>
      <c r="V20" s="40" t="s">
        <v>44</v>
      </c>
      <c r="AL20" s="40" t="s">
        <v>45</v>
      </c>
      <c r="AM20" s="40" t="s">
        <v>44</v>
      </c>
    </row>
    <row r="21" spans="1:40">
      <c r="A21" s="146">
        <v>15</v>
      </c>
      <c r="B21" s="40" t="s">
        <v>46</v>
      </c>
      <c r="C21" s="47" t="e">
        <f>$K$21/$K$6*C6</f>
        <v>#DIV/0!</v>
      </c>
      <c r="D21" s="47" t="e">
        <f t="shared" ref="D21:J21" si="14">$K$21/$K$6*D6</f>
        <v>#DIV/0!</v>
      </c>
      <c r="E21" s="47" t="e">
        <f t="shared" si="14"/>
        <v>#DIV/0!</v>
      </c>
      <c r="F21" s="47" t="e">
        <f t="shared" si="14"/>
        <v>#DIV/0!</v>
      </c>
      <c r="G21" s="47" t="e">
        <f t="shared" si="14"/>
        <v>#DIV/0!</v>
      </c>
      <c r="H21" s="47" t="e">
        <f t="shared" si="14"/>
        <v>#DIV/0!</v>
      </c>
      <c r="I21" s="47" t="e">
        <f t="shared" si="14"/>
        <v>#DIV/0!</v>
      </c>
      <c r="J21" s="47" t="e">
        <f t="shared" si="14"/>
        <v>#DIV/0!</v>
      </c>
      <c r="K21" s="42">
        <f>项目投资!H27</f>
        <v>0</v>
      </c>
      <c r="V21" s="40" t="s">
        <v>46</v>
      </c>
      <c r="AL21" s="40"/>
      <c r="AM21" s="40"/>
    </row>
    <row r="22" spans="1:40">
      <c r="A22" s="146">
        <v>16</v>
      </c>
      <c r="B22" s="40" t="s">
        <v>47</v>
      </c>
      <c r="C22" s="42">
        <f>C6*C47</f>
        <v>0</v>
      </c>
      <c r="D22" s="42">
        <f t="shared" ref="D22:J22" si="15">D6*D47</f>
        <v>0</v>
      </c>
      <c r="E22" s="42">
        <f t="shared" si="15"/>
        <v>0</v>
      </c>
      <c r="F22" s="42">
        <f t="shared" si="15"/>
        <v>0</v>
      </c>
      <c r="G22" s="42">
        <f t="shared" si="15"/>
        <v>0</v>
      </c>
      <c r="H22" s="42">
        <f t="shared" si="15"/>
        <v>0</v>
      </c>
      <c r="I22" s="42">
        <f t="shared" si="15"/>
        <v>0</v>
      </c>
      <c r="J22" s="42">
        <f t="shared" si="15"/>
        <v>0</v>
      </c>
      <c r="K22" s="42">
        <f>SUM(C22:J22)</f>
        <v>0</v>
      </c>
      <c r="V22" s="40" t="s">
        <v>47</v>
      </c>
      <c r="AL22" s="40" t="s">
        <v>48</v>
      </c>
      <c r="AM22" s="40" t="s">
        <v>47</v>
      </c>
    </row>
    <row r="23" spans="1:40">
      <c r="A23" s="146">
        <v>17</v>
      </c>
      <c r="B23" s="43" t="s">
        <v>49</v>
      </c>
      <c r="C23" s="47" t="e">
        <f>+C22+C21+C20+C19+C17</f>
        <v>#DIV/0!</v>
      </c>
      <c r="D23" s="47" t="e">
        <f t="shared" ref="D23:J23" si="16">+D22+D21+D20+D19+D17</f>
        <v>#DIV/0!</v>
      </c>
      <c r="E23" s="47" t="e">
        <f t="shared" si="16"/>
        <v>#DIV/0!</v>
      </c>
      <c r="F23" s="47" t="e">
        <f t="shared" si="16"/>
        <v>#DIV/0!</v>
      </c>
      <c r="G23" s="47" t="e">
        <f t="shared" si="16"/>
        <v>#DIV/0!</v>
      </c>
      <c r="H23" s="47" t="e">
        <f t="shared" si="16"/>
        <v>#DIV/0!</v>
      </c>
      <c r="I23" s="47" t="e">
        <f t="shared" si="16"/>
        <v>#DIV/0!</v>
      </c>
      <c r="J23" s="47" t="e">
        <f t="shared" si="16"/>
        <v>#DIV/0!</v>
      </c>
      <c r="K23" s="47" t="e">
        <f t="shared" ref="K23" si="17">+K22+K21+K20+K19+K17</f>
        <v>#DIV/0!</v>
      </c>
      <c r="V23" s="43" t="s">
        <v>49</v>
      </c>
      <c r="AL23" s="40" t="s">
        <v>50</v>
      </c>
      <c r="AM23" s="43" t="s">
        <v>49</v>
      </c>
    </row>
    <row r="24" spans="1:40">
      <c r="A24" s="146">
        <v>18</v>
      </c>
      <c r="B24" s="48" t="s">
        <v>51</v>
      </c>
      <c r="C24" s="47" t="e">
        <f>+C15-C23</f>
        <v>#DIV/0!</v>
      </c>
      <c r="D24" s="47" t="e">
        <f t="shared" ref="D24:J24" si="18">+D15-D23</f>
        <v>#DIV/0!</v>
      </c>
      <c r="E24" s="47" t="e">
        <f t="shared" si="18"/>
        <v>#DIV/0!</v>
      </c>
      <c r="F24" s="47" t="e">
        <f t="shared" si="18"/>
        <v>#DIV/0!</v>
      </c>
      <c r="G24" s="47" t="e">
        <f t="shared" si="18"/>
        <v>#DIV/0!</v>
      </c>
      <c r="H24" s="47" t="e">
        <f t="shared" si="18"/>
        <v>#DIV/0!</v>
      </c>
      <c r="I24" s="47" t="e">
        <f t="shared" si="18"/>
        <v>#DIV/0!</v>
      </c>
      <c r="J24" s="47" t="e">
        <f t="shared" si="18"/>
        <v>#DIV/0!</v>
      </c>
      <c r="K24" s="47" t="e">
        <f t="shared" ref="K24" si="19">+K15-K23</f>
        <v>#DIV/0!</v>
      </c>
      <c r="M24" s="59"/>
      <c r="V24" s="40" t="s">
        <v>51</v>
      </c>
      <c r="AL24" s="40" t="s">
        <v>52</v>
      </c>
      <c r="AM24" s="40" t="s">
        <v>51</v>
      </c>
    </row>
    <row r="25" spans="1:40">
      <c r="A25" s="146">
        <v>19</v>
      </c>
      <c r="B25" s="40" t="s">
        <v>230</v>
      </c>
      <c r="C25" s="47" t="e">
        <f>IF(C24&lt;0,0,C24*0.15)</f>
        <v>#DIV/0!</v>
      </c>
      <c r="D25" s="47" t="e">
        <f t="shared" ref="D25:J25" si="20">IF(D24&lt;0,0,D24*0.15)</f>
        <v>#DIV/0!</v>
      </c>
      <c r="E25" s="47" t="e">
        <f t="shared" si="20"/>
        <v>#DIV/0!</v>
      </c>
      <c r="F25" s="47" t="e">
        <f t="shared" si="20"/>
        <v>#DIV/0!</v>
      </c>
      <c r="G25" s="47" t="e">
        <f t="shared" si="20"/>
        <v>#DIV/0!</v>
      </c>
      <c r="H25" s="47" t="e">
        <f t="shared" si="20"/>
        <v>#DIV/0!</v>
      </c>
      <c r="I25" s="47" t="e">
        <f t="shared" si="20"/>
        <v>#DIV/0!</v>
      </c>
      <c r="J25" s="47" t="e">
        <f t="shared" si="20"/>
        <v>#DIV/0!</v>
      </c>
      <c r="K25" s="47" t="e">
        <f>IF(K24&lt;0,0,K24*0.15)</f>
        <v>#DIV/0!</v>
      </c>
      <c r="L25" s="55"/>
      <c r="M25" s="55"/>
      <c r="N25" s="55"/>
      <c r="V25" s="40" t="s">
        <v>53</v>
      </c>
      <c r="AL25" s="40" t="s">
        <v>54</v>
      </c>
      <c r="AM25" s="40" t="s">
        <v>53</v>
      </c>
    </row>
    <row r="26" spans="1:40">
      <c r="A26" s="146">
        <v>20</v>
      </c>
      <c r="B26" s="40" t="s">
        <v>55</v>
      </c>
      <c r="C26" s="47" t="e">
        <f t="shared" ref="C26" si="21">C24-C25</f>
        <v>#DIV/0!</v>
      </c>
      <c r="D26" s="47" t="e">
        <f t="shared" ref="D26:J26" si="22">D24-D25</f>
        <v>#DIV/0!</v>
      </c>
      <c r="E26" s="47" t="e">
        <f t="shared" si="22"/>
        <v>#DIV/0!</v>
      </c>
      <c r="F26" s="47" t="e">
        <f t="shared" si="22"/>
        <v>#DIV/0!</v>
      </c>
      <c r="G26" s="47" t="e">
        <f t="shared" si="22"/>
        <v>#DIV/0!</v>
      </c>
      <c r="H26" s="47" t="e">
        <f t="shared" si="22"/>
        <v>#DIV/0!</v>
      </c>
      <c r="I26" s="47" t="e">
        <f t="shared" si="22"/>
        <v>#DIV/0!</v>
      </c>
      <c r="J26" s="47" t="e">
        <f t="shared" si="22"/>
        <v>#DIV/0!</v>
      </c>
      <c r="K26" s="42" t="e">
        <f>K24-K25</f>
        <v>#DIV/0!</v>
      </c>
      <c r="L26" s="162"/>
      <c r="M26" s="55"/>
      <c r="N26" s="55"/>
      <c r="V26" s="40" t="s">
        <v>55</v>
      </c>
      <c r="AL26" s="40" t="s">
        <v>56</v>
      </c>
      <c r="AM26" s="40" t="s">
        <v>55</v>
      </c>
    </row>
    <row r="27" spans="1:40">
      <c r="A27" s="146">
        <v>21</v>
      </c>
      <c r="B27" s="40" t="s">
        <v>59</v>
      </c>
      <c r="C27" s="49" t="e">
        <f t="shared" ref="C27:K27" si="23">C26/C7</f>
        <v>#DIV/0!</v>
      </c>
      <c r="D27" s="49" t="e">
        <f t="shared" ref="D27:J27" si="24">D26/D7</f>
        <v>#DIV/0!</v>
      </c>
      <c r="E27" s="49" t="e">
        <f t="shared" si="24"/>
        <v>#DIV/0!</v>
      </c>
      <c r="F27" s="49" t="e">
        <f t="shared" si="24"/>
        <v>#DIV/0!</v>
      </c>
      <c r="G27" s="49" t="e">
        <f t="shared" si="24"/>
        <v>#DIV/0!</v>
      </c>
      <c r="H27" s="49" t="e">
        <f t="shared" si="24"/>
        <v>#DIV/0!</v>
      </c>
      <c r="I27" s="49" t="e">
        <f t="shared" si="24"/>
        <v>#DIV/0!</v>
      </c>
      <c r="J27" s="49" t="e">
        <f t="shared" si="24"/>
        <v>#DIV/0!</v>
      </c>
      <c r="K27" s="49" t="e">
        <f t="shared" si="23"/>
        <v>#DIV/0!</v>
      </c>
      <c r="L27" s="160"/>
      <c r="M27" s="55"/>
      <c r="N27" s="55"/>
      <c r="V27" s="40" t="s">
        <v>59</v>
      </c>
      <c r="AL27" s="40" t="s">
        <v>58</v>
      </c>
      <c r="AM27" s="40" t="s">
        <v>59</v>
      </c>
    </row>
    <row r="28" spans="1:40">
      <c r="L28" s="55"/>
      <c r="M28" s="55"/>
      <c r="N28" s="55"/>
      <c r="V28" s="40"/>
    </row>
    <row r="29" spans="1:40">
      <c r="A29" s="36" t="s">
        <v>60</v>
      </c>
      <c r="K29" s="37" t="s">
        <v>143</v>
      </c>
      <c r="L29" s="55"/>
      <c r="M29" s="55"/>
      <c r="N29" s="55"/>
      <c r="V29" s="40"/>
      <c r="AL29" s="36" t="s">
        <v>60</v>
      </c>
    </row>
    <row r="30" spans="1:40">
      <c r="A30" s="40" t="s">
        <v>61</v>
      </c>
      <c r="B30" s="43" t="s">
        <v>62</v>
      </c>
      <c r="C30" s="47"/>
      <c r="D30" s="47"/>
      <c r="E30" s="47"/>
      <c r="F30" s="47"/>
      <c r="G30" s="47"/>
      <c r="H30" s="47"/>
      <c r="I30" s="47"/>
      <c r="J30" s="47"/>
      <c r="K30" s="47"/>
      <c r="L30" s="55"/>
      <c r="M30" s="55"/>
      <c r="N30" s="55"/>
      <c r="P30" s="55"/>
      <c r="V30" s="43" t="s">
        <v>62</v>
      </c>
      <c r="AL30" s="40" t="s">
        <v>63</v>
      </c>
      <c r="AM30" s="43" t="s">
        <v>62</v>
      </c>
    </row>
    <row r="31" spans="1:40">
      <c r="A31" s="146">
        <v>1</v>
      </c>
      <c r="B31" s="45" t="s">
        <v>64</v>
      </c>
      <c r="C31" s="51">
        <f>'2023年'!C31</f>
        <v>350</v>
      </c>
      <c r="D31" s="51">
        <f>'2023年'!D31</f>
        <v>0</v>
      </c>
      <c r="E31" s="51">
        <f>'2023年'!E31</f>
        <v>0</v>
      </c>
      <c r="F31" s="51">
        <f>'2023年'!F31</f>
        <v>0</v>
      </c>
      <c r="G31" s="51">
        <f>'2023年'!G31</f>
        <v>0</v>
      </c>
      <c r="H31" s="51">
        <f>'2023年'!H31</f>
        <v>0</v>
      </c>
      <c r="I31" s="51">
        <f>'2023年'!I31</f>
        <v>0</v>
      </c>
      <c r="J31" s="51">
        <f>'2023年'!J31</f>
        <v>0</v>
      </c>
      <c r="K31" s="47"/>
      <c r="L31" s="55"/>
      <c r="M31" s="55"/>
      <c r="N31" s="55"/>
      <c r="P31" s="55"/>
      <c r="V31" s="40" t="s">
        <v>64</v>
      </c>
      <c r="AL31" s="40" t="s">
        <v>18</v>
      </c>
      <c r="AM31" s="40" t="s">
        <v>64</v>
      </c>
    </row>
    <row r="32" spans="1:40">
      <c r="A32" s="146">
        <v>2</v>
      </c>
      <c r="B32" s="40" t="s">
        <v>144</v>
      </c>
      <c r="C32" s="42" t="e">
        <f>C9/C6</f>
        <v>#DIV/0!</v>
      </c>
      <c r="D32" s="42" t="e">
        <f t="shared" ref="D32:J32" si="25">D9/D6</f>
        <v>#DIV/0!</v>
      </c>
      <c r="E32" s="42" t="e">
        <f t="shared" si="25"/>
        <v>#DIV/0!</v>
      </c>
      <c r="F32" s="42" t="e">
        <f t="shared" si="25"/>
        <v>#DIV/0!</v>
      </c>
      <c r="G32" s="42" t="e">
        <f t="shared" si="25"/>
        <v>#DIV/0!</v>
      </c>
      <c r="H32" s="42" t="e">
        <f t="shared" si="25"/>
        <v>#DIV/0!</v>
      </c>
      <c r="I32" s="42" t="e">
        <f t="shared" si="25"/>
        <v>#DIV/0!</v>
      </c>
      <c r="J32" s="42" t="e">
        <f t="shared" si="25"/>
        <v>#DIV/0!</v>
      </c>
      <c r="K32" s="47"/>
      <c r="L32" s="55"/>
      <c r="M32" s="55"/>
      <c r="N32" s="55"/>
      <c r="O32" s="55"/>
      <c r="P32" s="55"/>
      <c r="Q32" s="55"/>
      <c r="R32" s="55"/>
      <c r="AL32" s="40"/>
      <c r="AM32" s="40"/>
    </row>
    <row r="33" spans="1:39">
      <c r="A33" s="146">
        <v>3</v>
      </c>
      <c r="B33" s="45" t="s">
        <v>65</v>
      </c>
      <c r="C33" s="42">
        <f>'2026年'!C33*(1-0.025)</f>
        <v>247.01540355527339</v>
      </c>
      <c r="D33" s="42">
        <f>'2026年'!D33*(1-0.025)</f>
        <v>0</v>
      </c>
      <c r="E33" s="42">
        <f>'2026年'!E33*(1-0.025)</f>
        <v>0</v>
      </c>
      <c r="F33" s="42">
        <f>'2026年'!F33*(1-0.025)</f>
        <v>0</v>
      </c>
      <c r="G33" s="42">
        <f>'2026年'!G33*(1-0.025)</f>
        <v>0</v>
      </c>
      <c r="H33" s="42">
        <f>'2026年'!H33*(1-0.025)</f>
        <v>0</v>
      </c>
      <c r="I33" s="42">
        <f>'2026年'!I33*(1-0.025)</f>
        <v>0</v>
      </c>
      <c r="J33" s="42">
        <f>'2026年'!J33*(1-0.025)</f>
        <v>0</v>
      </c>
      <c r="K33" s="47"/>
      <c r="M33" s="55"/>
      <c r="N33" s="55"/>
      <c r="O33" s="55"/>
      <c r="P33" s="55"/>
      <c r="Q33" s="55"/>
      <c r="R33" s="55"/>
      <c r="V33" s="40" t="s">
        <v>65</v>
      </c>
      <c r="AL33" s="40" t="s">
        <v>20</v>
      </c>
      <c r="AM33" s="40" t="s">
        <v>65</v>
      </c>
    </row>
    <row r="34" spans="1:39" ht="17.25" customHeight="1">
      <c r="A34" s="146">
        <v>4</v>
      </c>
      <c r="B34" s="40" t="s">
        <v>67</v>
      </c>
      <c r="C34" s="52" t="e">
        <f>C32-C33</f>
        <v>#DIV/0!</v>
      </c>
      <c r="D34" s="52" t="e">
        <f t="shared" ref="D34:J34" si="26">D32-D33</f>
        <v>#DIV/0!</v>
      </c>
      <c r="E34" s="52" t="e">
        <f t="shared" si="26"/>
        <v>#DIV/0!</v>
      </c>
      <c r="F34" s="52" t="e">
        <f t="shared" si="26"/>
        <v>#DIV/0!</v>
      </c>
      <c r="G34" s="52" t="e">
        <f t="shared" si="26"/>
        <v>#DIV/0!</v>
      </c>
      <c r="H34" s="52" t="e">
        <f t="shared" si="26"/>
        <v>#DIV/0!</v>
      </c>
      <c r="I34" s="52" t="e">
        <f t="shared" si="26"/>
        <v>#DIV/0!</v>
      </c>
      <c r="J34" s="52" t="e">
        <f t="shared" si="26"/>
        <v>#DIV/0!</v>
      </c>
      <c r="K34" s="47"/>
      <c r="M34" s="55"/>
      <c r="N34" s="55"/>
      <c r="O34" s="55"/>
      <c r="P34" s="55"/>
      <c r="Q34" s="55"/>
      <c r="R34" s="55"/>
      <c r="V34" s="40" t="s">
        <v>67</v>
      </c>
      <c r="AL34" s="40" t="s">
        <v>66</v>
      </c>
      <c r="AM34" s="40" t="s">
        <v>67</v>
      </c>
    </row>
    <row r="35" spans="1:39">
      <c r="A35" s="40" t="s">
        <v>63</v>
      </c>
      <c r="B35" s="43" t="s">
        <v>7</v>
      </c>
      <c r="C35" s="47"/>
      <c r="D35" s="47"/>
      <c r="E35" s="47"/>
      <c r="F35" s="47"/>
      <c r="G35" s="47"/>
      <c r="H35" s="47"/>
      <c r="I35" s="47"/>
      <c r="J35" s="47"/>
      <c r="K35" s="47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43" t="s">
        <v>7</v>
      </c>
      <c r="AL35" s="40" t="s">
        <v>69</v>
      </c>
      <c r="AM35" s="43" t="s">
        <v>7</v>
      </c>
    </row>
    <row r="36" spans="1:39">
      <c r="A36" s="146">
        <v>1</v>
      </c>
      <c r="B36" s="40" t="s">
        <v>70</v>
      </c>
      <c r="C36" s="46">
        <f>'2023年'!C36</f>
        <v>20.349210044282081</v>
      </c>
      <c r="D36" s="46">
        <f>'2023年'!D36</f>
        <v>0</v>
      </c>
      <c r="E36" s="46">
        <f>'2023年'!E36</f>
        <v>0</v>
      </c>
      <c r="F36" s="46">
        <f>'2023年'!F36</f>
        <v>0</v>
      </c>
      <c r="G36" s="46">
        <f>'2023年'!G36</f>
        <v>0</v>
      </c>
      <c r="H36" s="46">
        <f>'2023年'!H36</f>
        <v>0</v>
      </c>
      <c r="I36" s="46">
        <f>'2023年'!I36</f>
        <v>0</v>
      </c>
      <c r="J36" s="46">
        <f>'2023年'!J36</f>
        <v>0</v>
      </c>
      <c r="K36" s="51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40" t="s">
        <v>70</v>
      </c>
      <c r="AL36" s="40" t="s">
        <v>66</v>
      </c>
      <c r="AM36" s="40" t="s">
        <v>70</v>
      </c>
    </row>
    <row r="37" spans="1:39">
      <c r="A37" s="146">
        <v>2</v>
      </c>
      <c r="B37" s="40" t="s">
        <v>71</v>
      </c>
      <c r="C37" s="46">
        <f>'2023年'!C37</f>
        <v>6.3239249119211198</v>
      </c>
      <c r="D37" s="46">
        <f>'2023年'!D37</f>
        <v>0</v>
      </c>
      <c r="E37" s="46">
        <f>'2023年'!E37</f>
        <v>0</v>
      </c>
      <c r="F37" s="46">
        <f>'2023年'!F37</f>
        <v>0</v>
      </c>
      <c r="G37" s="46">
        <f>'2023年'!G37</f>
        <v>0</v>
      </c>
      <c r="H37" s="46">
        <f>'2023年'!H37</f>
        <v>0</v>
      </c>
      <c r="I37" s="46">
        <f>'2023年'!I37</f>
        <v>0</v>
      </c>
      <c r="J37" s="46">
        <f>'2023年'!J37</f>
        <v>0</v>
      </c>
      <c r="K37" s="51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40" t="s">
        <v>71</v>
      </c>
      <c r="AL37" s="40" t="s">
        <v>23</v>
      </c>
      <c r="AM37" s="40" t="s">
        <v>71</v>
      </c>
    </row>
    <row r="38" spans="1:39">
      <c r="A38" s="146">
        <v>3</v>
      </c>
      <c r="B38" s="40" t="s">
        <v>72</v>
      </c>
      <c r="C38" s="46">
        <f>'2023年'!C38</f>
        <v>22.33009708737864</v>
      </c>
      <c r="D38" s="46">
        <f>'2023年'!D38</f>
        <v>0</v>
      </c>
      <c r="E38" s="46">
        <f>'2023年'!E38</f>
        <v>0</v>
      </c>
      <c r="F38" s="46">
        <f>'2023年'!F38</f>
        <v>0</v>
      </c>
      <c r="G38" s="46">
        <f>'2023年'!G38</f>
        <v>0</v>
      </c>
      <c r="H38" s="46">
        <f>'2023年'!H38</f>
        <v>0</v>
      </c>
      <c r="I38" s="46">
        <f>'2023年'!I38</f>
        <v>0</v>
      </c>
      <c r="J38" s="46">
        <f>'2023年'!J38</f>
        <v>0</v>
      </c>
      <c r="K38" s="51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40" t="s">
        <v>72</v>
      </c>
      <c r="AL38" s="40" t="s">
        <v>29</v>
      </c>
      <c r="AM38" s="40" t="s">
        <v>72</v>
      </c>
    </row>
    <row r="39" spans="1:39">
      <c r="A39" s="40" t="s">
        <v>69</v>
      </c>
      <c r="B39" s="43" t="s">
        <v>74</v>
      </c>
      <c r="C39" s="47"/>
      <c r="D39" s="47"/>
      <c r="E39" s="47"/>
      <c r="F39" s="47"/>
      <c r="G39" s="47"/>
      <c r="H39" s="47"/>
      <c r="I39" s="47"/>
      <c r="J39" s="47"/>
      <c r="K39" s="47"/>
      <c r="V39" s="43" t="s">
        <v>74</v>
      </c>
      <c r="AL39" s="40" t="s">
        <v>73</v>
      </c>
      <c r="AM39" s="43" t="s">
        <v>74</v>
      </c>
    </row>
    <row r="40" spans="1:39">
      <c r="A40" s="146">
        <v>1</v>
      </c>
      <c r="B40" s="40" t="s">
        <v>75</v>
      </c>
      <c r="C40" s="47" t="e">
        <f>C34-C36-C37-C38</f>
        <v>#DIV/0!</v>
      </c>
      <c r="D40" s="47" t="e">
        <f t="shared" ref="D40:J40" si="27">D34-D36-D37-D38</f>
        <v>#DIV/0!</v>
      </c>
      <c r="E40" s="47" t="e">
        <f t="shared" si="27"/>
        <v>#DIV/0!</v>
      </c>
      <c r="F40" s="47" t="e">
        <f t="shared" si="27"/>
        <v>#DIV/0!</v>
      </c>
      <c r="G40" s="47" t="e">
        <f t="shared" si="27"/>
        <v>#DIV/0!</v>
      </c>
      <c r="H40" s="47" t="e">
        <f t="shared" si="27"/>
        <v>#DIV/0!</v>
      </c>
      <c r="I40" s="47" t="e">
        <f t="shared" si="27"/>
        <v>#DIV/0!</v>
      </c>
      <c r="J40" s="47" t="e">
        <f t="shared" si="27"/>
        <v>#DIV/0!</v>
      </c>
      <c r="K40" s="47"/>
      <c r="V40" s="40" t="s">
        <v>75</v>
      </c>
      <c r="AL40" s="40" t="s">
        <v>18</v>
      </c>
      <c r="AM40" s="40" t="s">
        <v>75</v>
      </c>
    </row>
    <row r="41" spans="1:39">
      <c r="A41" s="146">
        <v>2</v>
      </c>
      <c r="B41" s="40" t="s">
        <v>76</v>
      </c>
      <c r="C41" s="47"/>
      <c r="D41" s="47"/>
      <c r="E41" s="47"/>
      <c r="F41" s="47"/>
      <c r="G41" s="47"/>
      <c r="H41" s="47"/>
      <c r="I41" s="47"/>
      <c r="J41" s="47"/>
      <c r="K41" s="47"/>
      <c r="V41" s="40" t="s">
        <v>76</v>
      </c>
      <c r="AL41" s="40" t="s">
        <v>20</v>
      </c>
      <c r="AM41" s="40" t="s">
        <v>76</v>
      </c>
    </row>
    <row r="42" spans="1:39">
      <c r="A42" s="40" t="s">
        <v>73</v>
      </c>
      <c r="B42" s="43" t="s">
        <v>78</v>
      </c>
      <c r="C42" s="47"/>
      <c r="D42" s="47"/>
      <c r="E42" s="47"/>
      <c r="F42" s="47"/>
      <c r="G42" s="47"/>
      <c r="H42" s="47"/>
      <c r="I42" s="47"/>
      <c r="J42" s="47"/>
      <c r="K42" s="47"/>
      <c r="V42" s="43" t="s">
        <v>78</v>
      </c>
      <c r="AL42" s="40" t="s">
        <v>77</v>
      </c>
      <c r="AM42" s="43" t="s">
        <v>78</v>
      </c>
    </row>
    <row r="43" spans="1:39">
      <c r="A43" s="146">
        <v>1</v>
      </c>
      <c r="B43" s="48" t="s">
        <v>79</v>
      </c>
      <c r="C43" s="46">
        <f>'2023年'!C43</f>
        <v>0</v>
      </c>
      <c r="D43" s="46">
        <f>'2023年'!D43</f>
        <v>0</v>
      </c>
      <c r="E43" s="46">
        <f>'2023年'!E43</f>
        <v>0</v>
      </c>
      <c r="F43" s="46">
        <f>'2023年'!F43</f>
        <v>0</v>
      </c>
      <c r="G43" s="46">
        <f>'2023年'!G43</f>
        <v>0</v>
      </c>
      <c r="H43" s="46">
        <f>'2023年'!H43</f>
        <v>0</v>
      </c>
      <c r="I43" s="46">
        <f>'2023年'!I43</f>
        <v>0</v>
      </c>
      <c r="J43" s="46">
        <f>'2023年'!J43</f>
        <v>0</v>
      </c>
      <c r="K43" s="47"/>
      <c r="V43" s="40" t="s">
        <v>79</v>
      </c>
      <c r="AL43" s="40" t="s">
        <v>18</v>
      </c>
      <c r="AM43" s="40" t="s">
        <v>79</v>
      </c>
    </row>
    <row r="44" spans="1:39">
      <c r="A44" s="146">
        <v>2</v>
      </c>
      <c r="B44" s="48" t="s">
        <v>80</v>
      </c>
      <c r="C44" s="46">
        <f>'2023年'!C44</f>
        <v>0</v>
      </c>
      <c r="D44" s="46">
        <f>'2023年'!D44</f>
        <v>0</v>
      </c>
      <c r="E44" s="46">
        <f>'2023年'!E44</f>
        <v>0</v>
      </c>
      <c r="F44" s="46">
        <f>'2023年'!F44</f>
        <v>0</v>
      </c>
      <c r="G44" s="46">
        <f>'2023年'!G44</f>
        <v>0</v>
      </c>
      <c r="H44" s="46">
        <f>'2023年'!H44</f>
        <v>0</v>
      </c>
      <c r="I44" s="46">
        <f>'2023年'!I44</f>
        <v>0</v>
      </c>
      <c r="J44" s="46">
        <f>'2023年'!J44</f>
        <v>0</v>
      </c>
      <c r="K44" s="47"/>
      <c r="V44" s="40" t="s">
        <v>80</v>
      </c>
      <c r="AL44" s="40" t="s">
        <v>20</v>
      </c>
      <c r="AM44" s="40" t="s">
        <v>80</v>
      </c>
    </row>
    <row r="45" spans="1:39">
      <c r="A45" s="146">
        <v>3</v>
      </c>
      <c r="B45" s="48" t="s">
        <v>81</v>
      </c>
      <c r="C45" s="46">
        <f>'2023年'!C45</f>
        <v>0</v>
      </c>
      <c r="D45" s="46">
        <f>'2023年'!D45</f>
        <v>0</v>
      </c>
      <c r="E45" s="46">
        <f>'2023年'!E45</f>
        <v>0</v>
      </c>
      <c r="F45" s="46">
        <f>'2023年'!F45</f>
        <v>0</v>
      </c>
      <c r="G45" s="46">
        <f>'2023年'!G45</f>
        <v>0</v>
      </c>
      <c r="H45" s="46">
        <f>'2023年'!H45</f>
        <v>0</v>
      </c>
      <c r="I45" s="46">
        <f>'2023年'!I45</f>
        <v>0</v>
      </c>
      <c r="J45" s="46">
        <f>'2023年'!J45</f>
        <v>0</v>
      </c>
      <c r="K45" s="47"/>
      <c r="V45" s="40" t="s">
        <v>81</v>
      </c>
      <c r="AL45" s="40" t="s">
        <v>66</v>
      </c>
      <c r="AM45" s="40" t="s">
        <v>81</v>
      </c>
    </row>
    <row r="46" spans="1:39" s="35" customFormat="1">
      <c r="A46" s="146">
        <v>4</v>
      </c>
      <c r="B46" s="48" t="s">
        <v>82</v>
      </c>
      <c r="C46" s="53" t="e">
        <f>C21/C6</f>
        <v>#DIV/0!</v>
      </c>
      <c r="D46" s="53" t="e">
        <f t="shared" ref="D46:J46" si="28">D21/D6</f>
        <v>#DIV/0!</v>
      </c>
      <c r="E46" s="53" t="e">
        <f t="shared" si="28"/>
        <v>#DIV/0!</v>
      </c>
      <c r="F46" s="53" t="e">
        <f t="shared" si="28"/>
        <v>#DIV/0!</v>
      </c>
      <c r="G46" s="53" t="e">
        <f t="shared" si="28"/>
        <v>#DIV/0!</v>
      </c>
      <c r="H46" s="53" t="e">
        <f t="shared" si="28"/>
        <v>#DIV/0!</v>
      </c>
      <c r="I46" s="53" t="e">
        <f t="shared" si="28"/>
        <v>#DIV/0!</v>
      </c>
      <c r="J46" s="53" t="e">
        <f t="shared" si="28"/>
        <v>#DIV/0!</v>
      </c>
      <c r="K46" s="53"/>
      <c r="V46" s="48" t="s">
        <v>84</v>
      </c>
      <c r="AL46" s="48" t="s">
        <v>26</v>
      </c>
      <c r="AM46" s="48" t="s">
        <v>84</v>
      </c>
    </row>
    <row r="47" spans="1:39" s="35" customFormat="1">
      <c r="A47" s="146">
        <v>5</v>
      </c>
      <c r="B47" s="48" t="s">
        <v>84</v>
      </c>
      <c r="C47" s="53">
        <f>'2023年'!C47</f>
        <v>17.5</v>
      </c>
      <c r="D47" s="53">
        <f>'2023年'!D47</f>
        <v>0</v>
      </c>
      <c r="E47" s="53">
        <f>'2023年'!E47</f>
        <v>0</v>
      </c>
      <c r="F47" s="53">
        <f>'2023年'!F47</f>
        <v>0</v>
      </c>
      <c r="G47" s="53">
        <f>'2023年'!G47</f>
        <v>0</v>
      </c>
      <c r="H47" s="53">
        <f>'2023年'!H47</f>
        <v>0</v>
      </c>
      <c r="I47" s="53">
        <f>'2023年'!I47</f>
        <v>0</v>
      </c>
      <c r="J47" s="53">
        <f>'2023年'!J47</f>
        <v>0</v>
      </c>
      <c r="K47" s="53"/>
      <c r="V47" s="48" t="s">
        <v>84</v>
      </c>
      <c r="AL47" s="48" t="s">
        <v>26</v>
      </c>
      <c r="AM47" s="48" t="s">
        <v>84</v>
      </c>
    </row>
    <row r="48" spans="1:39">
      <c r="A48" s="40" t="s">
        <v>77</v>
      </c>
      <c r="B48" s="43" t="s">
        <v>95</v>
      </c>
      <c r="C48" s="47" t="e">
        <f>C40-C43-C44-C45-C47-C46</f>
        <v>#DIV/0!</v>
      </c>
      <c r="D48" s="47" t="e">
        <f t="shared" ref="D48:J48" si="29">D40-D43-D44-D45-D47-D46</f>
        <v>#DIV/0!</v>
      </c>
      <c r="E48" s="47" t="e">
        <f t="shared" si="29"/>
        <v>#DIV/0!</v>
      </c>
      <c r="F48" s="47" t="e">
        <f t="shared" si="29"/>
        <v>#DIV/0!</v>
      </c>
      <c r="G48" s="47" t="e">
        <f t="shared" si="29"/>
        <v>#DIV/0!</v>
      </c>
      <c r="H48" s="47" t="e">
        <f t="shared" si="29"/>
        <v>#DIV/0!</v>
      </c>
      <c r="I48" s="47" t="e">
        <f t="shared" si="29"/>
        <v>#DIV/0!</v>
      </c>
      <c r="J48" s="47" t="e">
        <f t="shared" si="29"/>
        <v>#DIV/0!</v>
      </c>
      <c r="K48" s="47"/>
      <c r="V48" s="43" t="s">
        <v>95</v>
      </c>
      <c r="AL48" s="40" t="s">
        <v>94</v>
      </c>
      <c r="AM48" s="43" t="s">
        <v>95</v>
      </c>
    </row>
    <row r="51" spans="2:16">
      <c r="C51" s="54"/>
      <c r="D51" s="54"/>
      <c r="E51" s="54"/>
      <c r="F51" s="54"/>
      <c r="G51" s="54"/>
      <c r="H51" s="54"/>
      <c r="I51" s="54"/>
      <c r="J51" s="54"/>
    </row>
    <row r="54" spans="2:16">
      <c r="B54" s="55"/>
      <c r="C54" s="56"/>
      <c r="D54" s="56"/>
      <c r="E54" s="56"/>
      <c r="F54" s="56"/>
      <c r="G54" s="56"/>
      <c r="H54" s="56"/>
      <c r="I54" s="56"/>
      <c r="J54" s="56"/>
      <c r="K54" s="56"/>
      <c r="L54" s="55"/>
      <c r="M54" s="55"/>
      <c r="N54" s="55"/>
      <c r="O54" s="55"/>
      <c r="P54" s="55"/>
    </row>
    <row r="55" spans="2:16">
      <c r="B55" s="55"/>
      <c r="C55" s="56"/>
      <c r="D55" s="56"/>
      <c r="E55" s="56"/>
      <c r="F55" s="56"/>
      <c r="G55" s="56"/>
      <c r="H55" s="56"/>
      <c r="I55" s="56"/>
      <c r="J55" s="56"/>
      <c r="K55" s="56"/>
      <c r="L55" s="55"/>
      <c r="M55" s="55"/>
      <c r="N55" s="55"/>
      <c r="O55" s="55"/>
      <c r="P55" s="55"/>
    </row>
    <row r="56" spans="2:16">
      <c r="B56" s="55"/>
      <c r="C56" s="56"/>
      <c r="D56" s="56"/>
      <c r="E56" s="56"/>
      <c r="F56" s="56"/>
      <c r="G56" s="56"/>
      <c r="H56" s="56"/>
      <c r="I56" s="56"/>
      <c r="J56" s="56"/>
      <c r="K56" s="56"/>
      <c r="L56" s="55"/>
      <c r="M56" s="55"/>
      <c r="N56" s="55"/>
      <c r="O56" s="55"/>
      <c r="P56" s="55"/>
    </row>
    <row r="57" spans="2:16">
      <c r="B57" s="55"/>
      <c r="C57" s="56"/>
      <c r="D57" s="56"/>
      <c r="E57" s="56"/>
      <c r="F57" s="56"/>
      <c r="G57" s="56"/>
      <c r="H57" s="56"/>
      <c r="I57" s="56"/>
      <c r="J57" s="56"/>
      <c r="K57" s="56"/>
      <c r="L57" s="55"/>
      <c r="M57" s="55"/>
      <c r="N57" s="55"/>
      <c r="O57" s="55"/>
      <c r="P57" s="55"/>
    </row>
    <row r="58" spans="2:16">
      <c r="B58" s="55"/>
      <c r="C58" s="56"/>
      <c r="D58" s="56"/>
      <c r="E58" s="56"/>
      <c r="F58" s="56"/>
      <c r="G58" s="56"/>
      <c r="H58" s="56"/>
      <c r="I58" s="56"/>
      <c r="J58" s="56"/>
      <c r="K58" s="56"/>
      <c r="L58" s="55"/>
      <c r="M58" s="55"/>
      <c r="N58" s="55"/>
      <c r="O58" s="55"/>
      <c r="P58" s="55"/>
    </row>
    <row r="59" spans="2:16">
      <c r="B59" s="55"/>
      <c r="C59" s="56"/>
      <c r="D59" s="56"/>
      <c r="E59" s="56"/>
      <c r="F59" s="56"/>
      <c r="G59" s="56"/>
      <c r="H59" s="56"/>
      <c r="I59" s="56"/>
      <c r="J59" s="56"/>
      <c r="K59" s="56"/>
      <c r="L59" s="55"/>
      <c r="M59" s="55"/>
      <c r="N59" s="55"/>
      <c r="O59" s="55"/>
      <c r="P59" s="55"/>
    </row>
    <row r="60" spans="2:16">
      <c r="B60" s="55"/>
      <c r="C60" s="56"/>
      <c r="D60" s="56"/>
      <c r="E60" s="56"/>
      <c r="F60" s="56"/>
      <c r="G60" s="56"/>
      <c r="H60" s="56"/>
      <c r="I60" s="56"/>
      <c r="J60" s="56"/>
      <c r="K60" s="56"/>
      <c r="L60" s="55"/>
      <c r="M60" s="55"/>
      <c r="N60" s="55"/>
      <c r="O60" s="55"/>
      <c r="P60" s="55"/>
    </row>
    <row r="61" spans="2:16">
      <c r="B61" s="55"/>
      <c r="C61" s="56"/>
      <c r="D61" s="56"/>
      <c r="E61" s="56"/>
      <c r="F61" s="56"/>
      <c r="G61" s="56"/>
      <c r="H61" s="56"/>
      <c r="I61" s="56"/>
      <c r="J61" s="56"/>
      <c r="K61" s="56"/>
      <c r="L61" s="55"/>
      <c r="M61" s="55"/>
      <c r="N61" s="55"/>
      <c r="O61" s="55"/>
      <c r="P61" s="55"/>
    </row>
    <row r="62" spans="2:16">
      <c r="B62" s="55"/>
      <c r="C62" s="56"/>
      <c r="D62" s="56"/>
      <c r="E62" s="56"/>
      <c r="F62" s="56"/>
      <c r="G62" s="56"/>
      <c r="H62" s="56"/>
      <c r="I62" s="56"/>
      <c r="J62" s="56"/>
      <c r="K62" s="56"/>
      <c r="L62" s="55"/>
      <c r="M62" s="55"/>
      <c r="N62" s="55"/>
      <c r="O62" s="55"/>
      <c r="P62" s="55"/>
    </row>
    <row r="63" spans="2:16">
      <c r="B63" s="55"/>
      <c r="C63" s="56"/>
      <c r="D63" s="56"/>
      <c r="E63" s="56"/>
      <c r="F63" s="56"/>
      <c r="G63" s="56"/>
      <c r="H63" s="56"/>
      <c r="I63" s="56"/>
      <c r="J63" s="56"/>
      <c r="K63" s="56"/>
      <c r="L63" s="55"/>
      <c r="M63" s="55"/>
      <c r="N63" s="55"/>
      <c r="O63" s="55"/>
      <c r="P63" s="55"/>
    </row>
    <row r="64" spans="2:16">
      <c r="B64" s="55"/>
      <c r="C64" s="56"/>
      <c r="D64" s="56"/>
      <c r="E64" s="56"/>
      <c r="F64" s="56"/>
      <c r="G64" s="56"/>
      <c r="H64" s="56"/>
      <c r="I64" s="56"/>
      <c r="J64" s="56"/>
      <c r="K64" s="56"/>
      <c r="L64" s="55"/>
      <c r="M64" s="55"/>
      <c r="N64" s="55"/>
      <c r="O64" s="55"/>
      <c r="P64" s="55"/>
    </row>
    <row r="65" spans="2:16">
      <c r="B65" s="55"/>
      <c r="C65" s="56"/>
      <c r="D65" s="56"/>
      <c r="E65" s="56"/>
      <c r="F65" s="56"/>
      <c r="G65" s="56"/>
      <c r="H65" s="56"/>
      <c r="I65" s="56"/>
      <c r="J65" s="56"/>
      <c r="K65" s="56"/>
      <c r="L65" s="55"/>
      <c r="M65" s="55"/>
      <c r="N65" s="55"/>
      <c r="O65" s="55"/>
      <c r="P65" s="55"/>
    </row>
    <row r="66" spans="2:16">
      <c r="B66" s="55"/>
      <c r="C66" s="56"/>
      <c r="D66" s="56"/>
      <c r="E66" s="56"/>
      <c r="F66" s="56"/>
      <c r="G66" s="56"/>
      <c r="H66" s="56"/>
      <c r="I66" s="56"/>
      <c r="J66" s="56"/>
      <c r="K66" s="56"/>
      <c r="L66" s="55"/>
      <c r="M66" s="55"/>
      <c r="N66" s="55"/>
      <c r="O66" s="55"/>
      <c r="P66" s="55"/>
    </row>
    <row r="67" spans="2:16">
      <c r="B67" s="55"/>
      <c r="C67" s="56"/>
      <c r="D67" s="56"/>
      <c r="E67" s="56"/>
      <c r="F67" s="56"/>
      <c r="G67" s="56"/>
      <c r="H67" s="56"/>
      <c r="I67" s="56"/>
      <c r="J67" s="56"/>
      <c r="K67" s="56"/>
      <c r="L67" s="55"/>
    </row>
    <row r="68" spans="2:16">
      <c r="B68" s="55"/>
      <c r="C68" s="56"/>
      <c r="D68" s="56"/>
      <c r="E68" s="56"/>
      <c r="F68" s="56"/>
      <c r="G68" s="56"/>
      <c r="H68" s="56"/>
      <c r="I68" s="56"/>
      <c r="J68" s="56"/>
      <c r="K68" s="56"/>
      <c r="L68" s="55"/>
    </row>
    <row r="69" spans="2:16">
      <c r="B69" s="55"/>
      <c r="C69" s="56"/>
      <c r="D69" s="56"/>
      <c r="E69" s="56"/>
      <c r="F69" s="56"/>
      <c r="G69" s="56"/>
      <c r="H69" s="56"/>
      <c r="I69" s="56"/>
      <c r="J69" s="56"/>
      <c r="K69" s="56"/>
      <c r="L69" s="55"/>
    </row>
    <row r="70" spans="2:16">
      <c r="B70" s="55"/>
      <c r="C70" s="56"/>
      <c r="D70" s="56"/>
      <c r="E70" s="56"/>
      <c r="F70" s="56"/>
      <c r="G70" s="56"/>
      <c r="H70" s="56"/>
      <c r="I70" s="56"/>
      <c r="J70" s="56"/>
      <c r="K70" s="56"/>
      <c r="L70" s="55"/>
    </row>
    <row r="71" spans="2:16">
      <c r="B71" s="55"/>
      <c r="C71" s="56"/>
      <c r="D71" s="56"/>
      <c r="E71" s="56"/>
      <c r="F71" s="56"/>
      <c r="G71" s="56"/>
      <c r="H71" s="56"/>
      <c r="I71" s="56"/>
      <c r="J71" s="56"/>
      <c r="K71" s="56"/>
      <c r="L71" s="55"/>
    </row>
    <row r="72" spans="2:16">
      <c r="B72" s="55"/>
      <c r="C72" s="56"/>
      <c r="D72" s="56"/>
      <c r="E72" s="56"/>
      <c r="F72" s="56"/>
      <c r="G72" s="56"/>
      <c r="H72" s="56"/>
      <c r="I72" s="56"/>
      <c r="J72" s="56"/>
      <c r="K72" s="56"/>
      <c r="L72" s="55"/>
    </row>
    <row r="73" spans="2:16">
      <c r="B73" s="55"/>
      <c r="C73" s="56"/>
      <c r="D73" s="56"/>
      <c r="E73" s="56"/>
      <c r="F73" s="56"/>
      <c r="G73" s="56"/>
      <c r="H73" s="56"/>
      <c r="I73" s="56"/>
      <c r="J73" s="56"/>
      <c r="K73" s="56"/>
      <c r="L73" s="55"/>
    </row>
    <row r="74" spans="2:16">
      <c r="B74" s="55"/>
      <c r="C74" s="56"/>
      <c r="D74" s="56"/>
      <c r="E74" s="56"/>
      <c r="F74" s="56"/>
      <c r="G74" s="56"/>
      <c r="H74" s="56"/>
      <c r="I74" s="56"/>
      <c r="J74" s="56"/>
      <c r="K74" s="56"/>
      <c r="L74" s="55"/>
    </row>
  </sheetData>
  <mergeCells count="8">
    <mergeCell ref="A1:B1"/>
    <mergeCell ref="C1:K1"/>
    <mergeCell ref="A2:B2"/>
    <mergeCell ref="C2:K2"/>
    <mergeCell ref="A3:B3"/>
    <mergeCell ref="K3:K5"/>
    <mergeCell ref="A4:B4"/>
    <mergeCell ref="A5:B5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zoomScale="80" zoomScaleNormal="80" workbookViewId="0">
      <pane xSplit="6" ySplit="2" topLeftCell="G9" activePane="bottomRight" state="frozen"/>
      <selection pane="topRight"/>
      <selection pane="bottomLeft"/>
      <selection pane="bottomRight" activeCell="J16" sqref="J16"/>
    </sheetView>
  </sheetViews>
  <sheetFormatPr defaultColWidth="9" defaultRowHeight="13.5"/>
  <cols>
    <col min="1" max="1" width="20.625" customWidth="1"/>
    <col min="2" max="2" width="14.25" style="14" customWidth="1"/>
    <col min="3" max="3" width="13.125" customWidth="1"/>
    <col min="4" max="6" width="14.5" customWidth="1"/>
    <col min="7" max="7" width="14.75" customWidth="1"/>
    <col min="8" max="8" width="15.5" customWidth="1"/>
    <col min="9" max="9" width="16.25" customWidth="1"/>
    <col min="10" max="10" width="14.125" customWidth="1"/>
  </cols>
  <sheetData>
    <row r="1" spans="1:10" ht="20.25">
      <c r="A1" s="271" t="s">
        <v>145</v>
      </c>
      <c r="B1" s="271"/>
      <c r="C1" s="271"/>
      <c r="E1" s="272" t="s">
        <v>234</v>
      </c>
      <c r="F1" s="273"/>
      <c r="G1" s="273"/>
      <c r="H1" s="274"/>
      <c r="J1" s="169"/>
    </row>
    <row r="2" spans="1:10" ht="23.45" customHeight="1">
      <c r="A2" s="15" t="s">
        <v>1</v>
      </c>
      <c r="B2" s="16" t="s">
        <v>146</v>
      </c>
      <c r="C2" s="17" t="s">
        <v>147</v>
      </c>
      <c r="E2" s="1" t="s">
        <v>148</v>
      </c>
      <c r="F2" s="1" t="s">
        <v>1</v>
      </c>
      <c r="G2" s="18" t="s">
        <v>149</v>
      </c>
      <c r="H2" s="1" t="s">
        <v>147</v>
      </c>
      <c r="J2" s="167"/>
    </row>
    <row r="3" spans="1:10" ht="15.75" customHeight="1">
      <c r="A3" s="19" t="s">
        <v>150</v>
      </c>
      <c r="B3" s="20"/>
      <c r="C3" s="21"/>
      <c r="E3" s="279" t="s">
        <v>151</v>
      </c>
      <c r="F3" s="2" t="s">
        <v>152</v>
      </c>
      <c r="G3" s="22"/>
      <c r="H3" s="2"/>
      <c r="J3" s="270"/>
    </row>
    <row r="4" spans="1:10" ht="15.75" customHeight="1">
      <c r="A4" s="19" t="s">
        <v>153</v>
      </c>
      <c r="B4" s="20"/>
      <c r="C4" s="23"/>
      <c r="E4" s="280"/>
      <c r="F4" s="2" t="s">
        <v>154</v>
      </c>
      <c r="G4" s="22"/>
      <c r="H4" s="2"/>
      <c r="J4" s="270"/>
    </row>
    <row r="5" spans="1:10" ht="15.75" customHeight="1">
      <c r="A5" s="19" t="s">
        <v>155</v>
      </c>
      <c r="B5" s="24">
        <f>SUM(G3:G4)</f>
        <v>0</v>
      </c>
      <c r="C5" s="21"/>
      <c r="E5" s="281" t="s">
        <v>156</v>
      </c>
      <c r="F5" s="25" t="s">
        <v>157</v>
      </c>
      <c r="G5" s="155"/>
      <c r="H5" s="165"/>
      <c r="J5" s="168"/>
    </row>
    <row r="6" spans="1:10" ht="15.75" customHeight="1">
      <c r="A6" s="19" t="s">
        <v>158</v>
      </c>
      <c r="B6" s="20"/>
      <c r="C6" s="21"/>
      <c r="E6" s="282"/>
      <c r="F6" s="25" t="s">
        <v>159</v>
      </c>
      <c r="G6" s="155"/>
      <c r="H6" s="166"/>
      <c r="J6" s="168"/>
    </row>
    <row r="7" spans="1:10" ht="15.75" customHeight="1">
      <c r="A7" s="26" t="s">
        <v>160</v>
      </c>
      <c r="B7" s="24">
        <f>SUM(B3:B6)</f>
        <v>0</v>
      </c>
      <c r="C7" s="21"/>
      <c r="E7" s="282"/>
      <c r="F7" s="25" t="s">
        <v>161</v>
      </c>
      <c r="G7" s="155"/>
      <c r="H7" s="166"/>
      <c r="J7" s="168"/>
    </row>
    <row r="8" spans="1:10" ht="15.75" customHeight="1">
      <c r="A8" s="27" t="s">
        <v>162</v>
      </c>
      <c r="B8" s="24">
        <f>SUM(G5:G12)</f>
        <v>0</v>
      </c>
      <c r="C8" s="28"/>
      <c r="E8" s="282"/>
      <c r="F8" s="25" t="s">
        <v>163</v>
      </c>
      <c r="G8" s="155"/>
      <c r="H8" s="166"/>
      <c r="J8" s="168"/>
    </row>
    <row r="9" spans="1:10" ht="15.75" customHeight="1">
      <c r="A9" s="19" t="s">
        <v>164</v>
      </c>
      <c r="B9" s="24">
        <f>SUM(G13:G21)</f>
        <v>0.2</v>
      </c>
      <c r="C9" s="21"/>
      <c r="E9" s="282"/>
      <c r="F9" s="2" t="s">
        <v>165</v>
      </c>
      <c r="G9" s="155"/>
      <c r="H9" s="166"/>
      <c r="J9" s="168"/>
    </row>
    <row r="10" spans="1:10" ht="15.75" customHeight="1">
      <c r="A10" s="23" t="s">
        <v>14</v>
      </c>
      <c r="B10" s="24">
        <f>B7+B8+B9</f>
        <v>0.2</v>
      </c>
      <c r="C10" s="21"/>
      <c r="E10" s="282"/>
      <c r="F10" s="2" t="s">
        <v>166</v>
      </c>
      <c r="G10" s="155"/>
      <c r="H10" s="166"/>
      <c r="J10" s="168"/>
    </row>
    <row r="11" spans="1:10" ht="15.75" customHeight="1">
      <c r="E11" s="282"/>
      <c r="F11" s="2" t="s">
        <v>167</v>
      </c>
      <c r="G11" s="155"/>
      <c r="H11" s="166"/>
      <c r="J11" s="168"/>
    </row>
    <row r="12" spans="1:10" ht="15.75" customHeight="1">
      <c r="E12" s="283"/>
      <c r="F12" s="2" t="s">
        <v>168</v>
      </c>
      <c r="G12" s="155"/>
      <c r="H12" s="166"/>
      <c r="J12" s="168"/>
    </row>
    <row r="13" spans="1:10" ht="15.75" customHeight="1">
      <c r="E13" s="279" t="s">
        <v>46</v>
      </c>
      <c r="F13" s="2" t="s">
        <v>169</v>
      </c>
      <c r="G13" s="155"/>
      <c r="H13" s="166"/>
      <c r="J13" s="214"/>
    </row>
    <row r="14" spans="1:10" ht="15.75" customHeight="1">
      <c r="E14" s="280"/>
      <c r="F14" s="2" t="s">
        <v>170</v>
      </c>
      <c r="G14" s="155">
        <v>0</v>
      </c>
      <c r="H14" s="166"/>
      <c r="J14" s="214"/>
    </row>
    <row r="15" spans="1:10" ht="15.75" customHeight="1">
      <c r="E15" s="280"/>
      <c r="F15" s="2" t="s">
        <v>171</v>
      </c>
      <c r="G15" s="155">
        <v>0</v>
      </c>
      <c r="H15" s="166"/>
      <c r="J15" s="214"/>
    </row>
    <row r="16" spans="1:10" ht="15.75" customHeight="1">
      <c r="E16" s="280"/>
      <c r="F16" s="2" t="s">
        <v>172</v>
      </c>
      <c r="G16" s="155">
        <v>0</v>
      </c>
      <c r="H16" s="166"/>
      <c r="J16" s="214"/>
    </row>
    <row r="17" spans="1:10" ht="15.75" customHeight="1">
      <c r="E17" s="280"/>
      <c r="F17" s="2" t="s">
        <v>173</v>
      </c>
      <c r="G17" s="155">
        <v>0</v>
      </c>
      <c r="H17" s="166"/>
      <c r="J17" s="214"/>
    </row>
    <row r="18" spans="1:10" ht="15.75" customHeight="1">
      <c r="E18" s="280"/>
      <c r="F18" s="2" t="s">
        <v>174</v>
      </c>
      <c r="G18" s="155"/>
      <c r="H18" s="166"/>
      <c r="J18" s="214"/>
    </row>
    <row r="19" spans="1:10" ht="15.75" customHeight="1">
      <c r="E19" s="280"/>
      <c r="F19" s="2" t="s">
        <v>175</v>
      </c>
      <c r="G19" s="155">
        <v>0.2</v>
      </c>
      <c r="H19" s="172"/>
      <c r="J19" s="214"/>
    </row>
    <row r="20" spans="1:10" ht="15.75" customHeight="1">
      <c r="E20" s="280"/>
      <c r="F20" s="2" t="s">
        <v>176</v>
      </c>
      <c r="G20" s="155"/>
      <c r="H20" s="166"/>
      <c r="J20" s="214"/>
    </row>
    <row r="21" spans="1:10" ht="15.75" customHeight="1">
      <c r="E21" s="284"/>
      <c r="F21" s="2" t="s">
        <v>123</v>
      </c>
      <c r="G21" s="155"/>
      <c r="H21" s="166"/>
      <c r="J21" s="214"/>
    </row>
    <row r="22" spans="1:10" ht="15.75" customHeight="1">
      <c r="E22" s="1" t="s">
        <v>14</v>
      </c>
      <c r="F22" s="2"/>
      <c r="G22" s="18">
        <f>SUM(G3:G21)</f>
        <v>0.2</v>
      </c>
      <c r="H22" s="2"/>
      <c r="J22" s="215"/>
    </row>
    <row r="23" spans="1:10" ht="30.75" customHeight="1">
      <c r="E23" s="275" t="s">
        <v>177</v>
      </c>
      <c r="F23" s="275"/>
      <c r="G23" s="275"/>
      <c r="H23" s="275"/>
    </row>
    <row r="25" spans="1:10" ht="17.25">
      <c r="A25" s="10" t="s">
        <v>1</v>
      </c>
      <c r="B25" s="10" t="s">
        <v>146</v>
      </c>
      <c r="C25" s="10" t="s">
        <v>178</v>
      </c>
      <c r="D25" s="156" t="s">
        <v>265</v>
      </c>
      <c r="E25" s="177" t="s">
        <v>180</v>
      </c>
      <c r="F25" s="177" t="s">
        <v>181</v>
      </c>
      <c r="G25" s="177" t="s">
        <v>225</v>
      </c>
      <c r="H25" s="177" t="s">
        <v>235</v>
      </c>
      <c r="I25" s="11" t="s">
        <v>14</v>
      </c>
      <c r="J25" s="32" t="s">
        <v>182</v>
      </c>
    </row>
    <row r="26" spans="1:10" ht="16.5">
      <c r="A26" s="29" t="s">
        <v>141</v>
      </c>
      <c r="B26" s="30">
        <f>(B5+B8)*10000</f>
        <v>0</v>
      </c>
      <c r="C26" s="31">
        <v>0.05</v>
      </c>
      <c r="D26" s="7">
        <f>B26*(1-C26)/5</f>
        <v>0</v>
      </c>
      <c r="E26" s="7">
        <f t="shared" ref="E26:F27" si="0">D26</f>
        <v>0</v>
      </c>
      <c r="F26" s="7">
        <f t="shared" si="0"/>
        <v>0</v>
      </c>
      <c r="G26" s="7">
        <f t="shared" ref="G26:H26" si="1">F26</f>
        <v>0</v>
      </c>
      <c r="H26" s="7">
        <f t="shared" si="1"/>
        <v>0</v>
      </c>
      <c r="I26" s="7">
        <f>SUM(D26:H26)</f>
        <v>0</v>
      </c>
      <c r="J26" s="7">
        <f>B26*0.05</f>
        <v>0</v>
      </c>
    </row>
    <row r="27" spans="1:10" ht="16.5">
      <c r="A27" s="29" t="s">
        <v>183</v>
      </c>
      <c r="B27" s="30">
        <f>B9*10000</f>
        <v>2000</v>
      </c>
      <c r="C27" s="7"/>
      <c r="D27" s="7">
        <f>B27/3</f>
        <v>666.66666666666663</v>
      </c>
      <c r="E27" s="7">
        <f>D27</f>
        <v>666.66666666666663</v>
      </c>
      <c r="F27" s="7">
        <f t="shared" si="0"/>
        <v>666.66666666666663</v>
      </c>
      <c r="G27" s="7"/>
      <c r="H27" s="7"/>
      <c r="I27" s="7">
        <f>SUM(D27:H27)</f>
        <v>2000</v>
      </c>
      <c r="J27" s="7"/>
    </row>
    <row r="28" spans="1:10" ht="16.5">
      <c r="A28" s="276" t="s">
        <v>103</v>
      </c>
      <c r="B28" s="277"/>
      <c r="C28" s="278"/>
      <c r="D28" s="7">
        <f>SUM(D26:D27)</f>
        <v>666.66666666666663</v>
      </c>
      <c r="E28" s="7">
        <f t="shared" ref="E28:H28" si="2">SUM(E26:E27)</f>
        <v>666.66666666666663</v>
      </c>
      <c r="F28" s="7">
        <f t="shared" si="2"/>
        <v>666.66666666666663</v>
      </c>
      <c r="G28" s="7">
        <f t="shared" si="2"/>
        <v>0</v>
      </c>
      <c r="H28" s="7">
        <f t="shared" si="2"/>
        <v>0</v>
      </c>
      <c r="I28" s="33"/>
      <c r="J28" s="33"/>
    </row>
    <row r="40" spans="9:9">
      <c r="I40" s="170"/>
    </row>
    <row r="41" spans="9:9" ht="37.5" customHeight="1"/>
  </sheetData>
  <mergeCells count="8">
    <mergeCell ref="J3:J4"/>
    <mergeCell ref="A1:C1"/>
    <mergeCell ref="E1:H1"/>
    <mergeCell ref="E23:H23"/>
    <mergeCell ref="A28:C28"/>
    <mergeCell ref="E3:E4"/>
    <mergeCell ref="E5:E12"/>
    <mergeCell ref="E13:E21"/>
  </mergeCells>
  <phoneticPr fontId="3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7</vt:i4>
      </vt:variant>
    </vt:vector>
  </HeadingPairs>
  <TitlesOfParts>
    <vt:vector size="20" baseType="lpstr">
      <vt:lpstr>假设条件</vt:lpstr>
      <vt:lpstr>损益表</vt:lpstr>
      <vt:lpstr>现金</vt:lpstr>
      <vt:lpstr>2023年</vt:lpstr>
      <vt:lpstr>2024年</vt:lpstr>
      <vt:lpstr>2025年</vt:lpstr>
      <vt:lpstr>2026年</vt:lpstr>
      <vt:lpstr>2027年</vt:lpstr>
      <vt:lpstr>项目投资</vt:lpstr>
      <vt:lpstr>销量</vt:lpstr>
      <vt:lpstr>材料成本</vt:lpstr>
      <vt:lpstr>其他</vt:lpstr>
      <vt:lpstr>标准成本</vt:lpstr>
      <vt:lpstr>'2023年'!Print_Area</vt:lpstr>
      <vt:lpstr>'2024年'!Print_Area</vt:lpstr>
      <vt:lpstr>'2025年'!Print_Area</vt:lpstr>
      <vt:lpstr>'2026年'!Print_Area</vt:lpstr>
      <vt:lpstr>'2027年'!Print_Area</vt:lpstr>
      <vt:lpstr>损益表!Print_Area</vt:lpstr>
      <vt:lpstr>项目投资!Print_Area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zzf</cp:lastModifiedBy>
  <dcterms:created xsi:type="dcterms:W3CDTF">2006-09-13T11:21:00Z</dcterms:created>
  <dcterms:modified xsi:type="dcterms:W3CDTF">2023-11-01T00:54:50Z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2052-11.1.0.9501</vt:lpwstr>
  </property>
</Properties>
</file>