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老M4轻卡座椅换面料商改项目\"/>
    </mc:Choice>
  </mc:AlternateContent>
  <bookViews>
    <workbookView xWindow="0" yWindow="0" windowWidth="21600" windowHeight="102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H13" i="50" l="1"/>
  <c r="J18" i="55"/>
  <c r="J17" i="55"/>
  <c r="J16" i="55"/>
  <c r="J8" i="55"/>
  <c r="H7" i="50" l="1"/>
  <c r="D46" i="2" l="1"/>
  <c r="E46" i="2"/>
  <c r="F46" i="2"/>
  <c r="G46" i="2"/>
  <c r="H46" i="2"/>
  <c r="I46" i="2"/>
  <c r="C46" i="2"/>
  <c r="D45" i="2"/>
  <c r="E45" i="2"/>
  <c r="F45" i="2"/>
  <c r="G45" i="2"/>
  <c r="H45" i="2"/>
  <c r="I45" i="2"/>
  <c r="C45" i="2"/>
  <c r="C23" i="2" l="1"/>
  <c r="F25" i="59"/>
  <c r="D25" i="60"/>
  <c r="E25" i="60"/>
  <c r="F25" i="60"/>
  <c r="G25" i="60"/>
  <c r="H25" i="60"/>
  <c r="I25" i="60"/>
  <c r="D25" i="58"/>
  <c r="E25" i="58"/>
  <c r="F25" i="58"/>
  <c r="G25" i="58"/>
  <c r="H25" i="58"/>
  <c r="I25" i="58"/>
  <c r="D25" i="57"/>
  <c r="E25" i="57"/>
  <c r="F25" i="57"/>
  <c r="G25" i="57"/>
  <c r="H25" i="57"/>
  <c r="I25" i="57"/>
  <c r="D25" i="56"/>
  <c r="E25" i="56"/>
  <c r="F25" i="56"/>
  <c r="G25" i="56"/>
  <c r="H25" i="56"/>
  <c r="I25" i="56"/>
  <c r="D25" i="43"/>
  <c r="E25" i="43"/>
  <c r="F25" i="43"/>
  <c r="G25" i="43"/>
  <c r="H25" i="43"/>
  <c r="I25" i="43"/>
  <c r="H38" i="50" l="1"/>
  <c r="H24" i="50"/>
  <c r="D3" i="53" l="1"/>
  <c r="H10" i="50" l="1"/>
  <c r="H6" i="50"/>
  <c r="H11" i="50"/>
  <c r="H4" i="50"/>
  <c r="D18" i="50" l="1"/>
  <c r="D20" i="50"/>
  <c r="D21" i="50"/>
  <c r="D25" i="50"/>
  <c r="D32" i="50"/>
  <c r="D34" i="50"/>
  <c r="D35" i="50"/>
  <c r="D39" i="50"/>
  <c r="E71" i="50" l="1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D11" i="50" l="1"/>
  <c r="E7" i="50"/>
  <c r="D7" i="50"/>
  <c r="D6" i="50"/>
  <c r="D4" i="50"/>
  <c r="H18" i="55" l="1"/>
  <c r="G17" i="55"/>
  <c r="H17" i="55"/>
  <c r="I8" i="55"/>
  <c r="H70" i="50" l="1"/>
  <c r="C69" i="50"/>
  <c r="D64" i="50"/>
  <c r="G38" i="43" s="1"/>
  <c r="G13" i="43" s="1"/>
  <c r="D62" i="50"/>
  <c r="D61" i="50"/>
  <c r="D58" i="50"/>
  <c r="H57" i="50"/>
  <c r="D63" i="50" s="1"/>
  <c r="G44" i="43" s="1"/>
  <c r="C56" i="50"/>
  <c r="D52" i="50"/>
  <c r="D46" i="50"/>
  <c r="H44" i="50"/>
  <c r="D51" i="50" s="1"/>
  <c r="C43" i="50"/>
  <c r="H31" i="50"/>
  <c r="C30" i="50"/>
  <c r="C16" i="50"/>
  <c r="J12" i="53"/>
  <c r="H12" i="53"/>
  <c r="G12" i="53"/>
  <c r="F12" i="53"/>
  <c r="E33" i="57" s="1"/>
  <c r="E10" i="57" s="1"/>
  <c r="E12" i="53"/>
  <c r="E13" i="53" s="1"/>
  <c r="E14" i="53" s="1"/>
  <c r="D12" i="53"/>
  <c r="D13" i="53" s="1"/>
  <c r="D14" i="53" s="1"/>
  <c r="I5" i="53"/>
  <c r="H5" i="53"/>
  <c r="G5" i="53"/>
  <c r="F5" i="53"/>
  <c r="E5" i="53"/>
  <c r="D5" i="53"/>
  <c r="I4" i="53"/>
  <c r="H4" i="53"/>
  <c r="G4" i="53"/>
  <c r="F4" i="53"/>
  <c r="E4" i="53"/>
  <c r="D4" i="53"/>
  <c r="G18" i="55"/>
  <c r="F17" i="55"/>
  <c r="F18" i="55" s="1"/>
  <c r="D16" i="55"/>
  <c r="C16" i="55"/>
  <c r="H15" i="55"/>
  <c r="G15" i="55"/>
  <c r="F15" i="55"/>
  <c r="E15" i="55"/>
  <c r="D15" i="55"/>
  <c r="C15" i="55"/>
  <c r="I14" i="55"/>
  <c r="I13" i="55"/>
  <c r="I12" i="55"/>
  <c r="I11" i="55"/>
  <c r="I10" i="55"/>
  <c r="I9" i="55"/>
  <c r="I15" i="55" s="1"/>
  <c r="K8" i="55"/>
  <c r="E8" i="55"/>
  <c r="D8" i="55"/>
  <c r="H17" i="50" s="1"/>
  <c r="C8" i="55"/>
  <c r="L7" i="55"/>
  <c r="H8" i="56" s="1"/>
  <c r="K7" i="55"/>
  <c r="D26" i="51"/>
  <c r="G22" i="51"/>
  <c r="B9" i="51"/>
  <c r="B27" i="51" s="1"/>
  <c r="D27" i="51" s="1"/>
  <c r="B8" i="51"/>
  <c r="B7" i="51"/>
  <c r="B10" i="51" s="1"/>
  <c r="B5" i="51"/>
  <c r="B26" i="51" s="1"/>
  <c r="K26" i="51" s="1"/>
  <c r="H33" i="60"/>
  <c r="G33" i="60"/>
  <c r="F33" i="60"/>
  <c r="E33" i="60"/>
  <c r="D33" i="60"/>
  <c r="C33" i="60"/>
  <c r="H31" i="60"/>
  <c r="G31" i="60"/>
  <c r="F31" i="60"/>
  <c r="E31" i="60"/>
  <c r="D31" i="60"/>
  <c r="I21" i="60"/>
  <c r="G10" i="60"/>
  <c r="D10" i="60"/>
  <c r="G7" i="60"/>
  <c r="D7" i="60"/>
  <c r="H6" i="60"/>
  <c r="G6" i="60"/>
  <c r="F6" i="60"/>
  <c r="E6" i="60"/>
  <c r="D6" i="60"/>
  <c r="C6" i="60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H33" i="59"/>
  <c r="G33" i="59"/>
  <c r="F33" i="59"/>
  <c r="E33" i="59"/>
  <c r="D33" i="59"/>
  <c r="C33" i="59"/>
  <c r="H31" i="59"/>
  <c r="G31" i="59"/>
  <c r="F31" i="59"/>
  <c r="E31" i="59"/>
  <c r="D31" i="59"/>
  <c r="H22" i="59"/>
  <c r="I21" i="59"/>
  <c r="H13" i="59"/>
  <c r="H11" i="59"/>
  <c r="H10" i="59"/>
  <c r="F10" i="59"/>
  <c r="E10" i="59"/>
  <c r="C10" i="59"/>
  <c r="H7" i="59"/>
  <c r="F7" i="59"/>
  <c r="E7" i="59"/>
  <c r="C7" i="59"/>
  <c r="H6" i="59"/>
  <c r="G6" i="59"/>
  <c r="F6" i="59"/>
  <c r="E6" i="59"/>
  <c r="D6" i="59"/>
  <c r="C6" i="59"/>
  <c r="H4" i="59"/>
  <c r="G4" i="59"/>
  <c r="F4" i="59"/>
  <c r="E4" i="59"/>
  <c r="D4" i="59"/>
  <c r="C4" i="59"/>
  <c r="H3" i="59"/>
  <c r="G3" i="59"/>
  <c r="F3" i="59"/>
  <c r="E3" i="59"/>
  <c r="D3" i="59"/>
  <c r="C3" i="59"/>
  <c r="C2" i="59"/>
  <c r="H33" i="58"/>
  <c r="G33" i="58"/>
  <c r="F33" i="58"/>
  <c r="E33" i="58"/>
  <c r="D33" i="58"/>
  <c r="D10" i="58" s="1"/>
  <c r="C33" i="58"/>
  <c r="H31" i="58"/>
  <c r="G31" i="58"/>
  <c r="F31" i="58"/>
  <c r="E31" i="58"/>
  <c r="D31" i="58"/>
  <c r="C31" i="58"/>
  <c r="I21" i="58"/>
  <c r="G10" i="58"/>
  <c r="F10" i="58"/>
  <c r="C10" i="58"/>
  <c r="G7" i="58"/>
  <c r="F7" i="58"/>
  <c r="D7" i="58"/>
  <c r="C7" i="58"/>
  <c r="H6" i="58"/>
  <c r="G6" i="58"/>
  <c r="F6" i="58"/>
  <c r="E6" i="58"/>
  <c r="D6" i="58"/>
  <c r="C6" i="58"/>
  <c r="H4" i="58"/>
  <c r="G4" i="58"/>
  <c r="F4" i="58"/>
  <c r="E4" i="58"/>
  <c r="D4" i="58"/>
  <c r="C4" i="58"/>
  <c r="H3" i="58"/>
  <c r="G3" i="58"/>
  <c r="F3" i="58"/>
  <c r="E3" i="58"/>
  <c r="D3" i="58"/>
  <c r="C3" i="58"/>
  <c r="C2" i="58"/>
  <c r="H33" i="57"/>
  <c r="G33" i="57"/>
  <c r="F33" i="57"/>
  <c r="C33" i="57"/>
  <c r="H31" i="57"/>
  <c r="G31" i="57"/>
  <c r="F31" i="57"/>
  <c r="E31" i="57"/>
  <c r="D31" i="57"/>
  <c r="C31" i="57"/>
  <c r="H22" i="57"/>
  <c r="H13" i="57"/>
  <c r="H10" i="57"/>
  <c r="G10" i="57"/>
  <c r="H7" i="57"/>
  <c r="G7" i="57"/>
  <c r="E7" i="57"/>
  <c r="D7" i="57"/>
  <c r="H6" i="57"/>
  <c r="H19" i="57" s="1"/>
  <c r="G6" i="57"/>
  <c r="F6" i="57"/>
  <c r="E6" i="57"/>
  <c r="D6" i="57"/>
  <c r="C6" i="57"/>
  <c r="H4" i="57"/>
  <c r="G4" i="57"/>
  <c r="F4" i="57"/>
  <c r="E4" i="57"/>
  <c r="D4" i="57"/>
  <c r="C4" i="57"/>
  <c r="H3" i="57"/>
  <c r="G3" i="57"/>
  <c r="F3" i="57"/>
  <c r="E3" i="57"/>
  <c r="D3" i="57"/>
  <c r="C3" i="57"/>
  <c r="C2" i="57"/>
  <c r="H33" i="56"/>
  <c r="G33" i="56"/>
  <c r="F33" i="56"/>
  <c r="F10" i="56" s="1"/>
  <c r="E33" i="56"/>
  <c r="E10" i="56" s="1"/>
  <c r="D33" i="56"/>
  <c r="C33" i="56"/>
  <c r="H31" i="56"/>
  <c r="G31" i="56"/>
  <c r="F31" i="56"/>
  <c r="E31" i="56"/>
  <c r="D31" i="56"/>
  <c r="C31" i="56"/>
  <c r="H20" i="56"/>
  <c r="H19" i="56"/>
  <c r="H13" i="56"/>
  <c r="H11" i="56"/>
  <c r="H10" i="56"/>
  <c r="C10" i="56"/>
  <c r="E8" i="56"/>
  <c r="H7" i="56"/>
  <c r="F7" i="56"/>
  <c r="E7" i="56"/>
  <c r="E9" i="56" s="1"/>
  <c r="C7" i="56"/>
  <c r="H6" i="56"/>
  <c r="H22" i="56" s="1"/>
  <c r="G6" i="56"/>
  <c r="F6" i="56"/>
  <c r="E6" i="56"/>
  <c r="D6" i="56"/>
  <c r="C6" i="56"/>
  <c r="H4" i="56"/>
  <c r="G4" i="56"/>
  <c r="F4" i="56"/>
  <c r="E4" i="56"/>
  <c r="D4" i="56"/>
  <c r="C4" i="56"/>
  <c r="H3" i="56"/>
  <c r="G3" i="56"/>
  <c r="F3" i="56"/>
  <c r="E3" i="56"/>
  <c r="D3" i="56"/>
  <c r="C3" i="56"/>
  <c r="C2" i="56"/>
  <c r="F47" i="43"/>
  <c r="F47" i="56" s="1"/>
  <c r="F22" i="56" s="1"/>
  <c r="G45" i="43"/>
  <c r="G45" i="59" s="1"/>
  <c r="D45" i="43"/>
  <c r="D45" i="57" s="1"/>
  <c r="D20" i="57" s="1"/>
  <c r="E44" i="43"/>
  <c r="F43" i="43"/>
  <c r="F43" i="56" s="1"/>
  <c r="F38" i="43"/>
  <c r="G36" i="43"/>
  <c r="H33" i="43"/>
  <c r="G33" i="43"/>
  <c r="F33" i="43"/>
  <c r="E33" i="43"/>
  <c r="E10" i="43" s="1"/>
  <c r="D33" i="43"/>
  <c r="D10" i="43" s="1"/>
  <c r="C33" i="43"/>
  <c r="F32" i="43"/>
  <c r="F34" i="43" s="1"/>
  <c r="H31" i="43"/>
  <c r="H32" i="43" s="1"/>
  <c r="H34" i="43" s="1"/>
  <c r="G31" i="43"/>
  <c r="G32" i="43" s="1"/>
  <c r="G34" i="43" s="1"/>
  <c r="F31" i="43"/>
  <c r="E31" i="43"/>
  <c r="E32" i="43" s="1"/>
  <c r="D31" i="43"/>
  <c r="D32" i="43" s="1"/>
  <c r="C31" i="43"/>
  <c r="C32" i="43" s="1"/>
  <c r="C34" i="43" s="1"/>
  <c r="I21" i="43"/>
  <c r="H19" i="43"/>
  <c r="I18" i="43"/>
  <c r="G11" i="43"/>
  <c r="H10" i="43"/>
  <c r="G10" i="43"/>
  <c r="I8" i="43"/>
  <c r="H7" i="43"/>
  <c r="H9" i="43" s="1"/>
  <c r="G7" i="43"/>
  <c r="G9" i="43" s="1"/>
  <c r="E7" i="43"/>
  <c r="E9" i="43" s="1"/>
  <c r="D7" i="43"/>
  <c r="D9" i="43" s="1"/>
  <c r="H6" i="43"/>
  <c r="G6" i="43"/>
  <c r="F6" i="43"/>
  <c r="F22" i="43" s="1"/>
  <c r="E6" i="43"/>
  <c r="D6" i="43"/>
  <c r="C6" i="43"/>
  <c r="H4" i="43"/>
  <c r="G4" i="43"/>
  <c r="F4" i="43"/>
  <c r="E4" i="43"/>
  <c r="D4" i="43"/>
  <c r="C4" i="43"/>
  <c r="H3" i="43"/>
  <c r="G3" i="43"/>
  <c r="F3" i="43"/>
  <c r="E3" i="43"/>
  <c r="D3" i="43"/>
  <c r="C3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E10" i="36" s="1"/>
  <c r="D12" i="36"/>
  <c r="C12" i="36"/>
  <c r="L11" i="36"/>
  <c r="L10" i="36" s="1"/>
  <c r="K11" i="36"/>
  <c r="J11" i="36"/>
  <c r="I11" i="36"/>
  <c r="I10" i="36" s="1"/>
  <c r="H11" i="36"/>
  <c r="G11" i="36"/>
  <c r="F11" i="36"/>
  <c r="F10" i="36" s="1"/>
  <c r="E11" i="36"/>
  <c r="D11" i="36"/>
  <c r="C11" i="36"/>
  <c r="M11" i="36" s="1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E6" i="36"/>
  <c r="M6" i="36" s="1"/>
  <c r="K5" i="36"/>
  <c r="J5" i="36"/>
  <c r="I5" i="36"/>
  <c r="E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1" i="2"/>
  <c r="C58" i="2"/>
  <c r="C57" i="2"/>
  <c r="C56" i="2"/>
  <c r="H19" i="2"/>
  <c r="G19" i="2"/>
  <c r="F19" i="2"/>
  <c r="C19" i="2"/>
  <c r="C6" i="2"/>
  <c r="K10" i="36" l="1"/>
  <c r="K17" i="36" s="1"/>
  <c r="K19" i="36" s="1"/>
  <c r="E17" i="36"/>
  <c r="E19" i="36" s="1"/>
  <c r="H10" i="36"/>
  <c r="H9" i="56"/>
  <c r="E34" i="43"/>
  <c r="I16" i="55"/>
  <c r="E16" i="55"/>
  <c r="F13" i="53"/>
  <c r="F14" i="53" s="1"/>
  <c r="D34" i="43"/>
  <c r="D33" i="57"/>
  <c r="D10" i="57" s="1"/>
  <c r="C17" i="55"/>
  <c r="D20" i="43"/>
  <c r="F47" i="60"/>
  <c r="I17" i="36"/>
  <c r="I19" i="36" s="1"/>
  <c r="M7" i="36"/>
  <c r="D10" i="36"/>
  <c r="D17" i="36" s="1"/>
  <c r="D19" i="36" s="1"/>
  <c r="G10" i="36"/>
  <c r="J10" i="36"/>
  <c r="J17" i="36" s="1"/>
  <c r="J19" i="36" s="1"/>
  <c r="M15" i="36"/>
  <c r="M12" i="36"/>
  <c r="I6" i="43"/>
  <c r="G18" i="43" s="1"/>
  <c r="D10" i="56"/>
  <c r="D7" i="56"/>
  <c r="G10" i="56"/>
  <c r="G7" i="56"/>
  <c r="E10" i="60"/>
  <c r="E7" i="60"/>
  <c r="H22" i="60"/>
  <c r="H19" i="60"/>
  <c r="H13" i="60"/>
  <c r="H20" i="60"/>
  <c r="H11" i="60"/>
  <c r="H14" i="60" s="1"/>
  <c r="H10" i="60"/>
  <c r="H7" i="60"/>
  <c r="H12" i="60"/>
  <c r="M5" i="36"/>
  <c r="C10" i="36"/>
  <c r="G19" i="43"/>
  <c r="C7" i="43"/>
  <c r="F7" i="43"/>
  <c r="F9" i="43" s="1"/>
  <c r="C10" i="43"/>
  <c r="I10" i="43" s="1"/>
  <c r="C8" i="2" s="1"/>
  <c r="F10" i="43"/>
  <c r="F13" i="43"/>
  <c r="C18" i="43"/>
  <c r="E19" i="43"/>
  <c r="G20" i="43"/>
  <c r="H21" i="43"/>
  <c r="H46" i="43" s="1"/>
  <c r="E21" i="43"/>
  <c r="E46" i="43" s="1"/>
  <c r="F43" i="60"/>
  <c r="F43" i="59"/>
  <c r="F43" i="58"/>
  <c r="F43" i="57"/>
  <c r="G44" i="60"/>
  <c r="G44" i="59"/>
  <c r="G44" i="58"/>
  <c r="G19" i="58" s="1"/>
  <c r="G44" i="57"/>
  <c r="G19" i="57" s="1"/>
  <c r="F8" i="56"/>
  <c r="F9" i="56" s="1"/>
  <c r="D10" i="59"/>
  <c r="D7" i="59"/>
  <c r="G20" i="59"/>
  <c r="G10" i="59"/>
  <c r="G7" i="59"/>
  <c r="G19" i="59"/>
  <c r="E32" i="56"/>
  <c r="E34" i="56" s="1"/>
  <c r="H18" i="43"/>
  <c r="H17" i="43" s="1"/>
  <c r="E18" i="43"/>
  <c r="F38" i="60"/>
  <c r="F13" i="60" s="1"/>
  <c r="F38" i="59"/>
  <c r="F38" i="57"/>
  <c r="F13" i="57" s="1"/>
  <c r="F38" i="58"/>
  <c r="F13" i="58" s="1"/>
  <c r="F38" i="56"/>
  <c r="F13" i="56" s="1"/>
  <c r="C8" i="56"/>
  <c r="H32" i="56"/>
  <c r="H34" i="56" s="1"/>
  <c r="H40" i="56" s="1"/>
  <c r="G44" i="56"/>
  <c r="G19" i="56" s="1"/>
  <c r="C10" i="57"/>
  <c r="I10" i="57" s="1"/>
  <c r="E8" i="2" s="1"/>
  <c r="E31" i="2" s="1"/>
  <c r="C7" i="57"/>
  <c r="F10" i="57"/>
  <c r="F7" i="57"/>
  <c r="I6" i="57"/>
  <c r="E4" i="2" s="1"/>
  <c r="D28" i="51"/>
  <c r="E26" i="51"/>
  <c r="G36" i="60"/>
  <c r="G36" i="59"/>
  <c r="G11" i="59" s="1"/>
  <c r="G36" i="57"/>
  <c r="G11" i="57" s="1"/>
  <c r="G38" i="60"/>
  <c r="G13" i="60" s="1"/>
  <c r="G38" i="59"/>
  <c r="G13" i="59" s="1"/>
  <c r="G38" i="58"/>
  <c r="G13" i="58" s="1"/>
  <c r="E44" i="60"/>
  <c r="E19" i="60" s="1"/>
  <c r="E44" i="59"/>
  <c r="E19" i="59" s="1"/>
  <c r="E44" i="57"/>
  <c r="E19" i="57" s="1"/>
  <c r="F47" i="59"/>
  <c r="F47" i="58"/>
  <c r="F22" i="58" s="1"/>
  <c r="F47" i="57"/>
  <c r="F22" i="57" s="1"/>
  <c r="H12" i="56"/>
  <c r="H14" i="56" s="1"/>
  <c r="H15" i="56" s="1"/>
  <c r="G36" i="56"/>
  <c r="G11" i="56" s="1"/>
  <c r="E44" i="56"/>
  <c r="E19" i="56" s="1"/>
  <c r="H11" i="57"/>
  <c r="G38" i="57"/>
  <c r="G13" i="57" s="1"/>
  <c r="E44" i="58"/>
  <c r="E27" i="51"/>
  <c r="D45" i="60"/>
  <c r="D20" i="60" s="1"/>
  <c r="D45" i="59"/>
  <c r="D20" i="59" s="1"/>
  <c r="D45" i="58"/>
  <c r="G45" i="60"/>
  <c r="G20" i="60" s="1"/>
  <c r="G45" i="58"/>
  <c r="I6" i="56"/>
  <c r="D4" i="2" s="1"/>
  <c r="G38" i="56"/>
  <c r="G13" i="56" s="1"/>
  <c r="D45" i="56"/>
  <c r="D20" i="56" s="1"/>
  <c r="G45" i="56"/>
  <c r="G20" i="56" s="1"/>
  <c r="H20" i="57"/>
  <c r="H12" i="57"/>
  <c r="G45" i="57"/>
  <c r="G20" i="57" s="1"/>
  <c r="E19" i="58"/>
  <c r="E10" i="58"/>
  <c r="I10" i="58" s="1"/>
  <c r="F8" i="2" s="1"/>
  <c r="E7" i="58"/>
  <c r="H20" i="58"/>
  <c r="H11" i="58"/>
  <c r="H22" i="58"/>
  <c r="H19" i="58"/>
  <c r="H13" i="58"/>
  <c r="H10" i="58"/>
  <c r="H7" i="58"/>
  <c r="H12" i="58"/>
  <c r="G36" i="58"/>
  <c r="G11" i="58" s="1"/>
  <c r="I6" i="58"/>
  <c r="D20" i="58"/>
  <c r="G20" i="58"/>
  <c r="H20" i="59"/>
  <c r="H12" i="59"/>
  <c r="H14" i="59" s="1"/>
  <c r="H19" i="59"/>
  <c r="F22" i="59"/>
  <c r="F13" i="59"/>
  <c r="I6" i="59"/>
  <c r="E21" i="59" s="1"/>
  <c r="E46" i="59" s="1"/>
  <c r="G11" i="60"/>
  <c r="H3" i="50"/>
  <c r="C31" i="60"/>
  <c r="C31" i="59"/>
  <c r="L8" i="55"/>
  <c r="K9" i="55"/>
  <c r="D78" i="50"/>
  <c r="H47" i="43" s="1"/>
  <c r="H22" i="43" s="1"/>
  <c r="D72" i="50"/>
  <c r="D77" i="50"/>
  <c r="H38" i="43" s="1"/>
  <c r="H13" i="43" s="1"/>
  <c r="D75" i="50"/>
  <c r="H45" i="43" s="1"/>
  <c r="H20" i="43" s="1"/>
  <c r="D74" i="50"/>
  <c r="D71" i="50"/>
  <c r="H36" i="43" s="1"/>
  <c r="H40" i="43" s="1"/>
  <c r="H48" i="43" s="1"/>
  <c r="D76" i="50"/>
  <c r="D73" i="50"/>
  <c r="H37" i="43" s="1"/>
  <c r="H12" i="43" s="1"/>
  <c r="I6" i="60"/>
  <c r="F22" i="60"/>
  <c r="D44" i="43"/>
  <c r="D19" i="43" s="1"/>
  <c r="D37" i="43"/>
  <c r="D47" i="43"/>
  <c r="D22" i="43" s="1"/>
  <c r="D43" i="43"/>
  <c r="E47" i="43"/>
  <c r="E43" i="43"/>
  <c r="E38" i="43"/>
  <c r="E45" i="43"/>
  <c r="E36" i="43"/>
  <c r="G19" i="60"/>
  <c r="C7" i="60"/>
  <c r="F7" i="60"/>
  <c r="C10" i="60"/>
  <c r="F10" i="60"/>
  <c r="H21" i="60"/>
  <c r="H46" i="60" s="1"/>
  <c r="E17" i="55"/>
  <c r="E18" i="55" s="1"/>
  <c r="D36" i="43"/>
  <c r="D38" i="43"/>
  <c r="E37" i="43"/>
  <c r="E21" i="60"/>
  <c r="E46" i="60" s="1"/>
  <c r="D17" i="55"/>
  <c r="D18" i="55" s="1"/>
  <c r="D47" i="50"/>
  <c r="F37" i="43" s="1"/>
  <c r="D50" i="50"/>
  <c r="F44" i="43" s="1"/>
  <c r="D59" i="50"/>
  <c r="G43" i="43" s="1"/>
  <c r="D65" i="50"/>
  <c r="G47" i="43" s="1"/>
  <c r="D45" i="50"/>
  <c r="F36" i="43" s="1"/>
  <c r="D48" i="50"/>
  <c r="D49" i="50"/>
  <c r="F45" i="43" s="1"/>
  <c r="D60" i="50"/>
  <c r="G37" i="43" s="1"/>
  <c r="M10" i="36" l="1"/>
  <c r="C18" i="55"/>
  <c r="I17" i="55"/>
  <c r="I18" i="55" s="1"/>
  <c r="H16" i="56"/>
  <c r="F32" i="56"/>
  <c r="F34" i="56" s="1"/>
  <c r="G14" i="59"/>
  <c r="G37" i="59"/>
  <c r="G12" i="59" s="1"/>
  <c r="G37" i="60"/>
  <c r="G12" i="60" s="1"/>
  <c r="G37" i="58"/>
  <c r="G12" i="58" s="1"/>
  <c r="G14" i="58" s="1"/>
  <c r="G37" i="57"/>
  <c r="G12" i="57" s="1"/>
  <c r="G37" i="56"/>
  <c r="G12" i="56" s="1"/>
  <c r="F36" i="60"/>
  <c r="F11" i="60" s="1"/>
  <c r="F36" i="59"/>
  <c r="F11" i="59" s="1"/>
  <c r="F36" i="58"/>
  <c r="F11" i="58" s="1"/>
  <c r="F36" i="57"/>
  <c r="F11" i="57" s="1"/>
  <c r="F36" i="56"/>
  <c r="F11" i="56" s="1"/>
  <c r="F44" i="60"/>
  <c r="F19" i="60" s="1"/>
  <c r="F44" i="59"/>
  <c r="F19" i="59" s="1"/>
  <c r="F44" i="58"/>
  <c r="F19" i="58" s="1"/>
  <c r="F44" i="56"/>
  <c r="F19" i="56" s="1"/>
  <c r="F44" i="57"/>
  <c r="F19" i="57" s="1"/>
  <c r="D36" i="60"/>
  <c r="D11" i="60" s="1"/>
  <c r="D36" i="59"/>
  <c r="D11" i="59" s="1"/>
  <c r="D36" i="57"/>
  <c r="D11" i="57" s="1"/>
  <c r="D36" i="58"/>
  <c r="D11" i="58" s="1"/>
  <c r="D36" i="56"/>
  <c r="D11" i="56" s="1"/>
  <c r="D11" i="43"/>
  <c r="E43" i="60"/>
  <c r="E43" i="59"/>
  <c r="E43" i="58"/>
  <c r="E43" i="56"/>
  <c r="E43" i="57"/>
  <c r="L9" i="55"/>
  <c r="K10" i="55"/>
  <c r="D21" i="59"/>
  <c r="D46" i="59" s="1"/>
  <c r="F45" i="60"/>
  <c r="F20" i="60" s="1"/>
  <c r="F45" i="59"/>
  <c r="F20" i="59" s="1"/>
  <c r="F45" i="57"/>
  <c r="F20" i="57" s="1"/>
  <c r="F45" i="56"/>
  <c r="F20" i="56" s="1"/>
  <c r="F45" i="58"/>
  <c r="F20" i="58" s="1"/>
  <c r="G47" i="60"/>
  <c r="G22" i="60" s="1"/>
  <c r="G47" i="59"/>
  <c r="G22" i="59" s="1"/>
  <c r="G47" i="57"/>
  <c r="G22" i="57" s="1"/>
  <c r="G47" i="58"/>
  <c r="G22" i="58" s="1"/>
  <c r="G47" i="56"/>
  <c r="G22" i="56" s="1"/>
  <c r="F37" i="60"/>
  <c r="F12" i="60" s="1"/>
  <c r="F37" i="58"/>
  <c r="F12" i="58" s="1"/>
  <c r="F37" i="57"/>
  <c r="F12" i="57" s="1"/>
  <c r="F37" i="56"/>
  <c r="F12" i="56" s="1"/>
  <c r="F37" i="59"/>
  <c r="F12" i="59" s="1"/>
  <c r="E37" i="60"/>
  <c r="E12" i="60" s="1"/>
  <c r="E37" i="59"/>
  <c r="E12" i="59" s="1"/>
  <c r="E37" i="57"/>
  <c r="E12" i="57" s="1"/>
  <c r="E37" i="56"/>
  <c r="E12" i="56" s="1"/>
  <c r="E37" i="58"/>
  <c r="E12" i="58" s="1"/>
  <c r="I7" i="60"/>
  <c r="H5" i="2" s="1"/>
  <c r="E45" i="60"/>
  <c r="E20" i="60" s="1"/>
  <c r="E45" i="59"/>
  <c r="E20" i="59" s="1"/>
  <c r="E45" i="58"/>
  <c r="E20" i="58" s="1"/>
  <c r="E45" i="57"/>
  <c r="E20" i="57" s="1"/>
  <c r="E45" i="56"/>
  <c r="E20" i="56" s="1"/>
  <c r="E20" i="43"/>
  <c r="E47" i="60"/>
  <c r="E22" i="60" s="1"/>
  <c r="E47" i="58"/>
  <c r="E22" i="58" s="1"/>
  <c r="E47" i="59"/>
  <c r="E22" i="59" s="1"/>
  <c r="E47" i="57"/>
  <c r="E22" i="57" s="1"/>
  <c r="E47" i="56"/>
  <c r="E22" i="56" s="1"/>
  <c r="E22" i="43"/>
  <c r="D37" i="60"/>
  <c r="D12" i="60" s="1"/>
  <c r="D37" i="59"/>
  <c r="D12" i="59" s="1"/>
  <c r="D37" i="58"/>
  <c r="D12" i="58" s="1"/>
  <c r="D37" i="57"/>
  <c r="D12" i="57" s="1"/>
  <c r="D37" i="56"/>
  <c r="D12" i="56" s="1"/>
  <c r="G8" i="57"/>
  <c r="G9" i="57" s="1"/>
  <c r="D8" i="57"/>
  <c r="D9" i="57" s="1"/>
  <c r="C38" i="43"/>
  <c r="C45" i="43"/>
  <c r="C36" i="43"/>
  <c r="C44" i="43"/>
  <c r="C37" i="43"/>
  <c r="C43" i="43"/>
  <c r="C47" i="43"/>
  <c r="G14" i="60"/>
  <c r="G21" i="59"/>
  <c r="G46" i="59" s="1"/>
  <c r="H8" i="58"/>
  <c r="H9" i="58" s="1"/>
  <c r="G40" i="43"/>
  <c r="H11" i="43"/>
  <c r="H14" i="43" s="1"/>
  <c r="H15" i="43" s="1"/>
  <c r="G14" i="56"/>
  <c r="D8" i="56"/>
  <c r="D9" i="56" s="1"/>
  <c r="I7" i="56"/>
  <c r="D5" i="2" s="1"/>
  <c r="G6" i="36" s="1"/>
  <c r="G5" i="36" s="1"/>
  <c r="G17" i="36" s="1"/>
  <c r="G19" i="36" s="1"/>
  <c r="H23" i="43"/>
  <c r="G43" i="60"/>
  <c r="G43" i="59"/>
  <c r="G43" i="57"/>
  <c r="G43" i="56"/>
  <c r="G17" i="43"/>
  <c r="G43" i="58"/>
  <c r="D38" i="60"/>
  <c r="D13" i="60" s="1"/>
  <c r="D38" i="59"/>
  <c r="D13" i="59" s="1"/>
  <c r="D38" i="58"/>
  <c r="D13" i="58" s="1"/>
  <c r="D38" i="56"/>
  <c r="D13" i="56" s="1"/>
  <c r="D13" i="43"/>
  <c r="D38" i="57"/>
  <c r="D13" i="57" s="1"/>
  <c r="I10" i="60"/>
  <c r="H8" i="2" s="1"/>
  <c r="E36" i="60"/>
  <c r="E11" i="60" s="1"/>
  <c r="E36" i="59"/>
  <c r="E11" i="59" s="1"/>
  <c r="E36" i="58"/>
  <c r="E11" i="58" s="1"/>
  <c r="E14" i="58" s="1"/>
  <c r="E36" i="56"/>
  <c r="E11" i="56" s="1"/>
  <c r="E36" i="57"/>
  <c r="E11" i="57" s="1"/>
  <c r="E38" i="60"/>
  <c r="E13" i="60" s="1"/>
  <c r="E38" i="59"/>
  <c r="E13" i="59" s="1"/>
  <c r="E38" i="58"/>
  <c r="E13" i="58" s="1"/>
  <c r="E38" i="57"/>
  <c r="E13" i="57" s="1"/>
  <c r="E38" i="56"/>
  <c r="E13" i="56" s="1"/>
  <c r="E13" i="43"/>
  <c r="D43" i="60"/>
  <c r="D43" i="59"/>
  <c r="D43" i="57"/>
  <c r="D43" i="58"/>
  <c r="D43" i="56"/>
  <c r="D44" i="59"/>
  <c r="D19" i="59" s="1"/>
  <c r="D44" i="58"/>
  <c r="D19" i="58" s="1"/>
  <c r="D44" i="60"/>
  <c r="D19" i="60" s="1"/>
  <c r="D44" i="57"/>
  <c r="D19" i="57" s="1"/>
  <c r="D44" i="56"/>
  <c r="D19" i="56" s="1"/>
  <c r="F21" i="60"/>
  <c r="F46" i="60" s="1"/>
  <c r="C21" i="60"/>
  <c r="C46" i="60" s="1"/>
  <c r="G21" i="60"/>
  <c r="G46" i="60" s="1"/>
  <c r="D21" i="60"/>
  <c r="D46" i="60" s="1"/>
  <c r="H4" i="2"/>
  <c r="F27" i="51"/>
  <c r="I21" i="56"/>
  <c r="H14" i="57"/>
  <c r="G14" i="57"/>
  <c r="C8" i="57"/>
  <c r="I7" i="57"/>
  <c r="E5" i="2" s="1"/>
  <c r="H6" i="36" s="1"/>
  <c r="H5" i="36" s="1"/>
  <c r="H17" i="36" s="1"/>
  <c r="H19" i="36" s="1"/>
  <c r="C9" i="56"/>
  <c r="D40" i="43"/>
  <c r="D48" i="43" s="1"/>
  <c r="F19" i="43"/>
  <c r="E40" i="43"/>
  <c r="E48" i="43" s="1"/>
  <c r="F20" i="43"/>
  <c r="I7" i="59"/>
  <c r="G5" i="2" s="1"/>
  <c r="E17" i="43"/>
  <c r="G12" i="43"/>
  <c r="G14" i="43" s="1"/>
  <c r="G15" i="43" s="1"/>
  <c r="E11" i="43"/>
  <c r="G22" i="43"/>
  <c r="G8" i="56"/>
  <c r="G9" i="56" s="1"/>
  <c r="I10" i="56"/>
  <c r="D8" i="2" s="1"/>
  <c r="D31" i="2" s="1"/>
  <c r="F12" i="43"/>
  <c r="E12" i="43"/>
  <c r="F40" i="43"/>
  <c r="C17" i="36"/>
  <c r="D47" i="60"/>
  <c r="D22" i="60" s="1"/>
  <c r="D47" i="59"/>
  <c r="D22" i="59" s="1"/>
  <c r="D47" i="57"/>
  <c r="D22" i="57" s="1"/>
  <c r="D47" i="56"/>
  <c r="D22" i="56" s="1"/>
  <c r="D47" i="58"/>
  <c r="D22" i="58" s="1"/>
  <c r="C21" i="59"/>
  <c r="C46" i="59" s="1"/>
  <c r="F21" i="59"/>
  <c r="F46" i="59" s="1"/>
  <c r="G4" i="2"/>
  <c r="H21" i="59"/>
  <c r="G21" i="58"/>
  <c r="G46" i="58" s="1"/>
  <c r="D21" i="58"/>
  <c r="D46" i="58" s="1"/>
  <c r="F21" i="58"/>
  <c r="F46" i="58" s="1"/>
  <c r="C21" i="58"/>
  <c r="C46" i="58" s="1"/>
  <c r="H21" i="58"/>
  <c r="H46" i="58" s="1"/>
  <c r="E21" i="58"/>
  <c r="E46" i="58" s="1"/>
  <c r="F4" i="2"/>
  <c r="F31" i="2" s="1"/>
  <c r="H14" i="58"/>
  <c r="E8" i="58"/>
  <c r="E9" i="58" s="1"/>
  <c r="E28" i="51"/>
  <c r="F26" i="51"/>
  <c r="I18" i="56"/>
  <c r="F8" i="57"/>
  <c r="F9" i="57" s="1"/>
  <c r="F11" i="43"/>
  <c r="F14" i="43" s="1"/>
  <c r="F15" i="43" s="1"/>
  <c r="I10" i="59"/>
  <c r="G8" i="2" s="1"/>
  <c r="G31" i="2" s="1"/>
  <c r="E8" i="57"/>
  <c r="E9" i="57" s="1"/>
  <c r="D12" i="43"/>
  <c r="C9" i="43"/>
  <c r="I7" i="43"/>
  <c r="C5" i="2" s="1"/>
  <c r="I7" i="58"/>
  <c r="F5" i="2" s="1"/>
  <c r="H8" i="57"/>
  <c r="H9" i="57" s="1"/>
  <c r="F21" i="43"/>
  <c r="D18" i="43"/>
  <c r="D17" i="43" s="1"/>
  <c r="C4" i="2"/>
  <c r="C21" i="43"/>
  <c r="C46" i="43" s="1"/>
  <c r="F18" i="43"/>
  <c r="F17" i="43" s="1"/>
  <c r="D21" i="43"/>
  <c r="D46" i="43" s="1"/>
  <c r="G21" i="43"/>
  <c r="G46" i="43" s="1"/>
  <c r="E14" i="43" l="1"/>
  <c r="E15" i="43" s="1"/>
  <c r="F14" i="57"/>
  <c r="E23" i="43"/>
  <c r="F16" i="43"/>
  <c r="F32" i="57"/>
  <c r="F34" i="57" s="1"/>
  <c r="F40" i="57" s="1"/>
  <c r="F15" i="57"/>
  <c r="G32" i="56"/>
  <c r="G34" i="56" s="1"/>
  <c r="G40" i="56" s="1"/>
  <c r="G15" i="56"/>
  <c r="H32" i="58"/>
  <c r="H34" i="58" s="1"/>
  <c r="H40" i="58" s="1"/>
  <c r="H48" i="58" s="1"/>
  <c r="H15" i="58"/>
  <c r="E32" i="58"/>
  <c r="E34" i="58" s="1"/>
  <c r="E40" i="58" s="1"/>
  <c r="E48" i="58" s="1"/>
  <c r="E15" i="58"/>
  <c r="D32" i="56"/>
  <c r="D34" i="56" s="1"/>
  <c r="D40" i="56" s="1"/>
  <c r="C47" i="60"/>
  <c r="C22" i="60" s="1"/>
  <c r="C47" i="59"/>
  <c r="C22" i="59" s="1"/>
  <c r="C47" i="58"/>
  <c r="C22" i="58" s="1"/>
  <c r="C47" i="57"/>
  <c r="C22" i="57" s="1"/>
  <c r="C47" i="56"/>
  <c r="C22" i="56" s="1"/>
  <c r="C22" i="43"/>
  <c r="G32" i="57"/>
  <c r="G34" i="57" s="1"/>
  <c r="G40" i="57" s="1"/>
  <c r="G15" i="57"/>
  <c r="F8" i="58"/>
  <c r="F9" i="58" s="1"/>
  <c r="C8" i="58"/>
  <c r="G8" i="58"/>
  <c r="G9" i="58" s="1"/>
  <c r="D8" i="58"/>
  <c r="D9" i="58" s="1"/>
  <c r="D14" i="43"/>
  <c r="D15" i="43" s="1"/>
  <c r="D14" i="57"/>
  <c r="D15" i="57" s="1"/>
  <c r="F14" i="60"/>
  <c r="F40" i="56"/>
  <c r="G23" i="43"/>
  <c r="G16" i="43"/>
  <c r="G24" i="43"/>
  <c r="I9" i="56"/>
  <c r="D7" i="2" s="1"/>
  <c r="D30" i="2" s="1"/>
  <c r="D32" i="2" s="1"/>
  <c r="D33" i="2" s="1"/>
  <c r="C32" i="56"/>
  <c r="C34" i="56" s="1"/>
  <c r="I8" i="57"/>
  <c r="E6" i="2" s="1"/>
  <c r="F21" i="56"/>
  <c r="C21" i="56"/>
  <c r="C46" i="56" s="1"/>
  <c r="H21" i="56"/>
  <c r="E21" i="56"/>
  <c r="E46" i="56" s="1"/>
  <c r="D21" i="56"/>
  <c r="D46" i="56" s="1"/>
  <c r="D19" i="2"/>
  <c r="G21" i="56"/>
  <c r="G46" i="56" s="1"/>
  <c r="H31" i="2"/>
  <c r="H24" i="43"/>
  <c r="H16" i="43"/>
  <c r="I8" i="56"/>
  <c r="D6" i="2" s="1"/>
  <c r="C44" i="60"/>
  <c r="C19" i="60" s="1"/>
  <c r="I19" i="60" s="1"/>
  <c r="H17" i="2" s="1"/>
  <c r="H43" i="2" s="1"/>
  <c r="C44" i="58"/>
  <c r="C19" i="58" s="1"/>
  <c r="I19" i="58" s="1"/>
  <c r="F17" i="2" s="1"/>
  <c r="F43" i="2" s="1"/>
  <c r="C44" i="57"/>
  <c r="C19" i="57" s="1"/>
  <c r="I19" i="57" s="1"/>
  <c r="E17" i="2" s="1"/>
  <c r="E43" i="2" s="1"/>
  <c r="C44" i="56"/>
  <c r="C19" i="56" s="1"/>
  <c r="I19" i="56" s="1"/>
  <c r="D17" i="2" s="1"/>
  <c r="D43" i="2" s="1"/>
  <c r="C44" i="59"/>
  <c r="C19" i="59" s="1"/>
  <c r="I19" i="59" s="1"/>
  <c r="G17" i="2" s="1"/>
  <c r="G43" i="2" s="1"/>
  <c r="C19" i="43"/>
  <c r="I19" i="43" s="1"/>
  <c r="C17" i="2" s="1"/>
  <c r="C45" i="60"/>
  <c r="C20" i="60" s="1"/>
  <c r="I20" i="60" s="1"/>
  <c r="H18" i="2" s="1"/>
  <c r="C45" i="59"/>
  <c r="C20" i="59" s="1"/>
  <c r="I20" i="59" s="1"/>
  <c r="G18" i="2" s="1"/>
  <c r="C45" i="57"/>
  <c r="C20" i="57" s="1"/>
  <c r="I20" i="57" s="1"/>
  <c r="E18" i="2" s="1"/>
  <c r="C45" i="58"/>
  <c r="C20" i="58" s="1"/>
  <c r="I20" i="58" s="1"/>
  <c r="F18" i="2" s="1"/>
  <c r="C45" i="56"/>
  <c r="C20" i="56" s="1"/>
  <c r="I20" i="56" s="1"/>
  <c r="D18" i="2" s="1"/>
  <c r="C20" i="43"/>
  <c r="I20" i="43" s="1"/>
  <c r="C18" i="2" s="1"/>
  <c r="I4" i="2"/>
  <c r="H15" i="57"/>
  <c r="H32" i="57"/>
  <c r="H34" i="57" s="1"/>
  <c r="H40" i="57" s="1"/>
  <c r="C7" i="2"/>
  <c r="F6" i="36"/>
  <c r="F5" i="36" s="1"/>
  <c r="F17" i="36" s="1"/>
  <c r="F19" i="36" s="1"/>
  <c r="I5" i="2"/>
  <c r="L6" i="36" s="1"/>
  <c r="L5" i="36" s="1"/>
  <c r="L17" i="36" s="1"/>
  <c r="L19" i="36" s="1"/>
  <c r="F18" i="56"/>
  <c r="F17" i="56" s="1"/>
  <c r="C18" i="56"/>
  <c r="H18" i="56"/>
  <c r="H17" i="56" s="1"/>
  <c r="E18" i="56"/>
  <c r="E17" i="56" s="1"/>
  <c r="E23" i="56" s="1"/>
  <c r="D18" i="56"/>
  <c r="D61" i="2"/>
  <c r="G18" i="56"/>
  <c r="G17" i="56" s="1"/>
  <c r="G23" i="56" s="1"/>
  <c r="C9" i="57"/>
  <c r="I21" i="57"/>
  <c r="J27" i="51"/>
  <c r="E14" i="57"/>
  <c r="E14" i="59"/>
  <c r="I8" i="2"/>
  <c r="I31" i="2" s="1"/>
  <c r="E40" i="56"/>
  <c r="E48" i="56" s="1"/>
  <c r="C43" i="60"/>
  <c r="C43" i="59"/>
  <c r="C43" i="58"/>
  <c r="C43" i="57"/>
  <c r="C43" i="56"/>
  <c r="C17" i="56" s="1"/>
  <c r="C17" i="43"/>
  <c r="I17" i="43" s="1"/>
  <c r="C15" i="2" s="1"/>
  <c r="C36" i="59"/>
  <c r="C11" i="59" s="1"/>
  <c r="C36" i="58"/>
  <c r="C11" i="58" s="1"/>
  <c r="C36" i="60"/>
  <c r="C11" i="60" s="1"/>
  <c r="C36" i="57"/>
  <c r="C11" i="57" s="1"/>
  <c r="C36" i="56"/>
  <c r="C11" i="56" s="1"/>
  <c r="C40" i="43"/>
  <c r="C48" i="43" s="1"/>
  <c r="C11" i="43"/>
  <c r="C38" i="60"/>
  <c r="C13" i="60" s="1"/>
  <c r="I13" i="60" s="1"/>
  <c r="H11" i="2" s="1"/>
  <c r="C38" i="59"/>
  <c r="C13" i="59" s="1"/>
  <c r="I13" i="59" s="1"/>
  <c r="G11" i="2" s="1"/>
  <c r="C38" i="57"/>
  <c r="C13" i="57" s="1"/>
  <c r="I13" i="57" s="1"/>
  <c r="E11" i="2" s="1"/>
  <c r="C38" i="58"/>
  <c r="C13" i="58" s="1"/>
  <c r="I13" i="58" s="1"/>
  <c r="F11" i="2" s="1"/>
  <c r="C38" i="56"/>
  <c r="C13" i="56" s="1"/>
  <c r="I13" i="56" s="1"/>
  <c r="D11" i="2" s="1"/>
  <c r="C13" i="43"/>
  <c r="I13" i="43" s="1"/>
  <c r="C11" i="2" s="1"/>
  <c r="D14" i="56"/>
  <c r="D15" i="56" s="1"/>
  <c r="D14" i="59"/>
  <c r="F14" i="58"/>
  <c r="F46" i="43"/>
  <c r="F48" i="43" s="1"/>
  <c r="F23" i="43"/>
  <c r="F24" i="43" s="1"/>
  <c r="I9" i="43"/>
  <c r="E32" i="57"/>
  <c r="E34" i="57" s="1"/>
  <c r="E40" i="57" s="1"/>
  <c r="E15" i="57"/>
  <c r="F28" i="51"/>
  <c r="G26" i="51"/>
  <c r="I18" i="57"/>
  <c r="H46" i="59"/>
  <c r="E22" i="36"/>
  <c r="C19" i="36"/>
  <c r="M17" i="36"/>
  <c r="E23" i="36"/>
  <c r="C18" i="36"/>
  <c r="D18" i="36" s="1"/>
  <c r="E18" i="36" s="1"/>
  <c r="F18" i="36" s="1"/>
  <c r="G18" i="36" s="1"/>
  <c r="H18" i="36" s="1"/>
  <c r="E16" i="43"/>
  <c r="D17" i="56"/>
  <c r="D23" i="56" s="1"/>
  <c r="E14" i="56"/>
  <c r="E15" i="56" s="1"/>
  <c r="E14" i="60"/>
  <c r="C31" i="2"/>
  <c r="G48" i="43"/>
  <c r="C37" i="60"/>
  <c r="C12" i="60" s="1"/>
  <c r="I12" i="60" s="1"/>
  <c r="H10" i="2" s="1"/>
  <c r="H36" i="2" s="1"/>
  <c r="C37" i="59"/>
  <c r="C12" i="59" s="1"/>
  <c r="I12" i="59" s="1"/>
  <c r="G10" i="2" s="1"/>
  <c r="G36" i="2" s="1"/>
  <c r="C37" i="58"/>
  <c r="C12" i="58" s="1"/>
  <c r="I12" i="58" s="1"/>
  <c r="F10" i="2" s="1"/>
  <c r="F36" i="2" s="1"/>
  <c r="C37" i="56"/>
  <c r="C12" i="56" s="1"/>
  <c r="I12" i="56" s="1"/>
  <c r="D10" i="2" s="1"/>
  <c r="D36" i="2" s="1"/>
  <c r="C37" i="57"/>
  <c r="C12" i="57" s="1"/>
  <c r="I12" i="57" s="1"/>
  <c r="E10" i="2" s="1"/>
  <c r="E36" i="2" s="1"/>
  <c r="C12" i="43"/>
  <c r="I12" i="43" s="1"/>
  <c r="C10" i="2" s="1"/>
  <c r="D32" i="57"/>
  <c r="D34" i="57" s="1"/>
  <c r="D40" i="57" s="1"/>
  <c r="L10" i="55"/>
  <c r="K11" i="55"/>
  <c r="L11" i="55" s="1"/>
  <c r="D14" i="58"/>
  <c r="D14" i="60"/>
  <c r="F14" i="56"/>
  <c r="F15" i="56" s="1"/>
  <c r="F14" i="59"/>
  <c r="D23" i="43"/>
  <c r="E24" i="43" l="1"/>
  <c r="F26" i="43"/>
  <c r="F27" i="43" s="1"/>
  <c r="D16" i="56"/>
  <c r="D24" i="56"/>
  <c r="I23" i="36"/>
  <c r="M19" i="36"/>
  <c r="C20" i="36"/>
  <c r="D20" i="36" s="1"/>
  <c r="E20" i="36" s="1"/>
  <c r="F20" i="36" s="1"/>
  <c r="G20" i="36" s="1"/>
  <c r="H20" i="36" s="1"/>
  <c r="I22" i="36"/>
  <c r="G28" i="51"/>
  <c r="H26" i="51"/>
  <c r="I18" i="58"/>
  <c r="F37" i="2"/>
  <c r="I17" i="56"/>
  <c r="D15" i="2" s="1"/>
  <c r="D42" i="2" s="1"/>
  <c r="I18" i="2"/>
  <c r="C50" i="2"/>
  <c r="C44" i="2"/>
  <c r="E44" i="2"/>
  <c r="I17" i="2"/>
  <c r="I43" i="2" s="1"/>
  <c r="C43" i="2"/>
  <c r="C40" i="56"/>
  <c r="C48" i="56" s="1"/>
  <c r="G26" i="43"/>
  <c r="G27" i="43" s="1"/>
  <c r="G15" i="58"/>
  <c r="G32" i="58"/>
  <c r="G34" i="58" s="1"/>
  <c r="G40" i="58" s="1"/>
  <c r="G48" i="58" s="1"/>
  <c r="I22" i="57"/>
  <c r="I22" i="60"/>
  <c r="G16" i="56"/>
  <c r="G24" i="56"/>
  <c r="E24" i="36"/>
  <c r="I18" i="36"/>
  <c r="J18" i="36" s="1"/>
  <c r="K18" i="36" s="1"/>
  <c r="L18" i="36" s="1"/>
  <c r="H37" i="2"/>
  <c r="C14" i="56"/>
  <c r="I11" i="56"/>
  <c r="D9" i="2" s="1"/>
  <c r="C14" i="58"/>
  <c r="I14" i="58" s="1"/>
  <c r="F12" i="2" s="1"/>
  <c r="I11" i="58"/>
  <c r="F9" i="2" s="1"/>
  <c r="F16" i="56"/>
  <c r="H8" i="59"/>
  <c r="H9" i="59" s="1"/>
  <c r="E8" i="59"/>
  <c r="E9" i="59" s="1"/>
  <c r="C8" i="59"/>
  <c r="G8" i="60"/>
  <c r="G9" i="60" s="1"/>
  <c r="F8" i="59"/>
  <c r="F9" i="59" s="1"/>
  <c r="G8" i="59"/>
  <c r="G9" i="59" s="1"/>
  <c r="F8" i="60"/>
  <c r="F9" i="60" s="1"/>
  <c r="D8" i="59"/>
  <c r="D9" i="59" s="1"/>
  <c r="H8" i="60"/>
  <c r="H9" i="60" s="1"/>
  <c r="C48" i="2"/>
  <c r="C37" i="2"/>
  <c r="I11" i="2"/>
  <c r="E37" i="2"/>
  <c r="C14" i="43"/>
  <c r="I11" i="43"/>
  <c r="C9" i="2" s="1"/>
  <c r="C14" i="57"/>
  <c r="I14" i="57" s="1"/>
  <c r="E12" i="2" s="1"/>
  <c r="I11" i="57"/>
  <c r="E9" i="2" s="1"/>
  <c r="C14" i="59"/>
  <c r="I14" i="59" s="1"/>
  <c r="G12" i="2" s="1"/>
  <c r="I11" i="59"/>
  <c r="G9" i="2" s="1"/>
  <c r="G21" i="57"/>
  <c r="D21" i="57"/>
  <c r="E21" i="57"/>
  <c r="H21" i="57"/>
  <c r="C21" i="57"/>
  <c r="C46" i="57" s="1"/>
  <c r="F21" i="57"/>
  <c r="E19" i="2"/>
  <c r="H16" i="57"/>
  <c r="D50" i="2"/>
  <c r="D44" i="2"/>
  <c r="G44" i="2"/>
  <c r="F46" i="56"/>
  <c r="F23" i="56"/>
  <c r="F24" i="56" s="1"/>
  <c r="I8" i="58"/>
  <c r="F6" i="2" s="1"/>
  <c r="C9" i="58"/>
  <c r="C23" i="43"/>
  <c r="I22" i="43"/>
  <c r="I22" i="58"/>
  <c r="H16" i="58"/>
  <c r="G48" i="56"/>
  <c r="D8" i="60"/>
  <c r="D9" i="60" s="1"/>
  <c r="E8" i="60"/>
  <c r="E9" i="60" s="1"/>
  <c r="C8" i="60"/>
  <c r="D16" i="57"/>
  <c r="E16" i="56"/>
  <c r="E24" i="56"/>
  <c r="I10" i="2"/>
  <c r="I36" i="2" s="1"/>
  <c r="C36" i="2"/>
  <c r="E26" i="43"/>
  <c r="E27" i="43" s="1"/>
  <c r="G18" i="57"/>
  <c r="G17" i="57" s="1"/>
  <c r="D18" i="57"/>
  <c r="D17" i="57" s="1"/>
  <c r="H18" i="57"/>
  <c r="H17" i="57" s="1"/>
  <c r="C18" i="57"/>
  <c r="C17" i="57" s="1"/>
  <c r="F18" i="57"/>
  <c r="F17" i="57" s="1"/>
  <c r="E61" i="2"/>
  <c r="E18" i="57"/>
  <c r="E17" i="57" s="1"/>
  <c r="E16" i="57"/>
  <c r="D48" i="2"/>
  <c r="D37" i="2"/>
  <c r="G37" i="2"/>
  <c r="C14" i="60"/>
  <c r="I14" i="60" s="1"/>
  <c r="H12" i="2" s="1"/>
  <c r="I11" i="60"/>
  <c r="H9" i="2" s="1"/>
  <c r="C42" i="2"/>
  <c r="C32" i="57"/>
  <c r="C34" i="57" s="1"/>
  <c r="C40" i="57" s="1"/>
  <c r="C48" i="57" s="1"/>
  <c r="I9" i="57"/>
  <c r="E7" i="2" s="1"/>
  <c r="E30" i="2" s="1"/>
  <c r="E32" i="2" s="1"/>
  <c r="E33" i="2" s="1"/>
  <c r="C51" i="2"/>
  <c r="C30" i="2"/>
  <c r="C32" i="2" s="1"/>
  <c r="C33" i="2" s="1"/>
  <c r="F44" i="2"/>
  <c r="H44" i="2"/>
  <c r="H26" i="43"/>
  <c r="H27" i="43" s="1"/>
  <c r="D51" i="2"/>
  <c r="I19" i="2"/>
  <c r="H46" i="56"/>
  <c r="H48" i="56" s="1"/>
  <c r="H23" i="56"/>
  <c r="H24" i="56" s="1"/>
  <c r="F48" i="56"/>
  <c r="D16" i="43"/>
  <c r="D24" i="43"/>
  <c r="D15" i="58"/>
  <c r="D32" i="58"/>
  <c r="D34" i="58" s="1"/>
  <c r="D40" i="58" s="1"/>
  <c r="D48" i="58" s="1"/>
  <c r="F32" i="58"/>
  <c r="F34" i="58" s="1"/>
  <c r="F40" i="58" s="1"/>
  <c r="F48" i="58" s="1"/>
  <c r="F15" i="58"/>
  <c r="G16" i="57"/>
  <c r="C23" i="56"/>
  <c r="I22" i="56"/>
  <c r="I22" i="59"/>
  <c r="D48" i="56"/>
  <c r="E16" i="58"/>
  <c r="F16" i="57"/>
  <c r="I17" i="57" l="1"/>
  <c r="E15" i="2" s="1"/>
  <c r="E42" i="2" s="1"/>
  <c r="C15" i="57"/>
  <c r="C16" i="57" s="1"/>
  <c r="F26" i="56"/>
  <c r="F27" i="56" s="1"/>
  <c r="G20" i="2"/>
  <c r="D16" i="58"/>
  <c r="E26" i="56"/>
  <c r="E27" i="56" s="1"/>
  <c r="D32" i="60"/>
  <c r="D34" i="60" s="1"/>
  <c r="D40" i="60" s="1"/>
  <c r="D48" i="60" s="1"/>
  <c r="D15" i="60"/>
  <c r="I23" i="43"/>
  <c r="C20" i="2"/>
  <c r="E51" i="2"/>
  <c r="H46" i="57"/>
  <c r="H48" i="57" s="1"/>
  <c r="H23" i="57"/>
  <c r="H24" i="57" s="1"/>
  <c r="G46" i="57"/>
  <c r="G48" i="57" s="1"/>
  <c r="G23" i="57"/>
  <c r="G24" i="57" s="1"/>
  <c r="G35" i="2"/>
  <c r="H32" i="60"/>
  <c r="H34" i="60" s="1"/>
  <c r="H40" i="60" s="1"/>
  <c r="H48" i="60" s="1"/>
  <c r="H15" i="60"/>
  <c r="G32" i="59"/>
  <c r="G34" i="59" s="1"/>
  <c r="G40" i="59" s="1"/>
  <c r="G48" i="59" s="1"/>
  <c r="G15" i="59"/>
  <c r="I8" i="59"/>
  <c r="G6" i="2" s="1"/>
  <c r="I6" i="2" s="1"/>
  <c r="C9" i="59"/>
  <c r="F35" i="2"/>
  <c r="I14" i="56"/>
  <c r="D12" i="2" s="1"/>
  <c r="C15" i="56"/>
  <c r="H20" i="2"/>
  <c r="I23" i="57"/>
  <c r="E21" i="2" s="1"/>
  <c r="E20" i="2"/>
  <c r="E52" i="2" s="1"/>
  <c r="G16" i="58"/>
  <c r="F16" i="58"/>
  <c r="D26" i="43"/>
  <c r="D27" i="43" s="1"/>
  <c r="H26" i="56"/>
  <c r="H27" i="56" s="1"/>
  <c r="I8" i="60"/>
  <c r="H6" i="2" s="1"/>
  <c r="C9" i="60"/>
  <c r="F46" i="57"/>
  <c r="F48" i="57" s="1"/>
  <c r="F23" i="57"/>
  <c r="F24" i="57" s="1"/>
  <c r="E46" i="57"/>
  <c r="E48" i="57" s="1"/>
  <c r="E23" i="57"/>
  <c r="E24" i="57" s="1"/>
  <c r="I9" i="2"/>
  <c r="C49" i="2"/>
  <c r="C35" i="2"/>
  <c r="E48" i="2"/>
  <c r="D32" i="59"/>
  <c r="D34" i="59" s="1"/>
  <c r="D40" i="59" s="1"/>
  <c r="D48" i="59" s="1"/>
  <c r="D15" i="59"/>
  <c r="F32" i="59"/>
  <c r="F34" i="59" s="1"/>
  <c r="F40" i="59" s="1"/>
  <c r="F48" i="59" s="1"/>
  <c r="F15" i="59"/>
  <c r="E15" i="59"/>
  <c r="E32" i="59"/>
  <c r="E34" i="59" s="1"/>
  <c r="E40" i="59" s="1"/>
  <c r="E48" i="59" s="1"/>
  <c r="G26" i="56"/>
  <c r="G27" i="56" s="1"/>
  <c r="G18" i="58"/>
  <c r="G17" i="58" s="1"/>
  <c r="G23" i="58" s="1"/>
  <c r="G24" i="58" s="1"/>
  <c r="D18" i="58"/>
  <c r="D17" i="58" s="1"/>
  <c r="D23" i="58" s="1"/>
  <c r="D24" i="58" s="1"/>
  <c r="F18" i="58"/>
  <c r="F17" i="58" s="1"/>
  <c r="F23" i="58" s="1"/>
  <c r="F24" i="58" s="1"/>
  <c r="C18" i="58"/>
  <c r="C17" i="58" s="1"/>
  <c r="H18" i="58"/>
  <c r="H17" i="58" s="1"/>
  <c r="H23" i="58" s="1"/>
  <c r="H24" i="58" s="1"/>
  <c r="F61" i="2"/>
  <c r="E18" i="58"/>
  <c r="E17" i="58" s="1"/>
  <c r="E23" i="58" s="1"/>
  <c r="E24" i="58" s="1"/>
  <c r="I23" i="56"/>
  <c r="D21" i="2" s="1"/>
  <c r="D20" i="2"/>
  <c r="D52" i="2" s="1"/>
  <c r="I15" i="57"/>
  <c r="H35" i="2"/>
  <c r="E32" i="60"/>
  <c r="E34" i="60" s="1"/>
  <c r="E40" i="60" s="1"/>
  <c r="E48" i="60" s="1"/>
  <c r="E15" i="60"/>
  <c r="F20" i="2"/>
  <c r="C32" i="58"/>
  <c r="C34" i="58" s="1"/>
  <c r="C40" i="58" s="1"/>
  <c r="C48" i="58" s="1"/>
  <c r="C15" i="58"/>
  <c r="I9" i="58"/>
  <c r="F7" i="2" s="1"/>
  <c r="F49" i="2" s="1"/>
  <c r="D46" i="57"/>
  <c r="D48" i="57" s="1"/>
  <c r="D23" i="57"/>
  <c r="D24" i="57" s="1"/>
  <c r="E49" i="2"/>
  <c r="E35" i="2"/>
  <c r="I14" i="43"/>
  <c r="C12" i="2" s="1"/>
  <c r="C15" i="43"/>
  <c r="I37" i="2"/>
  <c r="F15" i="60"/>
  <c r="F32" i="60"/>
  <c r="F34" i="60" s="1"/>
  <c r="F40" i="60" s="1"/>
  <c r="F48" i="60" s="1"/>
  <c r="G32" i="60"/>
  <c r="G34" i="60" s="1"/>
  <c r="G40" i="60" s="1"/>
  <c r="G48" i="60" s="1"/>
  <c r="G15" i="60"/>
  <c r="H32" i="59"/>
  <c r="H34" i="59" s="1"/>
  <c r="H40" i="59" s="1"/>
  <c r="H48" i="59" s="1"/>
  <c r="H15" i="59"/>
  <c r="D49" i="2"/>
  <c r="D35" i="2"/>
  <c r="C23" i="57"/>
  <c r="E50" i="2"/>
  <c r="I44" i="2"/>
  <c r="H28" i="51"/>
  <c r="I26" i="51"/>
  <c r="I18" i="59"/>
  <c r="J26" i="51"/>
  <c r="I61" i="2" s="1"/>
  <c r="I24" i="36"/>
  <c r="I20" i="36"/>
  <c r="J20" i="36" s="1"/>
  <c r="K20" i="36" s="1"/>
  <c r="L20" i="36" s="1"/>
  <c r="D26" i="56"/>
  <c r="D27" i="56" s="1"/>
  <c r="C24" i="57" l="1"/>
  <c r="C25" i="57" s="1"/>
  <c r="C26" i="57" s="1"/>
  <c r="I12" i="2"/>
  <c r="F26" i="58"/>
  <c r="F27" i="58" s="1"/>
  <c r="D26" i="58"/>
  <c r="D27" i="58" s="1"/>
  <c r="G26" i="58"/>
  <c r="G27" i="58" s="1"/>
  <c r="D26" i="57"/>
  <c r="D27" i="57" s="1"/>
  <c r="E16" i="59"/>
  <c r="E26" i="57"/>
  <c r="E27" i="57" s="1"/>
  <c r="G26" i="57"/>
  <c r="G27" i="57" s="1"/>
  <c r="I18" i="60"/>
  <c r="I28" i="51"/>
  <c r="E16" i="60"/>
  <c r="H26" i="58"/>
  <c r="H27" i="58" s="1"/>
  <c r="F16" i="59"/>
  <c r="C15" i="60"/>
  <c r="C32" i="60"/>
  <c r="C34" i="60" s="1"/>
  <c r="C40" i="60" s="1"/>
  <c r="C48" i="60" s="1"/>
  <c r="I9" i="60"/>
  <c r="H7" i="2" s="1"/>
  <c r="H49" i="2" s="1"/>
  <c r="H52" i="2"/>
  <c r="C32" i="59"/>
  <c r="C34" i="59" s="1"/>
  <c r="C40" i="59" s="1"/>
  <c r="C48" i="59" s="1"/>
  <c r="I9" i="59"/>
  <c r="G7" i="2" s="1"/>
  <c r="G49" i="2" s="1"/>
  <c r="C15" i="59"/>
  <c r="D16" i="60"/>
  <c r="G18" i="59"/>
  <c r="G17" i="59" s="1"/>
  <c r="G23" i="59" s="1"/>
  <c r="G24" i="59" s="1"/>
  <c r="D18" i="59"/>
  <c r="D17" i="59" s="1"/>
  <c r="D23" i="59" s="1"/>
  <c r="D24" i="59" s="1"/>
  <c r="H18" i="59"/>
  <c r="H17" i="59" s="1"/>
  <c r="H23" i="59" s="1"/>
  <c r="C18" i="59"/>
  <c r="C17" i="59" s="1"/>
  <c r="F18" i="59"/>
  <c r="F17" i="59" s="1"/>
  <c r="F23" i="59" s="1"/>
  <c r="F24" i="59" s="1"/>
  <c r="E18" i="59"/>
  <c r="E17" i="59" s="1"/>
  <c r="E23" i="59" s="1"/>
  <c r="E24" i="59" s="1"/>
  <c r="G61" i="2"/>
  <c r="H24" i="59"/>
  <c r="H16" i="59"/>
  <c r="C16" i="58"/>
  <c r="I15" i="58"/>
  <c r="I16" i="57"/>
  <c r="E14" i="2" s="1"/>
  <c r="I24" i="57"/>
  <c r="E13" i="2"/>
  <c r="E39" i="2" s="1"/>
  <c r="E40" i="2" s="1"/>
  <c r="D16" i="59"/>
  <c r="C24" i="56"/>
  <c r="I15" i="56"/>
  <c r="C16" i="56"/>
  <c r="G16" i="59"/>
  <c r="G16" i="60"/>
  <c r="F16" i="60"/>
  <c r="C24" i="43"/>
  <c r="C16" i="43"/>
  <c r="I15" i="43"/>
  <c r="F51" i="2"/>
  <c r="F30" i="2"/>
  <c r="F32" i="2" s="1"/>
  <c r="F33" i="2" s="1"/>
  <c r="F50" i="2"/>
  <c r="F48" i="2"/>
  <c r="F52" i="2"/>
  <c r="E26" i="58"/>
  <c r="E27" i="58" s="1"/>
  <c r="I17" i="58"/>
  <c r="C23" i="58"/>
  <c r="C24" i="58" s="1"/>
  <c r="I35" i="2"/>
  <c r="F26" i="57"/>
  <c r="F27" i="57" s="1"/>
  <c r="H16" i="60"/>
  <c r="H26" i="57"/>
  <c r="H27" i="57" s="1"/>
  <c r="I20" i="2"/>
  <c r="C52" i="2"/>
  <c r="C21" i="2"/>
  <c r="G52" i="2"/>
  <c r="I7" i="2" l="1"/>
  <c r="I13" i="2" s="1"/>
  <c r="F26" i="59"/>
  <c r="F27" i="59" s="1"/>
  <c r="I26" i="57"/>
  <c r="C27" i="57"/>
  <c r="C25" i="58"/>
  <c r="C26" i="58" s="1"/>
  <c r="E25" i="59"/>
  <c r="E26" i="59" s="1"/>
  <c r="E27" i="59" s="1"/>
  <c r="I24" i="56"/>
  <c r="D13" i="2"/>
  <c r="D39" i="2" s="1"/>
  <c r="D40" i="2" s="1"/>
  <c r="I16" i="56"/>
  <c r="D14" i="2" s="1"/>
  <c r="D25" i="59"/>
  <c r="D26" i="59" s="1"/>
  <c r="D27" i="59" s="1"/>
  <c r="I17" i="59"/>
  <c r="C23" i="59"/>
  <c r="C16" i="59"/>
  <c r="I15" i="59"/>
  <c r="C24" i="59"/>
  <c r="I15" i="60"/>
  <c r="C16" i="60"/>
  <c r="F18" i="60"/>
  <c r="F17" i="60" s="1"/>
  <c r="F23" i="60" s="1"/>
  <c r="F24" i="60" s="1"/>
  <c r="C18" i="60"/>
  <c r="C17" i="60" s="1"/>
  <c r="H18" i="60"/>
  <c r="H17" i="60" s="1"/>
  <c r="H23" i="60" s="1"/>
  <c r="H24" i="60" s="1"/>
  <c r="E18" i="60"/>
  <c r="E17" i="60" s="1"/>
  <c r="E23" i="60" s="1"/>
  <c r="E24" i="60" s="1"/>
  <c r="D18" i="60"/>
  <c r="D17" i="60" s="1"/>
  <c r="D23" i="60" s="1"/>
  <c r="D24" i="60" s="1"/>
  <c r="G18" i="60"/>
  <c r="G17" i="60" s="1"/>
  <c r="G23" i="60" s="1"/>
  <c r="G24" i="60" s="1"/>
  <c r="H61" i="2"/>
  <c r="I52" i="2"/>
  <c r="C25" i="43"/>
  <c r="C26" i="43" s="1"/>
  <c r="G25" i="59"/>
  <c r="G26" i="59" s="1"/>
  <c r="G27" i="59" s="1"/>
  <c r="C25" i="56"/>
  <c r="C26" i="56" s="1"/>
  <c r="I16" i="58"/>
  <c r="F14" i="2" s="1"/>
  <c r="F13" i="2"/>
  <c r="F39" i="2" s="1"/>
  <c r="G51" i="2"/>
  <c r="G30" i="2"/>
  <c r="G32" i="2" s="1"/>
  <c r="G33" i="2" s="1"/>
  <c r="G48" i="2"/>
  <c r="G50" i="2"/>
  <c r="H30" i="2"/>
  <c r="H32" i="2" s="1"/>
  <c r="H33" i="2" s="1"/>
  <c r="H51" i="2"/>
  <c r="H48" i="2"/>
  <c r="H50" i="2"/>
  <c r="I23" i="58"/>
  <c r="I21" i="2" s="1"/>
  <c r="I30" i="2"/>
  <c r="I32" i="2" s="1"/>
  <c r="I33" i="2" s="1"/>
  <c r="I48" i="2"/>
  <c r="I16" i="43"/>
  <c r="C13" i="2"/>
  <c r="I24" i="43"/>
  <c r="E23" i="2"/>
  <c r="E22" i="2"/>
  <c r="E54" i="2" s="1"/>
  <c r="H25" i="59"/>
  <c r="H26" i="59" s="1"/>
  <c r="H27" i="59" s="1"/>
  <c r="I51" i="2" l="1"/>
  <c r="I50" i="2"/>
  <c r="I24" i="58"/>
  <c r="F23" i="2" s="1"/>
  <c r="I26" i="43"/>
  <c r="I27" i="43" s="1"/>
  <c r="C27" i="43"/>
  <c r="C27" i="56"/>
  <c r="I26" i="56"/>
  <c r="G26" i="60"/>
  <c r="G27" i="60" s="1"/>
  <c r="H26" i="60"/>
  <c r="H27" i="60" s="1"/>
  <c r="C25" i="59"/>
  <c r="C26" i="59" s="1"/>
  <c r="D22" i="2"/>
  <c r="D54" i="2" s="1"/>
  <c r="D23" i="2"/>
  <c r="C27" i="58"/>
  <c r="I26" i="58"/>
  <c r="I27" i="57"/>
  <c r="E25" i="2" s="1"/>
  <c r="E24" i="2"/>
  <c r="C14" i="2"/>
  <c r="C22" i="2"/>
  <c r="C39" i="2"/>
  <c r="C40" i="2" s="1"/>
  <c r="F40" i="2"/>
  <c r="D26" i="60"/>
  <c r="D27" i="60" s="1"/>
  <c r="I17" i="60"/>
  <c r="C23" i="60"/>
  <c r="C24" i="60" s="1"/>
  <c r="I16" i="60"/>
  <c r="H14" i="2" s="1"/>
  <c r="H13" i="2"/>
  <c r="H39" i="2" s="1"/>
  <c r="I16" i="59"/>
  <c r="G14" i="2" s="1"/>
  <c r="G13" i="2"/>
  <c r="G39" i="2" s="1"/>
  <c r="I23" i="59"/>
  <c r="I39" i="2"/>
  <c r="I40" i="2" s="1"/>
  <c r="I14" i="2"/>
  <c r="I22" i="2"/>
  <c r="F42" i="2"/>
  <c r="I15" i="2"/>
  <c r="I49" i="2" s="1"/>
  <c r="E26" i="60"/>
  <c r="E27" i="60" s="1"/>
  <c r="F26" i="60"/>
  <c r="F27" i="60" s="1"/>
  <c r="F22" i="2" l="1"/>
  <c r="F54" i="2" s="1"/>
  <c r="I26" i="59"/>
  <c r="C27" i="59"/>
  <c r="C25" i="60"/>
  <c r="C26" i="60" s="1"/>
  <c r="C54" i="2"/>
  <c r="C24" i="2"/>
  <c r="I42" i="2"/>
  <c r="I54" i="2"/>
  <c r="I23" i="2"/>
  <c r="I24" i="2" s="1"/>
  <c r="G40" i="2"/>
  <c r="I24" i="59"/>
  <c r="I23" i="60"/>
  <c r="I27" i="58"/>
  <c r="F25" i="2" s="1"/>
  <c r="F24" i="2"/>
  <c r="I27" i="56"/>
  <c r="D25" i="2" s="1"/>
  <c r="D24" i="2"/>
  <c r="G42" i="2"/>
  <c r="E60" i="2"/>
  <c r="E59" i="2" s="1"/>
  <c r="E53" i="2"/>
  <c r="C60" i="2" l="1"/>
  <c r="C59" i="2" s="1"/>
  <c r="C53" i="2"/>
  <c r="C25" i="2"/>
  <c r="F60" i="2"/>
  <c r="F59" i="2" s="1"/>
  <c r="F53" i="2"/>
  <c r="H42" i="2"/>
  <c r="I60" i="2"/>
  <c r="I59" i="2" s="1"/>
  <c r="I53" i="2"/>
  <c r="I25" i="2"/>
  <c r="C27" i="60"/>
  <c r="I26" i="60"/>
  <c r="D60" i="2"/>
  <c r="D59" i="2" s="1"/>
  <c r="D53" i="2"/>
  <c r="I25" i="59"/>
  <c r="G23" i="2" s="1"/>
  <c r="G22" i="2"/>
  <c r="G54" i="2" s="1"/>
  <c r="H40" i="2"/>
  <c r="I24" i="60"/>
  <c r="I27" i="59"/>
  <c r="G25" i="2" s="1"/>
  <c r="G24" i="2"/>
  <c r="H23" i="2" l="1"/>
  <c r="H22" i="2"/>
  <c r="H54" i="2" s="1"/>
  <c r="I27" i="60"/>
  <c r="H25" i="2" s="1"/>
  <c r="H24" i="2"/>
  <c r="G60" i="2"/>
  <c r="G59" i="2" s="1"/>
  <c r="G53" i="2"/>
  <c r="H53" i="2" l="1"/>
  <c r="H60" i="2"/>
  <c r="H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<sst xmlns="http://schemas.openxmlformats.org/spreadsheetml/2006/main" count="1613" uniqueCount="286">
  <si>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</si>
  <si>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</si>
  <si>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</si>
  <si>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</si>
  <si>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</si>
  <si>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</si>
  <si>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</si>
  <si>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成本预估由项目提供差异件清单，按现有产品推算出来。供应商年度降价与销价降价幅度同步。</t>
  </si>
  <si>
    <t>单台材料成本为未税价格。</t>
  </si>
  <si>
    <t>变动费用</t>
  </si>
  <si>
    <t>固定费用</t>
  </si>
  <si>
    <t>如有产线改造按照产销量摊销，无净残值。</t>
  </si>
  <si>
    <t>投资回收期</t>
  </si>
  <si>
    <t>投资仅指此项目研发费用及模夹检具工装、生产地产线改造投入。</t>
  </si>
  <si>
    <t>投资收益分析</t>
  </si>
  <si>
    <t>单位：未税、元</t>
  </si>
  <si>
    <t>序号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</si>
  <si>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</si>
  <si>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</si>
  <si>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</si>
  <si>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r>
      <rPr>
        <b/>
        <sz val="10"/>
        <rFont val="CorpoS"/>
        <family val="1"/>
      </rPr>
      <t>2026年</t>
    </r>
  </si>
  <si>
    <r>
      <rPr>
        <b/>
        <sz val="10"/>
        <rFont val="CorpoS"/>
        <family val="1"/>
      </rPr>
      <t>2027年</t>
    </r>
  </si>
  <si>
    <r>
      <rPr>
        <b/>
        <sz val="10"/>
        <rFont val="CorpoS"/>
        <family val="1"/>
      </rPr>
      <t>2028年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</si>
  <si>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</si>
  <si>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</si>
  <si>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</si>
  <si>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</si>
  <si>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</si>
  <si>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</si>
  <si>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</si>
  <si>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</si>
  <si>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</si>
  <si>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</si>
  <si>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</si>
  <si>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</si>
  <si>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</si>
  <si>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</si>
  <si>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</si>
  <si>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</si>
  <si>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</si>
  <si>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</si>
  <si>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</si>
  <si>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</si>
  <si>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</si>
  <si>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</si>
  <si>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</si>
  <si>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</si>
  <si>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</si>
  <si>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</si>
  <si>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</si>
  <si>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</si>
  <si>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</si>
  <si>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</si>
  <si>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</si>
  <si>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</si>
  <si>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</si>
  <si>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</si>
  <si>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</si>
  <si>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</si>
  <si>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</si>
  <si>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</si>
  <si>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</si>
  <si>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</si>
  <si>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</si>
  <si>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</si>
  <si>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</si>
  <si>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</si>
  <si>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</si>
  <si>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</si>
  <si>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</si>
  <si>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</si>
  <si>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</si>
  <si>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</si>
  <si>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</si>
  <si>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</si>
  <si>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</si>
  <si>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</si>
  <si>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</si>
  <si>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</si>
  <si>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</si>
  <si>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</si>
  <si>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</si>
  <si>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</si>
  <si>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</si>
  <si>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</si>
  <si>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</si>
  <si>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</si>
  <si>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</si>
  <si>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</si>
  <si>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</si>
  <si>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</si>
  <si>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</si>
  <si>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</si>
  <si>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</si>
  <si>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</si>
  <si>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</si>
  <si>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</si>
  <si>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</si>
  <si>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</si>
  <si>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</si>
  <si>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</si>
  <si>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</si>
  <si>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</si>
  <si>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</si>
  <si>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</si>
  <si>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</si>
  <si>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</si>
  <si>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</si>
  <si>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</si>
  <si>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</si>
  <si>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</si>
  <si>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</si>
  <si>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</si>
  <si>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</si>
  <si>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</si>
  <si>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</si>
  <si>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</si>
  <si>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</si>
  <si>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</si>
  <si>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</si>
  <si>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</si>
  <si>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</si>
  <si>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</si>
  <si>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</si>
  <si>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</si>
  <si>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</si>
  <si>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</si>
  <si>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</si>
  <si>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</si>
  <si>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</si>
  <si>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</si>
  <si>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</si>
  <si>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</si>
  <si>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</si>
  <si>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</si>
  <si>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</si>
  <si>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</si>
  <si>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</si>
  <si>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</si>
  <si>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</si>
  <si>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</si>
  <si>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</si>
  <si>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</si>
  <si>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</si>
  <si>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</si>
  <si>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</si>
  <si>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2023年  </t>
  </si>
  <si>
    <t>客户全称</t>
  </si>
  <si>
    <t>一汽解放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</si>
  <si>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</si>
  <si>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</si>
  <si>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</si>
  <si>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</si>
  <si>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</si>
  <si>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</si>
  <si>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</si>
  <si>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</si>
  <si>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</si>
  <si>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2024年  </t>
  </si>
  <si>
    <t xml:space="preserve">2025年  </t>
  </si>
  <si>
    <t xml:space="preserve">2026年  </t>
  </si>
  <si>
    <t xml:space="preserve">2027年  </t>
  </si>
  <si>
    <t xml:space="preserve">2028年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</si>
  <si>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</si>
  <si>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</si>
  <si>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</si>
  <si>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</si>
  <si>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</si>
  <si>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</si>
  <si>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</si>
  <si>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</si>
  <si>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</si>
  <si>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</si>
  <si>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</si>
  <si>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</si>
  <si>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</si>
  <si>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</si>
  <si>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</si>
  <si>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4种钣金件冲压模具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</si>
  <si>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</si>
  <si>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</si>
  <si>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</si>
  <si>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</si>
  <si>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</si>
  <si>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</si>
  <si>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底座焊接夹具</t>
  </si>
  <si>
    <t>检具</t>
  </si>
  <si>
    <t>工装</t>
  </si>
  <si>
    <t xml:space="preserve">其它 </t>
  </si>
  <si>
    <t>人力成本</t>
  </si>
  <si>
    <t>差旅费</t>
  </si>
  <si>
    <t>客户及供应商交流成本、样品状态事宜，预计2-3次，单次1-2人；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</si>
  <si>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</si>
  <si>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</si>
  <si>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</si>
  <si>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</si>
  <si>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</si>
  <si>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40套用于验证交付，10套用于实验</t>
  </si>
  <si>
    <t>工厂结算的，需对工厂按制度开票，抵减开发费</t>
  </si>
  <si>
    <t>试验费</t>
  </si>
  <si>
    <t>DVP试验及强检认证费用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</si>
  <si>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</si>
  <si>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</si>
  <si>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</si>
  <si>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</si>
  <si>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</si>
  <si>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</si>
  <si>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2026年</t>
  </si>
  <si>
    <t>2027年</t>
  </si>
  <si>
    <t>2028年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</si>
  <si>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</si>
  <si>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</si>
  <si>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</si>
  <si>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</si>
  <si>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</si>
  <si>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年</t>
  </si>
  <si>
    <t>新开发产品</t>
  </si>
  <si>
    <t>驾驶员座总成</t>
  </si>
  <si>
    <t>副驾驶员座椅总成</t>
  </si>
  <si>
    <t>L168100000553</t>
  </si>
  <si>
    <t>L168100000557</t>
  </si>
  <si>
    <t>L168100000554</t>
  </si>
  <si>
    <t>配置</t>
  </si>
  <si>
    <t xml:space="preserve">销售价格
（元，未税）  </t>
  </si>
  <si>
    <t>销量（件）</t>
  </si>
  <si>
    <t>成本</t>
  </si>
  <si>
    <t>附加值率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</si>
  <si>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</si>
  <si>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</si>
  <si>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</si>
  <si>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</si>
  <si>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</si>
  <si>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</si>
  <si>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</si>
  <si>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</si>
  <si>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</si>
  <si>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</si>
  <si>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</si>
  <si>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</si>
  <si>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</si>
  <si>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</si>
  <si>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</si>
  <si>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</si>
  <si>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</si>
  <si>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</si>
  <si>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</si>
  <si>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</si>
  <si>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</si>
  <si>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</si>
  <si>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</si>
  <si>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</si>
  <si>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</si>
  <si>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</si>
  <si>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</si>
  <si>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</si>
  <si>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</si>
  <si>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</si>
  <si>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</si>
  <si>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后视镜单件金额</t>
  </si>
  <si>
    <t>座椅单件金额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</si>
  <si>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</si>
  <si>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</si>
  <si>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</si>
  <si>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</si>
  <si>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</si>
  <si>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</si>
  <si>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</si>
  <si>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</si>
  <si>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</si>
  <si>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综合单件金额</t>
  </si>
  <si>
    <t>销售价格（未税）：由营销或项目经理提供，无年降。</t>
    <phoneticPr fontId="43" type="noConversion"/>
  </si>
  <si>
    <t>老M4更换面料座椅项目（不含固定费用）</t>
    <phoneticPr fontId="43" type="noConversion"/>
  </si>
  <si>
    <t>山东诸城</t>
    <phoneticPr fontId="43" type="noConversion"/>
  </si>
  <si>
    <t>变动费用参考河北工厂2022年实际及2023预算暂估。</t>
  </si>
  <si>
    <t>预测工厂产能满足客户订单，不新增生产设备。</t>
    <phoneticPr fontId="43" type="noConversion"/>
  </si>
  <si>
    <t>研发费用按照三年摊销。</t>
    <phoneticPr fontId="43" type="noConversion"/>
  </si>
  <si>
    <t>财务费用按集团综合。</t>
    <phoneticPr fontId="43" type="noConversion"/>
  </si>
  <si>
    <t>更换面套</t>
    <phoneticPr fontId="43" type="noConversion"/>
  </si>
  <si>
    <t xml:space="preserve">研发费用预算表 </t>
    <phoneticPr fontId="43" type="noConversion"/>
  </si>
  <si>
    <t>ZY2350</t>
    <phoneticPr fontId="43" type="noConversion"/>
  </si>
  <si>
    <t>供应商年降：    0%</t>
    <phoneticPr fontId="43" type="noConversion"/>
  </si>
  <si>
    <t>散装</t>
    <phoneticPr fontId="43" type="noConversion"/>
  </si>
  <si>
    <t>L1681010104A0基础上换面料</t>
    <phoneticPr fontId="43" type="noConversion"/>
  </si>
  <si>
    <t>L1681020114A0基础上换面料</t>
    <phoneticPr fontId="43" type="noConversion"/>
  </si>
  <si>
    <t>L1681020112A0基础上换面料</t>
    <phoneticPr fontId="43" type="noConversion"/>
  </si>
  <si>
    <t>每辆份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</si>
</sst>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_ * #,##0_ ;_ * \-#,##0_ ;_ * &quot;-&quot;??_ ;_ @_ "/>
    <numFmt numFmtId="177" formatCode="0.0%"/>
    <numFmt numFmtId="178" formatCode="0_ "/>
    <numFmt numFmtId="179" formatCode="0.00_ "/>
    <numFmt numFmtId="180" formatCode="&quot;$&quot;#,##0.00_);[Red]\(&quot;$&quot;#,##0.00\)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2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0" fontId="0" fillId="0" borderId="0" xfId="0" applyFont="1" applyFill="1">
      <alignment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4" borderId="2" xfId="1" applyFont="1" applyFill="1" applyBorder="1">
      <alignment vertical="center"/>
    </xf>
    <xf numFmtId="43" fontId="4" fillId="4" borderId="2" xfId="1" applyFont="1" applyFill="1" applyBorder="1">
      <alignment vertical="center"/>
    </xf>
    <xf numFmtId="43" fontId="7" fillId="0" borderId="2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3" fontId="4" fillId="0" borderId="0" xfId="0" applyNumberFormat="1" applyFont="1" applyBorder="1">
      <alignment vertical="center"/>
    </xf>
    <xf numFmtId="43" fontId="7" fillId="0" borderId="2" xfId="1" applyFont="1" applyFill="1" applyBorder="1">
      <alignment vertical="center"/>
    </xf>
    <xf numFmtId="0" fontId="9" fillId="0" borderId="0" xfId="0" applyFont="1" applyAlignment="1">
      <alignment vertical="center" wrapText="1"/>
    </xf>
    <xf numFmtId="176" fontId="4" fillId="0" borderId="0" xfId="1" applyNumberFormat="1" applyFont="1">
      <alignment vertical="center"/>
    </xf>
    <xf numFmtId="0" fontId="9" fillId="0" borderId="0" xfId="0" applyFont="1" applyAlignment="1">
      <alignment vertical="center"/>
    </xf>
    <xf numFmtId="0" fontId="4" fillId="4" borderId="0" xfId="0" applyFont="1" applyFill="1">
      <alignment vertical="center"/>
    </xf>
    <xf numFmtId="10" fontId="4" fillId="0" borderId="0" xfId="0" applyNumberFormat="1" applyFo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176" fontId="3" fillId="5" borderId="2" xfId="0" applyNumberFormat="1" applyFont="1" applyFill="1" applyBorder="1" applyAlignment="1">
      <alignment horizontal="center" wrapText="1" readingOrder="1"/>
    </xf>
    <xf numFmtId="43" fontId="4" fillId="0" borderId="0" xfId="1" applyFont="1">
      <alignment vertical="center"/>
    </xf>
    <xf numFmtId="43" fontId="4" fillId="0" borderId="0" xfId="0" applyNumberFormat="1" applyFont="1">
      <alignment vertical="center"/>
    </xf>
    <xf numFmtId="177" fontId="4" fillId="0" borderId="0" xfId="2" applyNumberFormat="1" applyFont="1">
      <alignment vertical="center"/>
    </xf>
    <xf numFmtId="176" fontId="13" fillId="5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8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8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0" fillId="4" borderId="2" xfId="1" applyFont="1" applyFill="1" applyBorder="1" applyAlignment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43" fontId="2" fillId="3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vertical="center" wrapText="1"/>
    </xf>
    <xf numFmtId="178" fontId="16" fillId="0" borderId="5" xfId="7" applyNumberFormat="1" applyFont="1" applyFill="1" applyBorder="1" applyAlignment="1">
      <alignment horizontal="center" vertical="center"/>
    </xf>
    <xf numFmtId="178" fontId="16" fillId="0" borderId="5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1"/>
    </xf>
    <xf numFmtId="43" fontId="7" fillId="0" borderId="2" xfId="0" applyNumberFormat="1" applyFont="1" applyBorder="1">
      <alignment vertical="center"/>
    </xf>
    <xf numFmtId="43" fontId="7" fillId="0" borderId="2" xfId="1" applyNumberFormat="1" applyFont="1" applyBorder="1">
      <alignment vertical="center"/>
    </xf>
    <xf numFmtId="43" fontId="19" fillId="0" borderId="2" xfId="0" applyNumberFormat="1" applyFont="1" applyBorder="1">
      <alignment vertical="center"/>
    </xf>
    <xf numFmtId="43" fontId="19" fillId="0" borderId="2" xfId="1" applyFont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43" fontId="21" fillId="0" borderId="0" xfId="1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22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 readingOrder="1"/>
    </xf>
    <xf numFmtId="43" fontId="21" fillId="0" borderId="2" xfId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9" fontId="21" fillId="0" borderId="2" xfId="2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1" fillId="0" borderId="2" xfId="2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1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1" fillId="0" borderId="0" xfId="1" applyFont="1" applyFill="1" applyAlignment="1">
      <alignment horizontal="center" vertical="center"/>
    </xf>
    <xf numFmtId="43" fontId="21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9" fontId="21" fillId="0" borderId="0" xfId="0" applyNumberFormat="1" applyFont="1" applyFill="1">
      <alignment vertical="center"/>
    </xf>
    <xf numFmtId="9" fontId="21" fillId="0" borderId="11" xfId="2" applyFont="1" applyFill="1" applyBorder="1">
      <alignment vertical="center"/>
    </xf>
    <xf numFmtId="43" fontId="21" fillId="8" borderId="0" xfId="0" applyNumberFormat="1" applyFont="1" applyFill="1">
      <alignment vertical="center"/>
    </xf>
    <xf numFmtId="0" fontId="21" fillId="8" borderId="0" xfId="0" applyFont="1" applyFill="1">
      <alignment vertical="center"/>
    </xf>
    <xf numFmtId="0" fontId="24" fillId="8" borderId="0" xfId="0" applyFont="1" applyFill="1">
      <alignment vertical="center"/>
    </xf>
    <xf numFmtId="0" fontId="20" fillId="8" borderId="0" xfId="0" applyFont="1" applyFill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25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3" xfId="3" applyFont="1" applyFill="1" applyBorder="1" applyAlignment="1" applyProtection="1">
      <alignment horizontal="center"/>
    </xf>
    <xf numFmtId="1" fontId="18" fillId="6" borderId="3" xfId="8" applyFont="1" applyFill="1" applyBorder="1"/>
    <xf numFmtId="1" fontId="16" fillId="6" borderId="3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6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6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9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0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4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4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10" xfId="3" applyFont="1" applyFill="1" applyBorder="1" applyProtection="1"/>
    <xf numFmtId="0" fontId="16" fillId="6" borderId="15" xfId="3" applyFont="1" applyFill="1" applyBorder="1" applyProtection="1"/>
    <xf numFmtId="0" fontId="16" fillId="6" borderId="16" xfId="3" applyFont="1" applyFill="1" applyBorder="1" applyProtection="1"/>
    <xf numFmtId="0" fontId="19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43" fontId="21" fillId="0" borderId="0" xfId="1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3" fontId="28" fillId="0" borderId="2" xfId="1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21" fillId="5" borderId="2" xfId="0" applyFont="1" applyFill="1" applyBorder="1">
      <alignment vertical="center"/>
    </xf>
    <xf numFmtId="0" fontId="23" fillId="9" borderId="2" xfId="0" applyFont="1" applyFill="1" applyBorder="1">
      <alignment vertical="center"/>
    </xf>
    <xf numFmtId="176" fontId="19" fillId="9" borderId="2" xfId="1" applyNumberFormat="1" applyFont="1" applyFill="1" applyBorder="1" applyAlignment="1">
      <alignment horizontal="center" vertical="center"/>
    </xf>
    <xf numFmtId="0" fontId="29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10" fontId="19" fillId="0" borderId="2" xfId="2" applyNumberFormat="1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/>
    </xf>
    <xf numFmtId="0" fontId="29" fillId="9" borderId="2" xfId="0" applyFont="1" applyFill="1" applyBorder="1">
      <alignment vertical="center"/>
    </xf>
    <xf numFmtId="176" fontId="21" fillId="0" borderId="2" xfId="1" applyNumberFormat="1" applyFont="1" applyBorder="1" applyAlignment="1">
      <alignment horizontal="center" vertical="center"/>
    </xf>
    <xf numFmtId="10" fontId="21" fillId="0" borderId="2" xfId="2" applyNumberFormat="1" applyFont="1" applyBorder="1">
      <alignment vertical="center"/>
    </xf>
    <xf numFmtId="10" fontId="21" fillId="0" borderId="0" xfId="2" applyNumberFormat="1" applyFont="1" applyBorder="1">
      <alignment vertical="center"/>
    </xf>
    <xf numFmtId="43" fontId="21" fillId="0" borderId="0" xfId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10" fontId="21" fillId="0" borderId="2" xfId="2" applyNumberFormat="1" applyFont="1" applyFill="1" applyBorder="1" applyAlignment="1">
      <alignment horizontal="center" vertical="center"/>
    </xf>
    <xf numFmtId="10" fontId="21" fillId="0" borderId="2" xfId="2" applyNumberFormat="1" applyFont="1" applyFill="1" applyBorder="1">
      <alignment vertical="center"/>
    </xf>
    <xf numFmtId="0" fontId="23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3" fontId="21" fillId="0" borderId="2" xfId="1" applyFont="1" applyBorder="1">
      <alignment vertical="center"/>
    </xf>
    <xf numFmtId="176" fontId="21" fillId="0" borderId="2" xfId="1" applyNumberFormat="1" applyFont="1" applyBorder="1">
      <alignment vertical="center"/>
    </xf>
    <xf numFmtId="43" fontId="21" fillId="0" borderId="0" xfId="0" applyNumberFormat="1" applyFont="1" applyFill="1" applyBorder="1">
      <alignment vertical="center"/>
    </xf>
    <xf numFmtId="176" fontId="21" fillId="8" borderId="2" xfId="1" applyNumberFormat="1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9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left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0" fontId="32" fillId="0" borderId="0" xfId="0" applyFont="1" applyFill="1" applyBorder="1" applyAlignment="1">
      <alignment horizontal="left" vertical="center" wrapText="1" readingOrder="1"/>
    </xf>
    <xf numFmtId="43" fontId="10" fillId="0" borderId="2" xfId="1" applyFont="1" applyBorder="1" applyAlignment="1">
      <alignment horizontal="center" vertical="center" wrapText="1"/>
    </xf>
    <xf numFmtId="43" fontId="13" fillId="5" borderId="2" xfId="0" applyNumberFormat="1" applyFont="1" applyFill="1" applyBorder="1" applyAlignment="1">
      <alignment vertical="center" wrapText="1" readingOrder="1"/>
    </xf>
    <xf numFmtId="177" fontId="0" fillId="0" borderId="2" xfId="2" applyNumberFormat="1" applyFont="1" applyFill="1" applyBorder="1" applyAlignment="1">
      <alignment horizontal="center" vertical="center"/>
    </xf>
    <xf numFmtId="43" fontId="44" fillId="0" borderId="2" xfId="0" applyNumberFormat="1" applyFont="1" applyFill="1" applyBorder="1" applyAlignment="1">
      <alignment horizontal="center" vertical="center"/>
    </xf>
    <xf numFmtId="9" fontId="44" fillId="0" borderId="2" xfId="2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43" fontId="0" fillId="8" borderId="2" xfId="0" applyNumberForma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8" fillId="6" borderId="2" xfId="3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1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/>
    </xf>
    <xf numFmtId="43" fontId="21" fillId="0" borderId="3" xfId="1" applyFont="1" applyFill="1" applyBorder="1" applyAlignment="1">
      <alignment horizontal="center" vertical="center"/>
    </xf>
    <xf numFmtId="43" fontId="21" fillId="0" borderId="4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/>
    </xf>
    <xf numFmtId="43" fontId="21" fillId="4" borderId="4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 readingOrder="1"/>
    </xf>
    <xf numFmtId="0" fontId="13" fillId="5" borderId="11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90" customFormat="1" ht="35.25" customHeight="1">
      <c r="A2" s="191" t="s">
        <v>0</v>
      </c>
      <c r="B2" s="191" t="s">
        <v>1</v>
      </c>
      <c r="C2" s="191" t="s">
        <v>2</v>
      </c>
      <c r="D2" s="192"/>
    </row>
    <row r="3" spans="1:4" s="190" customFormat="1" ht="33.75" customHeight="1">
      <c r="A3" s="193">
        <v>1</v>
      </c>
      <c r="B3" s="193" t="s">
        <v>3</v>
      </c>
      <c r="C3" s="194" t="s">
        <v>4</v>
      </c>
      <c r="D3" s="192"/>
    </row>
    <row r="4" spans="1:4" s="190" customFormat="1" ht="33.75" customHeight="1">
      <c r="A4" s="193">
        <v>2</v>
      </c>
      <c r="B4" s="193" t="s">
        <v>5</v>
      </c>
      <c r="C4" s="194" t="s">
        <v>270</v>
      </c>
    </row>
    <row r="5" spans="1:4" s="190" customFormat="1" ht="33.75" customHeight="1">
      <c r="A5" s="193">
        <v>3</v>
      </c>
      <c r="B5" s="206" t="s">
        <v>6</v>
      </c>
      <c r="C5" s="195" t="s">
        <v>7</v>
      </c>
    </row>
    <row r="6" spans="1:4" s="190" customFormat="1" ht="33.75" customHeight="1">
      <c r="A6" s="193">
        <v>4</v>
      </c>
      <c r="B6" s="207"/>
      <c r="C6" s="194" t="s">
        <v>8</v>
      </c>
    </row>
    <row r="7" spans="1:4" s="190" customFormat="1" ht="33.75" customHeight="1">
      <c r="A7" s="193">
        <v>5</v>
      </c>
      <c r="B7" s="196" t="s">
        <v>9</v>
      </c>
      <c r="C7" s="194" t="s">
        <v>273</v>
      </c>
    </row>
    <row r="8" spans="1:4" s="190" customFormat="1" ht="33.75" customHeight="1">
      <c r="A8" s="193">
        <v>6</v>
      </c>
      <c r="B8" s="206" t="s">
        <v>10</v>
      </c>
      <c r="C8" s="194" t="s">
        <v>274</v>
      </c>
    </row>
    <row r="9" spans="1:4" s="190" customFormat="1" ht="33.75" customHeight="1">
      <c r="A9" s="193">
        <v>7</v>
      </c>
      <c r="B9" s="207"/>
      <c r="C9" s="194" t="s">
        <v>275</v>
      </c>
    </row>
    <row r="10" spans="1:4" s="190" customFormat="1" ht="33.75" customHeight="1">
      <c r="A10" s="193">
        <v>8</v>
      </c>
      <c r="B10" s="207"/>
      <c r="C10" s="195" t="s">
        <v>276</v>
      </c>
    </row>
    <row r="11" spans="1:4" s="190" customFormat="1" ht="33.75" customHeight="1">
      <c r="A11" s="193">
        <v>9</v>
      </c>
      <c r="B11" s="207"/>
      <c r="C11" s="194" t="s">
        <v>11</v>
      </c>
    </row>
    <row r="12" spans="1:4" s="190" customFormat="1" ht="33.75" customHeight="1">
      <c r="A12" s="193">
        <v>10</v>
      </c>
      <c r="B12" s="196" t="s">
        <v>12</v>
      </c>
      <c r="C12" s="194" t="s">
        <v>13</v>
      </c>
    </row>
    <row r="13" spans="1:4" ht="33.75" customHeight="1"/>
    <row r="14" spans="1:4" ht="33.75" customHeight="1"/>
    <row r="15" spans="1:4" ht="33.75" customHeight="1">
      <c r="C15" s="197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3" activePane="bottomRight" state="frozen"/>
      <selection pane="topRight"/>
      <selection pane="bottomLeft"/>
      <selection pane="bottomRight" activeCell="F11" sqref="F11"/>
    </sheetView>
  </sheetViews>
  <sheetFormatPr defaultColWidth="9" defaultRowHeight="13.5"/>
  <cols>
    <col min="1" max="1" width="20.625" customWidth="1"/>
    <col min="2" max="2" width="14.25" style="61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2.25" customWidth="1"/>
    <col min="11" max="11" width="10.75" customWidth="1"/>
  </cols>
  <sheetData>
    <row r="1" spans="1:8" ht="20.25">
      <c r="A1" s="224" t="s">
        <v>163</v>
      </c>
      <c r="B1" s="224"/>
      <c r="C1" s="224"/>
      <c r="E1" s="225" t="s">
        <v>278</v>
      </c>
      <c r="F1" s="226"/>
      <c r="G1" s="226"/>
      <c r="H1" s="227"/>
    </row>
    <row r="2" spans="1:8" ht="23.45" customHeight="1">
      <c r="A2" s="62" t="s">
        <v>1</v>
      </c>
      <c r="B2" s="63" t="s">
        <v>164</v>
      </c>
      <c r="C2" s="64" t="s">
        <v>165</v>
      </c>
      <c r="E2" s="65" t="s">
        <v>166</v>
      </c>
      <c r="F2" s="65" t="s">
        <v>1</v>
      </c>
      <c r="G2" s="66" t="s">
        <v>167</v>
      </c>
      <c r="H2" s="65" t="s">
        <v>165</v>
      </c>
    </row>
    <row r="3" spans="1:8" ht="15.75" customHeight="1">
      <c r="A3" s="67" t="s">
        <v>168</v>
      </c>
      <c r="B3" s="68"/>
      <c r="C3" s="69"/>
      <c r="E3" s="232" t="s">
        <v>169</v>
      </c>
      <c r="F3" s="70" t="s">
        <v>170</v>
      </c>
      <c r="G3" s="71"/>
      <c r="H3" s="70"/>
    </row>
    <row r="4" spans="1:8" ht="15.75" customHeight="1">
      <c r="A4" s="67" t="s">
        <v>171</v>
      </c>
      <c r="B4" s="68"/>
      <c r="C4" s="72"/>
      <c r="E4" s="233"/>
      <c r="F4" s="70" t="s">
        <v>172</v>
      </c>
      <c r="G4" s="71"/>
      <c r="H4" s="70"/>
    </row>
    <row r="5" spans="1:8" ht="15.75" customHeight="1">
      <c r="A5" s="67" t="s">
        <v>173</v>
      </c>
      <c r="B5" s="73">
        <f>SUM(G3:G4)</f>
        <v>0</v>
      </c>
      <c r="C5" s="69"/>
      <c r="E5" s="234" t="s">
        <v>174</v>
      </c>
      <c r="F5" s="74" t="s">
        <v>175</v>
      </c>
      <c r="G5" s="75"/>
      <c r="H5" s="76"/>
    </row>
    <row r="6" spans="1:8" ht="15.75" customHeight="1">
      <c r="A6" s="67" t="s">
        <v>176</v>
      </c>
      <c r="B6" s="68"/>
      <c r="C6" s="69"/>
      <c r="E6" s="235"/>
      <c r="F6" s="74" t="s">
        <v>177</v>
      </c>
      <c r="G6" s="75"/>
      <c r="H6" s="77" t="s">
        <v>178</v>
      </c>
    </row>
    <row r="7" spans="1:8" ht="15.75" customHeight="1">
      <c r="A7" s="78" t="s">
        <v>179</v>
      </c>
      <c r="B7" s="73">
        <f>SUM(B3:B6)</f>
        <v>0</v>
      </c>
      <c r="C7" s="69"/>
      <c r="E7" s="235"/>
      <c r="F7" s="74" t="s">
        <v>180</v>
      </c>
      <c r="G7" s="75">
        <v>0</v>
      </c>
      <c r="H7" s="77"/>
    </row>
    <row r="8" spans="1:8" ht="15.75" customHeight="1">
      <c r="A8" s="79" t="s">
        <v>181</v>
      </c>
      <c r="B8" s="73">
        <f>SUM(G5:G12)</f>
        <v>0</v>
      </c>
      <c r="C8" s="80"/>
      <c r="E8" s="235"/>
      <c r="F8" s="74" t="s">
        <v>182</v>
      </c>
      <c r="G8" s="75">
        <v>0</v>
      </c>
      <c r="H8" s="81"/>
    </row>
    <row r="9" spans="1:8" ht="15.75" customHeight="1">
      <c r="A9" s="67" t="s">
        <v>183</v>
      </c>
      <c r="B9" s="73">
        <f>SUM(G13:G21)</f>
        <v>3</v>
      </c>
      <c r="C9" s="69"/>
      <c r="E9" s="235"/>
      <c r="F9" s="70" t="s">
        <v>184</v>
      </c>
      <c r="G9" s="75"/>
      <c r="H9" s="82" t="s">
        <v>185</v>
      </c>
    </row>
    <row r="10" spans="1:8" ht="15.75" customHeight="1">
      <c r="A10" s="72" t="s">
        <v>23</v>
      </c>
      <c r="B10" s="73">
        <f>B7+B8+B9</f>
        <v>3</v>
      </c>
      <c r="C10" s="69"/>
      <c r="E10" s="235"/>
      <c r="F10" s="70" t="s">
        <v>186</v>
      </c>
      <c r="G10" s="75">
        <v>0</v>
      </c>
      <c r="H10" s="81"/>
    </row>
    <row r="11" spans="1:8" ht="15.75" customHeight="1">
      <c r="E11" s="235"/>
      <c r="F11" s="70" t="s">
        <v>187</v>
      </c>
      <c r="G11" s="75">
        <v>0</v>
      </c>
      <c r="H11" s="81"/>
    </row>
    <row r="12" spans="1:8" ht="15.75" customHeight="1">
      <c r="E12" s="236"/>
      <c r="F12" s="70" t="s">
        <v>188</v>
      </c>
      <c r="G12" s="75">
        <v>0</v>
      </c>
      <c r="H12" s="82"/>
    </row>
    <row r="13" spans="1:8" ht="15.75" customHeight="1">
      <c r="E13" s="232" t="s">
        <v>55</v>
      </c>
      <c r="F13" s="70" t="s">
        <v>189</v>
      </c>
      <c r="G13" s="75">
        <v>0</v>
      </c>
      <c r="H13" s="81"/>
    </row>
    <row r="14" spans="1:8" ht="15.75" customHeight="1">
      <c r="E14" s="233"/>
      <c r="F14" s="70" t="s">
        <v>190</v>
      </c>
      <c r="G14" s="75"/>
      <c r="H14" s="81" t="s">
        <v>191</v>
      </c>
    </row>
    <row r="15" spans="1:8" ht="15.75" customHeight="1">
      <c r="E15" s="233"/>
      <c r="F15" s="70" t="s">
        <v>192</v>
      </c>
      <c r="G15" s="75"/>
      <c r="H15" s="81"/>
    </row>
    <row r="16" spans="1:8" ht="15.75" customHeight="1">
      <c r="E16" s="233"/>
      <c r="F16" s="70" t="s">
        <v>193</v>
      </c>
      <c r="G16" s="75"/>
      <c r="H16" s="81" t="s">
        <v>194</v>
      </c>
    </row>
    <row r="17" spans="1:11" ht="15.75" customHeight="1">
      <c r="E17" s="233"/>
      <c r="F17" s="70" t="s">
        <v>195</v>
      </c>
      <c r="G17" s="75"/>
      <c r="H17" s="81"/>
    </row>
    <row r="18" spans="1:11" ht="15.75" customHeight="1">
      <c r="E18" s="233"/>
      <c r="F18" s="70" t="s">
        <v>196</v>
      </c>
      <c r="G18" s="75"/>
      <c r="H18" s="81" t="s">
        <v>197</v>
      </c>
      <c r="I18" s="89" t="s">
        <v>198</v>
      </c>
    </row>
    <row r="19" spans="1:11" ht="15.75" customHeight="1">
      <c r="E19" s="233"/>
      <c r="F19" s="70" t="s">
        <v>199</v>
      </c>
      <c r="G19" s="75">
        <v>3</v>
      </c>
      <c r="H19" s="81" t="s">
        <v>200</v>
      </c>
    </row>
    <row r="20" spans="1:11" ht="15.75" customHeight="1">
      <c r="E20" s="233"/>
      <c r="F20" s="70" t="s">
        <v>201</v>
      </c>
      <c r="G20" s="75"/>
      <c r="H20" s="70"/>
    </row>
    <row r="21" spans="1:11" ht="15.75" customHeight="1">
      <c r="E21" s="237"/>
      <c r="F21" s="70" t="s">
        <v>133</v>
      </c>
      <c r="G21" s="75"/>
      <c r="H21" s="70"/>
    </row>
    <row r="22" spans="1:11" ht="15.75" customHeight="1">
      <c r="E22" s="65" t="s">
        <v>23</v>
      </c>
      <c r="F22" s="70"/>
      <c r="G22" s="83">
        <f>SUM(G3:G21)</f>
        <v>3</v>
      </c>
      <c r="H22" s="70"/>
    </row>
    <row r="23" spans="1:11" ht="30.75" customHeight="1">
      <c r="E23" s="228" t="s">
        <v>202</v>
      </c>
      <c r="F23" s="228"/>
      <c r="G23" s="228"/>
      <c r="H23" s="228"/>
    </row>
    <row r="25" spans="1:11" ht="17.25">
      <c r="A25" s="37" t="s">
        <v>1</v>
      </c>
      <c r="B25" s="37" t="s">
        <v>164</v>
      </c>
      <c r="C25" s="37" t="s">
        <v>203</v>
      </c>
      <c r="D25" s="55" t="s">
        <v>204</v>
      </c>
      <c r="E25" s="55" t="s">
        <v>205</v>
      </c>
      <c r="F25" s="55" t="s">
        <v>206</v>
      </c>
      <c r="G25" s="55" t="s">
        <v>207</v>
      </c>
      <c r="H25" s="55" t="s">
        <v>208</v>
      </c>
      <c r="I25" s="55" t="s">
        <v>209</v>
      </c>
      <c r="J25" s="55" t="s">
        <v>23</v>
      </c>
      <c r="K25" s="90" t="s">
        <v>210</v>
      </c>
    </row>
    <row r="26" spans="1:11" ht="16.5">
      <c r="A26" s="84" t="s">
        <v>153</v>
      </c>
      <c r="B26" s="85">
        <f>(B5+B8)*10000</f>
        <v>0</v>
      </c>
      <c r="C26" s="86">
        <v>0.05</v>
      </c>
      <c r="D26" s="36">
        <f>B26*(1-C26)/6</f>
        <v>0</v>
      </c>
      <c r="E26" s="36">
        <f>D26</f>
        <v>0</v>
      </c>
      <c r="F26" s="36">
        <f t="shared" ref="F26:I26" si="0">E26</f>
        <v>0</v>
      </c>
      <c r="G26" s="36">
        <f t="shared" si="0"/>
        <v>0</v>
      </c>
      <c r="H26" s="36">
        <f t="shared" si="0"/>
        <v>0</v>
      </c>
      <c r="I26" s="36">
        <f t="shared" si="0"/>
        <v>0</v>
      </c>
      <c r="J26" s="36">
        <f>SUM(D26:I26)</f>
        <v>0</v>
      </c>
      <c r="K26" s="36">
        <f>B26*0.05</f>
        <v>0</v>
      </c>
    </row>
    <row r="27" spans="1:11" ht="16.5">
      <c r="A27" s="84" t="s">
        <v>211</v>
      </c>
      <c r="B27" s="87">
        <f>B9*10000</f>
        <v>30000</v>
      </c>
      <c r="C27" s="88"/>
      <c r="D27" s="88">
        <f>B27/3</f>
        <v>10000</v>
      </c>
      <c r="E27" s="88">
        <f>D27</f>
        <v>10000</v>
      </c>
      <c r="F27" s="88">
        <f>E27</f>
        <v>10000</v>
      </c>
      <c r="G27" s="88"/>
      <c r="H27" s="88"/>
      <c r="I27" s="88"/>
      <c r="J27" s="88">
        <f>SUM(D27:I27)</f>
        <v>30000</v>
      </c>
      <c r="K27" s="36"/>
    </row>
    <row r="28" spans="1:11" ht="16.5">
      <c r="A28" s="229" t="s">
        <v>113</v>
      </c>
      <c r="B28" s="230"/>
      <c r="C28" s="231"/>
      <c r="D28" s="36">
        <f>SUM(D26:D27)</f>
        <v>10000</v>
      </c>
      <c r="E28" s="36">
        <f t="shared" ref="E28:H28" si="1">SUM(E26:E27)</f>
        <v>10000</v>
      </c>
      <c r="F28" s="36">
        <f t="shared" si="1"/>
        <v>10000</v>
      </c>
      <c r="G28" s="36">
        <f t="shared" si="1"/>
        <v>0</v>
      </c>
      <c r="H28" s="36">
        <f t="shared" si="1"/>
        <v>0</v>
      </c>
      <c r="I28" s="36">
        <f t="shared" ref="I28" si="2">SUM(I26:I27)</f>
        <v>0</v>
      </c>
      <c r="J28" s="91"/>
      <c r="K28" s="9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selection activeCell="M16" sqref="M16"/>
    </sheetView>
  </sheetViews>
  <sheetFormatPr defaultColWidth="9" defaultRowHeight="16.5"/>
  <cols>
    <col min="1" max="1" width="14" style="29" customWidth="1"/>
    <col min="2" max="2" width="14.125" style="29" customWidth="1"/>
    <col min="3" max="5" width="16.375" style="29" customWidth="1"/>
    <col min="6" max="8" width="14.25" style="29" customWidth="1"/>
    <col min="9" max="9" width="11.625" style="29" customWidth="1"/>
    <col min="10" max="10" width="11.125" style="29" customWidth="1"/>
    <col min="11" max="11" width="9.125" style="29" customWidth="1"/>
    <col min="12" max="16384" width="9" style="29"/>
  </cols>
  <sheetData>
    <row r="1" spans="1:12" ht="29.25" customHeight="1">
      <c r="A1" s="42" t="s">
        <v>212</v>
      </c>
      <c r="E1" s="43"/>
      <c r="F1" s="43"/>
      <c r="G1" s="43"/>
      <c r="H1" s="43"/>
      <c r="I1" s="43"/>
    </row>
    <row r="2" spans="1:12" ht="24" customHeight="1">
      <c r="A2" s="44" t="s">
        <v>213</v>
      </c>
      <c r="E2" s="43"/>
      <c r="F2" s="43"/>
      <c r="G2" s="43"/>
      <c r="H2" s="43"/>
      <c r="I2" s="43"/>
    </row>
    <row r="3" spans="1:12">
      <c r="C3" s="29" t="s">
        <v>214</v>
      </c>
      <c r="D3" s="45" t="s">
        <v>215</v>
      </c>
      <c r="E3" s="46">
        <v>0</v>
      </c>
    </row>
    <row r="5" spans="1:12" ht="27.75" customHeight="1">
      <c r="A5" s="239" t="s">
        <v>216</v>
      </c>
      <c r="B5" s="31" t="s">
        <v>149</v>
      </c>
      <c r="C5" s="47" t="s">
        <v>217</v>
      </c>
      <c r="D5" s="47" t="s">
        <v>218</v>
      </c>
      <c r="E5" s="47" t="s">
        <v>218</v>
      </c>
      <c r="F5" s="37"/>
      <c r="G5" s="37"/>
      <c r="H5" s="37"/>
      <c r="I5" s="240" t="s">
        <v>23</v>
      </c>
    </row>
    <row r="6" spans="1:12" ht="29.25" customHeight="1">
      <c r="A6" s="239"/>
      <c r="B6" s="31" t="s">
        <v>150</v>
      </c>
      <c r="C6" s="48" t="s">
        <v>219</v>
      </c>
      <c r="D6" s="48" t="s">
        <v>220</v>
      </c>
      <c r="E6" s="48" t="s">
        <v>221</v>
      </c>
      <c r="F6" s="49"/>
      <c r="G6" s="39"/>
      <c r="H6" s="39"/>
      <c r="I6" s="241"/>
      <c r="K6" s="29">
        <v>100</v>
      </c>
    </row>
    <row r="7" spans="1:12" ht="33.75" customHeight="1">
      <c r="A7" s="239"/>
      <c r="B7" s="50" t="s">
        <v>222</v>
      </c>
      <c r="C7" s="272" t="s">
        <v>282</v>
      </c>
      <c r="D7" s="272" t="s">
        <v>283</v>
      </c>
      <c r="E7" s="272" t="s">
        <v>284</v>
      </c>
      <c r="F7" s="49"/>
      <c r="G7" s="39"/>
      <c r="H7" s="39"/>
      <c r="I7" s="242"/>
      <c r="J7" s="273" t="s">
        <v>285</v>
      </c>
      <c r="K7" s="29">
        <f>K6*(1-$E$3)</f>
        <v>100</v>
      </c>
      <c r="L7" s="29">
        <f>K7/$K$6</f>
        <v>1</v>
      </c>
    </row>
    <row r="8" spans="1:12" ht="33">
      <c r="A8" s="239"/>
      <c r="B8" s="50" t="s">
        <v>223</v>
      </c>
      <c r="C8" s="198">
        <f>276.7/1.13</f>
        <v>244.86725663716817</v>
      </c>
      <c r="D8" s="198">
        <f>362.5/1.13</f>
        <v>320.79646017699116</v>
      </c>
      <c r="E8" s="198">
        <f>354.2/1.13</f>
        <v>313.45132743362836</v>
      </c>
      <c r="F8" s="49"/>
      <c r="G8" s="39"/>
      <c r="H8" s="39"/>
      <c r="I8" s="199">
        <f>SUM(C8:H8)</f>
        <v>879.11504424778764</v>
      </c>
      <c r="J8" s="58">
        <f>C8*2+D8+E8</f>
        <v>1123.982300884956</v>
      </c>
      <c r="K8" s="29">
        <f>K7*(1-$E$3)</f>
        <v>100</v>
      </c>
      <c r="L8" s="29">
        <f t="shared" ref="L8:L10" si="0">K8/$K$6</f>
        <v>1</v>
      </c>
    </row>
    <row r="9" spans="1:12" ht="18.75">
      <c r="A9" s="239" t="s">
        <v>224</v>
      </c>
      <c r="B9" s="37" t="s">
        <v>204</v>
      </c>
      <c r="C9" s="51">
        <v>10000</v>
      </c>
      <c r="D9" s="51">
        <v>5000</v>
      </c>
      <c r="E9" s="51">
        <v>5000</v>
      </c>
      <c r="F9" s="52"/>
      <c r="G9" s="52"/>
      <c r="H9" s="53"/>
      <c r="I9" s="60">
        <f>SUM(C9:H9)</f>
        <v>20000</v>
      </c>
      <c r="K9" s="29">
        <f t="shared" ref="K9:K11" si="1">K8*(1-$E$3)</f>
        <v>100</v>
      </c>
      <c r="L9" s="29">
        <f t="shared" si="0"/>
        <v>1</v>
      </c>
    </row>
    <row r="10" spans="1:12" ht="18.75">
      <c r="A10" s="239"/>
      <c r="B10" s="37" t="s">
        <v>205</v>
      </c>
      <c r="C10" s="51">
        <v>10000</v>
      </c>
      <c r="D10" s="51">
        <v>5000</v>
      </c>
      <c r="E10" s="51">
        <v>5000</v>
      </c>
      <c r="F10" s="52"/>
      <c r="G10" s="52"/>
      <c r="H10" s="53"/>
      <c r="I10" s="60">
        <f t="shared" ref="I10:I14" si="2">SUM(C10:H10)</f>
        <v>20000</v>
      </c>
      <c r="K10" s="29">
        <f t="shared" si="1"/>
        <v>100</v>
      </c>
      <c r="L10" s="29">
        <f t="shared" si="0"/>
        <v>1</v>
      </c>
    </row>
    <row r="11" spans="1:12" ht="18.75">
      <c r="A11" s="239"/>
      <c r="B11" s="37" t="s">
        <v>206</v>
      </c>
      <c r="C11" s="51">
        <v>10000</v>
      </c>
      <c r="D11" s="51">
        <v>5000</v>
      </c>
      <c r="E11" s="51">
        <v>5000</v>
      </c>
      <c r="F11" s="52"/>
      <c r="G11" s="52"/>
      <c r="H11" s="53"/>
      <c r="I11" s="60">
        <f t="shared" si="2"/>
        <v>20000</v>
      </c>
      <c r="K11" s="29">
        <f t="shared" si="1"/>
        <v>100</v>
      </c>
      <c r="L11" s="29">
        <f t="shared" ref="L11" si="3">K11/$K$6</f>
        <v>1</v>
      </c>
    </row>
    <row r="12" spans="1:12" ht="18.75">
      <c r="A12" s="239"/>
      <c r="B12" s="37" t="s">
        <v>207</v>
      </c>
      <c r="C12" s="54"/>
      <c r="D12" s="54"/>
      <c r="E12" s="54"/>
      <c r="F12" s="52"/>
      <c r="G12" s="52"/>
      <c r="H12" s="53"/>
      <c r="I12" s="60">
        <f t="shared" si="2"/>
        <v>0</v>
      </c>
    </row>
    <row r="13" spans="1:12" ht="18.75">
      <c r="A13" s="239"/>
      <c r="B13" s="37" t="s">
        <v>208</v>
      </c>
      <c r="C13" s="54"/>
      <c r="D13" s="54"/>
      <c r="E13" s="54"/>
      <c r="F13" s="52"/>
      <c r="G13" s="52"/>
      <c r="H13" s="53"/>
      <c r="I13" s="60">
        <f t="shared" si="2"/>
        <v>0</v>
      </c>
    </row>
    <row r="14" spans="1:12" ht="18.75">
      <c r="A14" s="239"/>
      <c r="B14" s="37" t="s">
        <v>209</v>
      </c>
      <c r="C14" s="54"/>
      <c r="D14" s="54"/>
      <c r="E14" s="54"/>
      <c r="F14" s="52"/>
      <c r="G14" s="52"/>
      <c r="H14" s="53"/>
      <c r="I14" s="60">
        <f t="shared" si="2"/>
        <v>0</v>
      </c>
    </row>
    <row r="15" spans="1:12" ht="17.25">
      <c r="A15" s="238" t="s">
        <v>23</v>
      </c>
      <c r="B15" s="238"/>
      <c r="C15" s="56">
        <f>SUM(C9:C14)</f>
        <v>30000</v>
      </c>
      <c r="D15" s="56">
        <f t="shared" ref="D15:I15" si="4">SUM(D9:D14)</f>
        <v>15000</v>
      </c>
      <c r="E15" s="56">
        <f t="shared" si="4"/>
        <v>15000</v>
      </c>
      <c r="F15" s="56">
        <f t="shared" si="4"/>
        <v>0</v>
      </c>
      <c r="G15" s="56">
        <f t="shared" si="4"/>
        <v>0</v>
      </c>
      <c r="H15" s="56">
        <f t="shared" si="4"/>
        <v>0</v>
      </c>
      <c r="I15" s="56">
        <f t="shared" si="4"/>
        <v>60000</v>
      </c>
    </row>
    <row r="16" spans="1:12">
      <c r="A16" s="57"/>
      <c r="B16" s="57" t="s">
        <v>225</v>
      </c>
      <c r="C16" s="57">
        <f>材料成本!D12</f>
        <v>239.49067569442411</v>
      </c>
      <c r="D16" s="58">
        <f>材料成本!E12</f>
        <v>269.60380904814815</v>
      </c>
      <c r="E16" s="58">
        <f>材料成本!F12</f>
        <v>276.12899914814813</v>
      </c>
      <c r="F16" s="58"/>
      <c r="G16" s="58"/>
      <c r="I16" s="58">
        <f>SUM(C16:H16)</f>
        <v>785.22348389072044</v>
      </c>
      <c r="J16" s="58">
        <f t="shared" ref="J16:J17" si="5">C16*2+D16+E16</f>
        <v>1024.7141595851444</v>
      </c>
    </row>
    <row r="17" spans="1:10">
      <c r="A17" s="57"/>
      <c r="B17" s="57" t="s">
        <v>71</v>
      </c>
      <c r="C17" s="57">
        <f>C8-C16</f>
        <v>5.3765809427440558</v>
      </c>
      <c r="D17" s="57">
        <f t="shared" ref="D17:H17" si="6">D8-D16</f>
        <v>51.192651128843011</v>
      </c>
      <c r="E17" s="57">
        <f t="shared" si="6"/>
        <v>37.322328285480239</v>
      </c>
      <c r="F17" s="57">
        <f t="shared" si="6"/>
        <v>0</v>
      </c>
      <c r="G17" s="57">
        <f t="shared" si="6"/>
        <v>0</v>
      </c>
      <c r="H17" s="57">
        <f t="shared" si="6"/>
        <v>0</v>
      </c>
      <c r="I17" s="58">
        <f>SUM(C17:H17)</f>
        <v>93.891560357067306</v>
      </c>
      <c r="J17" s="58">
        <f t="shared" si="5"/>
        <v>99.268141299811361</v>
      </c>
    </row>
    <row r="18" spans="1:10">
      <c r="A18" s="57"/>
      <c r="B18" s="57" t="s">
        <v>226</v>
      </c>
      <c r="C18" s="59">
        <f>C17/C8</f>
        <v>2.1957124919771531E-2</v>
      </c>
      <c r="D18" s="59">
        <f t="shared" ref="D18:J18" si="7">D17/D8</f>
        <v>0.15957985041542785</v>
      </c>
      <c r="E18" s="59">
        <f t="shared" si="7"/>
        <v>0.11906897504966873</v>
      </c>
      <c r="F18" s="59" t="e">
        <f t="shared" si="7"/>
        <v>#DIV/0!</v>
      </c>
      <c r="G18" s="59" t="e">
        <f t="shared" si="7"/>
        <v>#DIV/0!</v>
      </c>
      <c r="H18" s="59" t="e">
        <f t="shared" si="7"/>
        <v>#DIV/0!</v>
      </c>
      <c r="I18" s="59">
        <f t="shared" si="7"/>
        <v>0.10680235877137714</v>
      </c>
      <c r="J18" s="59">
        <f t="shared" si="7"/>
        <v>8.8318242397281171E-2</v>
      </c>
    </row>
  </sheetData>
  <mergeCells count="4">
    <mergeCell ref="A15:B15"/>
    <mergeCell ref="A5:A8"/>
    <mergeCell ref="A9:A14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pane xSplit="3" ySplit="5" topLeftCell="D6" activePane="bottomRight" state="frozen"/>
      <selection pane="topRight"/>
      <selection pane="bottomLeft"/>
      <selection pane="bottomRight" activeCell="F7" sqref="F7"/>
    </sheetView>
  </sheetViews>
  <sheetFormatPr defaultColWidth="9" defaultRowHeight="16.5"/>
  <cols>
    <col min="1" max="1" width="8.375" style="29" customWidth="1"/>
    <col min="2" max="2" width="8.875" style="29" customWidth="1"/>
    <col min="3" max="3" width="14" style="29" customWidth="1"/>
    <col min="4" max="4" width="14.5" style="29" customWidth="1"/>
    <col min="5" max="6" width="13.375" style="29" customWidth="1"/>
    <col min="7" max="10" width="10.875" style="29" customWidth="1"/>
    <col min="11" max="11" width="17.375" style="29" customWidth="1"/>
    <col min="12" max="12" width="16" style="29" customWidth="1"/>
    <col min="13" max="16384" width="9" style="29"/>
  </cols>
  <sheetData>
    <row r="1" spans="1:13" s="28" customFormat="1" ht="28.5" customHeight="1">
      <c r="A1" s="254" t="s">
        <v>6</v>
      </c>
      <c r="B1" s="254"/>
      <c r="C1" s="30"/>
      <c r="L1" s="40"/>
    </row>
    <row r="2" spans="1:13">
      <c r="A2" s="255" t="s">
        <v>227</v>
      </c>
      <c r="B2" s="255"/>
      <c r="C2" s="256"/>
      <c r="D2" s="256"/>
      <c r="E2" s="257" t="s">
        <v>280</v>
      </c>
      <c r="F2" s="258"/>
      <c r="G2" s="258"/>
      <c r="H2" s="258"/>
      <c r="I2" s="258"/>
      <c r="J2" s="258"/>
      <c r="K2" s="259"/>
    </row>
    <row r="3" spans="1:13" ht="27.75" customHeight="1">
      <c r="A3" s="250" t="s">
        <v>16</v>
      </c>
      <c r="B3" s="250" t="s">
        <v>228</v>
      </c>
      <c r="C3" s="31" t="s">
        <v>229</v>
      </c>
      <c r="D3" s="260" t="str">
        <f>损益表!A1</f>
        <v>老M4更换面料座椅项目（不含固定费用）</v>
      </c>
      <c r="E3" s="260"/>
      <c r="F3" s="31" t="s">
        <v>230</v>
      </c>
      <c r="G3" s="261" t="s">
        <v>279</v>
      </c>
      <c r="H3" s="262"/>
      <c r="I3" s="262"/>
      <c r="J3" s="263"/>
      <c r="K3" s="251" t="s">
        <v>165</v>
      </c>
    </row>
    <row r="4" spans="1:13" ht="28.5">
      <c r="A4" s="250"/>
      <c r="B4" s="250"/>
      <c r="C4" s="31" t="s">
        <v>149</v>
      </c>
      <c r="D4" s="32" t="str">
        <f>销量!C5</f>
        <v>驾驶员座总成</v>
      </c>
      <c r="E4" s="32" t="str">
        <f>销量!D5</f>
        <v>副驾驶员座椅总成</v>
      </c>
      <c r="F4" s="32" t="str">
        <f>销量!E5</f>
        <v>副驾驶员座椅总成</v>
      </c>
      <c r="G4" s="32">
        <f>销量!F5</f>
        <v>0</v>
      </c>
      <c r="H4" s="32">
        <f>销量!G5</f>
        <v>0</v>
      </c>
      <c r="I4" s="32">
        <f>销量!H5</f>
        <v>0</v>
      </c>
      <c r="J4" s="32"/>
      <c r="K4" s="252"/>
    </row>
    <row r="5" spans="1:13" ht="35.25" customHeight="1">
      <c r="A5" s="250"/>
      <c r="B5" s="250"/>
      <c r="C5" s="31" t="s">
        <v>150</v>
      </c>
      <c r="D5" s="32" t="str">
        <f>销量!C6</f>
        <v>L168100000553</v>
      </c>
      <c r="E5" s="32" t="str">
        <f>销量!D6</f>
        <v>L168100000557</v>
      </c>
      <c r="F5" s="32" t="str">
        <f>销量!E6</f>
        <v>L168100000554</v>
      </c>
      <c r="G5" s="32">
        <f>销量!F6</f>
        <v>0</v>
      </c>
      <c r="H5" s="32">
        <f>销量!G6</f>
        <v>0</v>
      </c>
      <c r="I5" s="32">
        <f>销量!H6</f>
        <v>0</v>
      </c>
      <c r="J5" s="32"/>
      <c r="K5" s="253"/>
    </row>
    <row r="6" spans="1:13" ht="16.5" customHeight="1">
      <c r="A6" s="33">
        <v>1</v>
      </c>
      <c r="B6" s="245" t="s">
        <v>6</v>
      </c>
      <c r="C6" s="246"/>
      <c r="D6" s="34">
        <v>239.49067569442411</v>
      </c>
      <c r="E6" s="34">
        <v>269.60380904814815</v>
      </c>
      <c r="F6" s="34">
        <v>276.12899914814813</v>
      </c>
      <c r="G6" s="34"/>
      <c r="H6" s="34"/>
      <c r="I6" s="34"/>
      <c r="J6" s="34"/>
      <c r="K6" s="41" t="s">
        <v>277</v>
      </c>
    </row>
    <row r="7" spans="1:13" ht="16.5" customHeight="1">
      <c r="A7" s="33">
        <v>2</v>
      </c>
      <c r="B7" s="245"/>
      <c r="C7" s="246"/>
      <c r="D7" s="35"/>
      <c r="E7" s="35"/>
      <c r="F7" s="35"/>
      <c r="G7" s="35"/>
      <c r="H7" s="35"/>
      <c r="I7" s="35"/>
      <c r="J7" s="35"/>
      <c r="K7" s="39"/>
    </row>
    <row r="8" spans="1:13" ht="16.5" customHeight="1">
      <c r="A8" s="33">
        <v>3</v>
      </c>
      <c r="B8" s="245"/>
      <c r="C8" s="246"/>
      <c r="D8" s="34"/>
      <c r="E8" s="35"/>
      <c r="F8" s="34"/>
      <c r="G8" s="35"/>
      <c r="H8" s="34"/>
      <c r="I8" s="34"/>
      <c r="J8" s="34"/>
      <c r="K8" s="39"/>
    </row>
    <row r="9" spans="1:13">
      <c r="A9" s="33">
        <v>4</v>
      </c>
      <c r="B9" s="245"/>
      <c r="C9" s="246"/>
      <c r="D9" s="34"/>
      <c r="E9" s="35"/>
      <c r="F9" s="34"/>
      <c r="G9" s="35"/>
      <c r="H9" s="35"/>
      <c r="I9" s="35"/>
      <c r="J9" s="35"/>
      <c r="K9" s="39"/>
    </row>
    <row r="10" spans="1:13" ht="16.5" customHeight="1">
      <c r="A10" s="33">
        <v>5</v>
      </c>
      <c r="B10" s="245"/>
      <c r="C10" s="246"/>
      <c r="D10" s="34"/>
      <c r="E10" s="35"/>
      <c r="F10" s="34"/>
      <c r="G10" s="35"/>
      <c r="H10" s="35"/>
      <c r="I10" s="35"/>
      <c r="J10" s="35"/>
      <c r="K10" s="39"/>
      <c r="L10" s="243"/>
      <c r="M10" s="244"/>
    </row>
    <row r="11" spans="1:13" ht="16.5" customHeight="1">
      <c r="A11" s="33">
        <v>6</v>
      </c>
      <c r="B11" s="245"/>
      <c r="C11" s="246"/>
      <c r="D11" s="34"/>
      <c r="E11" s="35"/>
      <c r="F11" s="34"/>
      <c r="G11" s="35"/>
      <c r="H11" s="35"/>
      <c r="I11" s="35"/>
      <c r="J11" s="35"/>
      <c r="K11" s="39"/>
      <c r="L11" s="243"/>
      <c r="M11" s="244"/>
    </row>
    <row r="12" spans="1:13" ht="31.5" customHeight="1">
      <c r="A12" s="247" t="s">
        <v>231</v>
      </c>
      <c r="B12" s="248"/>
      <c r="C12" s="249"/>
      <c r="D12" s="36">
        <f t="shared" ref="D12:J12" si="0">SUM(D6:D11)</f>
        <v>239.49067569442411</v>
      </c>
      <c r="E12" s="36">
        <f t="shared" si="0"/>
        <v>269.60380904814815</v>
      </c>
      <c r="F12" s="36">
        <f t="shared" si="0"/>
        <v>276.12899914814813</v>
      </c>
      <c r="G12" s="36">
        <f t="shared" si="0"/>
        <v>0</v>
      </c>
      <c r="H12" s="36">
        <f t="shared" si="0"/>
        <v>0</v>
      </c>
      <c r="I12" s="36"/>
      <c r="J12" s="36">
        <f t="shared" si="0"/>
        <v>0</v>
      </c>
      <c r="K12" s="39"/>
    </row>
    <row r="13" spans="1:13">
      <c r="C13" s="37" t="s">
        <v>205</v>
      </c>
      <c r="D13" s="38">
        <f>D12</f>
        <v>239.49067569442411</v>
      </c>
      <c r="E13" s="38">
        <f t="shared" ref="E13:F13" si="1">E12</f>
        <v>269.60380904814815</v>
      </c>
      <c r="F13" s="38">
        <f t="shared" si="1"/>
        <v>276.12899914814813</v>
      </c>
      <c r="G13" s="39"/>
      <c r="H13" s="39"/>
      <c r="I13" s="39"/>
      <c r="J13" s="39"/>
    </row>
    <row r="14" spans="1:13">
      <c r="C14" s="37" t="s">
        <v>206</v>
      </c>
      <c r="D14" s="38">
        <f>D13</f>
        <v>239.49067569442411</v>
      </c>
      <c r="E14" s="38">
        <f t="shared" ref="E14" si="2">E13</f>
        <v>269.60380904814815</v>
      </c>
      <c r="F14" s="38">
        <f t="shared" ref="F14" si="3">F13</f>
        <v>276.12899914814813</v>
      </c>
      <c r="G14" s="39"/>
      <c r="H14" s="39"/>
      <c r="I14" s="39"/>
      <c r="J14" s="39"/>
    </row>
    <row r="15" spans="1:13">
      <c r="C15" s="37" t="s">
        <v>207</v>
      </c>
      <c r="D15" s="38"/>
      <c r="E15" s="39"/>
      <c r="F15" s="39"/>
      <c r="G15" s="39"/>
      <c r="H15" s="39"/>
      <c r="I15" s="39"/>
      <c r="J15" s="39"/>
    </row>
    <row r="16" spans="1:13">
      <c r="C16" s="37" t="s">
        <v>208</v>
      </c>
      <c r="D16" s="38"/>
      <c r="E16" s="39"/>
      <c r="F16" s="39"/>
      <c r="G16" s="39"/>
      <c r="H16" s="39"/>
      <c r="I16" s="39"/>
      <c r="J16" s="39"/>
    </row>
    <row r="17" spans="3:10">
      <c r="C17" s="37" t="s">
        <v>209</v>
      </c>
      <c r="D17" s="38"/>
      <c r="E17" s="39"/>
      <c r="F17" s="39"/>
      <c r="G17" s="39"/>
      <c r="H17" s="39"/>
      <c r="I17" s="39"/>
      <c r="J17" s="39"/>
    </row>
  </sheetData>
  <mergeCells count="17">
    <mergeCell ref="A1:B1"/>
    <mergeCell ref="A2:D2"/>
    <mergeCell ref="E2:K2"/>
    <mergeCell ref="D3:E3"/>
    <mergeCell ref="G3:J3"/>
    <mergeCell ref="L10:M10"/>
    <mergeCell ref="B11:C11"/>
    <mergeCell ref="L11:M11"/>
    <mergeCell ref="A12:C12"/>
    <mergeCell ref="A3:A5"/>
    <mergeCell ref="B3:B5"/>
    <mergeCell ref="K3:K5"/>
    <mergeCell ref="B6:C6"/>
    <mergeCell ref="B7:C7"/>
    <mergeCell ref="B8:C8"/>
    <mergeCell ref="B9:C9"/>
    <mergeCell ref="B10:C10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E11" sqref="E11"/>
    </sheetView>
  </sheetViews>
  <sheetFormatPr defaultColWidth="9" defaultRowHeight="13.5"/>
  <cols>
    <col min="1" max="1" width="6.625" style="18" customWidth="1"/>
    <col min="2" max="2" width="30.125" style="18" customWidth="1"/>
    <col min="3" max="3" width="16" style="18" customWidth="1"/>
    <col min="4" max="4" width="18.625" style="18" customWidth="1"/>
    <col min="5" max="16384" width="9" style="18"/>
  </cols>
  <sheetData>
    <row r="1" spans="1:5" ht="27" customHeight="1">
      <c r="A1" s="19" t="s">
        <v>16</v>
      </c>
      <c r="B1" s="19" t="s">
        <v>232</v>
      </c>
      <c r="C1" s="19" t="s">
        <v>233</v>
      </c>
      <c r="D1" s="19" t="s">
        <v>234</v>
      </c>
    </row>
    <row r="2" spans="1:5" ht="15.75" customHeight="1">
      <c r="A2" s="19">
        <v>1</v>
      </c>
      <c r="B2" s="20" t="s">
        <v>235</v>
      </c>
      <c r="C2" s="22" t="s">
        <v>237</v>
      </c>
      <c r="D2" s="19"/>
    </row>
    <row r="3" spans="1:5" ht="15.75" customHeight="1">
      <c r="A3" s="19">
        <v>2</v>
      </c>
      <c r="B3" s="20" t="s">
        <v>236</v>
      </c>
      <c r="C3" s="22" t="s">
        <v>272</v>
      </c>
      <c r="D3" s="19" t="s">
        <v>238</v>
      </c>
    </row>
    <row r="4" spans="1:5" ht="15.75" customHeight="1">
      <c r="A4" s="19">
        <v>3</v>
      </c>
      <c r="B4" s="20" t="s">
        <v>239</v>
      </c>
      <c r="C4" s="21"/>
      <c r="D4" s="19" t="s">
        <v>240</v>
      </c>
    </row>
    <row r="5" spans="1:5" ht="15.75" customHeight="1">
      <c r="A5" s="23">
        <v>4</v>
      </c>
      <c r="B5" s="20" t="s">
        <v>241</v>
      </c>
      <c r="C5" s="21"/>
      <c r="D5" s="19"/>
    </row>
    <row r="6" spans="1:5" ht="15.75" customHeight="1">
      <c r="A6" s="23">
        <v>5</v>
      </c>
      <c r="B6" s="20" t="s">
        <v>242</v>
      </c>
      <c r="C6" s="21"/>
      <c r="D6" s="19"/>
    </row>
    <row r="7" spans="1:5" ht="15.75" customHeight="1">
      <c r="A7" s="19">
        <v>6</v>
      </c>
      <c r="B7" s="19" t="s">
        <v>243</v>
      </c>
      <c r="C7" s="22" t="s">
        <v>281</v>
      </c>
      <c r="D7" s="19"/>
    </row>
    <row r="8" spans="1:5" ht="15.75" customHeight="1">
      <c r="A8" s="19">
        <v>7</v>
      </c>
      <c r="B8" s="20" t="s">
        <v>244</v>
      </c>
      <c r="C8" s="24"/>
      <c r="D8" s="19"/>
    </row>
    <row r="9" spans="1:5" ht="15.75" customHeight="1">
      <c r="A9" s="19">
        <v>8</v>
      </c>
      <c r="B9" s="19" t="s">
        <v>245</v>
      </c>
      <c r="C9" s="24"/>
      <c r="D9" s="19"/>
    </row>
    <row r="10" spans="1:5" ht="15.75" customHeight="1">
      <c r="A10" s="19">
        <v>9</v>
      </c>
      <c r="B10" s="19" t="s">
        <v>246</v>
      </c>
      <c r="C10" s="24"/>
      <c r="D10" s="19"/>
    </row>
    <row r="11" spans="1:5" ht="15.75" customHeight="1">
      <c r="A11" s="19">
        <v>10</v>
      </c>
      <c r="B11" s="19" t="s">
        <v>247</v>
      </c>
      <c r="C11" s="24"/>
      <c r="D11" s="19" t="s">
        <v>248</v>
      </c>
      <c r="E11" s="25"/>
    </row>
    <row r="12" spans="1:5" ht="15.75" customHeight="1">
      <c r="A12" s="19">
        <v>11</v>
      </c>
      <c r="B12" s="19" t="s">
        <v>249</v>
      </c>
      <c r="C12" s="24"/>
      <c r="D12" s="19"/>
    </row>
    <row r="13" spans="1:5" ht="15.75" customHeight="1">
      <c r="A13" s="19">
        <v>12</v>
      </c>
      <c r="B13" s="20" t="s">
        <v>250</v>
      </c>
      <c r="C13" s="24"/>
      <c r="D13" s="19"/>
    </row>
    <row r="14" spans="1:5" ht="15.75" customHeight="1">
      <c r="A14" s="19">
        <v>13</v>
      </c>
      <c r="B14" s="20" t="s">
        <v>251</v>
      </c>
      <c r="C14" s="24"/>
      <c r="D14" s="19"/>
    </row>
    <row r="15" spans="1:5" ht="15.75" customHeight="1">
      <c r="A15" s="19">
        <v>14</v>
      </c>
      <c r="B15" s="20" t="s">
        <v>252</v>
      </c>
      <c r="C15" s="24"/>
      <c r="D15" s="19"/>
    </row>
    <row r="16" spans="1:5" ht="15.75" customHeight="1">
      <c r="A16" s="19">
        <v>15</v>
      </c>
      <c r="B16" s="19" t="s">
        <v>133</v>
      </c>
      <c r="C16" s="19"/>
      <c r="D16" s="19"/>
    </row>
    <row r="17" spans="1:4" ht="16.5">
      <c r="A17" s="26"/>
      <c r="B17" s="27" t="s">
        <v>253</v>
      </c>
      <c r="C17" s="26"/>
      <c r="D17" s="26"/>
    </row>
  </sheetData>
  <phoneticPr fontId="4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zoomScale="80" zoomScaleNormal="80" workbookViewId="0">
      <selection activeCell="K13" sqref="K13"/>
    </sheetView>
  </sheetViews>
  <sheetFormatPr defaultColWidth="9" defaultRowHeight="13.5"/>
  <cols>
    <col min="1" max="2" width="9" style="2"/>
    <col min="3" max="3" width="15.75" style="2" customWidth="1"/>
    <col min="4" max="4" width="13.625" style="2" customWidth="1"/>
    <col min="5" max="7" width="11.125" style="2" customWidth="1"/>
    <col min="8" max="8" width="12.875" style="3" customWidth="1"/>
    <col min="9" max="16384" width="9" style="2"/>
  </cols>
  <sheetData>
    <row r="1" spans="1:11" s="1" customFormat="1" ht="18.75" customHeight="1">
      <c r="F1" s="268" t="s">
        <v>254</v>
      </c>
      <c r="G1" s="268"/>
      <c r="H1" s="4"/>
    </row>
    <row r="2" spans="1:11" ht="19.5" customHeight="1">
      <c r="A2" s="267" t="s">
        <v>255</v>
      </c>
      <c r="B2" s="267"/>
      <c r="C2" s="269" t="s">
        <v>256</v>
      </c>
      <c r="D2" s="269"/>
      <c r="E2" s="269"/>
      <c r="F2" s="269"/>
      <c r="G2" s="270"/>
      <c r="H2" s="3" t="s">
        <v>257</v>
      </c>
      <c r="J2" s="14"/>
      <c r="K2" s="14"/>
    </row>
    <row r="3" spans="1:11" ht="34.5" customHeight="1">
      <c r="A3" s="267"/>
      <c r="B3" s="267"/>
      <c r="C3" s="5" t="s">
        <v>258</v>
      </c>
      <c r="D3" s="5" t="s">
        <v>259</v>
      </c>
      <c r="E3" s="6" t="s">
        <v>260</v>
      </c>
      <c r="F3" s="6" t="s">
        <v>261</v>
      </c>
      <c r="G3" s="6" t="s">
        <v>262</v>
      </c>
      <c r="H3" s="7">
        <f>销量!C8</f>
        <v>244.86725663716817</v>
      </c>
    </row>
    <row r="4" spans="1:11" ht="24" customHeight="1">
      <c r="A4" s="264" t="s">
        <v>263</v>
      </c>
      <c r="B4" s="264"/>
      <c r="C4" s="9"/>
      <c r="D4" s="10">
        <f>$H$3*E4</f>
        <v>14.236729252219602</v>
      </c>
      <c r="E4" s="200">
        <v>5.8140600126520232E-2</v>
      </c>
      <c r="F4" s="200"/>
      <c r="G4" s="12"/>
      <c r="H4" s="3">
        <f>E4</f>
        <v>5.8140600126520232E-2</v>
      </c>
      <c r="I4" s="15"/>
      <c r="J4" s="16"/>
      <c r="K4" s="16"/>
    </row>
    <row r="5" spans="1:11" ht="24" customHeight="1">
      <c r="A5" s="264" t="s">
        <v>264</v>
      </c>
      <c r="B5" s="8" t="s">
        <v>265</v>
      </c>
      <c r="C5" s="9"/>
      <c r="D5" s="10"/>
      <c r="E5" s="12">
        <v>4.4999999999999998E-2</v>
      </c>
      <c r="F5" s="200"/>
      <c r="G5" s="12"/>
      <c r="I5" s="17"/>
      <c r="J5" s="16"/>
      <c r="K5" s="16"/>
    </row>
    <row r="6" spans="1:11" ht="24" customHeight="1">
      <c r="A6" s="264"/>
      <c r="B6" s="8" t="s">
        <v>266</v>
      </c>
      <c r="C6" s="9"/>
      <c r="D6" s="10">
        <f t="shared" ref="D6" si="0">$H$3*E6</f>
        <v>4.4243489838901997</v>
      </c>
      <c r="E6" s="200">
        <v>1.8068356891203199E-2</v>
      </c>
      <c r="F6" s="200"/>
      <c r="G6" s="12"/>
      <c r="H6" s="3">
        <f t="shared" ref="H6:H11" si="1">E6</f>
        <v>1.8068356891203199E-2</v>
      </c>
      <c r="I6" s="15"/>
      <c r="J6" s="16"/>
      <c r="K6" s="16"/>
    </row>
    <row r="7" spans="1:11" ht="24" customHeight="1">
      <c r="A7" s="271" t="s">
        <v>267</v>
      </c>
      <c r="B7" s="270"/>
      <c r="C7" s="13"/>
      <c r="D7" s="201">
        <f>$H$3*E7</f>
        <v>29.680104784782372</v>
      </c>
      <c r="E7" s="202">
        <f>SUM(E4:E6)</f>
        <v>0.12120895701772344</v>
      </c>
      <c r="F7" s="202"/>
      <c r="G7" s="203"/>
      <c r="H7" s="3">
        <f>H4+H5+H6</f>
        <v>7.6208957017723428E-2</v>
      </c>
      <c r="I7" s="15"/>
      <c r="J7" s="16"/>
      <c r="K7" s="16"/>
    </row>
    <row r="8" spans="1:11" ht="24" customHeight="1">
      <c r="A8" s="264" t="s">
        <v>53</v>
      </c>
      <c r="B8" s="264"/>
      <c r="C8" s="9"/>
      <c r="D8" s="10"/>
      <c r="E8" s="204">
        <v>4.0563309291379773E-2</v>
      </c>
      <c r="F8" s="200"/>
      <c r="G8" s="12"/>
      <c r="I8" s="17"/>
      <c r="J8" s="16"/>
      <c r="K8" s="16"/>
    </row>
    <row r="9" spans="1:11" ht="24" customHeight="1">
      <c r="A9" s="265" t="s">
        <v>268</v>
      </c>
      <c r="B9" s="8" t="s">
        <v>265</v>
      </c>
      <c r="C9" s="9"/>
      <c r="D9" s="10"/>
      <c r="E9" s="12">
        <v>7.9000000000000008E-3</v>
      </c>
      <c r="F9" s="200"/>
      <c r="G9" s="12"/>
      <c r="I9" s="3"/>
      <c r="J9" s="16"/>
      <c r="K9" s="16"/>
    </row>
    <row r="10" spans="1:11" ht="24" customHeight="1">
      <c r="A10" s="266"/>
      <c r="B10" s="8" t="s">
        <v>266</v>
      </c>
      <c r="C10" s="9"/>
      <c r="D10" s="205">
        <v>7.3684210526315788</v>
      </c>
      <c r="E10" s="3">
        <v>2.5000000000000001E-2</v>
      </c>
      <c r="F10" s="200"/>
      <c r="G10" s="12"/>
      <c r="H10" s="3">
        <f>D10/H3</f>
        <v>3.0091491830407237E-2</v>
      </c>
      <c r="I10" s="3"/>
      <c r="J10" s="16"/>
      <c r="K10" s="16"/>
    </row>
    <row r="11" spans="1:11" ht="24" customHeight="1">
      <c r="A11" s="264" t="s">
        <v>56</v>
      </c>
      <c r="B11" s="264"/>
      <c r="C11" s="9"/>
      <c r="D11" s="10">
        <f t="shared" ref="D11" si="2">$H$3*E11</f>
        <v>12.243362831858409</v>
      </c>
      <c r="E11" s="12">
        <v>0.05</v>
      </c>
      <c r="F11" s="200"/>
      <c r="G11" s="12"/>
      <c r="H11" s="3">
        <f t="shared" si="1"/>
        <v>0.05</v>
      </c>
      <c r="I11" s="3"/>
      <c r="J11" s="16"/>
      <c r="K11" s="16"/>
    </row>
    <row r="13" spans="1:11">
      <c r="H13" s="4">
        <f>SUM(H7:H12)</f>
        <v>0.15630044884813066</v>
      </c>
    </row>
    <row r="15" spans="1:11">
      <c r="A15" s="1"/>
      <c r="B15" s="1"/>
      <c r="C15" s="1"/>
      <c r="D15" s="1"/>
      <c r="E15" s="1"/>
      <c r="F15" s="268" t="s">
        <v>254</v>
      </c>
      <c r="G15" s="268"/>
      <c r="H15" s="4"/>
    </row>
    <row r="16" spans="1:11" ht="26.25" customHeight="1">
      <c r="A16" s="267" t="s">
        <v>255</v>
      </c>
      <c r="B16" s="267"/>
      <c r="C16" s="269" t="str">
        <f>C2</f>
        <v>河北工厂平均值</v>
      </c>
      <c r="D16" s="269"/>
      <c r="E16" s="269"/>
      <c r="F16" s="269"/>
      <c r="G16" s="270"/>
      <c r="H16" s="3" t="s">
        <v>257</v>
      </c>
    </row>
    <row r="17" spans="1:8" ht="27">
      <c r="A17" s="267"/>
      <c r="B17" s="267"/>
      <c r="C17" s="5" t="s">
        <v>258</v>
      </c>
      <c r="D17" s="5" t="s">
        <v>269</v>
      </c>
      <c r="E17" s="6" t="s">
        <v>260</v>
      </c>
      <c r="F17" s="6" t="s">
        <v>261</v>
      </c>
      <c r="G17" s="6" t="s">
        <v>262</v>
      </c>
      <c r="H17" s="7">
        <f>销量!D8</f>
        <v>320.79646017699116</v>
      </c>
    </row>
    <row r="18" spans="1:8" ht="19.5" customHeight="1">
      <c r="A18" s="264" t="s">
        <v>263</v>
      </c>
      <c r="B18" s="264"/>
      <c r="C18" s="9"/>
      <c r="D18" s="10">
        <f>$H$17*E18</f>
        <v>18.651298713153615</v>
      </c>
      <c r="E18" s="11">
        <f t="shared" ref="E18:E25" si="3">E4</f>
        <v>5.8140600126520232E-2</v>
      </c>
      <c r="F18" s="10"/>
      <c r="G18" s="12"/>
    </row>
    <row r="19" spans="1:8" ht="19.5" customHeight="1">
      <c r="A19" s="264" t="s">
        <v>264</v>
      </c>
      <c r="B19" s="8" t="s">
        <v>265</v>
      </c>
      <c r="C19" s="9"/>
      <c r="D19" s="10"/>
      <c r="E19" s="12">
        <f t="shared" si="3"/>
        <v>4.4999999999999998E-2</v>
      </c>
      <c r="F19" s="10"/>
      <c r="G19" s="12"/>
    </row>
    <row r="20" spans="1:8" ht="19.5" customHeight="1">
      <c r="A20" s="264"/>
      <c r="B20" s="8" t="s">
        <v>266</v>
      </c>
      <c r="C20" s="9"/>
      <c r="D20" s="10">
        <f t="shared" ref="D20:D25" si="4">$H$17*E20</f>
        <v>5.796264931912531</v>
      </c>
      <c r="E20" s="11">
        <f t="shared" si="3"/>
        <v>1.8068356891203199E-2</v>
      </c>
      <c r="F20" s="10"/>
      <c r="G20" s="12"/>
    </row>
    <row r="21" spans="1:8" ht="19.5" customHeight="1">
      <c r="A21" s="271" t="s">
        <v>267</v>
      </c>
      <c r="B21" s="270"/>
      <c r="C21" s="13"/>
      <c r="D21" s="10">
        <f t="shared" si="4"/>
        <v>38.883404353030748</v>
      </c>
      <c r="E21" s="11">
        <f t="shared" si="3"/>
        <v>0.12120895701772344</v>
      </c>
      <c r="F21" s="10"/>
      <c r="G21" s="11"/>
    </row>
    <row r="22" spans="1:8" ht="19.5" customHeight="1">
      <c r="A22" s="264" t="s">
        <v>53</v>
      </c>
      <c r="B22" s="264"/>
      <c r="C22" s="9"/>
      <c r="D22" s="10"/>
      <c r="E22" s="12">
        <f t="shared" si="3"/>
        <v>4.0563309291379773E-2</v>
      </c>
      <c r="F22" s="10"/>
      <c r="G22" s="12"/>
    </row>
    <row r="23" spans="1:8" ht="19.5" customHeight="1">
      <c r="A23" s="265" t="s">
        <v>268</v>
      </c>
      <c r="B23" s="8" t="s">
        <v>265</v>
      </c>
      <c r="C23" s="9"/>
      <c r="D23" s="10"/>
      <c r="E23" s="12">
        <f t="shared" si="3"/>
        <v>7.9000000000000008E-3</v>
      </c>
      <c r="F23" s="10"/>
      <c r="G23" s="12"/>
    </row>
    <row r="24" spans="1:8" ht="19.5" customHeight="1">
      <c r="A24" s="266"/>
      <c r="B24" s="8" t="s">
        <v>266</v>
      </c>
      <c r="C24" s="9"/>
      <c r="D24" s="205">
        <v>14</v>
      </c>
      <c r="E24" s="3">
        <f t="shared" si="3"/>
        <v>2.5000000000000001E-2</v>
      </c>
      <c r="F24" s="10"/>
      <c r="G24" s="12"/>
      <c r="H24" s="3">
        <f>D24/H17</f>
        <v>4.3641379310344827E-2</v>
      </c>
    </row>
    <row r="25" spans="1:8" ht="19.5" customHeight="1">
      <c r="A25" s="264" t="s">
        <v>56</v>
      </c>
      <c r="B25" s="264"/>
      <c r="C25" s="9"/>
      <c r="D25" s="10">
        <f t="shared" si="4"/>
        <v>16.039823008849559</v>
      </c>
      <c r="E25" s="12">
        <f t="shared" si="3"/>
        <v>0.05</v>
      </c>
      <c r="F25" s="10"/>
      <c r="G25" s="12"/>
    </row>
    <row r="29" spans="1:8">
      <c r="A29" s="1"/>
      <c r="B29" s="1"/>
      <c r="C29" s="1"/>
      <c r="D29" s="1"/>
      <c r="E29" s="1"/>
      <c r="F29" s="268" t="s">
        <v>254</v>
      </c>
      <c r="G29" s="268"/>
      <c r="H29" s="4"/>
    </row>
    <row r="30" spans="1:8" ht="24" customHeight="1">
      <c r="A30" s="267" t="s">
        <v>255</v>
      </c>
      <c r="B30" s="267"/>
      <c r="C30" s="269" t="str">
        <f>C2</f>
        <v>河北工厂平均值</v>
      </c>
      <c r="D30" s="269"/>
      <c r="E30" s="269"/>
      <c r="F30" s="269"/>
      <c r="G30" s="270"/>
      <c r="H30" s="3" t="s">
        <v>257</v>
      </c>
    </row>
    <row r="31" spans="1:8" ht="27">
      <c r="A31" s="267"/>
      <c r="B31" s="267"/>
      <c r="C31" s="5" t="s">
        <v>258</v>
      </c>
      <c r="D31" s="5" t="s">
        <v>269</v>
      </c>
      <c r="E31" s="6" t="s">
        <v>260</v>
      </c>
      <c r="F31" s="6" t="s">
        <v>261</v>
      </c>
      <c r="G31" s="6" t="s">
        <v>262</v>
      </c>
      <c r="H31" s="7">
        <f>销量!E8</f>
        <v>313.45132743362836</v>
      </c>
    </row>
    <row r="32" spans="1:8" ht="21" customHeight="1">
      <c r="A32" s="264" t="s">
        <v>263</v>
      </c>
      <c r="B32" s="264"/>
      <c r="C32" s="9"/>
      <c r="D32" s="10">
        <f>$H$31*E32</f>
        <v>18.224248287445548</v>
      </c>
      <c r="E32" s="11">
        <f t="shared" ref="E32:E39" si="5">E4</f>
        <v>5.8140600126520232E-2</v>
      </c>
      <c r="F32" s="10"/>
      <c r="G32" s="12"/>
    </row>
    <row r="33" spans="1:8" ht="21" customHeight="1">
      <c r="A33" s="264" t="s">
        <v>264</v>
      </c>
      <c r="B33" s="8" t="s">
        <v>265</v>
      </c>
      <c r="C33" s="9"/>
      <c r="D33" s="10"/>
      <c r="E33" s="12">
        <f t="shared" si="5"/>
        <v>4.4999999999999998E-2</v>
      </c>
      <c r="F33" s="10"/>
      <c r="G33" s="12"/>
    </row>
    <row r="34" spans="1:8" ht="21" customHeight="1">
      <c r="A34" s="264"/>
      <c r="B34" s="8" t="s">
        <v>266</v>
      </c>
      <c r="C34" s="9"/>
      <c r="D34" s="10">
        <f t="shared" ref="D34:D39" si="6">$H$31*E34</f>
        <v>5.6635504520921893</v>
      </c>
      <c r="E34" s="11">
        <f t="shared" si="5"/>
        <v>1.8068356891203199E-2</v>
      </c>
      <c r="F34" s="10"/>
      <c r="G34" s="12"/>
    </row>
    <row r="35" spans="1:8" ht="21" customHeight="1">
      <c r="A35" s="271" t="s">
        <v>267</v>
      </c>
      <c r="B35" s="270"/>
      <c r="C35" s="13"/>
      <c r="D35" s="10">
        <f t="shared" si="6"/>
        <v>37.993108474051013</v>
      </c>
      <c r="E35" s="11">
        <f t="shared" si="5"/>
        <v>0.12120895701772344</v>
      </c>
      <c r="F35" s="11"/>
      <c r="G35" s="11"/>
    </row>
    <row r="36" spans="1:8" ht="21" customHeight="1">
      <c r="A36" s="264" t="s">
        <v>53</v>
      </c>
      <c r="B36" s="264"/>
      <c r="C36" s="9"/>
      <c r="D36" s="10"/>
      <c r="E36" s="12">
        <f t="shared" si="5"/>
        <v>4.0563309291379773E-2</v>
      </c>
      <c r="F36" s="10"/>
      <c r="G36" s="12"/>
    </row>
    <row r="37" spans="1:8" ht="21" customHeight="1">
      <c r="A37" s="265" t="s">
        <v>268</v>
      </c>
      <c r="B37" s="8" t="s">
        <v>265</v>
      </c>
      <c r="C37" s="9"/>
      <c r="D37" s="10"/>
      <c r="E37" s="12">
        <f t="shared" si="5"/>
        <v>7.9000000000000008E-3</v>
      </c>
      <c r="F37" s="10"/>
      <c r="G37" s="12"/>
    </row>
    <row r="38" spans="1:8" ht="21" customHeight="1">
      <c r="A38" s="266"/>
      <c r="B38" s="8" t="s">
        <v>266</v>
      </c>
      <c r="C38" s="9"/>
      <c r="D38" s="205">
        <v>14</v>
      </c>
      <c r="E38" s="3">
        <f t="shared" si="5"/>
        <v>2.5000000000000001E-2</v>
      </c>
      <c r="F38" s="10"/>
      <c r="G38" s="12"/>
      <c r="H38" s="3">
        <f>D38/H31</f>
        <v>4.4664031620553352E-2</v>
      </c>
    </row>
    <row r="39" spans="1:8" ht="21" customHeight="1">
      <c r="A39" s="264" t="s">
        <v>56</v>
      </c>
      <c r="B39" s="264"/>
      <c r="C39" s="9"/>
      <c r="D39" s="10">
        <f t="shared" si="6"/>
        <v>15.67256637168142</v>
      </c>
      <c r="E39" s="12">
        <f t="shared" si="5"/>
        <v>0.05</v>
      </c>
      <c r="F39" s="10"/>
      <c r="G39" s="12"/>
    </row>
    <row r="42" spans="1:8">
      <c r="A42" s="1"/>
      <c r="B42" s="1"/>
      <c r="C42" s="1"/>
      <c r="D42" s="1"/>
      <c r="E42" s="1"/>
      <c r="F42" s="268" t="s">
        <v>254</v>
      </c>
      <c r="G42" s="268"/>
      <c r="H42" s="4"/>
    </row>
    <row r="43" spans="1:8">
      <c r="A43" s="267" t="s">
        <v>255</v>
      </c>
      <c r="B43" s="267"/>
      <c r="C43" s="269" t="str">
        <f>C2</f>
        <v>河北工厂平均值</v>
      </c>
      <c r="D43" s="269"/>
      <c r="E43" s="269"/>
      <c r="F43" s="269"/>
      <c r="G43" s="270"/>
      <c r="H43" s="3" t="s">
        <v>257</v>
      </c>
    </row>
    <row r="44" spans="1:8" ht="27">
      <c r="A44" s="267"/>
      <c r="B44" s="267"/>
      <c r="C44" s="5" t="s">
        <v>258</v>
      </c>
      <c r="D44" s="5" t="s">
        <v>269</v>
      </c>
      <c r="E44" s="6" t="s">
        <v>260</v>
      </c>
      <c r="F44" s="6" t="s">
        <v>261</v>
      </c>
      <c r="G44" s="6" t="s">
        <v>262</v>
      </c>
      <c r="H44" s="7">
        <f>销量!F8</f>
        <v>0</v>
      </c>
    </row>
    <row r="45" spans="1:8">
      <c r="A45" s="264" t="s">
        <v>263</v>
      </c>
      <c r="B45" s="264"/>
      <c r="C45" s="9"/>
      <c r="D45" s="10">
        <f>$H$44*E45</f>
        <v>0</v>
      </c>
      <c r="E45" s="11">
        <f t="shared" ref="E45:E52" si="7">E4</f>
        <v>5.8140600126520232E-2</v>
      </c>
      <c r="F45" s="10"/>
      <c r="G45" s="12"/>
    </row>
    <row r="46" spans="1:8">
      <c r="A46" s="264" t="s">
        <v>264</v>
      </c>
      <c r="B46" s="8" t="s">
        <v>265</v>
      </c>
      <c r="C46" s="9"/>
      <c r="D46" s="10">
        <f t="shared" ref="D46:D52" si="8">$H$44*E46</f>
        <v>0</v>
      </c>
      <c r="E46" s="12">
        <f t="shared" si="7"/>
        <v>4.4999999999999998E-2</v>
      </c>
      <c r="F46" s="10"/>
      <c r="G46" s="12"/>
    </row>
    <row r="47" spans="1:8">
      <c r="A47" s="264"/>
      <c r="B47" s="8" t="s">
        <v>266</v>
      </c>
      <c r="C47" s="9"/>
      <c r="D47" s="10">
        <f t="shared" si="8"/>
        <v>0</v>
      </c>
      <c r="E47" s="11">
        <f t="shared" si="7"/>
        <v>1.8068356891203199E-2</v>
      </c>
      <c r="F47" s="10"/>
      <c r="G47" s="12"/>
    </row>
    <row r="48" spans="1:8">
      <c r="A48" s="271" t="s">
        <v>267</v>
      </c>
      <c r="B48" s="270"/>
      <c r="C48" s="13"/>
      <c r="D48" s="10">
        <f t="shared" si="8"/>
        <v>0</v>
      </c>
      <c r="E48" s="11">
        <f t="shared" si="7"/>
        <v>0.12120895701772344</v>
      </c>
      <c r="F48" s="11"/>
      <c r="G48" s="11"/>
    </row>
    <row r="49" spans="1:8">
      <c r="A49" s="264" t="s">
        <v>53</v>
      </c>
      <c r="B49" s="264"/>
      <c r="C49" s="9"/>
      <c r="D49" s="10">
        <f t="shared" si="8"/>
        <v>0</v>
      </c>
      <c r="E49" s="12">
        <f t="shared" si="7"/>
        <v>4.0563309291379773E-2</v>
      </c>
      <c r="F49" s="10"/>
      <c r="G49" s="12"/>
    </row>
    <row r="50" spans="1:8">
      <c r="A50" s="265" t="s">
        <v>268</v>
      </c>
      <c r="B50" s="8" t="s">
        <v>265</v>
      </c>
      <c r="C50" s="9"/>
      <c r="D50" s="10">
        <f t="shared" si="8"/>
        <v>0</v>
      </c>
      <c r="E50" s="12">
        <f t="shared" si="7"/>
        <v>7.9000000000000008E-3</v>
      </c>
      <c r="F50" s="10"/>
      <c r="G50" s="12"/>
    </row>
    <row r="51" spans="1:8">
      <c r="A51" s="266"/>
      <c r="B51" s="8" t="s">
        <v>266</v>
      </c>
      <c r="C51" s="9"/>
      <c r="D51" s="10">
        <f t="shared" si="8"/>
        <v>0</v>
      </c>
      <c r="E51" s="3">
        <f t="shared" si="7"/>
        <v>2.5000000000000001E-2</v>
      </c>
      <c r="F51" s="10"/>
      <c r="G51" s="12"/>
    </row>
    <row r="52" spans="1:8">
      <c r="A52" s="264" t="s">
        <v>56</v>
      </c>
      <c r="B52" s="264"/>
      <c r="C52" s="9"/>
      <c r="D52" s="10">
        <f t="shared" si="8"/>
        <v>0</v>
      </c>
      <c r="E52" s="12">
        <f t="shared" si="7"/>
        <v>0.05</v>
      </c>
      <c r="F52" s="10"/>
      <c r="G52" s="12"/>
    </row>
    <row r="55" spans="1:8">
      <c r="A55" s="1"/>
      <c r="B55" s="1"/>
      <c r="C55" s="1"/>
      <c r="D55" s="1"/>
      <c r="E55" s="1"/>
      <c r="F55" s="268" t="s">
        <v>254</v>
      </c>
      <c r="G55" s="268"/>
      <c r="H55" s="4"/>
    </row>
    <row r="56" spans="1:8">
      <c r="A56" s="267" t="s">
        <v>255</v>
      </c>
      <c r="B56" s="267"/>
      <c r="C56" s="269" t="str">
        <f>C2</f>
        <v>河北工厂平均值</v>
      </c>
      <c r="D56" s="269"/>
      <c r="E56" s="269"/>
      <c r="F56" s="269"/>
      <c r="G56" s="270"/>
      <c r="H56" s="3" t="s">
        <v>257</v>
      </c>
    </row>
    <row r="57" spans="1:8" ht="27">
      <c r="A57" s="267"/>
      <c r="B57" s="267"/>
      <c r="C57" s="5" t="s">
        <v>258</v>
      </c>
      <c r="D57" s="5" t="s">
        <v>269</v>
      </c>
      <c r="E57" s="6" t="s">
        <v>260</v>
      </c>
      <c r="F57" s="6" t="s">
        <v>261</v>
      </c>
      <c r="G57" s="6" t="s">
        <v>262</v>
      </c>
      <c r="H57" s="7">
        <f>销量!G8</f>
        <v>0</v>
      </c>
    </row>
    <row r="58" spans="1:8">
      <c r="A58" s="264" t="s">
        <v>263</v>
      </c>
      <c r="B58" s="264"/>
      <c r="C58" s="9"/>
      <c r="D58" s="10">
        <f>$H$57*E58</f>
        <v>0</v>
      </c>
      <c r="E58" s="11">
        <f t="shared" ref="E58:E65" si="9">E4</f>
        <v>5.8140600126520232E-2</v>
      </c>
      <c r="F58" s="10"/>
      <c r="G58" s="12"/>
    </row>
    <row r="59" spans="1:8">
      <c r="A59" s="264" t="s">
        <v>264</v>
      </c>
      <c r="B59" s="8" t="s">
        <v>265</v>
      </c>
      <c r="C59" s="9"/>
      <c r="D59" s="10">
        <f t="shared" ref="D59:D65" si="10">$H$57*E59</f>
        <v>0</v>
      </c>
      <c r="E59" s="12">
        <f t="shared" si="9"/>
        <v>4.4999999999999998E-2</v>
      </c>
      <c r="F59" s="10"/>
      <c r="G59" s="12"/>
    </row>
    <row r="60" spans="1:8">
      <c r="A60" s="264"/>
      <c r="B60" s="8" t="s">
        <v>266</v>
      </c>
      <c r="C60" s="9"/>
      <c r="D60" s="10">
        <f t="shared" si="10"/>
        <v>0</v>
      </c>
      <c r="E60" s="11">
        <f t="shared" si="9"/>
        <v>1.8068356891203199E-2</v>
      </c>
      <c r="F60" s="10"/>
      <c r="G60" s="12"/>
    </row>
    <row r="61" spans="1:8">
      <c r="A61" s="271" t="s">
        <v>267</v>
      </c>
      <c r="B61" s="270"/>
      <c r="C61" s="13"/>
      <c r="D61" s="10">
        <f t="shared" si="10"/>
        <v>0</v>
      </c>
      <c r="E61" s="11">
        <f t="shared" si="9"/>
        <v>0.12120895701772344</v>
      </c>
      <c r="F61" s="11"/>
      <c r="G61" s="11"/>
    </row>
    <row r="62" spans="1:8">
      <c r="A62" s="264" t="s">
        <v>53</v>
      </c>
      <c r="B62" s="264"/>
      <c r="C62" s="9"/>
      <c r="D62" s="10">
        <f t="shared" si="10"/>
        <v>0</v>
      </c>
      <c r="E62" s="12">
        <f t="shared" si="9"/>
        <v>4.0563309291379773E-2</v>
      </c>
      <c r="F62" s="10"/>
      <c r="G62" s="12"/>
    </row>
    <row r="63" spans="1:8">
      <c r="A63" s="265" t="s">
        <v>268</v>
      </c>
      <c r="B63" s="8" t="s">
        <v>265</v>
      </c>
      <c r="C63" s="9"/>
      <c r="D63" s="10">
        <f t="shared" si="10"/>
        <v>0</v>
      </c>
      <c r="E63" s="12">
        <f t="shared" si="9"/>
        <v>7.9000000000000008E-3</v>
      </c>
      <c r="F63" s="10"/>
      <c r="G63" s="12"/>
    </row>
    <row r="64" spans="1:8">
      <c r="A64" s="266"/>
      <c r="B64" s="8" t="s">
        <v>266</v>
      </c>
      <c r="C64" s="9"/>
      <c r="D64" s="10">
        <f t="shared" si="10"/>
        <v>0</v>
      </c>
      <c r="E64" s="3">
        <f t="shared" si="9"/>
        <v>2.5000000000000001E-2</v>
      </c>
      <c r="F64" s="10"/>
      <c r="G64" s="12"/>
    </row>
    <row r="65" spans="1:8">
      <c r="A65" s="264" t="s">
        <v>56</v>
      </c>
      <c r="B65" s="264"/>
      <c r="C65" s="9"/>
      <c r="D65" s="10">
        <f t="shared" si="10"/>
        <v>0</v>
      </c>
      <c r="E65" s="12">
        <f t="shared" si="9"/>
        <v>0.05</v>
      </c>
      <c r="F65" s="10"/>
      <c r="G65" s="12"/>
    </row>
    <row r="68" spans="1:8">
      <c r="A68" s="1"/>
      <c r="B68" s="1"/>
      <c r="C68" s="1"/>
      <c r="D68" s="1"/>
      <c r="E68" s="1"/>
      <c r="F68" s="268" t="s">
        <v>254</v>
      </c>
      <c r="G68" s="268"/>
      <c r="H68" s="4"/>
    </row>
    <row r="69" spans="1:8">
      <c r="A69" s="267" t="s">
        <v>255</v>
      </c>
      <c r="B69" s="267"/>
      <c r="C69" s="269" t="str">
        <f>C2</f>
        <v>河北工厂平均值</v>
      </c>
      <c r="D69" s="269"/>
      <c r="E69" s="269"/>
      <c r="F69" s="269"/>
      <c r="G69" s="270"/>
      <c r="H69" s="3" t="s">
        <v>257</v>
      </c>
    </row>
    <row r="70" spans="1:8" ht="27">
      <c r="A70" s="267"/>
      <c r="B70" s="267"/>
      <c r="C70" s="5" t="s">
        <v>258</v>
      </c>
      <c r="D70" s="5" t="s">
        <v>269</v>
      </c>
      <c r="E70" s="6" t="s">
        <v>260</v>
      </c>
      <c r="F70" s="6" t="s">
        <v>261</v>
      </c>
      <c r="G70" s="6" t="s">
        <v>262</v>
      </c>
      <c r="H70" s="7">
        <f>销量!H8</f>
        <v>0</v>
      </c>
    </row>
    <row r="71" spans="1:8">
      <c r="A71" s="264" t="s">
        <v>263</v>
      </c>
      <c r="B71" s="264"/>
      <c r="C71" s="9"/>
      <c r="D71" s="10">
        <f>$H$70*E71</f>
        <v>0</v>
      </c>
      <c r="E71" s="11">
        <f t="shared" ref="E71:E78" si="11">E4</f>
        <v>5.8140600126520232E-2</v>
      </c>
      <c r="F71" s="10"/>
      <c r="G71" s="12"/>
    </row>
    <row r="72" spans="1:8">
      <c r="A72" s="264" t="s">
        <v>264</v>
      </c>
      <c r="B72" s="8" t="s">
        <v>265</v>
      </c>
      <c r="C72" s="9"/>
      <c r="D72" s="10">
        <f t="shared" ref="D72:D78" si="12">$H$70*E72</f>
        <v>0</v>
      </c>
      <c r="E72" s="12">
        <f t="shared" si="11"/>
        <v>4.4999999999999998E-2</v>
      </c>
      <c r="F72" s="10"/>
      <c r="G72" s="12"/>
    </row>
    <row r="73" spans="1:8">
      <c r="A73" s="264"/>
      <c r="B73" s="8" t="s">
        <v>266</v>
      </c>
      <c r="C73" s="9"/>
      <c r="D73" s="10">
        <f t="shared" si="12"/>
        <v>0</v>
      </c>
      <c r="E73" s="11">
        <f t="shared" si="11"/>
        <v>1.8068356891203199E-2</v>
      </c>
      <c r="F73" s="10"/>
      <c r="G73" s="12"/>
    </row>
    <row r="74" spans="1:8">
      <c r="A74" s="271" t="s">
        <v>267</v>
      </c>
      <c r="B74" s="270"/>
      <c r="C74" s="13"/>
      <c r="D74" s="10">
        <f t="shared" si="12"/>
        <v>0</v>
      </c>
      <c r="E74" s="11">
        <f t="shared" si="11"/>
        <v>0.12120895701772344</v>
      </c>
      <c r="F74" s="11"/>
      <c r="G74" s="11"/>
    </row>
    <row r="75" spans="1:8">
      <c r="A75" s="264" t="s">
        <v>53</v>
      </c>
      <c r="B75" s="264"/>
      <c r="C75" s="9"/>
      <c r="D75" s="10">
        <f t="shared" si="12"/>
        <v>0</v>
      </c>
      <c r="E75" s="12">
        <f t="shared" si="11"/>
        <v>4.0563309291379773E-2</v>
      </c>
      <c r="F75" s="10"/>
      <c r="G75" s="12"/>
    </row>
    <row r="76" spans="1:8">
      <c r="A76" s="265" t="s">
        <v>268</v>
      </c>
      <c r="B76" s="8" t="s">
        <v>265</v>
      </c>
      <c r="C76" s="9"/>
      <c r="D76" s="10">
        <f t="shared" si="12"/>
        <v>0</v>
      </c>
      <c r="E76" s="12">
        <f t="shared" si="11"/>
        <v>7.9000000000000008E-3</v>
      </c>
      <c r="F76" s="10"/>
      <c r="G76" s="12"/>
    </row>
    <row r="77" spans="1:8">
      <c r="A77" s="266"/>
      <c r="B77" s="8" t="s">
        <v>266</v>
      </c>
      <c r="C77" s="9"/>
      <c r="D77" s="10">
        <f t="shared" si="12"/>
        <v>0</v>
      </c>
      <c r="E77" s="3">
        <f t="shared" si="11"/>
        <v>2.5000000000000001E-2</v>
      </c>
      <c r="F77" s="10"/>
      <c r="G77" s="12"/>
    </row>
    <row r="78" spans="1:8">
      <c r="A78" s="264" t="s">
        <v>56</v>
      </c>
      <c r="B78" s="264"/>
      <c r="C78" s="9"/>
      <c r="D78" s="10">
        <f t="shared" si="12"/>
        <v>0</v>
      </c>
      <c r="E78" s="12">
        <f t="shared" si="11"/>
        <v>0.05</v>
      </c>
      <c r="F78" s="10"/>
      <c r="G78" s="12"/>
    </row>
  </sheetData>
  <mergeCells count="54">
    <mergeCell ref="F1:G1"/>
    <mergeCell ref="C2:G2"/>
    <mergeCell ref="A4:B4"/>
    <mergeCell ref="A7:B7"/>
    <mergeCell ref="A8:B8"/>
    <mergeCell ref="A2:B3"/>
    <mergeCell ref="A11:B11"/>
    <mergeCell ref="F15:G15"/>
    <mergeCell ref="C16:G16"/>
    <mergeCell ref="A18:B18"/>
    <mergeCell ref="A21:B21"/>
    <mergeCell ref="A22:B22"/>
    <mergeCell ref="A25:B25"/>
    <mergeCell ref="F29:G29"/>
    <mergeCell ref="C30:G30"/>
    <mergeCell ref="A32:B32"/>
    <mergeCell ref="A35:B35"/>
    <mergeCell ref="A36:B36"/>
    <mergeCell ref="A39:B39"/>
    <mergeCell ref="F42:G42"/>
    <mergeCell ref="C43:G43"/>
    <mergeCell ref="A45:B45"/>
    <mergeCell ref="A48:B48"/>
    <mergeCell ref="A49:B49"/>
    <mergeCell ref="A52:B52"/>
    <mergeCell ref="F55:G55"/>
    <mergeCell ref="C56:G56"/>
    <mergeCell ref="A58:B58"/>
    <mergeCell ref="A61:B61"/>
    <mergeCell ref="A62:B62"/>
    <mergeCell ref="A65:B65"/>
    <mergeCell ref="A56:B57"/>
    <mergeCell ref="F68:G68"/>
    <mergeCell ref="C69:G69"/>
    <mergeCell ref="A71:B71"/>
    <mergeCell ref="A74:B74"/>
    <mergeCell ref="A75:B75"/>
    <mergeCell ref="A69:B70"/>
    <mergeCell ref="A78:B78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16:B17"/>
    <mergeCell ref="A30:B31"/>
    <mergeCell ref="A43:B44"/>
  </mergeCells>
  <phoneticPr fontId="43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J25" sqref="J25"/>
    </sheetView>
  </sheetViews>
  <sheetFormatPr defaultColWidth="9" defaultRowHeight="16.5"/>
  <cols>
    <col min="1" max="1" width="5.125" style="159" customWidth="1"/>
    <col min="2" max="2" width="32.625" style="159" customWidth="1"/>
    <col min="3" max="8" width="12.875" style="160" customWidth="1"/>
    <col min="9" max="9" width="12.75" style="160" customWidth="1"/>
    <col min="10" max="10" width="15.5" style="159" customWidth="1"/>
    <col min="11" max="36" width="9" style="159"/>
    <col min="37" max="37" width="4.375" style="159" customWidth="1"/>
    <col min="38" max="38" width="13.875" style="159" customWidth="1"/>
    <col min="39" max="16384" width="9" style="159"/>
  </cols>
  <sheetData>
    <row r="1" spans="1:39" ht="27" customHeight="1">
      <c r="A1" s="208" t="s">
        <v>271</v>
      </c>
      <c r="B1" s="208"/>
      <c r="C1" s="208"/>
      <c r="D1" s="208"/>
      <c r="E1" s="208"/>
      <c r="F1" s="208"/>
      <c r="G1" s="208"/>
      <c r="H1" s="208"/>
      <c r="I1" s="208"/>
    </row>
    <row r="2" spans="1:39" ht="19.5" customHeight="1">
      <c r="A2" s="161"/>
      <c r="B2" s="162"/>
      <c r="C2" s="209" t="s">
        <v>14</v>
      </c>
      <c r="D2" s="209"/>
      <c r="E2" s="209"/>
      <c r="F2" s="209"/>
      <c r="G2" s="162"/>
      <c r="H2" s="162" t="s">
        <v>15</v>
      </c>
      <c r="I2" s="162"/>
    </row>
    <row r="3" spans="1:39" ht="15.75" customHeight="1">
      <c r="A3" s="210" t="s">
        <v>16</v>
      </c>
      <c r="B3" s="163" t="s">
        <v>1</v>
      </c>
      <c r="C3" s="163" t="s">
        <v>17</v>
      </c>
      <c r="D3" s="163" t="s">
        <v>18</v>
      </c>
      <c r="E3" s="163" t="s">
        <v>19</v>
      </c>
      <c r="F3" s="163" t="s">
        <v>20</v>
      </c>
      <c r="G3" s="163" t="s">
        <v>21</v>
      </c>
      <c r="H3" s="163" t="s">
        <v>22</v>
      </c>
      <c r="I3" s="97" t="s">
        <v>23</v>
      </c>
      <c r="AM3" s="159" t="s">
        <v>24</v>
      </c>
    </row>
    <row r="4" spans="1:39" s="94" customFormat="1" ht="15.75" customHeight="1">
      <c r="A4" s="211"/>
      <c r="B4" s="99" t="s">
        <v>3</v>
      </c>
      <c r="C4" s="164">
        <f>'2023年'!I6</f>
        <v>20000</v>
      </c>
      <c r="D4" s="164">
        <f>'2024年'!I6</f>
        <v>20000</v>
      </c>
      <c r="E4" s="164">
        <f>'2025年'!I6</f>
        <v>20000</v>
      </c>
      <c r="F4" s="164">
        <f>'2026年'!I6</f>
        <v>0</v>
      </c>
      <c r="G4" s="164">
        <f>'2027年'!I6</f>
        <v>0</v>
      </c>
      <c r="H4" s="164">
        <f>'2028年'!I6</f>
        <v>0</v>
      </c>
      <c r="I4" s="164">
        <f>SUM(C4:H4)</f>
        <v>60000</v>
      </c>
      <c r="J4" s="113"/>
      <c r="AK4" s="98" t="s">
        <v>16</v>
      </c>
      <c r="AL4" s="99" t="s">
        <v>3</v>
      </c>
      <c r="AM4" s="94" t="s">
        <v>25</v>
      </c>
    </row>
    <row r="5" spans="1:39" s="94" customFormat="1" ht="15.75" customHeight="1">
      <c r="A5" s="96">
        <v>1</v>
      </c>
      <c r="B5" s="99" t="s">
        <v>26</v>
      </c>
      <c r="C5" s="164">
        <f>'2023年'!I7</f>
        <v>5619911.5044247797</v>
      </c>
      <c r="D5" s="164">
        <f>'2024年'!I7</f>
        <v>5619911.5044247797</v>
      </c>
      <c r="E5" s="164">
        <f>'2025年'!I7</f>
        <v>5619911.5044247797</v>
      </c>
      <c r="F5" s="164">
        <f>'2026年'!I7</f>
        <v>0</v>
      </c>
      <c r="G5" s="164">
        <f>'2027年'!I7</f>
        <v>0</v>
      </c>
      <c r="H5" s="164">
        <f>'2028年'!I7</f>
        <v>0</v>
      </c>
      <c r="I5" s="164">
        <f t="shared" ref="I5:I12" si="0">SUM(C5:H5)</f>
        <v>16859734.513274338</v>
      </c>
      <c r="J5" s="113"/>
      <c r="AK5" s="98" t="s">
        <v>27</v>
      </c>
      <c r="AL5" s="99" t="s">
        <v>26</v>
      </c>
      <c r="AM5" s="94" t="s">
        <v>25</v>
      </c>
    </row>
    <row r="6" spans="1:39" s="94" customFormat="1" ht="15.75" customHeight="1">
      <c r="A6" s="96">
        <v>2</v>
      </c>
      <c r="B6" s="96" t="s">
        <v>28</v>
      </c>
      <c r="C6" s="164">
        <f>'2023年'!I8</f>
        <v>0</v>
      </c>
      <c r="D6" s="164">
        <f>'2024年'!I8</f>
        <v>0</v>
      </c>
      <c r="E6" s="164">
        <f>'2025年'!I8</f>
        <v>0</v>
      </c>
      <c r="F6" s="164">
        <f>'2026年'!I8</f>
        <v>0</v>
      </c>
      <c r="G6" s="164">
        <f>'2027年'!I8</f>
        <v>0</v>
      </c>
      <c r="H6" s="164">
        <f>'2028年'!I8</f>
        <v>0</v>
      </c>
      <c r="I6" s="164">
        <f t="shared" si="0"/>
        <v>0</v>
      </c>
      <c r="J6" s="113"/>
      <c r="AK6" s="98" t="s">
        <v>29</v>
      </c>
      <c r="AL6" s="96" t="s">
        <v>30</v>
      </c>
      <c r="AM6" s="94" t="s">
        <v>25</v>
      </c>
    </row>
    <row r="7" spans="1:39" s="94" customFormat="1" ht="15.75" customHeight="1">
      <c r="A7" s="96">
        <v>3</v>
      </c>
      <c r="B7" s="99" t="s">
        <v>31</v>
      </c>
      <c r="C7" s="165">
        <f>+C5-C6</f>
        <v>5619911.5044247797</v>
      </c>
      <c r="D7" s="165">
        <f>'2024年'!I9</f>
        <v>5619911.5044247797</v>
      </c>
      <c r="E7" s="165">
        <f>'2025年'!I9</f>
        <v>5619911.5044247797</v>
      </c>
      <c r="F7" s="165">
        <f>'2026年'!I9</f>
        <v>0</v>
      </c>
      <c r="G7" s="165">
        <f>'2027年'!I9</f>
        <v>0</v>
      </c>
      <c r="H7" s="165">
        <f>'2028年'!I9</f>
        <v>0</v>
      </c>
      <c r="I7" s="164">
        <f t="shared" si="0"/>
        <v>16859734.513274338</v>
      </c>
      <c r="J7" s="113"/>
      <c r="AK7" s="98" t="s">
        <v>32</v>
      </c>
      <c r="AL7" s="99" t="s">
        <v>31</v>
      </c>
      <c r="AM7" s="94" t="s">
        <v>33</v>
      </c>
    </row>
    <row r="8" spans="1:39" s="94" customFormat="1" ht="15.75" customHeight="1">
      <c r="A8" s="96">
        <v>4</v>
      </c>
      <c r="B8" s="98" t="s">
        <v>34</v>
      </c>
      <c r="C8" s="164">
        <f>'2023年'!I10</f>
        <v>5123570.7979257219</v>
      </c>
      <c r="D8" s="164">
        <f>'2024年'!I10</f>
        <v>5123570.7979257219</v>
      </c>
      <c r="E8" s="164">
        <f>'2025年'!I10</f>
        <v>5123570.7979257219</v>
      </c>
      <c r="F8" s="164">
        <f>'2026年'!I10</f>
        <v>0</v>
      </c>
      <c r="G8" s="164">
        <f>'2027年'!I10</f>
        <v>0</v>
      </c>
      <c r="H8" s="164">
        <f>'2028年'!I10</f>
        <v>0</v>
      </c>
      <c r="I8" s="164">
        <f t="shared" si="0"/>
        <v>15370712.393777166</v>
      </c>
      <c r="J8" s="113"/>
      <c r="AK8" s="98" t="s">
        <v>35</v>
      </c>
      <c r="AL8" s="98" t="s">
        <v>34</v>
      </c>
      <c r="AM8" s="94" t="s">
        <v>36</v>
      </c>
    </row>
    <row r="9" spans="1:39" s="94" customFormat="1" ht="15.75" customHeight="1">
      <c r="A9" s="96">
        <v>5</v>
      </c>
      <c r="B9" s="98" t="s">
        <v>37</v>
      </c>
      <c r="C9" s="164">
        <f>'2023年'!I11</f>
        <v>326745.02752519184</v>
      </c>
      <c r="D9" s="164">
        <f>'2024年'!I11</f>
        <v>326745.02752519184</v>
      </c>
      <c r="E9" s="164">
        <f>'2025年'!I11</f>
        <v>326745.02752519184</v>
      </c>
      <c r="F9" s="164">
        <f>'2026年'!I11</f>
        <v>0</v>
      </c>
      <c r="G9" s="164">
        <f>'2027年'!I11</f>
        <v>0</v>
      </c>
      <c r="H9" s="164">
        <f>'2028年'!I11</f>
        <v>0</v>
      </c>
      <c r="I9" s="164">
        <f t="shared" si="0"/>
        <v>980235.08257557545</v>
      </c>
      <c r="J9" s="113"/>
      <c r="AK9" s="98" t="s">
        <v>38</v>
      </c>
      <c r="AL9" s="98" t="s">
        <v>37</v>
      </c>
    </row>
    <row r="10" spans="1:39" s="94" customFormat="1" ht="15.75" customHeight="1">
      <c r="A10" s="96">
        <v>6</v>
      </c>
      <c r="B10" s="98" t="s">
        <v>39</v>
      </c>
      <c r="C10" s="164">
        <f>'2023年'!I12</f>
        <v>101542.56675892559</v>
      </c>
      <c r="D10" s="164">
        <f>'2024年'!I12</f>
        <v>101542.56675892559</v>
      </c>
      <c r="E10" s="164">
        <f>'2025年'!I12</f>
        <v>101542.56675892559</v>
      </c>
      <c r="F10" s="164">
        <f>'2026年'!I12</f>
        <v>0</v>
      </c>
      <c r="G10" s="164">
        <f>'2027年'!I12</f>
        <v>0</v>
      </c>
      <c r="H10" s="164">
        <f>'2028年'!I12</f>
        <v>0</v>
      </c>
      <c r="I10" s="164">
        <f t="shared" si="0"/>
        <v>304627.7002767768</v>
      </c>
      <c r="J10" s="113"/>
      <c r="AK10" s="98" t="s">
        <v>40</v>
      </c>
      <c r="AL10" s="98" t="s">
        <v>39</v>
      </c>
    </row>
    <row r="11" spans="1:39" s="94" customFormat="1" ht="15.75" customHeight="1">
      <c r="A11" s="96">
        <v>7</v>
      </c>
      <c r="B11" s="166" t="s">
        <v>41</v>
      </c>
      <c r="C11" s="164">
        <f>'2023年'!I13</f>
        <v>213684.21052631579</v>
      </c>
      <c r="D11" s="164">
        <f>'2024年'!I13</f>
        <v>213684.21052631579</v>
      </c>
      <c r="E11" s="164">
        <f>'2025年'!I13</f>
        <v>213684.21052631579</v>
      </c>
      <c r="F11" s="164">
        <f>'2026年'!I13</f>
        <v>0</v>
      </c>
      <c r="G11" s="164">
        <f>'2027年'!I13</f>
        <v>0</v>
      </c>
      <c r="H11" s="164">
        <f>'2028年'!I13</f>
        <v>0</v>
      </c>
      <c r="I11" s="164">
        <f t="shared" si="0"/>
        <v>641052.63157894742</v>
      </c>
      <c r="J11" s="113"/>
      <c r="AK11" s="98" t="s">
        <v>42</v>
      </c>
      <c r="AL11" s="98" t="s">
        <v>41</v>
      </c>
      <c r="AM11" s="94" t="s">
        <v>25</v>
      </c>
    </row>
    <row r="12" spans="1:39" s="94" customFormat="1" ht="15.75" customHeight="1">
      <c r="A12" s="96">
        <v>8</v>
      </c>
      <c r="B12" s="167" t="s">
        <v>43</v>
      </c>
      <c r="C12" s="168">
        <f>'2023年'!I14</f>
        <v>641971.80481043318</v>
      </c>
      <c r="D12" s="168">
        <f>'2024年'!I14</f>
        <v>641971.80481043318</v>
      </c>
      <c r="E12" s="168">
        <f>'2025年'!I14</f>
        <v>641971.80481043318</v>
      </c>
      <c r="F12" s="168">
        <f>'2026年'!I14</f>
        <v>0</v>
      </c>
      <c r="G12" s="168">
        <f>'2027年'!I14</f>
        <v>0</v>
      </c>
      <c r="H12" s="168">
        <f>'2028年'!I14</f>
        <v>0</v>
      </c>
      <c r="I12" s="168">
        <f t="shared" si="0"/>
        <v>1925915.4144312995</v>
      </c>
      <c r="J12" s="113"/>
      <c r="AK12" s="98" t="s">
        <v>44</v>
      </c>
      <c r="AL12" s="102" t="s">
        <v>43</v>
      </c>
    </row>
    <row r="13" spans="1:39" s="94" customFormat="1" ht="15.75" customHeight="1">
      <c r="A13" s="96">
        <v>9</v>
      </c>
      <c r="B13" s="169" t="s">
        <v>45</v>
      </c>
      <c r="C13" s="164">
        <f>'2023年'!I15</f>
        <v>-145631.09831137632</v>
      </c>
      <c r="D13" s="164">
        <f>'2024年'!I15</f>
        <v>-145631.09831137632</v>
      </c>
      <c r="E13" s="164">
        <f>'2025年'!I15</f>
        <v>-145631.09831137632</v>
      </c>
      <c r="F13" s="164">
        <f>'2026年'!I15</f>
        <v>0</v>
      </c>
      <c r="G13" s="164">
        <f>'2027年'!I15</f>
        <v>0</v>
      </c>
      <c r="H13" s="164">
        <f>'2028年'!I15</f>
        <v>0</v>
      </c>
      <c r="I13" s="164">
        <f>I7-I8-I12</f>
        <v>-436893.29493412701</v>
      </c>
      <c r="J13" s="113"/>
      <c r="L13" s="159"/>
      <c r="M13" s="159"/>
      <c r="N13" s="159"/>
      <c r="O13" s="159"/>
      <c r="P13" s="159"/>
      <c r="Q13" s="159"/>
      <c r="AK13" s="98" t="s">
        <v>46</v>
      </c>
      <c r="AL13" s="102" t="s">
        <v>45</v>
      </c>
    </row>
    <row r="14" spans="1:39" ht="15.75" customHeight="1">
      <c r="A14" s="96">
        <v>10</v>
      </c>
      <c r="B14" s="170" t="s">
        <v>47</v>
      </c>
      <c r="C14" s="171">
        <f>+C13/C7</f>
        <v>-2.591341486368872E-2</v>
      </c>
      <c r="D14" s="171">
        <f>'2024年'!I16</f>
        <v>-2.591341486368872E-2</v>
      </c>
      <c r="E14" s="171">
        <f>'2025年'!I16</f>
        <v>-2.591341486368872E-2</v>
      </c>
      <c r="F14" s="171" t="e">
        <f>'2026年'!I16</f>
        <v>#DIV/0!</v>
      </c>
      <c r="G14" s="171" t="e">
        <f>'2027年'!I16</f>
        <v>#DIV/0!</v>
      </c>
      <c r="H14" s="171" t="e">
        <f>'2028年'!I16</f>
        <v>#DIV/0!</v>
      </c>
      <c r="I14" s="171">
        <f>+I13/I7</f>
        <v>-2.5913414863688606E-2</v>
      </c>
      <c r="J14" s="113"/>
      <c r="AK14" s="170" t="s">
        <v>48</v>
      </c>
      <c r="AL14" s="170" t="s">
        <v>47</v>
      </c>
    </row>
    <row r="15" spans="1:39" ht="15.75" customHeight="1">
      <c r="A15" s="96">
        <v>11</v>
      </c>
      <c r="B15" s="170" t="s">
        <v>49</v>
      </c>
      <c r="C15" s="164">
        <f>'2023年'!I17</f>
        <v>0</v>
      </c>
      <c r="D15" s="164">
        <f>'2024年'!I17</f>
        <v>0</v>
      </c>
      <c r="E15" s="164">
        <f>'2025年'!I17</f>
        <v>0</v>
      </c>
      <c r="F15" s="164"/>
      <c r="G15" s="164"/>
      <c r="H15" s="164"/>
      <c r="I15" s="164">
        <f t="shared" ref="I15" si="1">SUM(C15:H15)</f>
        <v>0</v>
      </c>
      <c r="J15" s="113"/>
      <c r="AK15" s="170" t="s">
        <v>50</v>
      </c>
      <c r="AL15" s="170" t="s">
        <v>49</v>
      </c>
    </row>
    <row r="16" spans="1:39" ht="15.75" hidden="1" customHeight="1">
      <c r="A16" s="96"/>
      <c r="B16" s="170"/>
      <c r="C16" s="164"/>
      <c r="D16" s="164"/>
      <c r="E16" s="164"/>
      <c r="F16" s="164"/>
      <c r="G16" s="164"/>
      <c r="H16" s="164"/>
      <c r="I16" s="164"/>
      <c r="J16" s="113"/>
      <c r="AK16" s="170"/>
      <c r="AL16" s="170"/>
    </row>
    <row r="17" spans="1:39" ht="15.75" customHeight="1">
      <c r="A17" s="96">
        <v>12</v>
      </c>
      <c r="B17" s="170" t="s">
        <v>51</v>
      </c>
      <c r="C17" s="172">
        <f>'2023年'!I19</f>
        <v>0</v>
      </c>
      <c r="D17" s="172">
        <f>'2024年'!I19</f>
        <v>0</v>
      </c>
      <c r="E17" s="172">
        <f>'2025年'!I19</f>
        <v>0</v>
      </c>
      <c r="F17" s="172">
        <f>'2026年'!I19</f>
        <v>0</v>
      </c>
      <c r="G17" s="172">
        <f>'2027年'!I19</f>
        <v>0</v>
      </c>
      <c r="H17" s="172">
        <f>'2028年'!I19</f>
        <v>0</v>
      </c>
      <c r="I17" s="164">
        <f t="shared" ref="I17" si="2">SUM(C17:E17)</f>
        <v>0</v>
      </c>
      <c r="J17" s="113"/>
      <c r="R17" s="113"/>
      <c r="AK17" s="170" t="s">
        <v>52</v>
      </c>
      <c r="AL17" s="170" t="s">
        <v>51</v>
      </c>
      <c r="AM17" s="159" t="s">
        <v>25</v>
      </c>
    </row>
    <row r="18" spans="1:39" ht="15.75" customHeight="1">
      <c r="A18" s="96">
        <v>13</v>
      </c>
      <c r="B18" s="170" t="s">
        <v>53</v>
      </c>
      <c r="C18" s="172">
        <f>'2023年'!I20</f>
        <v>0</v>
      </c>
      <c r="D18" s="172">
        <f>'2024年'!I20</f>
        <v>0</v>
      </c>
      <c r="E18" s="172">
        <f>'2025年'!I20</f>
        <v>0</v>
      </c>
      <c r="F18" s="172">
        <f>'2026年'!I20</f>
        <v>0</v>
      </c>
      <c r="G18" s="172">
        <f>'2027年'!I20</f>
        <v>0</v>
      </c>
      <c r="H18" s="172">
        <f>'2028年'!I20</f>
        <v>0</v>
      </c>
      <c r="I18" s="164">
        <f t="shared" ref="I18:I21" si="3">SUM(C18:H18)</f>
        <v>0</v>
      </c>
      <c r="J18" s="113"/>
      <c r="AK18" s="170" t="s">
        <v>54</v>
      </c>
      <c r="AL18" s="170" t="s">
        <v>53</v>
      </c>
    </row>
    <row r="19" spans="1:39" s="93" customFormat="1" ht="15.75" customHeight="1">
      <c r="A19" s="96">
        <v>14</v>
      </c>
      <c r="B19" s="107" t="s">
        <v>55</v>
      </c>
      <c r="C19" s="165">
        <f>'2023年'!I21</f>
        <v>10000</v>
      </c>
      <c r="D19" s="165">
        <f>'2024年'!I21</f>
        <v>10000</v>
      </c>
      <c r="E19" s="165">
        <f>'2025年'!I21</f>
        <v>10000</v>
      </c>
      <c r="F19" s="165">
        <f>'2026年'!I21</f>
        <v>0</v>
      </c>
      <c r="G19" s="165">
        <f>'2027年'!I21</f>
        <v>0</v>
      </c>
      <c r="H19" s="165">
        <f>'2028年'!I21</f>
        <v>0</v>
      </c>
      <c r="I19" s="164">
        <f t="shared" si="3"/>
        <v>30000</v>
      </c>
      <c r="J19" s="113"/>
      <c r="AK19" s="107"/>
      <c r="AL19" s="107"/>
    </row>
    <row r="20" spans="1:39" s="94" customFormat="1" ht="15.75" customHeight="1">
      <c r="A20" s="96">
        <v>15</v>
      </c>
      <c r="B20" s="98" t="s">
        <v>56</v>
      </c>
      <c r="C20" s="172">
        <f>'2023年'!I22</f>
        <v>280995.57522123901</v>
      </c>
      <c r="D20" s="172">
        <f>'2024年'!I22</f>
        <v>280995.57522123901</v>
      </c>
      <c r="E20" s="172">
        <f>'2025年'!I22</f>
        <v>280995.57522123901</v>
      </c>
      <c r="F20" s="172">
        <f>'2026年'!I22</f>
        <v>0</v>
      </c>
      <c r="G20" s="172">
        <f>'2027年'!I22</f>
        <v>0</v>
      </c>
      <c r="H20" s="172">
        <f>'2028年'!I22</f>
        <v>0</v>
      </c>
      <c r="I20" s="164">
        <f t="shared" si="3"/>
        <v>842986.72566371702</v>
      </c>
      <c r="J20" s="113"/>
      <c r="AK20" s="98" t="s">
        <v>57</v>
      </c>
      <c r="AL20" s="98" t="s">
        <v>56</v>
      </c>
    </row>
    <row r="21" spans="1:39" s="157" customFormat="1" ht="15.75" customHeight="1">
      <c r="A21" s="96">
        <v>16</v>
      </c>
      <c r="B21" s="173" t="s">
        <v>58</v>
      </c>
      <c r="C21" s="168">
        <f t="shared" ref="C21" si="4">+C20+C19+C18+C17+C15</f>
        <v>290995.57522123901</v>
      </c>
      <c r="D21" s="168">
        <f>'2024年'!I23</f>
        <v>290995.57522123901</v>
      </c>
      <c r="E21" s="168">
        <f>'2025年'!I23</f>
        <v>290995.57522123901</v>
      </c>
      <c r="F21" s="168"/>
      <c r="G21" s="168"/>
      <c r="H21" s="168"/>
      <c r="I21" s="168">
        <f t="shared" si="3"/>
        <v>872986.72566371702</v>
      </c>
      <c r="J21" s="113"/>
      <c r="AK21" s="187" t="s">
        <v>59</v>
      </c>
      <c r="AL21" s="188" t="s">
        <v>58</v>
      </c>
    </row>
    <row r="22" spans="1:39" ht="15.75" customHeight="1">
      <c r="A22" s="96">
        <v>17</v>
      </c>
      <c r="B22" s="170" t="s">
        <v>60</v>
      </c>
      <c r="C22" s="174">
        <f>+C13-C21</f>
        <v>-436626.6735326153</v>
      </c>
      <c r="D22" s="174">
        <f>'2024年'!I24</f>
        <v>-436626.6735326153</v>
      </c>
      <c r="E22" s="174">
        <f>'2025年'!I24</f>
        <v>-436626.6735326153</v>
      </c>
      <c r="F22" s="174" t="e">
        <f>'2026年'!I24</f>
        <v>#DIV/0!</v>
      </c>
      <c r="G22" s="174" t="e">
        <f>'2027年'!I24</f>
        <v>#DIV/0!</v>
      </c>
      <c r="H22" s="174" t="e">
        <f>'2028年'!I24</f>
        <v>#DIV/0!</v>
      </c>
      <c r="I22" s="174">
        <f>+I13-I21</f>
        <v>-1309880.0205978439</v>
      </c>
      <c r="J22" s="113"/>
      <c r="AK22" s="170" t="s">
        <v>61</v>
      </c>
      <c r="AL22" s="170" t="s">
        <v>60</v>
      </c>
    </row>
    <row r="23" spans="1:39" ht="15.75" customHeight="1">
      <c r="A23" s="96">
        <v>18</v>
      </c>
      <c r="B23" s="170" t="s">
        <v>62</v>
      </c>
      <c r="C23" s="174">
        <f>'2023年'!$I$25</f>
        <v>0</v>
      </c>
      <c r="D23" s="174">
        <f>'2024年'!I25</f>
        <v>0</v>
      </c>
      <c r="E23" s="174">
        <f>'2025年'!I25</f>
        <v>0</v>
      </c>
      <c r="F23" s="174" t="e">
        <f>'2026年'!I25</f>
        <v>#DIV/0!</v>
      </c>
      <c r="G23" s="174" t="e">
        <f>'2027年'!I25</f>
        <v>#DIV/0!</v>
      </c>
      <c r="H23" s="174" t="e">
        <f>'2028年'!I25</f>
        <v>#DIV/0!</v>
      </c>
      <c r="I23" s="174">
        <f>IF(I22&lt;0,0,I22*0.25)</f>
        <v>0</v>
      </c>
      <c r="J23" s="113"/>
      <c r="AK23" s="170" t="s">
        <v>63</v>
      </c>
      <c r="AL23" s="170" t="s">
        <v>62</v>
      </c>
    </row>
    <row r="24" spans="1:39" ht="15.75" customHeight="1">
      <c r="A24" s="96">
        <v>19</v>
      </c>
      <c r="B24" s="170" t="s">
        <v>64</v>
      </c>
      <c r="C24" s="174">
        <f>C22-C23</f>
        <v>-436626.6735326153</v>
      </c>
      <c r="D24" s="174">
        <f>'2024年'!I26</f>
        <v>-436626.6735326153</v>
      </c>
      <c r="E24" s="174">
        <f>'2025年'!I26</f>
        <v>-436626.6735326153</v>
      </c>
      <c r="F24" s="174" t="e">
        <f>'2026年'!I26</f>
        <v>#DIV/0!</v>
      </c>
      <c r="G24" s="174" t="e">
        <f>'2027年'!I26</f>
        <v>#DIV/0!</v>
      </c>
      <c r="H24" s="174" t="e">
        <f>'2028年'!I26</f>
        <v>#DIV/0!</v>
      </c>
      <c r="I24" s="174">
        <f>I22-I23</f>
        <v>-1309880.0205978439</v>
      </c>
      <c r="J24" s="113"/>
      <c r="AK24" s="170" t="s">
        <v>65</v>
      </c>
      <c r="AL24" s="170" t="s">
        <v>64</v>
      </c>
    </row>
    <row r="25" spans="1:39" ht="15.75" customHeight="1">
      <c r="A25" s="96">
        <v>20</v>
      </c>
      <c r="B25" s="170" t="s">
        <v>66</v>
      </c>
      <c r="C25" s="175">
        <f>(C24/C5)*100%</f>
        <v>-7.7692802313495818E-2</v>
      </c>
      <c r="D25" s="175">
        <f>'2024年'!I27</f>
        <v>-7.7692802313495818E-2</v>
      </c>
      <c r="E25" s="175">
        <f>'2025年'!I27</f>
        <v>-7.7692802313495818E-2</v>
      </c>
      <c r="F25" s="175" t="e">
        <f>'2026年'!I27</f>
        <v>#DIV/0!</v>
      </c>
      <c r="G25" s="175" t="e">
        <f>'2027年'!I27</f>
        <v>#DIV/0!</v>
      </c>
      <c r="H25" s="175" t="e">
        <f>'2028年'!I27</f>
        <v>#DIV/0!</v>
      </c>
      <c r="I25" s="175">
        <f>(I24/I5)*100%</f>
        <v>-7.7692802313495707E-2</v>
      </c>
      <c r="J25" s="113"/>
      <c r="AK25" s="189" t="s">
        <v>67</v>
      </c>
      <c r="AL25" s="189" t="s">
        <v>68</v>
      </c>
    </row>
    <row r="26" spans="1:39" s="158" customFormat="1" ht="15.75" customHeight="1">
      <c r="C26" s="176"/>
      <c r="D26" s="176"/>
      <c r="E26" s="176"/>
      <c r="F26" s="176"/>
      <c r="G26" s="176"/>
      <c r="H26" s="176"/>
      <c r="I26" s="176"/>
      <c r="J26" s="185"/>
    </row>
    <row r="27" spans="1:39" s="158" customFormat="1" ht="15.75" customHeight="1">
      <c r="A27" s="158" t="s">
        <v>69</v>
      </c>
      <c r="C27" s="177"/>
      <c r="D27" s="177"/>
      <c r="E27" s="177"/>
      <c r="F27" s="177"/>
      <c r="G27" s="177"/>
      <c r="H27" s="177"/>
      <c r="I27" s="177"/>
      <c r="J27" s="185"/>
      <c r="AK27" s="158" t="s">
        <v>69</v>
      </c>
    </row>
    <row r="28" spans="1:39" ht="15.75" customHeight="1">
      <c r="A28" s="170" t="s">
        <v>16</v>
      </c>
      <c r="B28" s="178" t="s">
        <v>1</v>
      </c>
      <c r="C28" s="163" t="s">
        <v>17</v>
      </c>
      <c r="D28" s="163" t="s">
        <v>18</v>
      </c>
      <c r="E28" s="163" t="s">
        <v>19</v>
      </c>
      <c r="F28" s="163" t="s">
        <v>20</v>
      </c>
      <c r="G28" s="163" t="s">
        <v>22</v>
      </c>
      <c r="H28" s="163" t="s">
        <v>22</v>
      </c>
      <c r="I28" s="97" t="s">
        <v>23</v>
      </c>
      <c r="AM28" s="159" t="s">
        <v>24</v>
      </c>
    </row>
    <row r="29" spans="1:39" s="94" customFormat="1" ht="15.75" customHeight="1">
      <c r="A29" s="98" t="s">
        <v>70</v>
      </c>
      <c r="B29" s="102" t="s">
        <v>71</v>
      </c>
      <c r="C29" s="106"/>
      <c r="D29" s="106"/>
      <c r="E29" s="106"/>
      <c r="F29" s="106"/>
      <c r="G29" s="106"/>
      <c r="H29" s="106"/>
      <c r="I29" s="106"/>
      <c r="J29" s="113"/>
      <c r="AK29" s="98" t="s">
        <v>72</v>
      </c>
      <c r="AL29" s="102" t="s">
        <v>71</v>
      </c>
    </row>
    <row r="30" spans="1:39" s="94" customFormat="1" ht="15.75" customHeight="1">
      <c r="A30" s="98" t="s">
        <v>27</v>
      </c>
      <c r="B30" s="98" t="s">
        <v>73</v>
      </c>
      <c r="C30" s="101">
        <f>+C7/C4</f>
        <v>280.99557522123899</v>
      </c>
      <c r="D30" s="101">
        <f t="shared" ref="D30:I30" si="5">+D7/D4</f>
        <v>280.99557522123899</v>
      </c>
      <c r="E30" s="101">
        <f t="shared" si="5"/>
        <v>280.99557522123899</v>
      </c>
      <c r="F30" s="101" t="e">
        <f t="shared" si="5"/>
        <v>#DIV/0!</v>
      </c>
      <c r="G30" s="101" t="e">
        <f t="shared" ref="G30" si="6">+G7/G4</f>
        <v>#DIV/0!</v>
      </c>
      <c r="H30" s="101" t="e">
        <f t="shared" si="5"/>
        <v>#DIV/0!</v>
      </c>
      <c r="I30" s="101">
        <f t="shared" si="5"/>
        <v>280.99557522123899</v>
      </c>
      <c r="J30" s="113"/>
      <c r="AK30" s="98" t="s">
        <v>27</v>
      </c>
      <c r="AL30" s="98" t="s">
        <v>73</v>
      </c>
    </row>
    <row r="31" spans="1:39" s="94" customFormat="1" ht="15.75" customHeight="1">
      <c r="A31" s="98" t="s">
        <v>29</v>
      </c>
      <c r="B31" s="98" t="s">
        <v>74</v>
      </c>
      <c r="C31" s="101">
        <f>+C8/C4</f>
        <v>256.17853989628611</v>
      </c>
      <c r="D31" s="101">
        <f t="shared" ref="D31:I31" si="7">+D8/D4</f>
        <v>256.17853989628611</v>
      </c>
      <c r="E31" s="101">
        <f t="shared" si="7"/>
        <v>256.17853989628611</v>
      </c>
      <c r="F31" s="101" t="e">
        <f t="shared" si="7"/>
        <v>#DIV/0!</v>
      </c>
      <c r="G31" s="101" t="e">
        <f t="shared" ref="G31" si="8">+G8/G4</f>
        <v>#DIV/0!</v>
      </c>
      <c r="H31" s="101" t="e">
        <f t="shared" si="7"/>
        <v>#DIV/0!</v>
      </c>
      <c r="I31" s="101">
        <f t="shared" si="7"/>
        <v>256.17853989628611</v>
      </c>
      <c r="J31" s="113"/>
      <c r="AK31" s="98" t="s">
        <v>29</v>
      </c>
      <c r="AL31" s="98" t="s">
        <v>74</v>
      </c>
    </row>
    <row r="32" spans="1:39" s="94" customFormat="1" ht="15.75" customHeight="1">
      <c r="A32" s="98" t="s">
        <v>75</v>
      </c>
      <c r="B32" s="98" t="s">
        <v>76</v>
      </c>
      <c r="C32" s="106">
        <f t="shared" ref="C32:I32" si="9">C30-C31</f>
        <v>24.817035324952883</v>
      </c>
      <c r="D32" s="106">
        <f t="shared" si="9"/>
        <v>24.817035324952883</v>
      </c>
      <c r="E32" s="106">
        <f t="shared" si="9"/>
        <v>24.817035324952883</v>
      </c>
      <c r="F32" s="106" t="e">
        <f t="shared" si="9"/>
        <v>#DIV/0!</v>
      </c>
      <c r="G32" s="106" t="e">
        <f t="shared" ref="G32" si="10">G30-G31</f>
        <v>#DIV/0!</v>
      </c>
      <c r="H32" s="106" t="e">
        <f t="shared" si="9"/>
        <v>#DIV/0!</v>
      </c>
      <c r="I32" s="106">
        <f t="shared" si="9"/>
        <v>24.817035324952883</v>
      </c>
      <c r="J32" s="113"/>
      <c r="AK32" s="98" t="s">
        <v>75</v>
      </c>
      <c r="AL32" s="98" t="s">
        <v>76</v>
      </c>
    </row>
    <row r="33" spans="1:38" s="94" customFormat="1" ht="15.75" customHeight="1">
      <c r="A33" s="98">
        <v>3.1</v>
      </c>
      <c r="B33" s="98" t="s">
        <v>77</v>
      </c>
      <c r="C33" s="179">
        <f t="shared" ref="C33:I33" si="11">C32/C30</f>
        <v>8.8318242397281324E-2</v>
      </c>
      <c r="D33" s="179">
        <f t="shared" si="11"/>
        <v>8.8318242397281324E-2</v>
      </c>
      <c r="E33" s="179">
        <f t="shared" si="11"/>
        <v>8.8318242397281324E-2</v>
      </c>
      <c r="F33" s="179" t="e">
        <f t="shared" si="11"/>
        <v>#DIV/0!</v>
      </c>
      <c r="G33" s="179" t="e">
        <f t="shared" ref="G33" si="12">G32/G30</f>
        <v>#DIV/0!</v>
      </c>
      <c r="H33" s="179" t="e">
        <f t="shared" si="11"/>
        <v>#DIV/0!</v>
      </c>
      <c r="I33" s="179">
        <f t="shared" si="11"/>
        <v>8.8318242397281324E-2</v>
      </c>
      <c r="J33" s="113"/>
      <c r="AK33" s="98"/>
      <c r="AL33" s="98"/>
    </row>
    <row r="34" spans="1:38" s="94" customFormat="1" ht="15.75" customHeight="1">
      <c r="A34" s="98" t="s">
        <v>72</v>
      </c>
      <c r="B34" s="102" t="s">
        <v>9</v>
      </c>
      <c r="C34" s="106"/>
      <c r="D34" s="106"/>
      <c r="E34" s="106"/>
      <c r="F34" s="106"/>
      <c r="G34" s="106"/>
      <c r="H34" s="106"/>
      <c r="I34" s="106"/>
      <c r="J34" s="113"/>
      <c r="AK34" s="98" t="s">
        <v>78</v>
      </c>
      <c r="AL34" s="102" t="s">
        <v>9</v>
      </c>
    </row>
    <row r="35" spans="1:38" s="94" customFormat="1" ht="15.75" customHeight="1">
      <c r="A35" s="98" t="s">
        <v>27</v>
      </c>
      <c r="B35" s="107" t="s">
        <v>79</v>
      </c>
      <c r="C35" s="101">
        <f>+C9/C4</f>
        <v>16.337251376259591</v>
      </c>
      <c r="D35" s="101">
        <f t="shared" ref="D35:I35" si="13">+D9/D4</f>
        <v>16.337251376259591</v>
      </c>
      <c r="E35" s="101">
        <f t="shared" si="13"/>
        <v>16.337251376259591</v>
      </c>
      <c r="F35" s="101" t="e">
        <f t="shared" si="13"/>
        <v>#DIV/0!</v>
      </c>
      <c r="G35" s="101" t="e">
        <f t="shared" ref="G35" si="14">+G9/G4</f>
        <v>#DIV/0!</v>
      </c>
      <c r="H35" s="101" t="e">
        <f t="shared" si="13"/>
        <v>#DIV/0!</v>
      </c>
      <c r="I35" s="101">
        <f t="shared" si="13"/>
        <v>16.337251376259591</v>
      </c>
      <c r="J35" s="113"/>
      <c r="AK35" s="98" t="s">
        <v>75</v>
      </c>
      <c r="AL35" s="98" t="s">
        <v>79</v>
      </c>
    </row>
    <row r="36" spans="1:38" s="94" customFormat="1" ht="15.75" customHeight="1">
      <c r="A36" s="98" t="s">
        <v>29</v>
      </c>
      <c r="B36" s="107" t="s">
        <v>80</v>
      </c>
      <c r="C36" s="101">
        <f>+C10/C4</f>
        <v>5.0771283379462799</v>
      </c>
      <c r="D36" s="101">
        <f t="shared" ref="D36:I36" si="15">+D10/D4</f>
        <v>5.0771283379462799</v>
      </c>
      <c r="E36" s="101">
        <f t="shared" si="15"/>
        <v>5.0771283379462799</v>
      </c>
      <c r="F36" s="101" t="e">
        <f t="shared" si="15"/>
        <v>#DIV/0!</v>
      </c>
      <c r="G36" s="101" t="e">
        <f t="shared" ref="G36" si="16">+G10/G4</f>
        <v>#DIV/0!</v>
      </c>
      <c r="H36" s="101" t="e">
        <f t="shared" si="15"/>
        <v>#DIV/0!</v>
      </c>
      <c r="I36" s="101">
        <f t="shared" si="15"/>
        <v>5.0771283379462799</v>
      </c>
      <c r="J36" s="113"/>
      <c r="AK36" s="98" t="s">
        <v>32</v>
      </c>
      <c r="AL36" s="98" t="s">
        <v>80</v>
      </c>
    </row>
    <row r="37" spans="1:38" s="94" customFormat="1" ht="15.75" customHeight="1">
      <c r="A37" s="98" t="s">
        <v>75</v>
      </c>
      <c r="B37" s="107" t="s">
        <v>81</v>
      </c>
      <c r="C37" s="101">
        <f>+C11/C4</f>
        <v>10.684210526315789</v>
      </c>
      <c r="D37" s="101">
        <f t="shared" ref="D37:I37" si="17">+D11/D4</f>
        <v>10.684210526315789</v>
      </c>
      <c r="E37" s="101">
        <f t="shared" si="17"/>
        <v>10.684210526315789</v>
      </c>
      <c r="F37" s="101" t="e">
        <f t="shared" si="17"/>
        <v>#DIV/0!</v>
      </c>
      <c r="G37" s="101" t="e">
        <f t="shared" ref="G37" si="18">+G11/G4</f>
        <v>#DIV/0!</v>
      </c>
      <c r="H37" s="101" t="e">
        <f t="shared" si="17"/>
        <v>#DIV/0!</v>
      </c>
      <c r="I37" s="101">
        <f t="shared" si="17"/>
        <v>10.684210526315791</v>
      </c>
      <c r="J37" s="113"/>
      <c r="AK37" s="98" t="s">
        <v>38</v>
      </c>
      <c r="AL37" s="98" t="s">
        <v>81</v>
      </c>
    </row>
    <row r="38" spans="1:38" s="94" customFormat="1" ht="15.75" customHeight="1">
      <c r="A38" s="98" t="s">
        <v>82</v>
      </c>
      <c r="B38" s="169" t="s">
        <v>83</v>
      </c>
      <c r="C38" s="101"/>
      <c r="D38" s="101"/>
      <c r="E38" s="101"/>
      <c r="F38" s="101"/>
      <c r="G38" s="101"/>
      <c r="H38" s="101"/>
      <c r="I38" s="101"/>
      <c r="J38" s="113"/>
      <c r="AK38" s="98" t="s">
        <v>82</v>
      </c>
      <c r="AL38" s="102" t="s">
        <v>83</v>
      </c>
    </row>
    <row r="39" spans="1:38" s="94" customFormat="1">
      <c r="A39" s="98" t="s">
        <v>27</v>
      </c>
      <c r="B39" s="107" t="s">
        <v>84</v>
      </c>
      <c r="C39" s="101">
        <f>+C13/C4</f>
        <v>-7.2815549155688162</v>
      </c>
      <c r="D39" s="101">
        <f t="shared" ref="D39:I39" si="19">+D13/D4</f>
        <v>-7.2815549155688162</v>
      </c>
      <c r="E39" s="101">
        <f t="shared" si="19"/>
        <v>-7.2815549155688162</v>
      </c>
      <c r="F39" s="101" t="e">
        <f t="shared" si="19"/>
        <v>#DIV/0!</v>
      </c>
      <c r="G39" s="101" t="e">
        <f t="shared" ref="G39" si="20">+G13/G4</f>
        <v>#DIV/0!</v>
      </c>
      <c r="H39" s="101" t="e">
        <f t="shared" si="19"/>
        <v>#DIV/0!</v>
      </c>
      <c r="I39" s="101">
        <f t="shared" si="19"/>
        <v>-7.2815549155687833</v>
      </c>
      <c r="J39" s="113"/>
      <c r="AK39" s="98" t="s">
        <v>27</v>
      </c>
      <c r="AL39" s="98" t="s">
        <v>85</v>
      </c>
    </row>
    <row r="40" spans="1:38" s="94" customFormat="1" ht="15.75" customHeight="1">
      <c r="A40" s="98" t="s">
        <v>29</v>
      </c>
      <c r="B40" s="107" t="s">
        <v>86</v>
      </c>
      <c r="C40" s="164">
        <f t="shared" ref="C40:H40" si="21">+C21/C39</f>
        <v>-39963.384001823077</v>
      </c>
      <c r="D40" s="164">
        <f t="shared" si="21"/>
        <v>-39963.384001823077</v>
      </c>
      <c r="E40" s="164">
        <f t="shared" si="21"/>
        <v>-39963.384001823077</v>
      </c>
      <c r="F40" s="164" t="e">
        <f t="shared" si="21"/>
        <v>#DIV/0!</v>
      </c>
      <c r="G40" s="164" t="e">
        <f t="shared" ref="G40" si="22">+G21/G39</f>
        <v>#DIV/0!</v>
      </c>
      <c r="H40" s="164" t="e">
        <f t="shared" si="21"/>
        <v>#DIV/0!</v>
      </c>
      <c r="I40" s="186">
        <f t="shared" ref="I40" si="23">+I21/I39</f>
        <v>-119890.15200546978</v>
      </c>
      <c r="J40" s="113"/>
      <c r="AK40" s="98" t="s">
        <v>29</v>
      </c>
      <c r="AL40" s="98" t="s">
        <v>86</v>
      </c>
    </row>
    <row r="41" spans="1:38" s="94" customFormat="1" ht="15.75" customHeight="1">
      <c r="A41" s="98" t="s">
        <v>87</v>
      </c>
      <c r="B41" s="102" t="s">
        <v>88</v>
      </c>
      <c r="C41" s="106"/>
      <c r="D41" s="106"/>
      <c r="E41" s="106"/>
      <c r="F41" s="106"/>
      <c r="G41" s="106"/>
      <c r="H41" s="106"/>
      <c r="I41" s="106"/>
      <c r="J41" s="113"/>
      <c r="AK41" s="98" t="s">
        <v>87</v>
      </c>
      <c r="AL41" s="102" t="s">
        <v>88</v>
      </c>
    </row>
    <row r="42" spans="1:38" s="94" customFormat="1" ht="15.75" customHeight="1">
      <c r="A42" s="98" t="s">
        <v>27</v>
      </c>
      <c r="B42" s="98" t="s">
        <v>89</v>
      </c>
      <c r="C42" s="106">
        <f>+C15/C4</f>
        <v>0</v>
      </c>
      <c r="D42" s="106">
        <f t="shared" ref="D42:I42" si="24">+D15/D4</f>
        <v>0</v>
      </c>
      <c r="E42" s="106">
        <f t="shared" si="24"/>
        <v>0</v>
      </c>
      <c r="F42" s="106" t="e">
        <f t="shared" si="24"/>
        <v>#DIV/0!</v>
      </c>
      <c r="G42" s="106" t="e">
        <f t="shared" ref="G42" si="25">+G15/G4</f>
        <v>#DIV/0!</v>
      </c>
      <c r="H42" s="106" t="e">
        <f t="shared" si="24"/>
        <v>#DIV/0!</v>
      </c>
      <c r="I42" s="106">
        <f t="shared" si="24"/>
        <v>0</v>
      </c>
      <c r="J42" s="113"/>
      <c r="AK42" s="98" t="s">
        <v>27</v>
      </c>
      <c r="AL42" s="98" t="s">
        <v>89</v>
      </c>
    </row>
    <row r="43" spans="1:38" s="94" customFormat="1" ht="15.75" customHeight="1">
      <c r="A43" s="98" t="s">
        <v>29</v>
      </c>
      <c r="B43" s="98" t="s">
        <v>90</v>
      </c>
      <c r="C43" s="106">
        <f>+C17/C4</f>
        <v>0</v>
      </c>
      <c r="D43" s="106">
        <f t="shared" ref="D43:I43" si="26">+D17/D4</f>
        <v>0</v>
      </c>
      <c r="E43" s="106">
        <f t="shared" si="26"/>
        <v>0</v>
      </c>
      <c r="F43" s="106" t="e">
        <f t="shared" si="26"/>
        <v>#DIV/0!</v>
      </c>
      <c r="G43" s="106" t="e">
        <f t="shared" ref="G43" si="27">+G17/G4</f>
        <v>#DIV/0!</v>
      </c>
      <c r="H43" s="106" t="e">
        <f t="shared" si="26"/>
        <v>#DIV/0!</v>
      </c>
      <c r="I43" s="106">
        <f t="shared" si="26"/>
        <v>0</v>
      </c>
      <c r="J43" s="113"/>
      <c r="AK43" s="98" t="s">
        <v>29</v>
      </c>
      <c r="AL43" s="98" t="s">
        <v>90</v>
      </c>
    </row>
    <row r="44" spans="1:38" s="94" customFormat="1" ht="15.75" customHeight="1">
      <c r="A44" s="98" t="s">
        <v>75</v>
      </c>
      <c r="B44" s="98" t="s">
        <v>91</v>
      </c>
      <c r="C44" s="106">
        <f>+C18/C4</f>
        <v>0</v>
      </c>
      <c r="D44" s="106">
        <f t="shared" ref="D44:I44" si="28">+D18/D4</f>
        <v>0</v>
      </c>
      <c r="E44" s="106">
        <f t="shared" si="28"/>
        <v>0</v>
      </c>
      <c r="F44" s="106" t="e">
        <f t="shared" si="28"/>
        <v>#DIV/0!</v>
      </c>
      <c r="G44" s="106" t="e">
        <f t="shared" ref="G44" si="29">+G18/G4</f>
        <v>#DIV/0!</v>
      </c>
      <c r="H44" s="106" t="e">
        <f t="shared" si="28"/>
        <v>#DIV/0!</v>
      </c>
      <c r="I44" s="106">
        <f t="shared" si="28"/>
        <v>0</v>
      </c>
      <c r="J44" s="113"/>
      <c r="AK44" s="98" t="s">
        <v>75</v>
      </c>
      <c r="AL44" s="98" t="s">
        <v>91</v>
      </c>
    </row>
    <row r="45" spans="1:38" s="94" customFormat="1" ht="15.75" customHeight="1">
      <c r="A45" s="98" t="s">
        <v>32</v>
      </c>
      <c r="B45" s="98" t="s">
        <v>92</v>
      </c>
      <c r="C45" s="106">
        <f>C19/C4</f>
        <v>0.5</v>
      </c>
      <c r="D45" s="106">
        <f t="shared" ref="D45:I45" si="30">D19/D4</f>
        <v>0.5</v>
      </c>
      <c r="E45" s="106">
        <f t="shared" si="30"/>
        <v>0.5</v>
      </c>
      <c r="F45" s="106" t="e">
        <f t="shared" si="30"/>
        <v>#DIV/0!</v>
      </c>
      <c r="G45" s="106" t="e">
        <f t="shared" si="30"/>
        <v>#DIV/0!</v>
      </c>
      <c r="H45" s="106" t="e">
        <f t="shared" si="30"/>
        <v>#DIV/0!</v>
      </c>
      <c r="I45" s="106">
        <f t="shared" si="30"/>
        <v>0.5</v>
      </c>
      <c r="J45" s="113"/>
      <c r="AK45" s="98" t="s">
        <v>32</v>
      </c>
      <c r="AL45" s="98" t="s">
        <v>93</v>
      </c>
    </row>
    <row r="46" spans="1:38" s="94" customFormat="1" ht="15.75" customHeight="1">
      <c r="A46" s="98" t="s">
        <v>35</v>
      </c>
      <c r="B46" s="98" t="s">
        <v>94</v>
      </c>
      <c r="C46" s="106">
        <f>C20/C4</f>
        <v>14.049778761061951</v>
      </c>
      <c r="D46" s="106">
        <f t="shared" ref="D46:I46" si="31">D20/D4</f>
        <v>14.049778761061951</v>
      </c>
      <c r="E46" s="106">
        <f t="shared" si="31"/>
        <v>14.049778761061951</v>
      </c>
      <c r="F46" s="106" t="e">
        <f t="shared" si="31"/>
        <v>#DIV/0!</v>
      </c>
      <c r="G46" s="106" t="e">
        <f t="shared" si="31"/>
        <v>#DIV/0!</v>
      </c>
      <c r="H46" s="106" t="e">
        <f t="shared" si="31"/>
        <v>#DIV/0!</v>
      </c>
      <c r="I46" s="106">
        <f t="shared" si="31"/>
        <v>14.049778761061951</v>
      </c>
      <c r="J46" s="113"/>
      <c r="AK46" s="98" t="s">
        <v>35</v>
      </c>
      <c r="AL46" s="98" t="s">
        <v>94</v>
      </c>
    </row>
    <row r="47" spans="1:38" s="94" customFormat="1" ht="15.75" customHeight="1">
      <c r="A47" s="98" t="s">
        <v>95</v>
      </c>
      <c r="B47" s="102" t="s">
        <v>96</v>
      </c>
      <c r="C47" s="106"/>
      <c r="D47" s="106"/>
      <c r="E47" s="106"/>
      <c r="F47" s="106"/>
      <c r="G47" s="106"/>
      <c r="H47" s="106"/>
      <c r="I47" s="106"/>
      <c r="J47" s="113"/>
      <c r="AK47" s="98" t="s">
        <v>95</v>
      </c>
      <c r="AL47" s="102" t="s">
        <v>96</v>
      </c>
    </row>
    <row r="48" spans="1:38" s="94" customFormat="1" ht="15.75" customHeight="1">
      <c r="A48" s="98" t="s">
        <v>27</v>
      </c>
      <c r="B48" s="98" t="s">
        <v>97</v>
      </c>
      <c r="C48" s="180">
        <f>+(C11+C17)/C7</f>
        <v>3.8022700243246485E-2</v>
      </c>
      <c r="D48" s="180">
        <f t="shared" ref="D48:I48" si="32">+(D11+D17)/D7</f>
        <v>3.8022700243246485E-2</v>
      </c>
      <c r="E48" s="180">
        <f t="shared" si="32"/>
        <v>3.8022700243246485E-2</v>
      </c>
      <c r="F48" s="180" t="e">
        <f t="shared" si="32"/>
        <v>#DIV/0!</v>
      </c>
      <c r="G48" s="180" t="e">
        <f t="shared" ref="G48" si="33">+(G11+G17)/G7</f>
        <v>#DIV/0!</v>
      </c>
      <c r="H48" s="180" t="e">
        <f t="shared" si="32"/>
        <v>#DIV/0!</v>
      </c>
      <c r="I48" s="180">
        <f t="shared" si="32"/>
        <v>3.8022700243246492E-2</v>
      </c>
      <c r="J48" s="113"/>
      <c r="AK48" s="98" t="s">
        <v>27</v>
      </c>
      <c r="AL48" s="98" t="s">
        <v>97</v>
      </c>
    </row>
    <row r="49" spans="1:38" s="94" customFormat="1" ht="15.75" customHeight="1">
      <c r="A49" s="98" t="s">
        <v>29</v>
      </c>
      <c r="B49" s="98" t="s">
        <v>98</v>
      </c>
      <c r="C49" s="180">
        <f>+(C9+C10+C15)/C7</f>
        <v>7.6208957017723428E-2</v>
      </c>
      <c r="D49" s="180">
        <f t="shared" ref="D49:H49" si="34">+(D9+D10+D15)/D7</f>
        <v>7.6208957017723428E-2</v>
      </c>
      <c r="E49" s="180">
        <f t="shared" si="34"/>
        <v>7.6208957017723428E-2</v>
      </c>
      <c r="F49" s="180" t="e">
        <f t="shared" si="34"/>
        <v>#DIV/0!</v>
      </c>
      <c r="G49" s="180" t="e">
        <f t="shared" ref="G49" si="35">+(G9+G10+G15)/G7</f>
        <v>#DIV/0!</v>
      </c>
      <c r="H49" s="180" t="e">
        <f t="shared" si="34"/>
        <v>#DIV/0!</v>
      </c>
      <c r="I49" s="180">
        <f>+(I9+I10+I15)/I7</f>
        <v>7.6208957017723428E-2</v>
      </c>
      <c r="J49" s="113"/>
      <c r="AK49" s="98" t="s">
        <v>29</v>
      </c>
      <c r="AL49" s="98" t="s">
        <v>98</v>
      </c>
    </row>
    <row r="50" spans="1:38" s="94" customFormat="1" ht="15.75" customHeight="1">
      <c r="A50" s="98" t="s">
        <v>75</v>
      </c>
      <c r="B50" s="98" t="s">
        <v>99</v>
      </c>
      <c r="C50" s="180">
        <f>+C18/C7</f>
        <v>0</v>
      </c>
      <c r="D50" s="180">
        <f t="shared" ref="D50:I50" si="36">+D18/D7</f>
        <v>0</v>
      </c>
      <c r="E50" s="180">
        <f t="shared" si="36"/>
        <v>0</v>
      </c>
      <c r="F50" s="180" t="e">
        <f t="shared" si="36"/>
        <v>#DIV/0!</v>
      </c>
      <c r="G50" s="180" t="e">
        <f t="shared" ref="G50" si="37">+G18/G7</f>
        <v>#DIV/0!</v>
      </c>
      <c r="H50" s="180" t="e">
        <f t="shared" si="36"/>
        <v>#DIV/0!</v>
      </c>
      <c r="I50" s="180">
        <f t="shared" si="36"/>
        <v>0</v>
      </c>
      <c r="J50" s="113"/>
      <c r="AK50" s="98" t="s">
        <v>75</v>
      </c>
      <c r="AL50" s="98" t="s">
        <v>99</v>
      </c>
    </row>
    <row r="51" spans="1:38" s="94" customFormat="1" ht="15.75" customHeight="1">
      <c r="A51" s="98" t="s">
        <v>32</v>
      </c>
      <c r="B51" s="98" t="s">
        <v>100</v>
      </c>
      <c r="C51" s="180">
        <f>+C19/C7</f>
        <v>1.7793874498071016E-3</v>
      </c>
      <c r="D51" s="180">
        <f t="shared" ref="D51:I51" si="38">+D19/D7</f>
        <v>1.7793874498071016E-3</v>
      </c>
      <c r="E51" s="180">
        <f t="shared" si="38"/>
        <v>1.7793874498071016E-3</v>
      </c>
      <c r="F51" s="180" t="e">
        <f t="shared" si="38"/>
        <v>#DIV/0!</v>
      </c>
      <c r="G51" s="180" t="e">
        <f t="shared" ref="G51" si="39">+G19/G7</f>
        <v>#DIV/0!</v>
      </c>
      <c r="H51" s="180" t="e">
        <f t="shared" si="38"/>
        <v>#DIV/0!</v>
      </c>
      <c r="I51" s="180">
        <f t="shared" si="38"/>
        <v>1.7793874498071016E-3</v>
      </c>
      <c r="J51" s="113"/>
      <c r="AK51" s="98" t="s">
        <v>32</v>
      </c>
      <c r="AL51" s="98" t="s">
        <v>100</v>
      </c>
    </row>
    <row r="52" spans="1:38" s="94" customFormat="1" ht="15.75" customHeight="1">
      <c r="A52" s="98" t="s">
        <v>35</v>
      </c>
      <c r="B52" s="98" t="s">
        <v>101</v>
      </c>
      <c r="C52" s="180">
        <f>+C20/C7</f>
        <v>0.05</v>
      </c>
      <c r="D52" s="180">
        <f t="shared" ref="D52:I52" si="40">+D20/D7</f>
        <v>0.05</v>
      </c>
      <c r="E52" s="180">
        <f t="shared" si="40"/>
        <v>0.05</v>
      </c>
      <c r="F52" s="180" t="e">
        <f t="shared" si="40"/>
        <v>#DIV/0!</v>
      </c>
      <c r="G52" s="180" t="e">
        <f t="shared" ref="G52" si="41">+G20/G7</f>
        <v>#DIV/0!</v>
      </c>
      <c r="H52" s="180" t="e">
        <f t="shared" si="40"/>
        <v>#DIV/0!</v>
      </c>
      <c r="I52" s="180">
        <f t="shared" si="40"/>
        <v>5.000000000000001E-2</v>
      </c>
      <c r="J52" s="113"/>
      <c r="AK52" s="98" t="s">
        <v>35</v>
      </c>
      <c r="AL52" s="98" t="s">
        <v>101</v>
      </c>
    </row>
    <row r="53" spans="1:38" s="94" customFormat="1" ht="15.75" customHeight="1">
      <c r="A53" s="98" t="s">
        <v>38</v>
      </c>
      <c r="B53" s="98" t="s">
        <v>102</v>
      </c>
      <c r="C53" s="180">
        <f>+C24/C7</f>
        <v>-7.7692802313495818E-2</v>
      </c>
      <c r="D53" s="180">
        <f t="shared" ref="D53:I53" si="42">+D24/D7</f>
        <v>-7.7692802313495818E-2</v>
      </c>
      <c r="E53" s="180">
        <f t="shared" si="42"/>
        <v>-7.7692802313495818E-2</v>
      </c>
      <c r="F53" s="180" t="e">
        <f t="shared" si="42"/>
        <v>#DIV/0!</v>
      </c>
      <c r="G53" s="180" t="e">
        <f t="shared" ref="G53" si="43">+G24/G7</f>
        <v>#DIV/0!</v>
      </c>
      <c r="H53" s="180" t="e">
        <f t="shared" si="42"/>
        <v>#DIV/0!</v>
      </c>
      <c r="I53" s="180">
        <f t="shared" si="42"/>
        <v>-7.7692802313495707E-2</v>
      </c>
      <c r="J53" s="113"/>
      <c r="AK53" s="98" t="s">
        <v>38</v>
      </c>
      <c r="AL53" s="98" t="s">
        <v>103</v>
      </c>
    </row>
    <row r="54" spans="1:38" s="94" customFormat="1" ht="15.75" customHeight="1">
      <c r="A54" s="98" t="s">
        <v>104</v>
      </c>
      <c r="B54" s="102" t="s">
        <v>105</v>
      </c>
      <c r="C54" s="106">
        <f>+C22/C4</f>
        <v>-21.831333676630766</v>
      </c>
      <c r="D54" s="106">
        <f t="shared" ref="D54:I54" si="44">+D22/D4</f>
        <v>-21.831333676630766</v>
      </c>
      <c r="E54" s="106">
        <f t="shared" si="44"/>
        <v>-21.831333676630766</v>
      </c>
      <c r="F54" s="106" t="e">
        <f t="shared" si="44"/>
        <v>#DIV/0!</v>
      </c>
      <c r="G54" s="106" t="e">
        <f t="shared" ref="G54" si="45">+G22/G4</f>
        <v>#DIV/0!</v>
      </c>
      <c r="H54" s="106" t="e">
        <f t="shared" si="44"/>
        <v>#DIV/0!</v>
      </c>
      <c r="I54" s="106">
        <f t="shared" si="44"/>
        <v>-21.831333676630731</v>
      </c>
      <c r="J54" s="113"/>
      <c r="AK54" s="98" t="s">
        <v>104</v>
      </c>
      <c r="AL54" s="102" t="s">
        <v>105</v>
      </c>
    </row>
    <row r="55" spans="1:38" s="94" customFormat="1" ht="15.75" customHeight="1">
      <c r="A55" s="98" t="s">
        <v>106</v>
      </c>
      <c r="B55" s="181" t="s">
        <v>107</v>
      </c>
      <c r="C55" s="106"/>
      <c r="D55" s="106"/>
      <c r="E55" s="106"/>
      <c r="F55" s="106"/>
      <c r="G55" s="106"/>
      <c r="H55" s="106"/>
      <c r="I55" s="106"/>
      <c r="J55" s="113"/>
      <c r="AK55" s="98"/>
      <c r="AL55" s="102"/>
    </row>
    <row r="56" spans="1:38" s="94" customFormat="1" ht="15.75" customHeight="1">
      <c r="A56" s="98" t="s">
        <v>27</v>
      </c>
      <c r="B56" s="98" t="s">
        <v>108</v>
      </c>
      <c r="C56" s="106">
        <f>C57+C58</f>
        <v>30000</v>
      </c>
      <c r="D56" s="106"/>
      <c r="E56" s="106"/>
      <c r="F56" s="106"/>
      <c r="G56" s="106"/>
      <c r="H56" s="106"/>
      <c r="I56" s="106"/>
      <c r="J56" s="113"/>
    </row>
    <row r="57" spans="1:38" s="94" customFormat="1" ht="15.75" customHeight="1">
      <c r="A57" s="98">
        <v>1.1000000000000001</v>
      </c>
      <c r="B57" s="182" t="s">
        <v>109</v>
      </c>
      <c r="C57" s="106">
        <f>项目投资!B27</f>
        <v>30000</v>
      </c>
      <c r="D57" s="106"/>
      <c r="E57" s="106"/>
      <c r="F57" s="106"/>
      <c r="G57" s="106"/>
      <c r="H57" s="106"/>
      <c r="I57" s="106"/>
      <c r="J57" s="113"/>
    </row>
    <row r="58" spans="1:38" s="94" customFormat="1" ht="15.75" customHeight="1">
      <c r="A58" s="98">
        <v>1.2</v>
      </c>
      <c r="B58" s="98" t="s">
        <v>110</v>
      </c>
      <c r="C58" s="106">
        <f>项目投资!B26</f>
        <v>0</v>
      </c>
      <c r="D58" s="106"/>
      <c r="E58" s="106"/>
      <c r="F58" s="106"/>
      <c r="G58" s="106"/>
      <c r="H58" s="106"/>
      <c r="I58" s="106"/>
      <c r="J58" s="113"/>
    </row>
    <row r="59" spans="1:38" ht="15.75" customHeight="1">
      <c r="A59" s="170" t="s">
        <v>29</v>
      </c>
      <c r="B59" s="170" t="s">
        <v>111</v>
      </c>
      <c r="C59" s="183">
        <f t="shared" ref="C59:H59" si="46">C60+C61</f>
        <v>-436626.6735326153</v>
      </c>
      <c r="D59" s="183">
        <f t="shared" si="46"/>
        <v>-436626.6735326153</v>
      </c>
      <c r="E59" s="183">
        <f t="shared" si="46"/>
        <v>-436626.6735326153</v>
      </c>
      <c r="F59" s="183" t="e">
        <f t="shared" si="46"/>
        <v>#DIV/0!</v>
      </c>
      <c r="G59" s="183" t="e">
        <f t="shared" ref="G59" si="47">G60+G61</f>
        <v>#DIV/0!</v>
      </c>
      <c r="H59" s="183" t="e">
        <f t="shared" si="46"/>
        <v>#DIV/0!</v>
      </c>
      <c r="I59" s="183">
        <f t="shared" ref="I59" si="48">I60+I61</f>
        <v>-1309880.0205978439</v>
      </c>
      <c r="J59" s="113"/>
    </row>
    <row r="60" spans="1:38" ht="15.75" customHeight="1">
      <c r="A60" s="170" t="s">
        <v>75</v>
      </c>
      <c r="B60" s="170" t="s">
        <v>112</v>
      </c>
      <c r="C60" s="183">
        <f t="shared" ref="C60:H60" si="49">C24</f>
        <v>-436626.6735326153</v>
      </c>
      <c r="D60" s="183">
        <f t="shared" si="49"/>
        <v>-436626.6735326153</v>
      </c>
      <c r="E60" s="183">
        <f t="shared" si="49"/>
        <v>-436626.6735326153</v>
      </c>
      <c r="F60" s="183" t="e">
        <f t="shared" si="49"/>
        <v>#DIV/0!</v>
      </c>
      <c r="G60" s="183" t="e">
        <f t="shared" ref="G60" si="50">G24</f>
        <v>#DIV/0!</v>
      </c>
      <c r="H60" s="183" t="e">
        <f t="shared" si="49"/>
        <v>#DIV/0!</v>
      </c>
      <c r="I60" s="183">
        <f t="shared" ref="I60" si="51">I24</f>
        <v>-1309880.0205978439</v>
      </c>
      <c r="J60" s="113"/>
    </row>
    <row r="61" spans="1:38" ht="15.75" customHeight="1">
      <c r="A61" s="170" t="s">
        <v>32</v>
      </c>
      <c r="B61" s="170" t="s">
        <v>113</v>
      </c>
      <c r="C61" s="183">
        <f>'2023年'!I18</f>
        <v>0</v>
      </c>
      <c r="D61" s="183">
        <f>'2024年'!I18</f>
        <v>0</v>
      </c>
      <c r="E61" s="183">
        <f>'2025年'!I18</f>
        <v>0</v>
      </c>
      <c r="F61" s="183">
        <f>'2026年'!I18</f>
        <v>0</v>
      </c>
      <c r="G61" s="183">
        <f>'2027年'!I18</f>
        <v>0</v>
      </c>
      <c r="H61" s="183">
        <f>'2028年'!I18</f>
        <v>0</v>
      </c>
      <c r="I61" s="183">
        <f>项目投资!J26</f>
        <v>0</v>
      </c>
      <c r="J61" s="113"/>
    </row>
    <row r="62" spans="1:38" ht="15.75" customHeight="1">
      <c r="A62" s="170" t="s">
        <v>35</v>
      </c>
      <c r="B62" s="170" t="s">
        <v>114</v>
      </c>
      <c r="C62" s="184"/>
      <c r="D62" s="184"/>
      <c r="E62" s="184"/>
      <c r="F62" s="184"/>
      <c r="G62" s="184"/>
      <c r="H62" s="184"/>
      <c r="I62" s="183"/>
      <c r="J62" s="113"/>
    </row>
    <row r="64" spans="1:38">
      <c r="B64"/>
    </row>
  </sheetData>
  <mergeCells count="3">
    <mergeCell ref="A1:I1"/>
    <mergeCell ref="C2:F2"/>
    <mergeCell ref="A3:A4"/>
  </mergeCells>
  <phoneticPr fontId="43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2" customWidth="1"/>
    <col min="2" max="2" width="28.5" style="122" customWidth="1"/>
    <col min="3" max="4" width="9.125" style="122"/>
    <col min="5" max="5" width="13.875" style="122" customWidth="1"/>
    <col min="6" max="12" width="16.125" style="122" customWidth="1"/>
    <col min="13" max="13" width="10.625" style="122" customWidth="1"/>
    <col min="14" max="254" width="9.125" style="122"/>
    <col min="255" max="255" width="8" style="122" customWidth="1"/>
    <col min="256" max="256" width="28.5" style="122" customWidth="1"/>
    <col min="257" max="268" width="9.125" style="122"/>
    <col min="269" max="269" width="10.625" style="122" customWidth="1"/>
    <col min="270" max="510" width="9.125" style="122"/>
    <col min="511" max="511" width="8" style="122" customWidth="1"/>
    <col min="512" max="512" width="28.5" style="122" customWidth="1"/>
    <col min="513" max="524" width="9.125" style="122"/>
    <col min="525" max="525" width="10.625" style="122" customWidth="1"/>
    <col min="526" max="766" width="9.125" style="122"/>
    <col min="767" max="767" width="8" style="122" customWidth="1"/>
    <col min="768" max="768" width="28.5" style="122" customWidth="1"/>
    <col min="769" max="780" width="9.125" style="122"/>
    <col min="781" max="781" width="10.625" style="122" customWidth="1"/>
    <col min="782" max="1022" width="9.125" style="122"/>
    <col min="1023" max="1023" width="8" style="122" customWidth="1"/>
    <col min="1024" max="1024" width="28.5" style="122" customWidth="1"/>
    <col min="1025" max="1036" width="9.125" style="122"/>
    <col min="1037" max="1037" width="10.625" style="122" customWidth="1"/>
    <col min="1038" max="1278" width="9.125" style="122"/>
    <col min="1279" max="1279" width="8" style="122" customWidth="1"/>
    <col min="1280" max="1280" width="28.5" style="122" customWidth="1"/>
    <col min="1281" max="1292" width="9.125" style="122"/>
    <col min="1293" max="1293" width="10.625" style="122" customWidth="1"/>
    <col min="1294" max="1534" width="9.125" style="122"/>
    <col min="1535" max="1535" width="8" style="122" customWidth="1"/>
    <col min="1536" max="1536" width="28.5" style="122" customWidth="1"/>
    <col min="1537" max="1548" width="9.125" style="122"/>
    <col min="1549" max="1549" width="10.625" style="122" customWidth="1"/>
    <col min="1550" max="1790" width="9.125" style="122"/>
    <col min="1791" max="1791" width="8" style="122" customWidth="1"/>
    <col min="1792" max="1792" width="28.5" style="122" customWidth="1"/>
    <col min="1793" max="1804" width="9.125" style="122"/>
    <col min="1805" max="1805" width="10.625" style="122" customWidth="1"/>
    <col min="1806" max="2046" width="9.125" style="122"/>
    <col min="2047" max="2047" width="8" style="122" customWidth="1"/>
    <col min="2048" max="2048" width="28.5" style="122" customWidth="1"/>
    <col min="2049" max="2060" width="9.125" style="122"/>
    <col min="2061" max="2061" width="10.625" style="122" customWidth="1"/>
    <col min="2062" max="2302" width="9.125" style="122"/>
    <col min="2303" max="2303" width="8" style="122" customWidth="1"/>
    <col min="2304" max="2304" width="28.5" style="122" customWidth="1"/>
    <col min="2305" max="2316" width="9.125" style="122"/>
    <col min="2317" max="2317" width="10.625" style="122" customWidth="1"/>
    <col min="2318" max="2558" width="9.125" style="122"/>
    <col min="2559" max="2559" width="8" style="122" customWidth="1"/>
    <col min="2560" max="2560" width="28.5" style="122" customWidth="1"/>
    <col min="2561" max="2572" width="9.125" style="122"/>
    <col min="2573" max="2573" width="10.625" style="122" customWidth="1"/>
    <col min="2574" max="2814" width="9.125" style="122"/>
    <col min="2815" max="2815" width="8" style="122" customWidth="1"/>
    <col min="2816" max="2816" width="28.5" style="122" customWidth="1"/>
    <col min="2817" max="2828" width="9.125" style="122"/>
    <col min="2829" max="2829" width="10.625" style="122" customWidth="1"/>
    <col min="2830" max="3070" width="9.125" style="122"/>
    <col min="3071" max="3071" width="8" style="122" customWidth="1"/>
    <col min="3072" max="3072" width="28.5" style="122" customWidth="1"/>
    <col min="3073" max="3084" width="9.125" style="122"/>
    <col min="3085" max="3085" width="10.625" style="122" customWidth="1"/>
    <col min="3086" max="3326" width="9.125" style="122"/>
    <col min="3327" max="3327" width="8" style="122" customWidth="1"/>
    <col min="3328" max="3328" width="28.5" style="122" customWidth="1"/>
    <col min="3329" max="3340" width="9.125" style="122"/>
    <col min="3341" max="3341" width="10.625" style="122" customWidth="1"/>
    <col min="3342" max="3582" width="9.125" style="122"/>
    <col min="3583" max="3583" width="8" style="122" customWidth="1"/>
    <col min="3584" max="3584" width="28.5" style="122" customWidth="1"/>
    <col min="3585" max="3596" width="9.125" style="122"/>
    <col min="3597" max="3597" width="10.625" style="122" customWidth="1"/>
    <col min="3598" max="3838" width="9.125" style="122"/>
    <col min="3839" max="3839" width="8" style="122" customWidth="1"/>
    <col min="3840" max="3840" width="28.5" style="122" customWidth="1"/>
    <col min="3841" max="3852" width="9.125" style="122"/>
    <col min="3853" max="3853" width="10.625" style="122" customWidth="1"/>
    <col min="3854" max="4094" width="9.125" style="122"/>
    <col min="4095" max="4095" width="8" style="122" customWidth="1"/>
    <col min="4096" max="4096" width="28.5" style="122" customWidth="1"/>
    <col min="4097" max="4108" width="9.125" style="122"/>
    <col min="4109" max="4109" width="10.625" style="122" customWidth="1"/>
    <col min="4110" max="4350" width="9.125" style="122"/>
    <col min="4351" max="4351" width="8" style="122" customWidth="1"/>
    <col min="4352" max="4352" width="28.5" style="122" customWidth="1"/>
    <col min="4353" max="4364" width="9.125" style="122"/>
    <col min="4365" max="4365" width="10.625" style="122" customWidth="1"/>
    <col min="4366" max="4606" width="9.125" style="122"/>
    <col min="4607" max="4607" width="8" style="122" customWidth="1"/>
    <col min="4608" max="4608" width="28.5" style="122" customWidth="1"/>
    <col min="4609" max="4620" width="9.125" style="122"/>
    <col min="4621" max="4621" width="10.625" style="122" customWidth="1"/>
    <col min="4622" max="4862" width="9.125" style="122"/>
    <col min="4863" max="4863" width="8" style="122" customWidth="1"/>
    <col min="4864" max="4864" width="28.5" style="122" customWidth="1"/>
    <col min="4865" max="4876" width="9.125" style="122"/>
    <col min="4877" max="4877" width="10.625" style="122" customWidth="1"/>
    <col min="4878" max="5118" width="9.125" style="122"/>
    <col min="5119" max="5119" width="8" style="122" customWidth="1"/>
    <col min="5120" max="5120" width="28.5" style="122" customWidth="1"/>
    <col min="5121" max="5132" width="9.125" style="122"/>
    <col min="5133" max="5133" width="10.625" style="122" customWidth="1"/>
    <col min="5134" max="5374" width="9.125" style="122"/>
    <col min="5375" max="5375" width="8" style="122" customWidth="1"/>
    <col min="5376" max="5376" width="28.5" style="122" customWidth="1"/>
    <col min="5377" max="5388" width="9.125" style="122"/>
    <col min="5389" max="5389" width="10.625" style="122" customWidth="1"/>
    <col min="5390" max="5630" width="9.125" style="122"/>
    <col min="5631" max="5631" width="8" style="122" customWidth="1"/>
    <col min="5632" max="5632" width="28.5" style="122" customWidth="1"/>
    <col min="5633" max="5644" width="9.125" style="122"/>
    <col min="5645" max="5645" width="10.625" style="122" customWidth="1"/>
    <col min="5646" max="5886" width="9.125" style="122"/>
    <col min="5887" max="5887" width="8" style="122" customWidth="1"/>
    <col min="5888" max="5888" width="28.5" style="122" customWidth="1"/>
    <col min="5889" max="5900" width="9.125" style="122"/>
    <col min="5901" max="5901" width="10.625" style="122" customWidth="1"/>
    <col min="5902" max="6142" width="9.125" style="122"/>
    <col min="6143" max="6143" width="8" style="122" customWidth="1"/>
    <col min="6144" max="6144" width="28.5" style="122" customWidth="1"/>
    <col min="6145" max="6156" width="9.125" style="122"/>
    <col min="6157" max="6157" width="10.625" style="122" customWidth="1"/>
    <col min="6158" max="6398" width="9.125" style="122"/>
    <col min="6399" max="6399" width="8" style="122" customWidth="1"/>
    <col min="6400" max="6400" width="28.5" style="122" customWidth="1"/>
    <col min="6401" max="6412" width="9.125" style="122"/>
    <col min="6413" max="6413" width="10.625" style="122" customWidth="1"/>
    <col min="6414" max="6654" width="9.125" style="122"/>
    <col min="6655" max="6655" width="8" style="122" customWidth="1"/>
    <col min="6656" max="6656" width="28.5" style="122" customWidth="1"/>
    <col min="6657" max="6668" width="9.125" style="122"/>
    <col min="6669" max="6669" width="10.625" style="122" customWidth="1"/>
    <col min="6670" max="6910" width="9.125" style="122"/>
    <col min="6911" max="6911" width="8" style="122" customWidth="1"/>
    <col min="6912" max="6912" width="28.5" style="122" customWidth="1"/>
    <col min="6913" max="6924" width="9.125" style="122"/>
    <col min="6925" max="6925" width="10.625" style="122" customWidth="1"/>
    <col min="6926" max="7166" width="9.125" style="122"/>
    <col min="7167" max="7167" width="8" style="122" customWidth="1"/>
    <col min="7168" max="7168" width="28.5" style="122" customWidth="1"/>
    <col min="7169" max="7180" width="9.125" style="122"/>
    <col min="7181" max="7181" width="10.625" style="122" customWidth="1"/>
    <col min="7182" max="7422" width="9.125" style="122"/>
    <col min="7423" max="7423" width="8" style="122" customWidth="1"/>
    <col min="7424" max="7424" width="28.5" style="122" customWidth="1"/>
    <col min="7425" max="7436" width="9.125" style="122"/>
    <col min="7437" max="7437" width="10.625" style="122" customWidth="1"/>
    <col min="7438" max="7678" width="9.125" style="122"/>
    <col min="7679" max="7679" width="8" style="122" customWidth="1"/>
    <col min="7680" max="7680" width="28.5" style="122" customWidth="1"/>
    <col min="7681" max="7692" width="9.125" style="122"/>
    <col min="7693" max="7693" width="10.625" style="122" customWidth="1"/>
    <col min="7694" max="7934" width="9.125" style="122"/>
    <col min="7935" max="7935" width="8" style="122" customWidth="1"/>
    <col min="7936" max="7936" width="28.5" style="122" customWidth="1"/>
    <col min="7937" max="7948" width="9.125" style="122"/>
    <col min="7949" max="7949" width="10.625" style="122" customWidth="1"/>
    <col min="7950" max="8190" width="9.125" style="122"/>
    <col min="8191" max="8191" width="8" style="122" customWidth="1"/>
    <col min="8192" max="8192" width="28.5" style="122" customWidth="1"/>
    <col min="8193" max="8204" width="9.125" style="122"/>
    <col min="8205" max="8205" width="10.625" style="122" customWidth="1"/>
    <col min="8206" max="8446" width="9.125" style="122"/>
    <col min="8447" max="8447" width="8" style="122" customWidth="1"/>
    <col min="8448" max="8448" width="28.5" style="122" customWidth="1"/>
    <col min="8449" max="8460" width="9.125" style="122"/>
    <col min="8461" max="8461" width="10.625" style="122" customWidth="1"/>
    <col min="8462" max="8702" width="9.125" style="122"/>
    <col min="8703" max="8703" width="8" style="122" customWidth="1"/>
    <col min="8704" max="8704" width="28.5" style="122" customWidth="1"/>
    <col min="8705" max="8716" width="9.125" style="122"/>
    <col min="8717" max="8717" width="10.625" style="122" customWidth="1"/>
    <col min="8718" max="8958" width="9.125" style="122"/>
    <col min="8959" max="8959" width="8" style="122" customWidth="1"/>
    <col min="8960" max="8960" width="28.5" style="122" customWidth="1"/>
    <col min="8961" max="8972" width="9.125" style="122"/>
    <col min="8973" max="8973" width="10.625" style="122" customWidth="1"/>
    <col min="8974" max="9214" width="9.125" style="122"/>
    <col min="9215" max="9215" width="8" style="122" customWidth="1"/>
    <col min="9216" max="9216" width="28.5" style="122" customWidth="1"/>
    <col min="9217" max="9228" width="9.125" style="122"/>
    <col min="9229" max="9229" width="10.625" style="122" customWidth="1"/>
    <col min="9230" max="9470" width="9.125" style="122"/>
    <col min="9471" max="9471" width="8" style="122" customWidth="1"/>
    <col min="9472" max="9472" width="28.5" style="122" customWidth="1"/>
    <col min="9473" max="9484" width="9.125" style="122"/>
    <col min="9485" max="9485" width="10.625" style="122" customWidth="1"/>
    <col min="9486" max="9726" width="9.125" style="122"/>
    <col min="9727" max="9727" width="8" style="122" customWidth="1"/>
    <col min="9728" max="9728" width="28.5" style="122" customWidth="1"/>
    <col min="9729" max="9740" width="9.125" style="122"/>
    <col min="9741" max="9741" width="10.625" style="122" customWidth="1"/>
    <col min="9742" max="9982" width="9.125" style="122"/>
    <col min="9983" max="9983" width="8" style="122" customWidth="1"/>
    <col min="9984" max="9984" width="28.5" style="122" customWidth="1"/>
    <col min="9985" max="9996" width="9.125" style="122"/>
    <col min="9997" max="9997" width="10.625" style="122" customWidth="1"/>
    <col min="9998" max="10238" width="9.125" style="122"/>
    <col min="10239" max="10239" width="8" style="122" customWidth="1"/>
    <col min="10240" max="10240" width="28.5" style="122" customWidth="1"/>
    <col min="10241" max="10252" width="9.125" style="122"/>
    <col min="10253" max="10253" width="10.625" style="122" customWidth="1"/>
    <col min="10254" max="10494" width="9.125" style="122"/>
    <col min="10495" max="10495" width="8" style="122" customWidth="1"/>
    <col min="10496" max="10496" width="28.5" style="122" customWidth="1"/>
    <col min="10497" max="10508" width="9.125" style="122"/>
    <col min="10509" max="10509" width="10.625" style="122" customWidth="1"/>
    <col min="10510" max="10750" width="9.125" style="122"/>
    <col min="10751" max="10751" width="8" style="122" customWidth="1"/>
    <col min="10752" max="10752" width="28.5" style="122" customWidth="1"/>
    <col min="10753" max="10764" width="9.125" style="122"/>
    <col min="10765" max="10765" width="10.625" style="122" customWidth="1"/>
    <col min="10766" max="11006" width="9.125" style="122"/>
    <col min="11007" max="11007" width="8" style="122" customWidth="1"/>
    <col min="11008" max="11008" width="28.5" style="122" customWidth="1"/>
    <col min="11009" max="11020" width="9.125" style="122"/>
    <col min="11021" max="11021" width="10.625" style="122" customWidth="1"/>
    <col min="11022" max="11262" width="9.125" style="122"/>
    <col min="11263" max="11263" width="8" style="122" customWidth="1"/>
    <col min="11264" max="11264" width="28.5" style="122" customWidth="1"/>
    <col min="11265" max="11276" width="9.125" style="122"/>
    <col min="11277" max="11277" width="10.625" style="122" customWidth="1"/>
    <col min="11278" max="11518" width="9.125" style="122"/>
    <col min="11519" max="11519" width="8" style="122" customWidth="1"/>
    <col min="11520" max="11520" width="28.5" style="122" customWidth="1"/>
    <col min="11521" max="11532" width="9.125" style="122"/>
    <col min="11533" max="11533" width="10.625" style="122" customWidth="1"/>
    <col min="11534" max="11774" width="9.125" style="122"/>
    <col min="11775" max="11775" width="8" style="122" customWidth="1"/>
    <col min="11776" max="11776" width="28.5" style="122" customWidth="1"/>
    <col min="11777" max="11788" width="9.125" style="122"/>
    <col min="11789" max="11789" width="10.625" style="122" customWidth="1"/>
    <col min="11790" max="12030" width="9.125" style="122"/>
    <col min="12031" max="12031" width="8" style="122" customWidth="1"/>
    <col min="12032" max="12032" width="28.5" style="122" customWidth="1"/>
    <col min="12033" max="12044" width="9.125" style="122"/>
    <col min="12045" max="12045" width="10.625" style="122" customWidth="1"/>
    <col min="12046" max="12286" width="9.125" style="122"/>
    <col min="12287" max="12287" width="8" style="122" customWidth="1"/>
    <col min="12288" max="12288" width="28.5" style="122" customWidth="1"/>
    <col min="12289" max="12300" width="9.125" style="122"/>
    <col min="12301" max="12301" width="10.625" style="122" customWidth="1"/>
    <col min="12302" max="12542" width="9.125" style="122"/>
    <col min="12543" max="12543" width="8" style="122" customWidth="1"/>
    <col min="12544" max="12544" width="28.5" style="122" customWidth="1"/>
    <col min="12545" max="12556" width="9.125" style="122"/>
    <col min="12557" max="12557" width="10.625" style="122" customWidth="1"/>
    <col min="12558" max="12798" width="9.125" style="122"/>
    <col min="12799" max="12799" width="8" style="122" customWidth="1"/>
    <col min="12800" max="12800" width="28.5" style="122" customWidth="1"/>
    <col min="12801" max="12812" width="9.125" style="122"/>
    <col min="12813" max="12813" width="10.625" style="122" customWidth="1"/>
    <col min="12814" max="13054" width="9.125" style="122"/>
    <col min="13055" max="13055" width="8" style="122" customWidth="1"/>
    <col min="13056" max="13056" width="28.5" style="122" customWidth="1"/>
    <col min="13057" max="13068" width="9.125" style="122"/>
    <col min="13069" max="13069" width="10.625" style="122" customWidth="1"/>
    <col min="13070" max="13310" width="9.125" style="122"/>
    <col min="13311" max="13311" width="8" style="122" customWidth="1"/>
    <col min="13312" max="13312" width="28.5" style="122" customWidth="1"/>
    <col min="13313" max="13324" width="9.125" style="122"/>
    <col min="13325" max="13325" width="10.625" style="122" customWidth="1"/>
    <col min="13326" max="13566" width="9.125" style="122"/>
    <col min="13567" max="13567" width="8" style="122" customWidth="1"/>
    <col min="13568" max="13568" width="28.5" style="122" customWidth="1"/>
    <col min="13569" max="13580" width="9.125" style="122"/>
    <col min="13581" max="13581" width="10.625" style="122" customWidth="1"/>
    <col min="13582" max="13822" width="9.125" style="122"/>
    <col min="13823" max="13823" width="8" style="122" customWidth="1"/>
    <col min="13824" max="13824" width="28.5" style="122" customWidth="1"/>
    <col min="13825" max="13836" width="9.125" style="122"/>
    <col min="13837" max="13837" width="10.625" style="122" customWidth="1"/>
    <col min="13838" max="14078" width="9.125" style="122"/>
    <col min="14079" max="14079" width="8" style="122" customWidth="1"/>
    <col min="14080" max="14080" width="28.5" style="122" customWidth="1"/>
    <col min="14081" max="14092" width="9.125" style="122"/>
    <col min="14093" max="14093" width="10.625" style="122" customWidth="1"/>
    <col min="14094" max="14334" width="9.125" style="122"/>
    <col min="14335" max="14335" width="8" style="122" customWidth="1"/>
    <col min="14336" max="14336" width="28.5" style="122" customWidth="1"/>
    <col min="14337" max="14348" width="9.125" style="122"/>
    <col min="14349" max="14349" width="10.625" style="122" customWidth="1"/>
    <col min="14350" max="14590" width="9.125" style="122"/>
    <col min="14591" max="14591" width="8" style="122" customWidth="1"/>
    <col min="14592" max="14592" width="28.5" style="122" customWidth="1"/>
    <col min="14593" max="14604" width="9.125" style="122"/>
    <col min="14605" max="14605" width="10.625" style="122" customWidth="1"/>
    <col min="14606" max="14846" width="9.125" style="122"/>
    <col min="14847" max="14847" width="8" style="122" customWidth="1"/>
    <col min="14848" max="14848" width="28.5" style="122" customWidth="1"/>
    <col min="14849" max="14860" width="9.125" style="122"/>
    <col min="14861" max="14861" width="10.625" style="122" customWidth="1"/>
    <col min="14862" max="15102" width="9.125" style="122"/>
    <col min="15103" max="15103" width="8" style="122" customWidth="1"/>
    <col min="15104" max="15104" width="28.5" style="122" customWidth="1"/>
    <col min="15105" max="15116" width="9.125" style="122"/>
    <col min="15117" max="15117" width="10.625" style="122" customWidth="1"/>
    <col min="15118" max="15358" width="9.125" style="122"/>
    <col min="15359" max="15359" width="8" style="122" customWidth="1"/>
    <col min="15360" max="15360" width="28.5" style="122" customWidth="1"/>
    <col min="15361" max="15372" width="9.125" style="122"/>
    <col min="15373" max="15373" width="10.625" style="122" customWidth="1"/>
    <col min="15374" max="15614" width="9.125" style="122"/>
    <col min="15615" max="15615" width="8" style="122" customWidth="1"/>
    <col min="15616" max="15616" width="28.5" style="122" customWidth="1"/>
    <col min="15617" max="15628" width="9.125" style="122"/>
    <col min="15629" max="15629" width="10.625" style="122" customWidth="1"/>
    <col min="15630" max="15870" width="9.125" style="122"/>
    <col min="15871" max="15871" width="8" style="122" customWidth="1"/>
    <col min="15872" max="15872" width="28.5" style="122" customWidth="1"/>
    <col min="15873" max="15884" width="9.125" style="122"/>
    <col min="15885" max="15885" width="10.625" style="122" customWidth="1"/>
    <col min="15886" max="16126" width="9.125" style="122"/>
    <col min="16127" max="16127" width="8" style="122" customWidth="1"/>
    <col min="16128" max="16128" width="28.5" style="122" customWidth="1"/>
    <col min="16129" max="16140" width="9.125" style="122"/>
    <col min="16141" max="16141" width="10.625" style="122" customWidth="1"/>
    <col min="16142" max="16384" width="9.125" style="122"/>
  </cols>
  <sheetData>
    <row r="1" spans="1:13" ht="18.75">
      <c r="A1" s="123" t="s">
        <v>115</v>
      </c>
      <c r="B1" s="124"/>
      <c r="C1" s="125"/>
      <c r="D1" s="125"/>
      <c r="E1" s="124"/>
      <c r="F1" s="125"/>
      <c r="G1" s="125"/>
      <c r="H1" s="124"/>
      <c r="I1" s="125"/>
      <c r="J1" s="125"/>
      <c r="K1" s="125"/>
      <c r="L1" s="125"/>
      <c r="M1" s="125"/>
    </row>
    <row r="2" spans="1:13" ht="12">
      <c r="A2" s="122" t="s">
        <v>116</v>
      </c>
      <c r="B2" s="126"/>
    </row>
    <row r="3" spans="1:13" ht="16.899999999999999" customHeight="1">
      <c r="A3" s="127" t="s">
        <v>16</v>
      </c>
      <c r="B3" s="127" t="s">
        <v>117</v>
      </c>
      <c r="C3" s="212" t="s">
        <v>118</v>
      </c>
      <c r="D3" s="212"/>
      <c r="E3" s="212"/>
      <c r="F3" s="129"/>
      <c r="G3" s="130"/>
      <c r="H3" s="131"/>
      <c r="I3" s="131"/>
      <c r="J3" s="131" t="s">
        <v>119</v>
      </c>
      <c r="K3" s="131"/>
      <c r="L3" s="131"/>
      <c r="M3" s="152"/>
    </row>
    <row r="4" spans="1:13" ht="16.149999999999999" customHeight="1">
      <c r="A4" s="132"/>
      <c r="B4" s="132" t="s">
        <v>120</v>
      </c>
      <c r="C4" s="128">
        <v>2017</v>
      </c>
      <c r="D4" s="128">
        <f t="shared" ref="D4:L4" si="0">C4+1</f>
        <v>2018</v>
      </c>
      <c r="E4" s="128">
        <f t="shared" si="0"/>
        <v>2019</v>
      </c>
      <c r="F4" s="128">
        <f t="shared" si="0"/>
        <v>2020</v>
      </c>
      <c r="G4" s="128">
        <f t="shared" si="0"/>
        <v>2021</v>
      </c>
      <c r="H4" s="133">
        <f t="shared" si="0"/>
        <v>2022</v>
      </c>
      <c r="I4" s="133">
        <f t="shared" si="0"/>
        <v>2023</v>
      </c>
      <c r="J4" s="133">
        <f t="shared" si="0"/>
        <v>2024</v>
      </c>
      <c r="K4" s="133">
        <f t="shared" si="0"/>
        <v>2025</v>
      </c>
      <c r="L4" s="133">
        <f t="shared" si="0"/>
        <v>2026</v>
      </c>
      <c r="M4" s="153" t="s">
        <v>121</v>
      </c>
    </row>
    <row r="5" spans="1:13" ht="15.6" customHeight="1">
      <c r="A5" s="134">
        <v>1</v>
      </c>
      <c r="B5" s="135" t="s">
        <v>122</v>
      </c>
      <c r="C5" s="136">
        <f>SUM(C6:C9)</f>
        <v>0</v>
      </c>
      <c r="D5" s="136">
        <f t="shared" ref="D5:L5" si="1">SUM(D6:D9)</f>
        <v>0</v>
      </c>
      <c r="E5" s="136" t="e">
        <f t="shared" si="1"/>
        <v>#REF!</v>
      </c>
      <c r="F5" s="136">
        <f t="shared" si="1"/>
        <v>5619911.5044247797</v>
      </c>
      <c r="G5" s="136">
        <f t="shared" si="1"/>
        <v>5619911.5044247797</v>
      </c>
      <c r="H5" s="136">
        <f t="shared" si="1"/>
        <v>5619911.5044247797</v>
      </c>
      <c r="I5" s="136" t="e">
        <f t="shared" si="1"/>
        <v>#REF!</v>
      </c>
      <c r="J5" s="136" t="e">
        <f t="shared" si="1"/>
        <v>#REF!</v>
      </c>
      <c r="K5" s="136" t="e">
        <f t="shared" si="1"/>
        <v>#REF!</v>
      </c>
      <c r="L5" s="136">
        <f t="shared" si="1"/>
        <v>16859734.513274338</v>
      </c>
      <c r="M5" s="140" t="e">
        <f t="shared" ref="M5:M17" si="2">SUM(C5:L5)</f>
        <v>#REF!</v>
      </c>
    </row>
    <row r="6" spans="1:13" ht="15.6" customHeight="1">
      <c r="A6" s="134">
        <v>1.1000000000000001</v>
      </c>
      <c r="B6" s="137" t="s">
        <v>123</v>
      </c>
      <c r="C6" s="138"/>
      <c r="D6" s="138"/>
      <c r="E6" s="138" t="e">
        <f>损益表!#REF!</f>
        <v>#REF!</v>
      </c>
      <c r="F6" s="138">
        <f>损益表!C5</f>
        <v>5619911.5044247797</v>
      </c>
      <c r="G6" s="138">
        <f>损益表!D5</f>
        <v>5619911.5044247797</v>
      </c>
      <c r="H6" s="138">
        <f>损益表!E5</f>
        <v>5619911.5044247797</v>
      </c>
      <c r="I6" s="138" t="e">
        <f>损益表!#REF!</f>
        <v>#REF!</v>
      </c>
      <c r="J6" s="138" t="e">
        <f>损益表!#REF!</f>
        <v>#REF!</v>
      </c>
      <c r="K6" s="138" t="e">
        <f>损益表!#REF!</f>
        <v>#REF!</v>
      </c>
      <c r="L6" s="138">
        <f>损益表!I5</f>
        <v>16859734.513274338</v>
      </c>
      <c r="M6" s="140" t="e">
        <f t="shared" si="2"/>
        <v>#REF!</v>
      </c>
    </row>
    <row r="7" spans="1:13" ht="15.6" customHeight="1">
      <c r="A7" s="134">
        <v>1.2</v>
      </c>
      <c r="B7" s="137" t="s">
        <v>124</v>
      </c>
      <c r="C7" s="138"/>
      <c r="D7" s="138"/>
      <c r="E7" s="138">
        <f>[1]折、摊!G18</f>
        <v>0</v>
      </c>
      <c r="F7" s="138">
        <f>[1]折、摊!H18</f>
        <v>0</v>
      </c>
      <c r="G7" s="138">
        <f>[1]折、摊!I18</f>
        <v>0</v>
      </c>
      <c r="H7" s="138">
        <f>[1]折、摊!J18</f>
        <v>0</v>
      </c>
      <c r="I7" s="138">
        <f>[1]折、摊!K18</f>
        <v>0</v>
      </c>
      <c r="J7" s="138">
        <f>[1]折、摊!L18</f>
        <v>0</v>
      </c>
      <c r="K7" s="138">
        <f>[1]折、摊!M18</f>
        <v>0</v>
      </c>
      <c r="L7" s="138">
        <f>[1]折、摊!N18</f>
        <v>0</v>
      </c>
      <c r="M7" s="140">
        <f t="shared" si="2"/>
        <v>0</v>
      </c>
    </row>
    <row r="8" spans="1:13" ht="15.6" customHeight="1">
      <c r="A8" s="134">
        <v>1.3</v>
      </c>
      <c r="B8" s="137" t="s">
        <v>125</v>
      </c>
      <c r="C8" s="138" t="s">
        <v>126</v>
      </c>
      <c r="D8" s="138" t="s">
        <v>126</v>
      </c>
      <c r="E8" s="138" t="s">
        <v>126</v>
      </c>
      <c r="F8" s="138" t="s">
        <v>126</v>
      </c>
      <c r="G8" s="138" t="s">
        <v>126</v>
      </c>
      <c r="H8" s="138" t="s">
        <v>126</v>
      </c>
      <c r="I8" s="138" t="s">
        <v>126</v>
      </c>
      <c r="J8" s="138" t="s">
        <v>126</v>
      </c>
      <c r="K8" s="138" t="s">
        <v>126</v>
      </c>
      <c r="L8" s="138"/>
      <c r="M8" s="140">
        <f t="shared" si="2"/>
        <v>0</v>
      </c>
    </row>
    <row r="9" spans="1:13" s="121" customFormat="1" ht="15.6" customHeight="1">
      <c r="A9" s="139">
        <v>1.4</v>
      </c>
      <c r="B9" s="140" t="s">
        <v>127</v>
      </c>
      <c r="C9" s="138" t="s">
        <v>126</v>
      </c>
      <c r="D9" s="138" t="s">
        <v>126</v>
      </c>
      <c r="E9" s="138" t="s">
        <v>126</v>
      </c>
      <c r="F9" s="138" t="s">
        <v>126</v>
      </c>
      <c r="G9" s="138" t="s">
        <v>126</v>
      </c>
      <c r="H9" s="138" t="s">
        <v>126</v>
      </c>
      <c r="I9" s="138" t="s">
        <v>126</v>
      </c>
      <c r="J9" s="138" t="s">
        <v>126</v>
      </c>
      <c r="K9" s="138" t="s">
        <v>126</v>
      </c>
      <c r="L9" s="138" t="s">
        <v>126</v>
      </c>
      <c r="M9" s="140">
        <f t="shared" si="2"/>
        <v>0</v>
      </c>
    </row>
    <row r="10" spans="1:13" ht="15.6" customHeight="1">
      <c r="A10" s="139">
        <v>2</v>
      </c>
      <c r="B10" s="135" t="s">
        <v>128</v>
      </c>
      <c r="C10" s="136">
        <f t="shared" ref="C10:L10" si="3">SUM(C11:C16)</f>
        <v>0</v>
      </c>
      <c r="D10" s="136">
        <f t="shared" si="3"/>
        <v>0</v>
      </c>
      <c r="E10" s="136">
        <f t="shared" si="3"/>
        <v>0</v>
      </c>
      <c r="F10" s="136">
        <f t="shared" si="3"/>
        <v>0</v>
      </c>
      <c r="G10" s="136">
        <f t="shared" si="3"/>
        <v>0</v>
      </c>
      <c r="H10" s="136">
        <f t="shared" si="3"/>
        <v>0</v>
      </c>
      <c r="I10" s="136">
        <f t="shared" si="3"/>
        <v>0</v>
      </c>
      <c r="J10" s="136">
        <f t="shared" si="3"/>
        <v>0</v>
      </c>
      <c r="K10" s="136">
        <f t="shared" si="3"/>
        <v>0</v>
      </c>
      <c r="L10" s="136">
        <f t="shared" si="3"/>
        <v>0</v>
      </c>
      <c r="M10" s="140">
        <f t="shared" si="2"/>
        <v>0</v>
      </c>
    </row>
    <row r="11" spans="1:13" ht="15" customHeight="1">
      <c r="A11" s="134">
        <v>2.1</v>
      </c>
      <c r="B11" s="134" t="s">
        <v>129</v>
      </c>
      <c r="C11" s="138">
        <f>([1]计划!C6-[1]计划!C7)</f>
        <v>0</v>
      </c>
      <c r="D11" s="138">
        <f>([1]计划!D6-[1]计划!D7)</f>
        <v>0</v>
      </c>
      <c r="E11" s="138">
        <f>([1]计划!E6-[1]计划!E7)</f>
        <v>0</v>
      </c>
      <c r="F11" s="138">
        <f>([1]计划!F6-[1]计划!F7)</f>
        <v>0</v>
      </c>
      <c r="G11" s="138">
        <f>([1]计划!G6-[1]计划!G7)</f>
        <v>0</v>
      </c>
      <c r="H11" s="138">
        <f>([1]计划!H6-[1]计划!H7)</f>
        <v>0</v>
      </c>
      <c r="I11" s="138">
        <f>([1]计划!I6-[1]计划!I7)</f>
        <v>0</v>
      </c>
      <c r="J11" s="138">
        <f>([1]计划!J6-[1]计划!J7)</f>
        <v>0</v>
      </c>
      <c r="K11" s="138">
        <f>([1]计划!K6-[1]计划!K7)</f>
        <v>0</v>
      </c>
      <c r="L11" s="138">
        <f>([1]计划!L6-[1]计划!L7)</f>
        <v>0</v>
      </c>
      <c r="M11" s="140">
        <f t="shared" si="2"/>
        <v>0</v>
      </c>
    </row>
    <row r="12" spans="1:13" s="121" customFormat="1" ht="15" customHeight="1">
      <c r="A12" s="134">
        <v>2.2000000000000002</v>
      </c>
      <c r="B12" s="140" t="s">
        <v>130</v>
      </c>
      <c r="C12" s="138">
        <f>[1]计划!C8</f>
        <v>0</v>
      </c>
      <c r="D12" s="138">
        <f>[1]计划!D8</f>
        <v>0</v>
      </c>
      <c r="E12" s="138">
        <f>[1]计划!E8</f>
        <v>0</v>
      </c>
      <c r="F12" s="138">
        <f>[1]计划!F8</f>
        <v>0</v>
      </c>
      <c r="G12" s="138">
        <f>[1]计划!G8</f>
        <v>0</v>
      </c>
      <c r="H12" s="138">
        <f>[1]计划!H8</f>
        <v>0</v>
      </c>
      <c r="I12" s="138">
        <f>[1]计划!I8</f>
        <v>0</v>
      </c>
      <c r="J12" s="138">
        <f>[1]计划!J8</f>
        <v>0</v>
      </c>
      <c r="K12" s="138">
        <f>[1]计划!K8</f>
        <v>0</v>
      </c>
      <c r="L12" s="138">
        <f>[1]计划!L8</f>
        <v>0</v>
      </c>
      <c r="M12" s="140">
        <f t="shared" si="2"/>
        <v>0</v>
      </c>
    </row>
    <row r="13" spans="1:13" ht="15" customHeight="1">
      <c r="A13" s="134">
        <v>2.2999999999999998</v>
      </c>
      <c r="B13" s="137" t="s">
        <v>131</v>
      </c>
      <c r="C13" s="138">
        <f>[1]总成本!C22</f>
        <v>0</v>
      </c>
      <c r="D13" s="138">
        <f>[1]总成本!D22</f>
        <v>0</v>
      </c>
      <c r="E13" s="138">
        <f>[1]总成本!E22</f>
        <v>0</v>
      </c>
      <c r="F13" s="138">
        <f>[1]总成本!F22</f>
        <v>0</v>
      </c>
      <c r="G13" s="138">
        <f>[1]总成本!G22</f>
        <v>0</v>
      </c>
      <c r="H13" s="138">
        <f>[1]总成本!H22</f>
        <v>0</v>
      </c>
      <c r="I13" s="138">
        <f>[1]总成本!I22</f>
        <v>0</v>
      </c>
      <c r="J13" s="138">
        <f>[1]总成本!J22</f>
        <v>0</v>
      </c>
      <c r="K13" s="138">
        <f>[1]总成本!K22</f>
        <v>0</v>
      </c>
      <c r="L13" s="138">
        <f>[1]总成本!L22</f>
        <v>0</v>
      </c>
      <c r="M13" s="140">
        <f t="shared" si="2"/>
        <v>0</v>
      </c>
    </row>
    <row r="14" spans="1:13" ht="15" customHeight="1">
      <c r="A14" s="134">
        <v>2.4</v>
      </c>
      <c r="B14" s="137" t="s">
        <v>132</v>
      </c>
      <c r="C14" s="138">
        <f>[1]价格!D15</f>
        <v>0</v>
      </c>
      <c r="D14" s="138">
        <f>[1]价格!E15</f>
        <v>0</v>
      </c>
      <c r="E14" s="138">
        <f>[1]价格!F15</f>
        <v>0</v>
      </c>
      <c r="F14" s="138">
        <f>[1]价格!G15</f>
        <v>0</v>
      </c>
      <c r="G14" s="138">
        <f>[1]价格!H15</f>
        <v>0</v>
      </c>
      <c r="H14" s="138">
        <f>[1]价格!I15</f>
        <v>0</v>
      </c>
      <c r="I14" s="138">
        <f>[1]价格!J15</f>
        <v>0</v>
      </c>
      <c r="J14" s="138">
        <f>[1]价格!K15</f>
        <v>0</v>
      </c>
      <c r="K14" s="138">
        <f>[1]价格!L15</f>
        <v>0</v>
      </c>
      <c r="L14" s="138">
        <f>[1]价格!M15</f>
        <v>0</v>
      </c>
      <c r="M14" s="140">
        <f t="shared" si="2"/>
        <v>0</v>
      </c>
    </row>
    <row r="15" spans="1:13" ht="15" customHeight="1">
      <c r="A15" s="134">
        <v>2.5</v>
      </c>
      <c r="B15" s="137" t="s">
        <v>62</v>
      </c>
      <c r="C15" s="138">
        <f>[1]利润!C13</f>
        <v>0</v>
      </c>
      <c r="D15" s="138">
        <f>[1]利润!D13</f>
        <v>0</v>
      </c>
      <c r="E15" s="138">
        <f>[1]利润!E13</f>
        <v>0</v>
      </c>
      <c r="F15" s="138">
        <f>[1]利润!F13</f>
        <v>0</v>
      </c>
      <c r="G15" s="138">
        <f>[1]利润!G13</f>
        <v>0</v>
      </c>
      <c r="H15" s="138">
        <f>[1]利润!H13</f>
        <v>0</v>
      </c>
      <c r="I15" s="138">
        <f>[1]利润!I13</f>
        <v>0</v>
      </c>
      <c r="J15" s="138">
        <f>[1]利润!J13</f>
        <v>0</v>
      </c>
      <c r="K15" s="138">
        <f>[1]利润!K13</f>
        <v>0</v>
      </c>
      <c r="L15" s="138">
        <f>[1]利润!L13</f>
        <v>0</v>
      </c>
      <c r="M15" s="140">
        <f t="shared" si="2"/>
        <v>0</v>
      </c>
    </row>
    <row r="16" spans="1:13" ht="15" customHeight="1">
      <c r="A16" s="134">
        <v>2.6</v>
      </c>
      <c r="B16" s="137" t="s">
        <v>133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40">
        <f t="shared" si="2"/>
        <v>0</v>
      </c>
    </row>
    <row r="17" spans="1:18" ht="12">
      <c r="A17" s="134">
        <v>3</v>
      </c>
      <c r="B17" s="135" t="s">
        <v>134</v>
      </c>
      <c r="C17" s="136">
        <f t="shared" ref="C17:L17" si="4">C5-C10</f>
        <v>0</v>
      </c>
      <c r="D17" s="136">
        <f t="shared" si="4"/>
        <v>0</v>
      </c>
      <c r="E17" s="136" t="e">
        <f t="shared" si="4"/>
        <v>#REF!</v>
      </c>
      <c r="F17" s="136">
        <f t="shared" si="4"/>
        <v>5619911.5044247797</v>
      </c>
      <c r="G17" s="136">
        <f t="shared" si="4"/>
        <v>5619911.5044247797</v>
      </c>
      <c r="H17" s="136">
        <f t="shared" si="4"/>
        <v>5619911.5044247797</v>
      </c>
      <c r="I17" s="136" t="e">
        <f t="shared" si="4"/>
        <v>#REF!</v>
      </c>
      <c r="J17" s="136" t="e">
        <f t="shared" si="4"/>
        <v>#REF!</v>
      </c>
      <c r="K17" s="136" t="e">
        <f t="shared" si="4"/>
        <v>#REF!</v>
      </c>
      <c r="L17" s="136">
        <f t="shared" si="4"/>
        <v>16859734.513274338</v>
      </c>
      <c r="M17" s="140" t="e">
        <f t="shared" si="2"/>
        <v>#REF!</v>
      </c>
    </row>
    <row r="18" spans="1:18" ht="12">
      <c r="A18" s="141">
        <v>4</v>
      </c>
      <c r="B18" s="137" t="s">
        <v>135</v>
      </c>
      <c r="C18" s="138">
        <f>C17</f>
        <v>0</v>
      </c>
      <c r="D18" s="138">
        <f t="shared" ref="D18:L18" si="5">C18+D17</f>
        <v>0</v>
      </c>
      <c r="E18" s="138" t="e">
        <f t="shared" si="5"/>
        <v>#REF!</v>
      </c>
      <c r="F18" s="138" t="e">
        <f t="shared" si="5"/>
        <v>#REF!</v>
      </c>
      <c r="G18" s="138" t="e">
        <f t="shared" si="5"/>
        <v>#REF!</v>
      </c>
      <c r="H18" s="138" t="e">
        <f t="shared" si="5"/>
        <v>#REF!</v>
      </c>
      <c r="I18" s="138" t="e">
        <f t="shared" si="5"/>
        <v>#REF!</v>
      </c>
      <c r="J18" s="138" t="e">
        <f t="shared" si="5"/>
        <v>#REF!</v>
      </c>
      <c r="K18" s="138" t="e">
        <f t="shared" si="5"/>
        <v>#REF!</v>
      </c>
      <c r="L18" s="138" t="e">
        <f t="shared" si="5"/>
        <v>#REF!</v>
      </c>
      <c r="M18" s="137" t="s">
        <v>126</v>
      </c>
    </row>
    <row r="19" spans="1:18" s="121" customFormat="1" ht="12">
      <c r="A19" s="141">
        <v>5</v>
      </c>
      <c r="B19" s="137" t="s">
        <v>136</v>
      </c>
      <c r="C19" s="138">
        <f t="shared" ref="C19:L19" si="6">C17+C15</f>
        <v>0</v>
      </c>
      <c r="D19" s="138">
        <f t="shared" si="6"/>
        <v>0</v>
      </c>
      <c r="E19" s="138" t="e">
        <f t="shared" si="6"/>
        <v>#REF!</v>
      </c>
      <c r="F19" s="138">
        <f t="shared" si="6"/>
        <v>5619911.5044247797</v>
      </c>
      <c r="G19" s="138">
        <f t="shared" si="6"/>
        <v>5619911.5044247797</v>
      </c>
      <c r="H19" s="138">
        <f t="shared" si="6"/>
        <v>5619911.5044247797</v>
      </c>
      <c r="I19" s="138" t="e">
        <f t="shared" si="6"/>
        <v>#REF!</v>
      </c>
      <c r="J19" s="138" t="e">
        <f t="shared" si="6"/>
        <v>#REF!</v>
      </c>
      <c r="K19" s="138" t="e">
        <f t="shared" si="6"/>
        <v>#REF!</v>
      </c>
      <c r="L19" s="138">
        <f t="shared" si="6"/>
        <v>16859734.513274338</v>
      </c>
      <c r="M19" s="140" t="e">
        <f>SUM(C19:L19)</f>
        <v>#REF!</v>
      </c>
    </row>
    <row r="20" spans="1:18" s="121" customFormat="1" ht="12">
      <c r="A20" s="134">
        <v>6</v>
      </c>
      <c r="B20" s="137" t="s">
        <v>137</v>
      </c>
      <c r="C20" s="138">
        <f>C19</f>
        <v>0</v>
      </c>
      <c r="D20" s="138">
        <f t="shared" ref="D20:L20" si="7">C20+D19</f>
        <v>0</v>
      </c>
      <c r="E20" s="138" t="e">
        <f t="shared" si="7"/>
        <v>#REF!</v>
      </c>
      <c r="F20" s="138" t="e">
        <f t="shared" si="7"/>
        <v>#REF!</v>
      </c>
      <c r="G20" s="138" t="e">
        <f t="shared" si="7"/>
        <v>#REF!</v>
      </c>
      <c r="H20" s="138" t="e">
        <f t="shared" si="7"/>
        <v>#REF!</v>
      </c>
      <c r="I20" s="138" t="e">
        <f t="shared" si="7"/>
        <v>#REF!</v>
      </c>
      <c r="J20" s="138" t="e">
        <f t="shared" si="7"/>
        <v>#REF!</v>
      </c>
      <c r="K20" s="138" t="e">
        <f t="shared" si="7"/>
        <v>#REF!</v>
      </c>
      <c r="L20" s="138" t="e">
        <f t="shared" si="7"/>
        <v>#REF!</v>
      </c>
      <c r="M20" s="137" t="s">
        <v>126</v>
      </c>
    </row>
    <row r="21" spans="1:18" ht="12">
      <c r="A21" s="142"/>
      <c r="B21" s="143" t="s">
        <v>138</v>
      </c>
      <c r="C21" s="143"/>
      <c r="D21" s="143"/>
      <c r="E21" s="143" t="s">
        <v>139</v>
      </c>
      <c r="F21" s="143"/>
      <c r="G21" s="143"/>
      <c r="H21" s="143"/>
      <c r="I21" s="143" t="s">
        <v>140</v>
      </c>
      <c r="J21" s="143"/>
      <c r="K21" s="143"/>
      <c r="L21" s="143"/>
      <c r="M21" s="154"/>
    </row>
    <row r="22" spans="1:18" ht="12">
      <c r="A22" s="144"/>
      <c r="B22" s="145" t="s">
        <v>141</v>
      </c>
      <c r="C22" s="145"/>
      <c r="D22" s="146" t="s">
        <v>142</v>
      </c>
      <c r="E22" s="147" t="e">
        <f>IRR(C17:L17,0.15)</f>
        <v>#VALUE!</v>
      </c>
      <c r="F22" s="145"/>
      <c r="G22" s="145"/>
      <c r="H22" s="145"/>
      <c r="I22" s="147" t="e">
        <f>IRR(C19:L19,0.15)</f>
        <v>#VALUE!</v>
      </c>
      <c r="J22" s="145"/>
      <c r="K22" s="145"/>
      <c r="L22" s="145"/>
      <c r="M22" s="155"/>
    </row>
    <row r="23" spans="1:18" ht="12">
      <c r="A23" s="144"/>
      <c r="B23" s="145" t="s">
        <v>143</v>
      </c>
      <c r="C23" s="145"/>
      <c r="D23" s="145"/>
      <c r="E23" s="148" t="e">
        <f>NPV(0.12,C17:L17)</f>
        <v>#REF!</v>
      </c>
      <c r="F23" s="145"/>
      <c r="G23" s="145"/>
      <c r="H23" s="145"/>
      <c r="I23" s="148" t="e">
        <f>NPV(0.12,C19:L19)</f>
        <v>#REF!</v>
      </c>
      <c r="J23" s="145"/>
      <c r="K23" s="145"/>
      <c r="L23" s="145"/>
      <c r="M23" s="155"/>
      <c r="R23" s="122">
        <f>30.9-29.82</f>
        <v>1.0799999999999983</v>
      </c>
    </row>
    <row r="24" spans="1:18" ht="12">
      <c r="A24" s="149"/>
      <c r="B24" s="150" t="s">
        <v>144</v>
      </c>
      <c r="C24" s="150"/>
      <c r="D24" s="150"/>
      <c r="E24" s="151" t="e">
        <f>6-H18/I17</f>
        <v>#REF!</v>
      </c>
      <c r="F24" s="150"/>
      <c r="G24" s="150"/>
      <c r="H24" s="150"/>
      <c r="I24" s="151" t="e">
        <f>6-H20/I19</f>
        <v>#REF!</v>
      </c>
      <c r="J24" s="150"/>
      <c r="K24" s="150"/>
      <c r="L24" s="150"/>
      <c r="M24" s="156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146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0" t="s">
        <v>148</v>
      </c>
      <c r="D2" s="220"/>
      <c r="E2" s="220"/>
      <c r="F2" s="220"/>
      <c r="G2" s="220"/>
      <c r="H2" s="220"/>
      <c r="I2" s="220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销量!C9</f>
        <v>10000</v>
      </c>
      <c r="D6" s="100">
        <f>销量!D9</f>
        <v>5000</v>
      </c>
      <c r="E6" s="100">
        <f>销量!E9</f>
        <v>5000</v>
      </c>
      <c r="F6" s="100">
        <f>销量!F9</f>
        <v>0</v>
      </c>
      <c r="G6" s="100">
        <f>销量!G9</f>
        <v>0</v>
      </c>
      <c r="H6" s="100">
        <f>销量!H9</f>
        <v>0</v>
      </c>
      <c r="I6" s="101">
        <f>SUM(C6:H6)</f>
        <v>20000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2448672.5663716816</v>
      </c>
      <c r="D7" s="101">
        <f>D6*销量!D8</f>
        <v>1603982.3008849558</v>
      </c>
      <c r="E7" s="101">
        <f>E6*销量!E8</f>
        <v>1567256.6371681418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>SUM(C7:H7)</f>
        <v>5619911.5044247797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/>
      <c r="D8" s="101"/>
      <c r="E8" s="101"/>
      <c r="F8" s="101"/>
      <c r="G8" s="101"/>
      <c r="H8" s="101"/>
      <c r="I8" s="101">
        <f>SUM(C8:H8)</f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2448672.5663716816</v>
      </c>
      <c r="D9" s="101">
        <f t="shared" ref="D9:H9" si="0">+D7-D8</f>
        <v>1603982.3008849558</v>
      </c>
      <c r="E9" s="101">
        <f t="shared" si="0"/>
        <v>1567256.6371681418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1">
        <f>SUM(C9:H9)</f>
        <v>5619911.5044247797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2394906.756944241</v>
      </c>
      <c r="D10" s="101">
        <f t="shared" ref="D10:H10" si="1">D6*D33</f>
        <v>1348019.0452407408</v>
      </c>
      <c r="E10" s="101">
        <f t="shared" si="1"/>
        <v>1380644.9957407406</v>
      </c>
      <c r="F10" s="101">
        <f t="shared" si="1"/>
        <v>0</v>
      </c>
      <c r="G10" s="101">
        <f t="shared" si="1"/>
        <v>0</v>
      </c>
      <c r="H10" s="101">
        <f t="shared" si="1"/>
        <v>0</v>
      </c>
      <c r="I10" s="101">
        <f>SUM(C10:H10)</f>
        <v>5123570.7979257219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142367.29252219602</v>
      </c>
      <c r="D11" s="101">
        <f t="shared" ref="D11:H11" si="2">+D6*D36</f>
        <v>93256.493565768076</v>
      </c>
      <c r="E11" s="101">
        <f t="shared" si="2"/>
        <v>91121.241437227742</v>
      </c>
      <c r="F11" s="101">
        <f t="shared" si="2"/>
        <v>0</v>
      </c>
      <c r="G11" s="101">
        <f t="shared" si="2"/>
        <v>0</v>
      </c>
      <c r="H11" s="101">
        <f t="shared" si="2"/>
        <v>0</v>
      </c>
      <c r="I11" s="101">
        <f t="shared" ref="I11:I15" si="3">SUM(C11:H11)</f>
        <v>326745.02752519184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44243.489838901995</v>
      </c>
      <c r="D12" s="101">
        <f t="shared" ref="D12:H12" si="4">+D6*D37</f>
        <v>28981.324659562655</v>
      </c>
      <c r="E12" s="101">
        <f t="shared" si="4"/>
        <v>28317.752260460948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3"/>
        <v>101542.56675892559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73684.210526315786</v>
      </c>
      <c r="D13" s="101">
        <f t="shared" ref="D13:H13" si="5">+D6*D38</f>
        <v>70000</v>
      </c>
      <c r="E13" s="101">
        <f t="shared" si="5"/>
        <v>70000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3"/>
        <v>213684.21052631579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260294.9928874138</v>
      </c>
      <c r="D14" s="101">
        <f t="shared" ref="D14:H14" si="6">SUM(D11:D13)</f>
        <v>192237.81822533073</v>
      </c>
      <c r="E14" s="101">
        <f t="shared" si="6"/>
        <v>189438.99369768868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3"/>
        <v>641971.80481043318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-206529.18345997317</v>
      </c>
      <c r="D15" s="101">
        <f t="shared" ref="D15:H15" si="7">+D9-D10-D14</f>
        <v>63725.437418884307</v>
      </c>
      <c r="E15" s="101">
        <f t="shared" si="7"/>
        <v>-2827.3522702874616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3"/>
        <v>-145631.09831137632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>
        <f>+C15/C9</f>
        <v>-8.434332392835911E-2</v>
      </c>
      <c r="D16" s="103">
        <f t="shared" ref="D16:H16" si="8">+D15/D9</f>
        <v>3.9729514087359592E-2</v>
      </c>
      <c r="E16" s="103">
        <f t="shared" si="8"/>
        <v>-1.8040135886080357E-3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-2.591341486368872E-2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>
        <f>C6*C43+C18</f>
        <v>0</v>
      </c>
      <c r="D17" s="101">
        <f t="shared" ref="D17:H17" si="10">D6*D43+D18</f>
        <v>0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>SUM(C17:H17)</f>
        <v>0</v>
      </c>
      <c r="J17" s="117"/>
      <c r="K17" s="118"/>
      <c r="L17" s="118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>
        <f>$I$18/$I$6*C6</f>
        <v>0</v>
      </c>
      <c r="D18" s="105">
        <f t="shared" ref="D18:H18" si="11">$I$18/$I$6*D6</f>
        <v>0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项目投资!D26</f>
        <v>0</v>
      </c>
      <c r="J18" s="119" t="s">
        <v>154</v>
      </c>
      <c r="K18" s="119"/>
      <c r="L18" s="119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H19" si="12">D6*D44</f>
        <v>0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>SUM(C19:H19)</f>
        <v>0</v>
      </c>
      <c r="J19" s="120"/>
      <c r="K19" s="118"/>
      <c r="L19" s="118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3">D6*D45</f>
        <v>0</v>
      </c>
      <c r="E20" s="101">
        <f t="shared" si="13"/>
        <v>0</v>
      </c>
      <c r="F20" s="101">
        <f t="shared" si="13"/>
        <v>0</v>
      </c>
      <c r="G20" s="101">
        <f t="shared" si="13"/>
        <v>0</v>
      </c>
      <c r="H20" s="101">
        <f t="shared" si="13"/>
        <v>0</v>
      </c>
      <c r="I20" s="101">
        <f>SUM(C20:H20)</f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>
        <f>$I$21/$I$6*C6</f>
        <v>5000</v>
      </c>
      <c r="D21" s="106">
        <f t="shared" ref="D21:H21" si="14">$I$21/$I$6*D6</f>
        <v>2500</v>
      </c>
      <c r="E21" s="106">
        <f t="shared" si="14"/>
        <v>2500</v>
      </c>
      <c r="F21" s="106">
        <f t="shared" si="14"/>
        <v>0</v>
      </c>
      <c r="G21" s="106">
        <f t="shared" si="14"/>
        <v>0</v>
      </c>
      <c r="H21" s="106">
        <f t="shared" si="14"/>
        <v>0</v>
      </c>
      <c r="I21" s="101">
        <f>项目投资!D27</f>
        <v>10000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122433.62831858409</v>
      </c>
      <c r="D22" s="101">
        <f t="shared" ref="D22:H22" si="15">D6*D47</f>
        <v>80199.115044247796</v>
      </c>
      <c r="E22" s="101">
        <f t="shared" si="15"/>
        <v>78362.831858407095</v>
      </c>
      <c r="F22" s="101">
        <f t="shared" si="15"/>
        <v>0</v>
      </c>
      <c r="G22" s="101">
        <f t="shared" si="15"/>
        <v>0</v>
      </c>
      <c r="H22" s="101">
        <f t="shared" si="15"/>
        <v>0</v>
      </c>
      <c r="I22" s="101">
        <f>SUM(C22:H22)</f>
        <v>280995.57522123901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>
        <f>+C22+C21+C20+C19+C17</f>
        <v>127433.62831858409</v>
      </c>
      <c r="D23" s="106">
        <f t="shared" ref="D23:H23" si="16">+D22+D21+D20+D19+D17</f>
        <v>82699.115044247796</v>
      </c>
      <c r="E23" s="106">
        <f t="shared" si="16"/>
        <v>80862.831858407095</v>
      </c>
      <c r="F23" s="106">
        <f t="shared" si="16"/>
        <v>0</v>
      </c>
      <c r="G23" s="106">
        <f t="shared" si="16"/>
        <v>0</v>
      </c>
      <c r="H23" s="106">
        <f t="shared" si="16"/>
        <v>0</v>
      </c>
      <c r="I23" s="106">
        <f t="shared" ref="I23" si="17">+I22+I21+I20+I19+I17</f>
        <v>290995.57522123901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>
        <f>+C15-C23</f>
        <v>-333962.81177855725</v>
      </c>
      <c r="D24" s="106">
        <f t="shared" ref="D24:H24" si="18">+D15-D23</f>
        <v>-18973.677625363489</v>
      </c>
      <c r="E24" s="106">
        <f t="shared" si="18"/>
        <v>-83690.184128694556</v>
      </c>
      <c r="F24" s="106">
        <f t="shared" si="18"/>
        <v>0</v>
      </c>
      <c r="G24" s="106">
        <f t="shared" si="18"/>
        <v>0</v>
      </c>
      <c r="H24" s="106">
        <f t="shared" si="18"/>
        <v>0</v>
      </c>
      <c r="I24" s="106">
        <f t="shared" ref="I24" si="19">+I15-I23</f>
        <v>-436626.6735326153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>
        <f>IF(C24&lt;0,0,C24*0.25)</f>
        <v>0</v>
      </c>
      <c r="D25" s="106">
        <f t="shared" ref="D25:I25" si="20">IF(D24&lt;0,0,D24*0.25)</f>
        <v>0</v>
      </c>
      <c r="E25" s="106">
        <f t="shared" si="20"/>
        <v>0</v>
      </c>
      <c r="F25" s="106">
        <f t="shared" si="20"/>
        <v>0</v>
      </c>
      <c r="G25" s="106">
        <f t="shared" si="20"/>
        <v>0</v>
      </c>
      <c r="H25" s="106">
        <f t="shared" si="20"/>
        <v>0</v>
      </c>
      <c r="I25" s="106">
        <f t="shared" si="20"/>
        <v>0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>
        <f t="shared" ref="C26:H26" si="21">C24-C25</f>
        <v>-333962.81177855725</v>
      </c>
      <c r="D26" s="106">
        <f t="shared" si="21"/>
        <v>-18973.677625363489</v>
      </c>
      <c r="E26" s="106">
        <f t="shared" si="21"/>
        <v>-83690.184128694556</v>
      </c>
      <c r="F26" s="106">
        <f t="shared" si="21"/>
        <v>0</v>
      </c>
      <c r="G26" s="106">
        <f t="shared" si="21"/>
        <v>0</v>
      </c>
      <c r="H26" s="106">
        <f t="shared" si="21"/>
        <v>0</v>
      </c>
      <c r="I26" s="101">
        <f>SUM(C26:H26)</f>
        <v>-436626.6735326153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>
        <f t="shared" ref="C27:I27" si="22">C26/C7</f>
        <v>-0.13638524658827961</v>
      </c>
      <c r="D27" s="108">
        <f t="shared" ref="D27:H27" si="23">D26/D7</f>
        <v>-1.1829106602295582E-2</v>
      </c>
      <c r="E27" s="108">
        <f t="shared" si="23"/>
        <v>-5.3399157575056373E-2</v>
      </c>
      <c r="F27" s="108" t="e">
        <f t="shared" si="23"/>
        <v>#DIV/0!</v>
      </c>
      <c r="G27" s="108" t="e">
        <f t="shared" si="23"/>
        <v>#DIV/0!</v>
      </c>
      <c r="H27" s="108" t="e">
        <f t="shared" si="23"/>
        <v>#DIV/0!</v>
      </c>
      <c r="I27" s="108">
        <f t="shared" si="22"/>
        <v>-7.7692802313495818E-2</v>
      </c>
      <c r="J27" s="2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>
        <f>C31*1</f>
        <v>244.86725663716817</v>
      </c>
      <c r="D32" s="101">
        <f t="shared" ref="D32:H32" si="24">D31*1</f>
        <v>320.79646017699116</v>
      </c>
      <c r="E32" s="101">
        <f t="shared" si="24"/>
        <v>313.45132743362836</v>
      </c>
      <c r="F32" s="101">
        <f t="shared" si="24"/>
        <v>0</v>
      </c>
      <c r="G32" s="101">
        <f t="shared" si="24"/>
        <v>0</v>
      </c>
      <c r="H32" s="101">
        <f t="shared" si="24"/>
        <v>0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材料成本!D12</f>
        <v>239.49067569442411</v>
      </c>
      <c r="D33" s="101">
        <f>材料成本!E12</f>
        <v>269.60380904814815</v>
      </c>
      <c r="E33" s="101">
        <f>材料成本!F12</f>
        <v>276.12899914814813</v>
      </c>
      <c r="F33" s="101">
        <f>材料成本!G12</f>
        <v>0</v>
      </c>
      <c r="G33" s="101">
        <f>材料成本!H12</f>
        <v>0</v>
      </c>
      <c r="H33" s="101">
        <f>材料成本!I12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>
        <f>C32-C33</f>
        <v>5.3765809427440558</v>
      </c>
      <c r="D34" s="110">
        <f t="shared" ref="D34:H34" si="25">D32-D33</f>
        <v>51.192651128843011</v>
      </c>
      <c r="E34" s="110">
        <f t="shared" si="25"/>
        <v>37.322328285480239</v>
      </c>
      <c r="F34" s="110">
        <f t="shared" si="25"/>
        <v>0</v>
      </c>
      <c r="G34" s="110">
        <f t="shared" si="25"/>
        <v>0</v>
      </c>
      <c r="H34" s="110">
        <f t="shared" si="25"/>
        <v>0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标准成本!D4</f>
        <v>14.236729252219602</v>
      </c>
      <c r="D36" s="105">
        <f>标准成本!D18</f>
        <v>18.651298713153615</v>
      </c>
      <c r="E36" s="105">
        <f>标准成本!D32</f>
        <v>18.224248287445548</v>
      </c>
      <c r="F36" s="105">
        <f>标准成本!D45</f>
        <v>0</v>
      </c>
      <c r="G36" s="105">
        <f>标准成本!D58</f>
        <v>0</v>
      </c>
      <c r="H36" s="105">
        <f>标准成本!D71</f>
        <v>0</v>
      </c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标准成本!D6</f>
        <v>4.4243489838901997</v>
      </c>
      <c r="D37" s="105">
        <f>标准成本!D20</f>
        <v>5.796264931912531</v>
      </c>
      <c r="E37" s="105">
        <f>标准成本!D34</f>
        <v>5.6635504520921893</v>
      </c>
      <c r="F37" s="105">
        <f>标准成本!D47</f>
        <v>0</v>
      </c>
      <c r="G37" s="105">
        <f>标准成本!D60</f>
        <v>0</v>
      </c>
      <c r="H37" s="105">
        <f>标准成本!D73</f>
        <v>0</v>
      </c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标准成本!D10</f>
        <v>7.3684210526315788</v>
      </c>
      <c r="D38" s="105">
        <f>标准成本!D24</f>
        <v>14</v>
      </c>
      <c r="E38" s="105">
        <f>标准成本!D38</f>
        <v>14</v>
      </c>
      <c r="F38" s="105">
        <f>标准成本!D51</f>
        <v>0</v>
      </c>
      <c r="G38" s="105">
        <f>标准成本!D64</f>
        <v>0</v>
      </c>
      <c r="H38" s="105">
        <f>标准成本!D77</f>
        <v>0</v>
      </c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>
        <f>C34-C36-C37-C38</f>
        <v>-20.652918345997325</v>
      </c>
      <c r="D40" s="106">
        <f t="shared" ref="D40:H40" si="26">D34-D36-D37-D38</f>
        <v>12.745087483776864</v>
      </c>
      <c r="E40" s="106">
        <f t="shared" si="26"/>
        <v>-0.56547045405749685</v>
      </c>
      <c r="F40" s="106">
        <f t="shared" si="26"/>
        <v>0</v>
      </c>
      <c r="G40" s="106">
        <f t="shared" si="26"/>
        <v>0</v>
      </c>
      <c r="H40" s="106">
        <f t="shared" si="26"/>
        <v>0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标准成本!D5</f>
        <v>0</v>
      </c>
      <c r="D43" s="105">
        <f>标准成本!D19</f>
        <v>0</v>
      </c>
      <c r="E43" s="105">
        <f>标准成本!D33</f>
        <v>0</v>
      </c>
      <c r="F43" s="105">
        <f>标准成本!D46</f>
        <v>0</v>
      </c>
      <c r="G43" s="105">
        <f>标准成本!D59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标准成本!D9</f>
        <v>0</v>
      </c>
      <c r="D44" s="105">
        <f>标准成本!D23</f>
        <v>0</v>
      </c>
      <c r="E44" s="105">
        <f>标准成本!D37</f>
        <v>0</v>
      </c>
      <c r="F44" s="105">
        <f>标准成本!D50</f>
        <v>0</v>
      </c>
      <c r="G44" s="105">
        <f>标准成本!D63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标准成本!D8</f>
        <v>0</v>
      </c>
      <c r="D45" s="105">
        <f>标准成本!D22</f>
        <v>0</v>
      </c>
      <c r="E45" s="105">
        <f>标准成本!D36</f>
        <v>0</v>
      </c>
      <c r="F45" s="105">
        <f>标准成本!D49</f>
        <v>0</v>
      </c>
      <c r="G45" s="105">
        <f>标准成本!D62</f>
        <v>0</v>
      </c>
      <c r="H45" s="111">
        <f>标准成本!D75</f>
        <v>0</v>
      </c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>
        <f>C21/C6</f>
        <v>0.5</v>
      </c>
      <c r="D46" s="111">
        <f t="shared" ref="D46:H46" si="27">D21/D6</f>
        <v>0.5</v>
      </c>
      <c r="E46" s="111">
        <f t="shared" si="27"/>
        <v>0.5</v>
      </c>
      <c r="F46" s="111" t="e">
        <f t="shared" si="27"/>
        <v>#DIV/0!</v>
      </c>
      <c r="G46" s="111" t="e">
        <f t="shared" si="27"/>
        <v>#DIV/0!</v>
      </c>
      <c r="H46" s="111" t="e">
        <f t="shared" si="27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标准成本!D11</f>
        <v>12.243362831858409</v>
      </c>
      <c r="D47" s="105">
        <f>标准成本!D25</f>
        <v>16.039823008849559</v>
      </c>
      <c r="E47" s="105">
        <f>标准成本!D39</f>
        <v>15.67256637168142</v>
      </c>
      <c r="F47" s="105">
        <f>标准成本!D52</f>
        <v>0</v>
      </c>
      <c r="G47" s="105">
        <f>标准成本!D65</f>
        <v>0</v>
      </c>
      <c r="H47" s="111">
        <f>标准成本!D78</f>
        <v>0</v>
      </c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>
        <f>C40-C43-C44-C45-C47-C46</f>
        <v>-33.396281177855734</v>
      </c>
      <c r="D48" s="106">
        <f t="shared" ref="D48:H48" si="28">D40-D43-D44-D45-D47-D46</f>
        <v>-3.7947355250726957</v>
      </c>
      <c r="E48" s="106">
        <f t="shared" si="28"/>
        <v>-16.738036825738916</v>
      </c>
      <c r="F48" s="106" t="e">
        <f t="shared" si="28"/>
        <v>#DIV/0!</v>
      </c>
      <c r="G48" s="106" t="e">
        <f t="shared" si="28"/>
        <v>#DIV/0!</v>
      </c>
      <c r="H48" s="106" t="e">
        <f t="shared" si="28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3" activePane="bottomRight" state="frozen"/>
      <selection pane="topRight"/>
      <selection pane="bottomLeft"/>
      <selection pane="bottomRight" activeCell="F25" sqref="F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158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0" t="str">
        <f>'2023年'!C2:I2</f>
        <v>一汽解放</v>
      </c>
      <c r="D2" s="220"/>
      <c r="E2" s="220"/>
      <c r="F2" s="220"/>
      <c r="G2" s="220"/>
      <c r="H2" s="220"/>
      <c r="I2" s="220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销量!C10</f>
        <v>10000</v>
      </c>
      <c r="D6" s="100">
        <f>销量!D10</f>
        <v>5000</v>
      </c>
      <c r="E6" s="100">
        <f>销量!E10</f>
        <v>5000</v>
      </c>
      <c r="F6" s="100">
        <f>销量!F10</f>
        <v>0</v>
      </c>
      <c r="G6" s="100">
        <f>销量!G10</f>
        <v>0</v>
      </c>
      <c r="H6" s="100">
        <f>销量!H10</f>
        <v>0</v>
      </c>
      <c r="I6" s="101">
        <f>SUM(C6:H6)</f>
        <v>20000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2448672.5663716816</v>
      </c>
      <c r="D7" s="101">
        <f>D6*销量!D8</f>
        <v>1603982.3008849558</v>
      </c>
      <c r="E7" s="101">
        <f>E6*销量!E8</f>
        <v>1567256.6371681418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>SUM(C7:H7)</f>
        <v>5619911.5044247797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>
        <f>C7*(1-销量!$L$7)</f>
        <v>0</v>
      </c>
      <c r="D8" s="101">
        <f>D7*(1-销量!$L$7)</f>
        <v>0</v>
      </c>
      <c r="E8" s="101">
        <f>E7*(1-销量!$L$7)</f>
        <v>0</v>
      </c>
      <c r="F8" s="101">
        <f>F7*(1-销量!$L$7)</f>
        <v>0</v>
      </c>
      <c r="G8" s="101">
        <f>G7*(1-销量!$L$7)</f>
        <v>0</v>
      </c>
      <c r="H8" s="101">
        <f>H7*(1-销量!$L$7)</f>
        <v>0</v>
      </c>
      <c r="I8" s="101">
        <f t="shared" ref="I8:I20" si="0">SUM(C8:H8)</f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2448672.5663716816</v>
      </c>
      <c r="D9" s="101">
        <f t="shared" ref="D9:H9" si="1">+D7-D8</f>
        <v>1603982.3008849558</v>
      </c>
      <c r="E9" s="101">
        <f t="shared" si="1"/>
        <v>1567256.6371681418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5619911.5044247797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2394906.756944241</v>
      </c>
      <c r="D10" s="101">
        <f t="shared" ref="D10:H10" si="2">D6*D33</f>
        <v>1348019.0452407408</v>
      </c>
      <c r="E10" s="101">
        <f t="shared" si="2"/>
        <v>1380644.9957407406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5123570.7979257219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142367.29252219602</v>
      </c>
      <c r="D11" s="101">
        <f>+D6*D36</f>
        <v>93256.493565768076</v>
      </c>
      <c r="E11" s="101">
        <f t="shared" ref="E11:H11" si="3">+E6*E36</f>
        <v>91121.241437227742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326745.02752519184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44243.489838901995</v>
      </c>
      <c r="D12" s="101">
        <f t="shared" ref="D12:H12" si="4">+D6*D37</f>
        <v>28981.324659562655</v>
      </c>
      <c r="E12" s="101">
        <f t="shared" si="4"/>
        <v>28317.752260460948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101542.56675892559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73684.210526315786</v>
      </c>
      <c r="D13" s="101">
        <f t="shared" ref="D13:H13" si="5">+D6*D38</f>
        <v>70000</v>
      </c>
      <c r="E13" s="101">
        <f t="shared" si="5"/>
        <v>70000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213684.21052631579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260294.9928874138</v>
      </c>
      <c r="D14" s="101">
        <f t="shared" ref="D14:H14" si="6">SUM(D11:D13)</f>
        <v>192237.81822533073</v>
      </c>
      <c r="E14" s="101">
        <f t="shared" si="6"/>
        <v>189438.99369768868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641971.80481043318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-206529.18345997317</v>
      </c>
      <c r="D15" s="101">
        <f t="shared" ref="D15:H15" si="7">+D9-D10-D14</f>
        <v>63725.437418884307</v>
      </c>
      <c r="E15" s="101">
        <f t="shared" si="7"/>
        <v>-2827.3522702874616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-145631.09831137632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>
        <f>+C15/C9</f>
        <v>-8.434332392835911E-2</v>
      </c>
      <c r="D16" s="103">
        <f t="shared" ref="D16:H16" si="8">+D15/D9</f>
        <v>3.9729514087359592E-2</v>
      </c>
      <c r="E16" s="103">
        <f t="shared" si="8"/>
        <v>-1.8040135886080357E-3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-2.591341486368872E-2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>
        <f>C6*C43+C18</f>
        <v>0</v>
      </c>
      <c r="D17" s="101">
        <f t="shared" ref="D17:H17" si="10">D6*D43+D18</f>
        <v>0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 t="shared" si="0"/>
        <v>0</v>
      </c>
      <c r="J17" s="113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>
        <f>$I$18/$I$6*C6</f>
        <v>0</v>
      </c>
      <c r="D18" s="105">
        <f t="shared" ref="D18:H18" si="11">$I$18/$I$6*D6</f>
        <v>0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项目投资!E26</f>
        <v>0</v>
      </c>
      <c r="J18" s="114" t="s">
        <v>154</v>
      </c>
      <c r="K18" s="114"/>
      <c r="L18" s="114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H19" si="12">D6*D44</f>
        <v>0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>SUM(C19:H19)</f>
        <v>0</v>
      </c>
      <c r="J19" s="92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3">D6*D45</f>
        <v>0</v>
      </c>
      <c r="E20" s="101">
        <f t="shared" si="13"/>
        <v>0</v>
      </c>
      <c r="F20" s="101">
        <f t="shared" si="13"/>
        <v>0</v>
      </c>
      <c r="G20" s="101">
        <f t="shared" si="13"/>
        <v>0</v>
      </c>
      <c r="H20" s="101">
        <f t="shared" si="13"/>
        <v>0</v>
      </c>
      <c r="I20" s="101">
        <f t="shared" si="0"/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>
        <f>$I$21/$I$6*C6</f>
        <v>5000</v>
      </c>
      <c r="D21" s="106">
        <f t="shared" ref="D21:H21" si="14">$I$21/$I$6*D6</f>
        <v>2500</v>
      </c>
      <c r="E21" s="106">
        <f t="shared" si="14"/>
        <v>2500</v>
      </c>
      <c r="F21" s="106">
        <f t="shared" si="14"/>
        <v>0</v>
      </c>
      <c r="G21" s="106">
        <f t="shared" si="14"/>
        <v>0</v>
      </c>
      <c r="H21" s="106">
        <f t="shared" si="14"/>
        <v>0</v>
      </c>
      <c r="I21" s="101">
        <f>项目投资!E27</f>
        <v>10000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122433.62831858409</v>
      </c>
      <c r="D22" s="101">
        <f t="shared" ref="D22:H22" si="15">D6*D47</f>
        <v>80199.115044247796</v>
      </c>
      <c r="E22" s="101">
        <f t="shared" si="15"/>
        <v>78362.831858407095</v>
      </c>
      <c r="F22" s="101">
        <f t="shared" si="15"/>
        <v>0</v>
      </c>
      <c r="G22" s="101">
        <f t="shared" si="15"/>
        <v>0</v>
      </c>
      <c r="H22" s="101">
        <f t="shared" si="15"/>
        <v>0</v>
      </c>
      <c r="I22" s="101">
        <f>SUM(C22:H22)</f>
        <v>280995.57522123901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>
        <f>+C22+C21+C20+C19+C17</f>
        <v>127433.62831858409</v>
      </c>
      <c r="D23" s="106">
        <f t="shared" ref="D23:H23" si="16">+D22+D21+D20+D19+D17</f>
        <v>82699.115044247796</v>
      </c>
      <c r="E23" s="106">
        <f t="shared" si="16"/>
        <v>80862.831858407095</v>
      </c>
      <c r="F23" s="106">
        <f t="shared" si="16"/>
        <v>0</v>
      </c>
      <c r="G23" s="106">
        <f t="shared" si="16"/>
        <v>0</v>
      </c>
      <c r="H23" s="106">
        <f t="shared" si="16"/>
        <v>0</v>
      </c>
      <c r="I23" s="106">
        <f t="shared" ref="I23" si="17">+I22+I21+I20+I19+I17</f>
        <v>290995.57522123901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>
        <f>+C15-C23</f>
        <v>-333962.81177855725</v>
      </c>
      <c r="D24" s="106">
        <f t="shared" ref="D24:H24" si="18">+D15-D23</f>
        <v>-18973.677625363489</v>
      </c>
      <c r="E24" s="106">
        <f t="shared" si="18"/>
        <v>-83690.184128694556</v>
      </c>
      <c r="F24" s="106">
        <f t="shared" si="18"/>
        <v>0</v>
      </c>
      <c r="G24" s="106">
        <f t="shared" si="18"/>
        <v>0</v>
      </c>
      <c r="H24" s="106">
        <f t="shared" si="18"/>
        <v>0</v>
      </c>
      <c r="I24" s="106">
        <f t="shared" ref="I24" si="19">+I15-I23</f>
        <v>-436626.6735326153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>
        <f>IF(C24&lt;0,0,C24*0.25)</f>
        <v>0</v>
      </c>
      <c r="D25" s="106">
        <f t="shared" ref="D25:I25" si="20">IF(D24&lt;0,0,D24*0.25)</f>
        <v>0</v>
      </c>
      <c r="E25" s="106">
        <f t="shared" si="20"/>
        <v>0</v>
      </c>
      <c r="F25" s="106">
        <f t="shared" si="20"/>
        <v>0</v>
      </c>
      <c r="G25" s="106">
        <f t="shared" si="20"/>
        <v>0</v>
      </c>
      <c r="H25" s="106">
        <f t="shared" si="20"/>
        <v>0</v>
      </c>
      <c r="I25" s="106">
        <f t="shared" si="20"/>
        <v>0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>
        <f t="shared" ref="C26:H26" si="21">C24-C25</f>
        <v>-333962.81177855725</v>
      </c>
      <c r="D26" s="106">
        <f t="shared" si="21"/>
        <v>-18973.677625363489</v>
      </c>
      <c r="E26" s="106">
        <f t="shared" si="21"/>
        <v>-83690.184128694556</v>
      </c>
      <c r="F26" s="106">
        <f t="shared" si="21"/>
        <v>0</v>
      </c>
      <c r="G26" s="106">
        <f t="shared" si="21"/>
        <v>0</v>
      </c>
      <c r="H26" s="106">
        <f t="shared" si="21"/>
        <v>0</v>
      </c>
      <c r="I26" s="101">
        <f>SUM(C26:H26)</f>
        <v>-436626.6735326153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>
        <f t="shared" ref="C27:I27" si="22">C26/C7</f>
        <v>-0.13638524658827961</v>
      </c>
      <c r="D27" s="108">
        <f t="shared" ref="D27:H27" si="23">D26/D7</f>
        <v>-1.1829106602295582E-2</v>
      </c>
      <c r="E27" s="108">
        <f t="shared" si="23"/>
        <v>-5.3399157575056373E-2</v>
      </c>
      <c r="F27" s="108" t="e">
        <f t="shared" si="23"/>
        <v>#DIV/0!</v>
      </c>
      <c r="G27" s="108" t="e">
        <f t="shared" si="23"/>
        <v>#DIV/0!</v>
      </c>
      <c r="H27" s="108" t="e">
        <f t="shared" si="23"/>
        <v>#DIV/0!</v>
      </c>
      <c r="I27" s="108">
        <f t="shared" si="22"/>
        <v>-7.7692802313495818E-2</v>
      </c>
      <c r="J27" s="2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>
        <f>C9/C6</f>
        <v>244.86725663716817</v>
      </c>
      <c r="D32" s="101">
        <f t="shared" ref="D32:H32" si="24">D9/D6</f>
        <v>320.79646017699116</v>
      </c>
      <c r="E32" s="101">
        <f t="shared" si="24"/>
        <v>313.45132743362836</v>
      </c>
      <c r="F32" s="101" t="e">
        <f t="shared" si="24"/>
        <v>#DIV/0!</v>
      </c>
      <c r="G32" s="101" t="e">
        <f t="shared" si="24"/>
        <v>#DIV/0!</v>
      </c>
      <c r="H32" s="101" t="e">
        <f t="shared" si="24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材料成本!D12</f>
        <v>239.49067569442411</v>
      </c>
      <c r="D33" s="101">
        <f>材料成本!E12</f>
        <v>269.60380904814815</v>
      </c>
      <c r="E33" s="101">
        <f>材料成本!F12</f>
        <v>276.12899914814813</v>
      </c>
      <c r="F33" s="101">
        <f>材料成本!G13</f>
        <v>0</v>
      </c>
      <c r="G33" s="101">
        <f>材料成本!H13</f>
        <v>0</v>
      </c>
      <c r="H33" s="101">
        <f>材料成本!I13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>
        <f>C32-C33</f>
        <v>5.3765809427440558</v>
      </c>
      <c r="D34" s="110">
        <f t="shared" ref="D34:H34" si="25">D32-D33</f>
        <v>51.192651128843011</v>
      </c>
      <c r="E34" s="110">
        <f t="shared" si="25"/>
        <v>37.322328285480239</v>
      </c>
      <c r="F34" s="110" t="e">
        <f t="shared" si="25"/>
        <v>#DIV/0!</v>
      </c>
      <c r="G34" s="110" t="e">
        <f t="shared" si="25"/>
        <v>#DIV/0!</v>
      </c>
      <c r="H34" s="110" t="e">
        <f t="shared" si="25"/>
        <v>#DIV/0!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'2023年'!C36</f>
        <v>14.236729252219602</v>
      </c>
      <c r="D36" s="105">
        <f>'2023年'!D36</f>
        <v>18.651298713153615</v>
      </c>
      <c r="E36" s="105">
        <f>'2023年'!E36</f>
        <v>18.224248287445548</v>
      </c>
      <c r="F36" s="105">
        <f>'2023年'!F36</f>
        <v>0</v>
      </c>
      <c r="G36" s="105">
        <f>'2023年'!G36</f>
        <v>0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'2023年'!C37</f>
        <v>4.4243489838901997</v>
      </c>
      <c r="D37" s="105">
        <f>'2023年'!D37</f>
        <v>5.796264931912531</v>
      </c>
      <c r="E37" s="105">
        <f>'2023年'!E37</f>
        <v>5.6635504520921893</v>
      </c>
      <c r="F37" s="105">
        <f>'2023年'!F37</f>
        <v>0</v>
      </c>
      <c r="G37" s="105">
        <f>'2023年'!G37</f>
        <v>0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'2023年'!C38</f>
        <v>7.3684210526315788</v>
      </c>
      <c r="D38" s="105">
        <f>'2023年'!D38</f>
        <v>14</v>
      </c>
      <c r="E38" s="105">
        <f>'2023年'!E38</f>
        <v>14</v>
      </c>
      <c r="F38" s="105">
        <f>'2023年'!F38</f>
        <v>0</v>
      </c>
      <c r="G38" s="105">
        <f>'2023年'!G38</f>
        <v>0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>
        <f>C34-C36-C37-C38</f>
        <v>-20.652918345997325</v>
      </c>
      <c r="D40" s="106">
        <f t="shared" ref="D40:H40" si="26">D34-D36-D37-D38</f>
        <v>12.745087483776864</v>
      </c>
      <c r="E40" s="106">
        <f t="shared" si="26"/>
        <v>-0.56547045405749685</v>
      </c>
      <c r="F40" s="106" t="e">
        <f t="shared" si="26"/>
        <v>#DIV/0!</v>
      </c>
      <c r="G40" s="106" t="e">
        <f t="shared" si="26"/>
        <v>#DIV/0!</v>
      </c>
      <c r="H40" s="106" t="e">
        <f t="shared" si="26"/>
        <v>#DIV/0!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'2023年'!C43</f>
        <v>0</v>
      </c>
      <c r="D43" s="105">
        <f>'2023年'!D43</f>
        <v>0</v>
      </c>
      <c r="E43" s="105">
        <f>'2023年'!E43</f>
        <v>0</v>
      </c>
      <c r="F43" s="105">
        <f>'2023年'!F43</f>
        <v>0</v>
      </c>
      <c r="G43" s="105">
        <f>'2023年'!G43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'2023年'!C44</f>
        <v>0</v>
      </c>
      <c r="D44" s="105">
        <f>'2023年'!D44</f>
        <v>0</v>
      </c>
      <c r="E44" s="105">
        <f>'2023年'!E44</f>
        <v>0</v>
      </c>
      <c r="F44" s="105">
        <f>'2023年'!F44</f>
        <v>0</v>
      </c>
      <c r="G44" s="105">
        <f>'2023年'!G44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'2023年'!C45</f>
        <v>0</v>
      </c>
      <c r="D45" s="105">
        <f>'2023年'!D45</f>
        <v>0</v>
      </c>
      <c r="E45" s="105">
        <f>'2023年'!E45</f>
        <v>0</v>
      </c>
      <c r="F45" s="105">
        <f>'2023年'!F45</f>
        <v>0</v>
      </c>
      <c r="G45" s="105">
        <f>'2023年'!G45</f>
        <v>0</v>
      </c>
      <c r="H45" s="105"/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>
        <f>C21/C6</f>
        <v>0.5</v>
      </c>
      <c r="D46" s="111">
        <f t="shared" ref="D46:H46" si="27">D21/D6</f>
        <v>0.5</v>
      </c>
      <c r="E46" s="111">
        <f t="shared" si="27"/>
        <v>0.5</v>
      </c>
      <c r="F46" s="111" t="e">
        <f t="shared" si="27"/>
        <v>#DIV/0!</v>
      </c>
      <c r="G46" s="111" t="e">
        <f t="shared" si="27"/>
        <v>#DIV/0!</v>
      </c>
      <c r="H46" s="111" t="e">
        <f t="shared" si="27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'2023年'!C47</f>
        <v>12.243362831858409</v>
      </c>
      <c r="D47" s="105">
        <f>'2023年'!D47</f>
        <v>16.039823008849559</v>
      </c>
      <c r="E47" s="105">
        <f>'2023年'!E47</f>
        <v>15.67256637168142</v>
      </c>
      <c r="F47" s="105">
        <f>'2023年'!F47</f>
        <v>0</v>
      </c>
      <c r="G47" s="105">
        <f>'2023年'!G47</f>
        <v>0</v>
      </c>
      <c r="H47" s="111"/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>
        <f>C40-C43-C44-C45-C47-C46</f>
        <v>-33.396281177855734</v>
      </c>
      <c r="D48" s="106">
        <f t="shared" ref="D48:H48" si="28">D40-D43-D44-D45-D47-D46</f>
        <v>-3.7947355250726957</v>
      </c>
      <c r="E48" s="106">
        <f t="shared" si="28"/>
        <v>-16.738036825738916</v>
      </c>
      <c r="F48" s="106" t="e">
        <f t="shared" si="28"/>
        <v>#DIV/0!</v>
      </c>
      <c r="G48" s="106" t="e">
        <f t="shared" si="28"/>
        <v>#DIV/0!</v>
      </c>
      <c r="H48" s="106" t="e">
        <f t="shared" si="28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159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0" t="str">
        <f>'2023年'!C2:I2</f>
        <v>一汽解放</v>
      </c>
      <c r="D2" s="220"/>
      <c r="E2" s="220"/>
      <c r="F2" s="220"/>
      <c r="G2" s="220"/>
      <c r="H2" s="220"/>
      <c r="I2" s="220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销量!C11</f>
        <v>10000</v>
      </c>
      <c r="D6" s="100">
        <f>销量!D11</f>
        <v>5000</v>
      </c>
      <c r="E6" s="100">
        <f>销量!E11</f>
        <v>5000</v>
      </c>
      <c r="F6" s="100">
        <f>销量!F11</f>
        <v>0</v>
      </c>
      <c r="G6" s="100">
        <f>销量!G11</f>
        <v>0</v>
      </c>
      <c r="H6" s="100">
        <f>销量!H11</f>
        <v>0</v>
      </c>
      <c r="I6" s="101">
        <f>SUM(C6:H6)</f>
        <v>20000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2448672.5663716816</v>
      </c>
      <c r="D7" s="101">
        <f>D6*销量!D8</f>
        <v>1603982.3008849558</v>
      </c>
      <c r="E7" s="101">
        <f>E6*销量!E8</f>
        <v>1567256.6371681418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>SUM(C7:H7)</f>
        <v>5619911.5044247797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>
        <f>C7*(1-销量!$L$8)</f>
        <v>0</v>
      </c>
      <c r="D8" s="101">
        <f>D7*(1-销量!$L$8)</f>
        <v>0</v>
      </c>
      <c r="E8" s="101">
        <f>E7*(1-销量!$L$8)</f>
        <v>0</v>
      </c>
      <c r="F8" s="101">
        <f>F7*(1-销量!$L$8)</f>
        <v>0</v>
      </c>
      <c r="G8" s="101">
        <f>G7*(1-销量!$L$8)</f>
        <v>0</v>
      </c>
      <c r="H8" s="101">
        <f>H7*(1-销量!$L$8)</f>
        <v>0</v>
      </c>
      <c r="I8" s="101">
        <f t="shared" ref="I8:I15" si="0">SUM(C8:H8)</f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2448672.5663716816</v>
      </c>
      <c r="D9" s="101">
        <f t="shared" ref="D9:H9" si="1">+D7-D8</f>
        <v>1603982.3008849558</v>
      </c>
      <c r="E9" s="101">
        <f t="shared" si="1"/>
        <v>1567256.6371681418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5619911.5044247797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2394906.756944241</v>
      </c>
      <c r="D10" s="101">
        <f t="shared" ref="D10:H10" si="2">D6*D33</f>
        <v>1348019.0452407408</v>
      </c>
      <c r="E10" s="101">
        <f t="shared" si="2"/>
        <v>1380644.9957407406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5123570.7979257219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142367.29252219602</v>
      </c>
      <c r="D11" s="101">
        <f t="shared" ref="D11:H11" si="3">+D6*D36</f>
        <v>93256.493565768076</v>
      </c>
      <c r="E11" s="101">
        <f t="shared" si="3"/>
        <v>91121.241437227742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326745.02752519184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44243.489838901995</v>
      </c>
      <c r="D12" s="101">
        <f t="shared" ref="D12:H12" si="4">+D6*D37</f>
        <v>28981.324659562655</v>
      </c>
      <c r="E12" s="101">
        <f t="shared" si="4"/>
        <v>28317.752260460948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101542.56675892559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73684.210526315786</v>
      </c>
      <c r="D13" s="101">
        <f t="shared" ref="D13:H13" si="5">+D6*D38</f>
        <v>70000</v>
      </c>
      <c r="E13" s="101">
        <f t="shared" si="5"/>
        <v>70000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213684.21052631579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260294.9928874138</v>
      </c>
      <c r="D14" s="101">
        <f t="shared" ref="D14:H14" si="6">SUM(D11:D13)</f>
        <v>192237.81822533073</v>
      </c>
      <c r="E14" s="101">
        <f t="shared" si="6"/>
        <v>189438.99369768868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641971.80481043318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-206529.18345997317</v>
      </c>
      <c r="D15" s="101">
        <f t="shared" ref="D15:H15" si="7">+D9-D10-D14</f>
        <v>63725.437418884307</v>
      </c>
      <c r="E15" s="101">
        <f t="shared" si="7"/>
        <v>-2827.3522702874616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-145631.09831137632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>
        <f>+C15/C9</f>
        <v>-8.434332392835911E-2</v>
      </c>
      <c r="D16" s="103">
        <f t="shared" ref="D16:H16" si="8">+D15/D9</f>
        <v>3.9729514087359592E-2</v>
      </c>
      <c r="E16" s="103">
        <f t="shared" si="8"/>
        <v>-1.8040135886080357E-3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-2.591341486368872E-2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>
        <f>C6*C43+C18</f>
        <v>0</v>
      </c>
      <c r="D17" s="101">
        <f t="shared" ref="D17:H17" si="10">D6*D43+D18</f>
        <v>0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>SUM(C17:H17)</f>
        <v>0</v>
      </c>
      <c r="J17" s="113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>
        <f>$I$18/$I$6*C6</f>
        <v>0</v>
      </c>
      <c r="D18" s="105">
        <f t="shared" ref="D18:H18" si="11">$I$18/$I$6*D6</f>
        <v>0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项目投资!F26</f>
        <v>0</v>
      </c>
      <c r="J18" s="114" t="s">
        <v>154</v>
      </c>
      <c r="K18" s="114"/>
      <c r="L18" s="114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G19" si="12">D6*D44</f>
        <v>0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ref="H19" si="13">H6*H44</f>
        <v>0</v>
      </c>
      <c r="I19" s="101">
        <f>SUM(C19:G19)</f>
        <v>0</v>
      </c>
      <c r="J19" s="92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4">D6*D45</f>
        <v>0</v>
      </c>
      <c r="E20" s="101">
        <f t="shared" si="14"/>
        <v>0</v>
      </c>
      <c r="F20" s="101">
        <f t="shared" si="14"/>
        <v>0</v>
      </c>
      <c r="G20" s="101">
        <f t="shared" si="14"/>
        <v>0</v>
      </c>
      <c r="H20" s="101">
        <f t="shared" si="14"/>
        <v>0</v>
      </c>
      <c r="I20" s="101">
        <f>SUM(C20:H20)</f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>
        <f>$I$21/$I$6*C6</f>
        <v>5000</v>
      </c>
      <c r="D21" s="106">
        <f t="shared" ref="D21:H21" si="15">$I$21/$I$6*D6</f>
        <v>2500</v>
      </c>
      <c r="E21" s="106">
        <f t="shared" si="15"/>
        <v>2500</v>
      </c>
      <c r="F21" s="106">
        <f t="shared" si="15"/>
        <v>0</v>
      </c>
      <c r="G21" s="106">
        <f t="shared" si="15"/>
        <v>0</v>
      </c>
      <c r="H21" s="106">
        <f t="shared" si="15"/>
        <v>0</v>
      </c>
      <c r="I21" s="101">
        <f>项目投资!F27</f>
        <v>10000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122433.62831858409</v>
      </c>
      <c r="D22" s="101">
        <f t="shared" ref="D22:H22" si="16">D6*D47</f>
        <v>80199.115044247796</v>
      </c>
      <c r="E22" s="101">
        <f t="shared" si="16"/>
        <v>78362.831858407095</v>
      </c>
      <c r="F22" s="101">
        <f t="shared" si="16"/>
        <v>0</v>
      </c>
      <c r="G22" s="101">
        <f t="shared" si="16"/>
        <v>0</v>
      </c>
      <c r="H22" s="101">
        <f t="shared" si="16"/>
        <v>0</v>
      </c>
      <c r="I22" s="101">
        <f>SUM(C22:H22)</f>
        <v>280995.57522123901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>
        <f>+C22+C21+C20+C19+C17</f>
        <v>127433.62831858409</v>
      </c>
      <c r="D23" s="106">
        <f t="shared" ref="D23:H23" si="17">+D22+D21+D20+D19+D17</f>
        <v>82699.115044247796</v>
      </c>
      <c r="E23" s="106">
        <f t="shared" si="17"/>
        <v>80862.831858407095</v>
      </c>
      <c r="F23" s="106">
        <f t="shared" si="17"/>
        <v>0</v>
      </c>
      <c r="G23" s="106">
        <f t="shared" si="17"/>
        <v>0</v>
      </c>
      <c r="H23" s="106">
        <f t="shared" si="17"/>
        <v>0</v>
      </c>
      <c r="I23" s="106">
        <f t="shared" ref="I23" si="18">+I22+I21+I20+I19+I17</f>
        <v>290995.57522123901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>
        <f>+C15-C23</f>
        <v>-333962.81177855725</v>
      </c>
      <c r="D24" s="106">
        <f t="shared" ref="D24:H24" si="19">+D15-D23</f>
        <v>-18973.677625363489</v>
      </c>
      <c r="E24" s="106">
        <f t="shared" si="19"/>
        <v>-83690.184128694556</v>
      </c>
      <c r="F24" s="106">
        <f t="shared" si="19"/>
        <v>0</v>
      </c>
      <c r="G24" s="106">
        <f t="shared" si="19"/>
        <v>0</v>
      </c>
      <c r="H24" s="106">
        <f t="shared" si="19"/>
        <v>0</v>
      </c>
      <c r="I24" s="106">
        <f t="shared" ref="I24" si="20">+I15-I23</f>
        <v>-436626.6735326153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>
        <f>IF(C24&lt;0,0,C24*0.25)</f>
        <v>0</v>
      </c>
      <c r="D25" s="106">
        <f t="shared" ref="D25:I25" si="21">IF(D24&lt;0,0,D24*0.25)</f>
        <v>0</v>
      </c>
      <c r="E25" s="106">
        <f t="shared" si="21"/>
        <v>0</v>
      </c>
      <c r="F25" s="106">
        <f t="shared" si="21"/>
        <v>0</v>
      </c>
      <c r="G25" s="106">
        <f t="shared" si="21"/>
        <v>0</v>
      </c>
      <c r="H25" s="106">
        <f t="shared" si="21"/>
        <v>0</v>
      </c>
      <c r="I25" s="106">
        <f t="shared" si="21"/>
        <v>0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>
        <f t="shared" ref="C26:H26" si="22">C24-C25</f>
        <v>-333962.81177855725</v>
      </c>
      <c r="D26" s="106">
        <f t="shared" si="22"/>
        <v>-18973.677625363489</v>
      </c>
      <c r="E26" s="106">
        <f t="shared" si="22"/>
        <v>-83690.184128694556</v>
      </c>
      <c r="F26" s="106">
        <f t="shared" si="22"/>
        <v>0</v>
      </c>
      <c r="G26" s="106">
        <f t="shared" si="22"/>
        <v>0</v>
      </c>
      <c r="H26" s="106">
        <f t="shared" si="22"/>
        <v>0</v>
      </c>
      <c r="I26" s="101">
        <f>+SUM(C26:H26)</f>
        <v>-436626.6735326153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>
        <f t="shared" ref="C27:I27" si="23">C26/C7</f>
        <v>-0.13638524658827961</v>
      </c>
      <c r="D27" s="108">
        <f t="shared" ref="D27:H27" si="24">D26/D7</f>
        <v>-1.1829106602295582E-2</v>
      </c>
      <c r="E27" s="108">
        <f t="shared" si="24"/>
        <v>-5.3399157575056373E-2</v>
      </c>
      <c r="F27" s="108" t="e">
        <f t="shared" si="24"/>
        <v>#DIV/0!</v>
      </c>
      <c r="G27" s="108" t="e">
        <f t="shared" si="24"/>
        <v>#DIV/0!</v>
      </c>
      <c r="H27" s="108" t="e">
        <f t="shared" si="24"/>
        <v>#DIV/0!</v>
      </c>
      <c r="I27" s="108">
        <f t="shared" si="23"/>
        <v>-7.7692802313495818E-2</v>
      </c>
      <c r="J27" s="116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>
        <f>C9/C6</f>
        <v>244.86725663716817</v>
      </c>
      <c r="D32" s="101">
        <f t="shared" ref="D32:H32" si="25">D9/D6</f>
        <v>320.79646017699116</v>
      </c>
      <c r="E32" s="101">
        <f t="shared" si="25"/>
        <v>313.45132743362836</v>
      </c>
      <c r="F32" s="101" t="e">
        <f t="shared" si="25"/>
        <v>#DIV/0!</v>
      </c>
      <c r="G32" s="101" t="e">
        <f t="shared" si="25"/>
        <v>#DIV/0!</v>
      </c>
      <c r="H32" s="101" t="e">
        <f t="shared" si="25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材料成本!D12</f>
        <v>239.49067569442411</v>
      </c>
      <c r="D33" s="101">
        <f>材料成本!E12</f>
        <v>269.60380904814815</v>
      </c>
      <c r="E33" s="101">
        <f>材料成本!F12</f>
        <v>276.12899914814813</v>
      </c>
      <c r="F33" s="101">
        <f>材料成本!G14</f>
        <v>0</v>
      </c>
      <c r="G33" s="101">
        <f>材料成本!H14</f>
        <v>0</v>
      </c>
      <c r="H33" s="101">
        <f>材料成本!I14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>
        <f>C32-C33</f>
        <v>5.3765809427440558</v>
      </c>
      <c r="D34" s="110">
        <f t="shared" ref="D34:H34" si="26">D32-D33</f>
        <v>51.192651128843011</v>
      </c>
      <c r="E34" s="110">
        <f t="shared" si="26"/>
        <v>37.322328285480239</v>
      </c>
      <c r="F34" s="110" t="e">
        <f t="shared" si="26"/>
        <v>#DIV/0!</v>
      </c>
      <c r="G34" s="110" t="e">
        <f t="shared" si="26"/>
        <v>#DIV/0!</v>
      </c>
      <c r="H34" s="110" t="e">
        <f t="shared" si="26"/>
        <v>#DIV/0!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'2023年'!C36</f>
        <v>14.236729252219602</v>
      </c>
      <c r="D36" s="105">
        <f>'2023年'!D36</f>
        <v>18.651298713153615</v>
      </c>
      <c r="E36" s="105">
        <f>'2023年'!E36</f>
        <v>18.224248287445548</v>
      </c>
      <c r="F36" s="105">
        <f>'2023年'!F36</f>
        <v>0</v>
      </c>
      <c r="G36" s="105">
        <f>'2023年'!G36</f>
        <v>0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'2023年'!C37</f>
        <v>4.4243489838901997</v>
      </c>
      <c r="D37" s="105">
        <f>'2023年'!D37</f>
        <v>5.796264931912531</v>
      </c>
      <c r="E37" s="105">
        <f>'2023年'!E37</f>
        <v>5.6635504520921893</v>
      </c>
      <c r="F37" s="105">
        <f>'2023年'!F37</f>
        <v>0</v>
      </c>
      <c r="G37" s="105">
        <f>'2023年'!G37</f>
        <v>0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'2023年'!C38</f>
        <v>7.3684210526315788</v>
      </c>
      <c r="D38" s="105">
        <f>'2023年'!D38</f>
        <v>14</v>
      </c>
      <c r="E38" s="105">
        <f>'2023年'!E38</f>
        <v>14</v>
      </c>
      <c r="F38" s="105">
        <f>'2023年'!F38</f>
        <v>0</v>
      </c>
      <c r="G38" s="105">
        <f>'2023年'!G38</f>
        <v>0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>
        <f>C34-C36-C37-C38</f>
        <v>-20.652918345997325</v>
      </c>
      <c r="D40" s="106">
        <f t="shared" ref="D40:H40" si="27">D34-D36-D37-D38</f>
        <v>12.745087483776864</v>
      </c>
      <c r="E40" s="106">
        <f t="shared" si="27"/>
        <v>-0.56547045405749685</v>
      </c>
      <c r="F40" s="106" t="e">
        <f t="shared" si="27"/>
        <v>#DIV/0!</v>
      </c>
      <c r="G40" s="106" t="e">
        <f t="shared" si="27"/>
        <v>#DIV/0!</v>
      </c>
      <c r="H40" s="106" t="e">
        <f t="shared" si="27"/>
        <v>#DIV/0!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'2023年'!C43</f>
        <v>0</v>
      </c>
      <c r="D43" s="105">
        <f>'2023年'!D43</f>
        <v>0</v>
      </c>
      <c r="E43" s="105">
        <f>'2023年'!E43</f>
        <v>0</v>
      </c>
      <c r="F43" s="105">
        <f>'2023年'!F43</f>
        <v>0</v>
      </c>
      <c r="G43" s="105">
        <f>'2023年'!G43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'2023年'!C44</f>
        <v>0</v>
      </c>
      <c r="D44" s="105">
        <f>'2023年'!D44</f>
        <v>0</v>
      </c>
      <c r="E44" s="105">
        <f>'2023年'!E44</f>
        <v>0</v>
      </c>
      <c r="F44" s="105">
        <f>'2023年'!F44</f>
        <v>0</v>
      </c>
      <c r="G44" s="105">
        <f>'2023年'!G44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'2023年'!C45</f>
        <v>0</v>
      </c>
      <c r="D45" s="105">
        <f>'2023年'!D45</f>
        <v>0</v>
      </c>
      <c r="E45" s="105">
        <f>'2023年'!E45</f>
        <v>0</v>
      </c>
      <c r="F45" s="105">
        <f>'2023年'!F45</f>
        <v>0</v>
      </c>
      <c r="G45" s="105">
        <f>'2023年'!G45</f>
        <v>0</v>
      </c>
      <c r="H45" s="105"/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>
        <f>C21/C6</f>
        <v>0.5</v>
      </c>
      <c r="D46" s="111">
        <f t="shared" ref="D46:H46" si="28">D21/D6</f>
        <v>0.5</v>
      </c>
      <c r="E46" s="111">
        <f t="shared" si="28"/>
        <v>0.5</v>
      </c>
      <c r="F46" s="111" t="e">
        <f t="shared" si="28"/>
        <v>#DIV/0!</v>
      </c>
      <c r="G46" s="111" t="e">
        <f t="shared" si="28"/>
        <v>#DIV/0!</v>
      </c>
      <c r="H46" s="111" t="e">
        <f t="shared" si="28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'2023年'!C47</f>
        <v>12.243362831858409</v>
      </c>
      <c r="D47" s="105">
        <f>'2023年'!D47</f>
        <v>16.039823008849559</v>
      </c>
      <c r="E47" s="105">
        <f>'2023年'!E47</f>
        <v>15.67256637168142</v>
      </c>
      <c r="F47" s="105">
        <f>'2023年'!F47</f>
        <v>0</v>
      </c>
      <c r="G47" s="105">
        <f>'2023年'!G47</f>
        <v>0</v>
      </c>
      <c r="H47" s="111"/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>
        <f>C40-C43-C44-C45-C47-C46</f>
        <v>-33.396281177855734</v>
      </c>
      <c r="D48" s="106">
        <f t="shared" ref="D48:H48" si="29">D40-D43-D44-D45-D47-D46</f>
        <v>-3.7947355250726957</v>
      </c>
      <c r="E48" s="106">
        <f t="shared" si="29"/>
        <v>-16.738036825738916</v>
      </c>
      <c r="F48" s="106" t="e">
        <f t="shared" si="29"/>
        <v>#DIV/0!</v>
      </c>
      <c r="G48" s="106" t="e">
        <f t="shared" si="29"/>
        <v>#DIV/0!</v>
      </c>
      <c r="H48" s="106" t="e">
        <f t="shared" si="29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25" sqref="C25:I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160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1" t="str">
        <f>'2023年'!C2:I2</f>
        <v>一汽解放</v>
      </c>
      <c r="D2" s="222"/>
      <c r="E2" s="222"/>
      <c r="F2" s="222"/>
      <c r="G2" s="222"/>
      <c r="H2" s="222"/>
      <c r="I2" s="223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 ht="16.5" customHeight="1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销量!C12</f>
        <v>0</v>
      </c>
      <c r="D6" s="100">
        <f>销量!D12</f>
        <v>0</v>
      </c>
      <c r="E6" s="100">
        <f>销量!E12</f>
        <v>0</v>
      </c>
      <c r="F6" s="100">
        <f>销量!F12</f>
        <v>0</v>
      </c>
      <c r="G6" s="100">
        <f>销量!G12</f>
        <v>0</v>
      </c>
      <c r="H6" s="100">
        <f>销量!H12</f>
        <v>0</v>
      </c>
      <c r="I6" s="101">
        <f>SUM(C6:H6)</f>
        <v>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0</v>
      </c>
      <c r="D7" s="101">
        <f>D6*销量!D8</f>
        <v>0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17" si="0">SUM(C7:H7)</f>
        <v>0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>
        <f>C7*(1-销量!$L$9)</f>
        <v>0</v>
      </c>
      <c r="D8" s="101">
        <f>D7*(1-销量!$L$9)</f>
        <v>0</v>
      </c>
      <c r="E8" s="101">
        <f>E7*(1-销量!$L$9)</f>
        <v>0</v>
      </c>
      <c r="F8" s="101">
        <f>F7*(1-销量!$L$9)</f>
        <v>0</v>
      </c>
      <c r="G8" s="101">
        <f>G7*(1-销量!$L$9)</f>
        <v>0</v>
      </c>
      <c r="H8" s="101">
        <f>H7*(1-销量!$L$9)</f>
        <v>0</v>
      </c>
      <c r="I8" s="101">
        <f t="shared" si="0"/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0</v>
      </c>
      <c r="D9" s="101">
        <f t="shared" ref="D9:H9" si="1">+D7-D8</f>
        <v>0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0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0</v>
      </c>
      <c r="D10" s="101">
        <f t="shared" ref="D10:H10" si="2">D6*D33</f>
        <v>0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0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0</v>
      </c>
      <c r="D11" s="101">
        <f t="shared" ref="D11:H11" si="3">+D6*D36</f>
        <v>0</v>
      </c>
      <c r="E11" s="101">
        <f t="shared" si="3"/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0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0</v>
      </c>
      <c r="D12" s="101">
        <f t="shared" ref="D12:H12" si="4">+D6*D37</f>
        <v>0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0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0</v>
      </c>
      <c r="D13" s="101">
        <f t="shared" ref="D13:H13" si="5">+D6*D38</f>
        <v>0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0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0</v>
      </c>
      <c r="D14" s="101">
        <f t="shared" ref="D14:H14" si="6">SUM(D11:D13)</f>
        <v>0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0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0</v>
      </c>
      <c r="D15" s="101">
        <f t="shared" ref="D15:H15" si="7">+D9-D10-D14</f>
        <v>0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0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 t="e">
        <f>+C15/C9</f>
        <v>#DIV/0!</v>
      </c>
      <c r="D16" s="103" t="e">
        <f t="shared" ref="D16:H16" si="8">+D15/D9</f>
        <v>#DIV/0!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 t="e">
        <f t="shared" ref="I16" si="9">+I15/I9</f>
        <v>#DIV/0!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 t="e">
        <f>C6*C43+C18</f>
        <v>#DIV/0!</v>
      </c>
      <c r="D17" s="101" t="e">
        <f t="shared" ref="D17:H17" si="10">D6*D43+D18</f>
        <v>#DIV/0!</v>
      </c>
      <c r="E17" s="101" t="e">
        <f t="shared" si="10"/>
        <v>#DIV/0!</v>
      </c>
      <c r="F17" s="101" t="e">
        <f t="shared" si="10"/>
        <v>#DIV/0!</v>
      </c>
      <c r="G17" s="101" t="e">
        <f t="shared" si="10"/>
        <v>#DIV/0!</v>
      </c>
      <c r="H17" s="101" t="e">
        <f t="shared" si="10"/>
        <v>#DIV/0!</v>
      </c>
      <c r="I17" s="101" t="e">
        <f t="shared" si="0"/>
        <v>#DIV/0!</v>
      </c>
      <c r="J17" s="113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 t="e">
        <f>$I$18/$I$6*C6</f>
        <v>#DIV/0!</v>
      </c>
      <c r="D18" s="105" t="e">
        <f t="shared" ref="D18:H18" si="11">$I$18/$I$6*D6</f>
        <v>#DIV/0!</v>
      </c>
      <c r="E18" s="105" t="e">
        <f t="shared" si="11"/>
        <v>#DIV/0!</v>
      </c>
      <c r="F18" s="105" t="e">
        <f t="shared" si="11"/>
        <v>#DIV/0!</v>
      </c>
      <c r="G18" s="105" t="e">
        <f t="shared" si="11"/>
        <v>#DIV/0!</v>
      </c>
      <c r="H18" s="105" t="e">
        <f t="shared" si="11"/>
        <v>#DIV/0!</v>
      </c>
      <c r="I18" s="105">
        <f>项目投资!G26</f>
        <v>0</v>
      </c>
      <c r="J18" s="114" t="s">
        <v>154</v>
      </c>
      <c r="K18" s="114"/>
      <c r="L18" s="114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H19" si="12">D6*D44</f>
        <v>0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 t="shared" ref="I19:I20" si="13">SUM(C19:H19)</f>
        <v>0</v>
      </c>
      <c r="J19" s="92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4">D6*D45</f>
        <v>0</v>
      </c>
      <c r="E20" s="101">
        <f t="shared" si="14"/>
        <v>0</v>
      </c>
      <c r="F20" s="101">
        <f t="shared" si="14"/>
        <v>0</v>
      </c>
      <c r="G20" s="101">
        <f t="shared" si="14"/>
        <v>0</v>
      </c>
      <c r="H20" s="101">
        <f t="shared" si="14"/>
        <v>0</v>
      </c>
      <c r="I20" s="101">
        <f t="shared" si="13"/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 t="e">
        <f>$I$21/$I$6*C6</f>
        <v>#DIV/0!</v>
      </c>
      <c r="D21" s="106" t="e">
        <f t="shared" ref="D21:H21" si="15">$I$21/$I$6*D6</f>
        <v>#DIV/0!</v>
      </c>
      <c r="E21" s="106" t="e">
        <f t="shared" si="15"/>
        <v>#DIV/0!</v>
      </c>
      <c r="F21" s="106" t="e">
        <f t="shared" si="15"/>
        <v>#DIV/0!</v>
      </c>
      <c r="G21" s="106" t="e">
        <f t="shared" si="15"/>
        <v>#DIV/0!</v>
      </c>
      <c r="H21" s="106" t="e">
        <f t="shared" si="15"/>
        <v>#DIV/0!</v>
      </c>
      <c r="I21" s="101">
        <f>项目投资!G27</f>
        <v>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0</v>
      </c>
      <c r="D22" s="101">
        <f t="shared" ref="D22:H22" si="16">D6*D47</f>
        <v>0</v>
      </c>
      <c r="E22" s="101">
        <f t="shared" si="16"/>
        <v>0</v>
      </c>
      <c r="F22" s="101">
        <f t="shared" si="16"/>
        <v>0</v>
      </c>
      <c r="G22" s="101">
        <f t="shared" si="16"/>
        <v>0</v>
      </c>
      <c r="H22" s="101">
        <f t="shared" si="16"/>
        <v>0</v>
      </c>
      <c r="I22" s="101">
        <f t="shared" ref="I22" si="17">SUM(C22:H22)</f>
        <v>0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 t="e">
        <f>+C22+C21+C20+C19+C17</f>
        <v>#DIV/0!</v>
      </c>
      <c r="D23" s="106" t="e">
        <f t="shared" ref="D23:H23" si="18">+D22+D21+D20+D19+D17</f>
        <v>#DIV/0!</v>
      </c>
      <c r="E23" s="106" t="e">
        <f t="shared" si="18"/>
        <v>#DIV/0!</v>
      </c>
      <c r="F23" s="106" t="e">
        <f t="shared" si="18"/>
        <v>#DIV/0!</v>
      </c>
      <c r="G23" s="106" t="e">
        <f t="shared" si="18"/>
        <v>#DIV/0!</v>
      </c>
      <c r="H23" s="106" t="e">
        <f t="shared" si="18"/>
        <v>#DIV/0!</v>
      </c>
      <c r="I23" s="106" t="e">
        <f t="shared" ref="I23" si="19">+I22+I21+I20+I19+I17</f>
        <v>#DIV/0!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 t="e">
        <f>+C15-C23</f>
        <v>#DIV/0!</v>
      </c>
      <c r="D24" s="106" t="e">
        <f t="shared" ref="D24:H24" si="20">+D15-D23</f>
        <v>#DIV/0!</v>
      </c>
      <c r="E24" s="106" t="e">
        <f t="shared" si="20"/>
        <v>#DIV/0!</v>
      </c>
      <c r="F24" s="106" t="e">
        <f t="shared" si="20"/>
        <v>#DIV/0!</v>
      </c>
      <c r="G24" s="106" t="e">
        <f t="shared" si="20"/>
        <v>#DIV/0!</v>
      </c>
      <c r="H24" s="106" t="e">
        <f t="shared" si="20"/>
        <v>#DIV/0!</v>
      </c>
      <c r="I24" s="106" t="e">
        <f t="shared" ref="I24" si="21">+I15-I23</f>
        <v>#DIV/0!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 t="e">
        <f>IF(C24&lt;0,0,C24*0.25)</f>
        <v>#DIV/0!</v>
      </c>
      <c r="D25" s="106" t="e">
        <f t="shared" ref="D25:I25" si="22">IF(D24&lt;0,0,D24*0.25)</f>
        <v>#DIV/0!</v>
      </c>
      <c r="E25" s="106" t="e">
        <f t="shared" si="22"/>
        <v>#DIV/0!</v>
      </c>
      <c r="F25" s="106" t="e">
        <f t="shared" si="22"/>
        <v>#DIV/0!</v>
      </c>
      <c r="G25" s="106" t="e">
        <f t="shared" si="22"/>
        <v>#DIV/0!</v>
      </c>
      <c r="H25" s="106" t="e">
        <f t="shared" si="22"/>
        <v>#DIV/0!</v>
      </c>
      <c r="I25" s="106" t="e">
        <f t="shared" si="22"/>
        <v>#DIV/0!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 t="e">
        <f t="shared" ref="C26:H26" si="23">C24-C25</f>
        <v>#DIV/0!</v>
      </c>
      <c r="D26" s="106" t="e">
        <f t="shared" si="23"/>
        <v>#DIV/0!</v>
      </c>
      <c r="E26" s="106" t="e">
        <f t="shared" si="23"/>
        <v>#DIV/0!</v>
      </c>
      <c r="F26" s="106" t="e">
        <f t="shared" si="23"/>
        <v>#DIV/0!</v>
      </c>
      <c r="G26" s="106" t="e">
        <f t="shared" si="23"/>
        <v>#DIV/0!</v>
      </c>
      <c r="H26" s="106" t="e">
        <f t="shared" si="23"/>
        <v>#DIV/0!</v>
      </c>
      <c r="I26" s="101" t="e">
        <f>+SUM(C26:H26)</f>
        <v>#DIV/0!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 t="e">
        <f t="shared" ref="C27:I27" si="24">C26/C7</f>
        <v>#DIV/0!</v>
      </c>
      <c r="D27" s="108" t="e">
        <f t="shared" ref="D27:H27" si="25">D26/D7</f>
        <v>#DIV/0!</v>
      </c>
      <c r="E27" s="108" t="e">
        <f t="shared" si="25"/>
        <v>#DIV/0!</v>
      </c>
      <c r="F27" s="108" t="e">
        <f t="shared" si="25"/>
        <v>#DIV/0!</v>
      </c>
      <c r="G27" s="108" t="e">
        <f t="shared" si="25"/>
        <v>#DIV/0!</v>
      </c>
      <c r="H27" s="108" t="e">
        <f t="shared" si="25"/>
        <v>#DIV/0!</v>
      </c>
      <c r="I27" s="108" t="e">
        <f t="shared" si="24"/>
        <v>#DIV/0!</v>
      </c>
      <c r="J27" s="2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 t="e">
        <f>C9/C6</f>
        <v>#DIV/0!</v>
      </c>
      <c r="D32" s="101" t="e">
        <f t="shared" ref="D32:H32" si="26">D9/D6</f>
        <v>#DIV/0!</v>
      </c>
      <c r="E32" s="101" t="e">
        <f t="shared" si="26"/>
        <v>#DIV/0!</v>
      </c>
      <c r="F32" s="101" t="e">
        <f t="shared" si="26"/>
        <v>#DIV/0!</v>
      </c>
      <c r="G32" s="101" t="e">
        <f t="shared" si="26"/>
        <v>#DIV/0!</v>
      </c>
      <c r="H32" s="101" t="e">
        <f t="shared" si="26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材料成本!D15</f>
        <v>0</v>
      </c>
      <c r="D33" s="101">
        <f>材料成本!E15</f>
        <v>0</v>
      </c>
      <c r="E33" s="101">
        <f>材料成本!F15</f>
        <v>0</v>
      </c>
      <c r="F33" s="101">
        <f>材料成本!G15</f>
        <v>0</v>
      </c>
      <c r="G33" s="101">
        <f>材料成本!H15</f>
        <v>0</v>
      </c>
      <c r="H33" s="101">
        <f>材料成本!I15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 t="e">
        <f>C32-C33</f>
        <v>#DIV/0!</v>
      </c>
      <c r="D34" s="110" t="e">
        <f t="shared" ref="D34:H34" si="27">D32-D33</f>
        <v>#DIV/0!</v>
      </c>
      <c r="E34" s="110" t="e">
        <f t="shared" si="27"/>
        <v>#DIV/0!</v>
      </c>
      <c r="F34" s="110" t="e">
        <f t="shared" si="27"/>
        <v>#DIV/0!</v>
      </c>
      <c r="G34" s="110" t="e">
        <f t="shared" si="27"/>
        <v>#DIV/0!</v>
      </c>
      <c r="H34" s="110" t="e">
        <f t="shared" si="27"/>
        <v>#DIV/0!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'2023年'!C36</f>
        <v>14.236729252219602</v>
      </c>
      <c r="D36" s="105">
        <f>'2023年'!D36</f>
        <v>18.651298713153615</v>
      </c>
      <c r="E36" s="105">
        <f>'2023年'!E36</f>
        <v>18.224248287445548</v>
      </c>
      <c r="F36" s="105">
        <f>'2023年'!F36</f>
        <v>0</v>
      </c>
      <c r="G36" s="105">
        <f>'2023年'!G36</f>
        <v>0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'2023年'!C37</f>
        <v>4.4243489838901997</v>
      </c>
      <c r="D37" s="105">
        <f>'2023年'!D37</f>
        <v>5.796264931912531</v>
      </c>
      <c r="E37" s="105">
        <f>'2023年'!E37</f>
        <v>5.6635504520921893</v>
      </c>
      <c r="F37" s="105">
        <f>'2023年'!F37</f>
        <v>0</v>
      </c>
      <c r="G37" s="105">
        <f>'2023年'!G37</f>
        <v>0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'2023年'!C38</f>
        <v>7.3684210526315788</v>
      </c>
      <c r="D38" s="105">
        <f>'2023年'!D38</f>
        <v>14</v>
      </c>
      <c r="E38" s="105">
        <f>'2023年'!E38</f>
        <v>14</v>
      </c>
      <c r="F38" s="105">
        <f>'2023年'!F38</f>
        <v>0</v>
      </c>
      <c r="G38" s="105">
        <f>'2023年'!G38</f>
        <v>0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 t="e">
        <f>C34-C36-C37-C38</f>
        <v>#DIV/0!</v>
      </c>
      <c r="D40" s="106" t="e">
        <f t="shared" ref="D40:H40" si="28">D34-D36-D37-D38</f>
        <v>#DIV/0!</v>
      </c>
      <c r="E40" s="106" t="e">
        <f t="shared" si="28"/>
        <v>#DIV/0!</v>
      </c>
      <c r="F40" s="106" t="e">
        <f t="shared" si="28"/>
        <v>#DIV/0!</v>
      </c>
      <c r="G40" s="106" t="e">
        <f t="shared" si="28"/>
        <v>#DIV/0!</v>
      </c>
      <c r="H40" s="106" t="e">
        <f t="shared" si="28"/>
        <v>#DIV/0!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'2023年'!C43</f>
        <v>0</v>
      </c>
      <c r="D43" s="105">
        <f>'2023年'!D43</f>
        <v>0</v>
      </c>
      <c r="E43" s="105">
        <f>'2023年'!E43</f>
        <v>0</v>
      </c>
      <c r="F43" s="105">
        <f>'2023年'!F43</f>
        <v>0</v>
      </c>
      <c r="G43" s="105">
        <f>'2023年'!G43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'2023年'!C44</f>
        <v>0</v>
      </c>
      <c r="D44" s="105">
        <f>'2023年'!D44</f>
        <v>0</v>
      </c>
      <c r="E44" s="105">
        <f>'2023年'!E44</f>
        <v>0</v>
      </c>
      <c r="F44" s="105">
        <f>'2023年'!F44</f>
        <v>0</v>
      </c>
      <c r="G44" s="105">
        <f>'2023年'!G44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'2023年'!C45</f>
        <v>0</v>
      </c>
      <c r="D45" s="105">
        <f>'2023年'!D45</f>
        <v>0</v>
      </c>
      <c r="E45" s="105">
        <f>'2023年'!E45</f>
        <v>0</v>
      </c>
      <c r="F45" s="105">
        <f>'2023年'!F45</f>
        <v>0</v>
      </c>
      <c r="G45" s="105">
        <f>'2023年'!G45</f>
        <v>0</v>
      </c>
      <c r="H45" s="105"/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 t="e">
        <f>C21/C6</f>
        <v>#DIV/0!</v>
      </c>
      <c r="D46" s="111" t="e">
        <f t="shared" ref="D46:H46" si="29">D21/D6</f>
        <v>#DIV/0!</v>
      </c>
      <c r="E46" s="111" t="e">
        <f t="shared" si="29"/>
        <v>#DIV/0!</v>
      </c>
      <c r="F46" s="111" t="e">
        <f t="shared" si="29"/>
        <v>#DIV/0!</v>
      </c>
      <c r="G46" s="111" t="e">
        <f t="shared" si="29"/>
        <v>#DIV/0!</v>
      </c>
      <c r="H46" s="111" t="e">
        <f t="shared" si="29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'2023年'!C47</f>
        <v>12.243362831858409</v>
      </c>
      <c r="D47" s="105">
        <f>'2023年'!D47</f>
        <v>16.039823008849559</v>
      </c>
      <c r="E47" s="105">
        <f>'2023年'!E47</f>
        <v>15.67256637168142</v>
      </c>
      <c r="F47" s="105">
        <f>'2023年'!F47</f>
        <v>0</v>
      </c>
      <c r="G47" s="105">
        <f>'2023年'!G47</f>
        <v>0</v>
      </c>
      <c r="H47" s="111"/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 t="e">
        <f>C40-C43-C44-C45-C47-C46</f>
        <v>#DIV/0!</v>
      </c>
      <c r="D48" s="106" t="e">
        <f t="shared" ref="D48:H48" si="30">D40-D43-D44-D45-D47-D46</f>
        <v>#DIV/0!</v>
      </c>
      <c r="E48" s="106" t="e">
        <f t="shared" si="30"/>
        <v>#DIV/0!</v>
      </c>
      <c r="F48" s="106" t="e">
        <f t="shared" si="30"/>
        <v>#DIV/0!</v>
      </c>
      <c r="G48" s="106" t="e">
        <f t="shared" si="30"/>
        <v>#DIV/0!</v>
      </c>
      <c r="H48" s="106" t="e">
        <f t="shared" si="30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H25" sqref="H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161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0" t="str">
        <f>'2023年'!C2:I2</f>
        <v>一汽解放</v>
      </c>
      <c r="D2" s="220"/>
      <c r="E2" s="220"/>
      <c r="F2" s="220"/>
      <c r="G2" s="220"/>
      <c r="H2" s="220"/>
      <c r="I2" s="220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销量!C13</f>
        <v>0</v>
      </c>
      <c r="D6" s="100">
        <f>销量!D13</f>
        <v>0</v>
      </c>
      <c r="E6" s="100">
        <f>销量!E13</f>
        <v>0</v>
      </c>
      <c r="F6" s="100">
        <f>销量!F13</f>
        <v>0</v>
      </c>
      <c r="G6" s="100">
        <f>销量!G13</f>
        <v>0</v>
      </c>
      <c r="H6" s="100">
        <f>销量!H13</f>
        <v>0</v>
      </c>
      <c r="I6" s="101">
        <f>SUM(C6:H6)</f>
        <v>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0</v>
      </c>
      <c r="D7" s="101">
        <f>D6*销量!D8</f>
        <v>0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22" si="0">SUM(C7:H7)</f>
        <v>0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>
        <f>C7*(1-销量!$L$10)</f>
        <v>0</v>
      </c>
      <c r="D8" s="101">
        <f>D7*(1-销量!$L$10)</f>
        <v>0</v>
      </c>
      <c r="E8" s="101">
        <f>E7*(1-销量!$L$10)</f>
        <v>0</v>
      </c>
      <c r="F8" s="101">
        <f>F7*(1-销量!$L$10)</f>
        <v>0</v>
      </c>
      <c r="G8" s="101">
        <f>G7*(1-销量!$L$10)</f>
        <v>0</v>
      </c>
      <c r="H8" s="101">
        <f>H7*(1-销量!$L$10)</f>
        <v>0</v>
      </c>
      <c r="I8" s="101">
        <f t="shared" si="0"/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0</v>
      </c>
      <c r="D9" s="101">
        <f t="shared" ref="D9:H9" si="1">+D7-D8</f>
        <v>0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0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0</v>
      </c>
      <c r="D10" s="101">
        <f t="shared" ref="D10:H10" si="2">D6*D33</f>
        <v>0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0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0</v>
      </c>
      <c r="D11" s="101">
        <f t="shared" ref="D11:H11" si="3">+D6*D36</f>
        <v>0</v>
      </c>
      <c r="E11" s="101">
        <f t="shared" si="3"/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0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0</v>
      </c>
      <c r="D12" s="101">
        <f t="shared" ref="D12:H12" si="4">+D6*D37</f>
        <v>0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0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0</v>
      </c>
      <c r="D13" s="101">
        <f t="shared" ref="D13:H13" si="5">+D6*D38</f>
        <v>0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0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0</v>
      </c>
      <c r="D14" s="101">
        <f t="shared" ref="D14:H14" si="6">SUM(D11:D13)</f>
        <v>0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0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0</v>
      </c>
      <c r="D15" s="101">
        <f t="shared" ref="D15:H15" si="7">+D9-D10-D14</f>
        <v>0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0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 t="e">
        <f>+C15/C9</f>
        <v>#DIV/0!</v>
      </c>
      <c r="D16" s="103" t="e">
        <f t="shared" ref="D16:H16" si="8">+D15/D9</f>
        <v>#DIV/0!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 t="e">
        <f t="shared" ref="I16" si="9">+I15/I9</f>
        <v>#DIV/0!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 t="e">
        <f>C6*C43+C18</f>
        <v>#DIV/0!</v>
      </c>
      <c r="D17" s="101" t="e">
        <f t="shared" ref="D17:H17" si="10">D6*D43+D18</f>
        <v>#DIV/0!</v>
      </c>
      <c r="E17" s="101" t="e">
        <f t="shared" si="10"/>
        <v>#DIV/0!</v>
      </c>
      <c r="F17" s="101" t="e">
        <f t="shared" si="10"/>
        <v>#DIV/0!</v>
      </c>
      <c r="G17" s="101" t="e">
        <f t="shared" si="10"/>
        <v>#DIV/0!</v>
      </c>
      <c r="H17" s="101" t="e">
        <f t="shared" si="10"/>
        <v>#DIV/0!</v>
      </c>
      <c r="I17" s="101" t="e">
        <f t="shared" si="0"/>
        <v>#DIV/0!</v>
      </c>
      <c r="J17" s="113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 t="e">
        <f>$I$18/$I$6*C6</f>
        <v>#DIV/0!</v>
      </c>
      <c r="D18" s="105" t="e">
        <f t="shared" ref="D18:H18" si="11">$I$18/$I$6*D6</f>
        <v>#DIV/0!</v>
      </c>
      <c r="E18" s="105" t="e">
        <f t="shared" si="11"/>
        <v>#DIV/0!</v>
      </c>
      <c r="F18" s="105" t="e">
        <f t="shared" si="11"/>
        <v>#DIV/0!</v>
      </c>
      <c r="G18" s="105" t="e">
        <f t="shared" si="11"/>
        <v>#DIV/0!</v>
      </c>
      <c r="H18" s="105" t="e">
        <f t="shared" si="11"/>
        <v>#DIV/0!</v>
      </c>
      <c r="I18" s="105">
        <f>项目投资!H26</f>
        <v>0</v>
      </c>
      <c r="J18" s="114" t="s">
        <v>154</v>
      </c>
      <c r="K18" s="114"/>
      <c r="L18" s="114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H19" si="12">D6*D44</f>
        <v>0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 t="shared" si="0"/>
        <v>0</v>
      </c>
      <c r="J19" s="92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3">D6*D45</f>
        <v>0</v>
      </c>
      <c r="E20" s="101">
        <f t="shared" si="13"/>
        <v>0</v>
      </c>
      <c r="F20" s="101">
        <f t="shared" si="13"/>
        <v>0</v>
      </c>
      <c r="G20" s="101">
        <f t="shared" si="13"/>
        <v>0</v>
      </c>
      <c r="H20" s="101">
        <f t="shared" si="13"/>
        <v>0</v>
      </c>
      <c r="I20" s="101">
        <f t="shared" si="0"/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 t="e">
        <f>$I$21/$I$6*C6</f>
        <v>#DIV/0!</v>
      </c>
      <c r="D21" s="106" t="e">
        <f t="shared" ref="D21:H21" si="14">$I$21/$I$6*D6</f>
        <v>#DIV/0!</v>
      </c>
      <c r="E21" s="106" t="e">
        <f t="shared" si="14"/>
        <v>#DIV/0!</v>
      </c>
      <c r="F21" s="106" t="e">
        <f t="shared" si="14"/>
        <v>#DIV/0!</v>
      </c>
      <c r="G21" s="106" t="e">
        <f t="shared" si="14"/>
        <v>#DIV/0!</v>
      </c>
      <c r="H21" s="106" t="e">
        <f t="shared" si="14"/>
        <v>#DIV/0!</v>
      </c>
      <c r="I21" s="101">
        <f>项目投资!H27</f>
        <v>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0</v>
      </c>
      <c r="D22" s="101">
        <f t="shared" ref="D22:H22" si="15">D6*D47</f>
        <v>0</v>
      </c>
      <c r="E22" s="101">
        <f t="shared" si="15"/>
        <v>0</v>
      </c>
      <c r="F22" s="101">
        <f t="shared" si="15"/>
        <v>0</v>
      </c>
      <c r="G22" s="101">
        <f t="shared" si="15"/>
        <v>0</v>
      </c>
      <c r="H22" s="101">
        <f t="shared" si="15"/>
        <v>0</v>
      </c>
      <c r="I22" s="101">
        <f t="shared" si="0"/>
        <v>0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 t="e">
        <f>+C22+C21+C20+C19+C17</f>
        <v>#DIV/0!</v>
      </c>
      <c r="D23" s="106" t="e">
        <f t="shared" ref="D23:H23" si="16">+D22+D21+D20+D19+D17</f>
        <v>#DIV/0!</v>
      </c>
      <c r="E23" s="106" t="e">
        <f t="shared" si="16"/>
        <v>#DIV/0!</v>
      </c>
      <c r="F23" s="106" t="e">
        <f t="shared" si="16"/>
        <v>#DIV/0!</v>
      </c>
      <c r="G23" s="106" t="e">
        <f t="shared" si="16"/>
        <v>#DIV/0!</v>
      </c>
      <c r="H23" s="106" t="e">
        <f t="shared" si="16"/>
        <v>#DIV/0!</v>
      </c>
      <c r="I23" s="106" t="e">
        <f t="shared" ref="I23" si="17">+I22+I21+I20+I19+I17</f>
        <v>#DIV/0!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 t="e">
        <f>+C15-C23</f>
        <v>#DIV/0!</v>
      </c>
      <c r="D24" s="106" t="e">
        <f t="shared" ref="D24:H24" si="18">+D15-D23</f>
        <v>#DIV/0!</v>
      </c>
      <c r="E24" s="106" t="e">
        <f t="shared" si="18"/>
        <v>#DIV/0!</v>
      </c>
      <c r="F24" s="106" t="e">
        <f t="shared" si="18"/>
        <v>#DIV/0!</v>
      </c>
      <c r="G24" s="106" t="e">
        <f t="shared" si="18"/>
        <v>#DIV/0!</v>
      </c>
      <c r="H24" s="106" t="e">
        <f t="shared" si="18"/>
        <v>#DIV/0!</v>
      </c>
      <c r="I24" s="106" t="e">
        <f t="shared" ref="I24" si="19">+I15-I23</f>
        <v>#DIV/0!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 t="e">
        <f>IF(C24&lt;0,0,C24*0.25)</f>
        <v>#DIV/0!</v>
      </c>
      <c r="D25" s="106" t="e">
        <f>IF(D24&lt;0,0,D24*0.15)</f>
        <v>#DIV/0!</v>
      </c>
      <c r="E25" s="106" t="e">
        <f t="shared" ref="E25:I25" si="20">IF(E24&lt;0,0,E24*0.25)</f>
        <v>#DIV/0!</v>
      </c>
      <c r="F25" s="106" t="e">
        <f t="shared" si="20"/>
        <v>#DIV/0!</v>
      </c>
      <c r="G25" s="106" t="e">
        <f t="shared" si="20"/>
        <v>#DIV/0!</v>
      </c>
      <c r="H25" s="106" t="e">
        <f t="shared" si="20"/>
        <v>#DIV/0!</v>
      </c>
      <c r="I25" s="106" t="e">
        <f t="shared" si="20"/>
        <v>#DIV/0!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 t="e">
        <f t="shared" ref="C26:H26" si="21">C24-C25</f>
        <v>#DIV/0!</v>
      </c>
      <c r="D26" s="106" t="e">
        <f t="shared" si="21"/>
        <v>#DIV/0!</v>
      </c>
      <c r="E26" s="106" t="e">
        <f t="shared" si="21"/>
        <v>#DIV/0!</v>
      </c>
      <c r="F26" s="106" t="e">
        <f t="shared" si="21"/>
        <v>#DIV/0!</v>
      </c>
      <c r="G26" s="106" t="e">
        <f t="shared" si="21"/>
        <v>#DIV/0!</v>
      </c>
      <c r="H26" s="106" t="e">
        <f t="shared" si="21"/>
        <v>#DIV/0!</v>
      </c>
      <c r="I26" s="101" t="e">
        <f>+SUM(C26:H26)</f>
        <v>#DIV/0!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 t="e">
        <f t="shared" ref="C27:I27" si="22">C26/C7</f>
        <v>#DIV/0!</v>
      </c>
      <c r="D27" s="108" t="e">
        <f t="shared" ref="D27:H27" si="23">D26/D7</f>
        <v>#DIV/0!</v>
      </c>
      <c r="E27" s="108" t="e">
        <f t="shared" si="23"/>
        <v>#DIV/0!</v>
      </c>
      <c r="F27" s="108" t="e">
        <f t="shared" si="23"/>
        <v>#DIV/0!</v>
      </c>
      <c r="G27" s="108" t="e">
        <f t="shared" si="23"/>
        <v>#DIV/0!</v>
      </c>
      <c r="H27" s="108" t="e">
        <f t="shared" si="23"/>
        <v>#DIV/0!</v>
      </c>
      <c r="I27" s="108" t="e">
        <f t="shared" si="22"/>
        <v>#DIV/0!</v>
      </c>
      <c r="J27" s="2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 t="e">
        <f>C9/C6</f>
        <v>#DIV/0!</v>
      </c>
      <c r="D32" s="101" t="e">
        <f t="shared" ref="D32:H32" si="24">D9/D6</f>
        <v>#DIV/0!</v>
      </c>
      <c r="E32" s="101" t="e">
        <f t="shared" si="24"/>
        <v>#DIV/0!</v>
      </c>
      <c r="F32" s="101" t="e">
        <f t="shared" si="24"/>
        <v>#DIV/0!</v>
      </c>
      <c r="G32" s="101" t="e">
        <f t="shared" si="24"/>
        <v>#DIV/0!</v>
      </c>
      <c r="H32" s="101" t="e">
        <f t="shared" si="24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材料成本!D16</f>
        <v>0</v>
      </c>
      <c r="D33" s="101">
        <f>材料成本!E16</f>
        <v>0</v>
      </c>
      <c r="E33" s="101">
        <f>材料成本!F16</f>
        <v>0</v>
      </c>
      <c r="F33" s="101">
        <f>材料成本!G16</f>
        <v>0</v>
      </c>
      <c r="G33" s="101">
        <f>材料成本!H16</f>
        <v>0</v>
      </c>
      <c r="H33" s="101">
        <f>材料成本!I16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 t="e">
        <f>C32-C33</f>
        <v>#DIV/0!</v>
      </c>
      <c r="D34" s="110" t="e">
        <f t="shared" ref="D34:H34" si="25">D32-D33</f>
        <v>#DIV/0!</v>
      </c>
      <c r="E34" s="110" t="e">
        <f t="shared" si="25"/>
        <v>#DIV/0!</v>
      </c>
      <c r="F34" s="110" t="e">
        <f t="shared" si="25"/>
        <v>#DIV/0!</v>
      </c>
      <c r="G34" s="110" t="e">
        <f t="shared" si="25"/>
        <v>#DIV/0!</v>
      </c>
      <c r="H34" s="110" t="e">
        <f t="shared" si="25"/>
        <v>#DIV/0!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'2023年'!C36</f>
        <v>14.236729252219602</v>
      </c>
      <c r="D36" s="105">
        <f>'2023年'!D36</f>
        <v>18.651298713153615</v>
      </c>
      <c r="E36" s="105">
        <f>'2023年'!E36</f>
        <v>18.224248287445548</v>
      </c>
      <c r="F36" s="105">
        <f>'2023年'!F36</f>
        <v>0</v>
      </c>
      <c r="G36" s="105">
        <f>'2023年'!G36</f>
        <v>0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'2023年'!C37</f>
        <v>4.4243489838901997</v>
      </c>
      <c r="D37" s="105">
        <f>'2023年'!D37</f>
        <v>5.796264931912531</v>
      </c>
      <c r="E37" s="105">
        <f>'2023年'!E37</f>
        <v>5.6635504520921893</v>
      </c>
      <c r="F37" s="105">
        <f>'2023年'!F37</f>
        <v>0</v>
      </c>
      <c r="G37" s="105">
        <f>'2023年'!G37</f>
        <v>0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'2023年'!C38</f>
        <v>7.3684210526315788</v>
      </c>
      <c r="D38" s="105">
        <f>'2023年'!D38</f>
        <v>14</v>
      </c>
      <c r="E38" s="105">
        <f>'2023年'!E38</f>
        <v>14</v>
      </c>
      <c r="F38" s="105">
        <f>'2023年'!F38</f>
        <v>0</v>
      </c>
      <c r="G38" s="105">
        <f>'2023年'!G38</f>
        <v>0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 t="e">
        <f>C34-C36-C37-C38</f>
        <v>#DIV/0!</v>
      </c>
      <c r="D40" s="106" t="e">
        <f t="shared" ref="D40:H40" si="26">D34-D36-D37-D38</f>
        <v>#DIV/0!</v>
      </c>
      <c r="E40" s="106" t="e">
        <f t="shared" si="26"/>
        <v>#DIV/0!</v>
      </c>
      <c r="F40" s="106" t="e">
        <f t="shared" si="26"/>
        <v>#DIV/0!</v>
      </c>
      <c r="G40" s="106" t="e">
        <f t="shared" si="26"/>
        <v>#DIV/0!</v>
      </c>
      <c r="H40" s="106" t="e">
        <f t="shared" si="26"/>
        <v>#DIV/0!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'2023年'!C43</f>
        <v>0</v>
      </c>
      <c r="D43" s="105">
        <f>'2023年'!D43</f>
        <v>0</v>
      </c>
      <c r="E43" s="105">
        <f>'2023年'!E43</f>
        <v>0</v>
      </c>
      <c r="F43" s="105">
        <f>'2023年'!F43</f>
        <v>0</v>
      </c>
      <c r="G43" s="105">
        <f>'2023年'!G43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'2023年'!C44</f>
        <v>0</v>
      </c>
      <c r="D44" s="105">
        <f>'2023年'!D44</f>
        <v>0</v>
      </c>
      <c r="E44" s="105">
        <f>'2023年'!E44</f>
        <v>0</v>
      </c>
      <c r="F44" s="105">
        <f>'2023年'!F44</f>
        <v>0</v>
      </c>
      <c r="G44" s="105">
        <f>'2023年'!G44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'2023年'!C45</f>
        <v>0</v>
      </c>
      <c r="D45" s="105">
        <f>'2023年'!D45</f>
        <v>0</v>
      </c>
      <c r="E45" s="105">
        <f>'2023年'!E45</f>
        <v>0</v>
      </c>
      <c r="F45" s="105">
        <f>'2023年'!F45</f>
        <v>0</v>
      </c>
      <c r="G45" s="105">
        <f>'2023年'!G45</f>
        <v>0</v>
      </c>
      <c r="H45" s="105"/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 t="e">
        <f>C21/C6</f>
        <v>#DIV/0!</v>
      </c>
      <c r="D46" s="111" t="e">
        <f t="shared" ref="D46:H46" si="27">D21/D6</f>
        <v>#DIV/0!</v>
      </c>
      <c r="E46" s="111" t="e">
        <f t="shared" si="27"/>
        <v>#DIV/0!</v>
      </c>
      <c r="F46" s="111" t="e">
        <f t="shared" si="27"/>
        <v>#DIV/0!</v>
      </c>
      <c r="G46" s="111" t="e">
        <f t="shared" si="27"/>
        <v>#DIV/0!</v>
      </c>
      <c r="H46" s="111" t="e">
        <f t="shared" si="27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'2023年'!C47</f>
        <v>12.243362831858409</v>
      </c>
      <c r="D47" s="105">
        <f>'2023年'!D47</f>
        <v>16.039823008849559</v>
      </c>
      <c r="E47" s="105">
        <f>'2023年'!E47</f>
        <v>15.67256637168142</v>
      </c>
      <c r="F47" s="105">
        <f>'2023年'!F47</f>
        <v>0</v>
      </c>
      <c r="G47" s="105">
        <f>'2023年'!G47</f>
        <v>0</v>
      </c>
      <c r="H47" s="111"/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 t="e">
        <f>C40-C43-C44-C45-C47-C46</f>
        <v>#DIV/0!</v>
      </c>
      <c r="D48" s="106" t="e">
        <f t="shared" ref="D48:H48" si="28">D40-D43-D44-D45-D47-D46</f>
        <v>#DIV/0!</v>
      </c>
      <c r="E48" s="106" t="e">
        <f t="shared" si="28"/>
        <v>#DIV/0!</v>
      </c>
      <c r="F48" s="106" t="e">
        <f t="shared" si="28"/>
        <v>#DIV/0!</v>
      </c>
      <c r="G48" s="106" t="e">
        <f t="shared" si="28"/>
        <v>#DIV/0!</v>
      </c>
      <c r="H48" s="106" t="e">
        <f t="shared" si="28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3" t="s">
        <v>145</v>
      </c>
      <c r="B1" s="213"/>
      <c r="C1" s="217" t="s">
        <v>162</v>
      </c>
      <c r="D1" s="218"/>
      <c r="E1" s="218"/>
      <c r="F1" s="218"/>
      <c r="G1" s="218"/>
      <c r="H1" s="218"/>
      <c r="I1" s="219"/>
    </row>
    <row r="2" spans="1:38">
      <c r="A2" s="213" t="s">
        <v>147</v>
      </c>
      <c r="B2" s="213"/>
      <c r="C2" s="220" t="str">
        <f>'2023年'!C2:I2</f>
        <v>一汽解放</v>
      </c>
      <c r="D2" s="220"/>
      <c r="E2" s="220"/>
      <c r="F2" s="220"/>
      <c r="G2" s="220"/>
      <c r="H2" s="220"/>
      <c r="I2" s="220"/>
    </row>
    <row r="3" spans="1:38">
      <c r="A3" s="213" t="s">
        <v>149</v>
      </c>
      <c r="B3" s="213"/>
      <c r="C3" s="32" t="str">
        <f>销量!C5</f>
        <v>驾驶员座总成</v>
      </c>
      <c r="D3" s="32" t="str">
        <f>销量!D5</f>
        <v>副驾驶员座椅总成</v>
      </c>
      <c r="E3" s="32" t="str">
        <f>销量!E5</f>
        <v>副驾驶员座椅总成</v>
      </c>
      <c r="F3" s="32">
        <f>销量!F5</f>
        <v>0</v>
      </c>
      <c r="G3" s="32">
        <f>销量!G5</f>
        <v>0</v>
      </c>
      <c r="H3" s="32">
        <f>销量!H5</f>
        <v>0</v>
      </c>
      <c r="I3" s="214" t="s">
        <v>23</v>
      </c>
    </row>
    <row r="4" spans="1:38" ht="32.25" customHeight="1">
      <c r="A4" s="213" t="s">
        <v>150</v>
      </c>
      <c r="B4" s="213"/>
      <c r="C4" s="32" t="str">
        <f>销量!C6</f>
        <v>L168100000553</v>
      </c>
      <c r="D4" s="32" t="str">
        <f>销量!D6</f>
        <v>L168100000557</v>
      </c>
      <c r="E4" s="32" t="str">
        <f>销量!E6</f>
        <v>L168100000554</v>
      </c>
      <c r="F4" s="32">
        <f>销量!F6</f>
        <v>0</v>
      </c>
      <c r="G4" s="32">
        <f>销量!G6</f>
        <v>0</v>
      </c>
      <c r="H4" s="32">
        <f>销量!H6</f>
        <v>0</v>
      </c>
      <c r="I4" s="215"/>
    </row>
    <row r="5" spans="1:38">
      <c r="A5" s="213" t="s">
        <v>151</v>
      </c>
      <c r="B5" s="213"/>
      <c r="C5" s="97"/>
      <c r="D5" s="97"/>
      <c r="E5" s="97"/>
      <c r="F5" s="97"/>
      <c r="G5" s="97"/>
      <c r="H5" s="97"/>
      <c r="I5" s="216"/>
      <c r="AL5" s="94" t="s">
        <v>24</v>
      </c>
    </row>
    <row r="6" spans="1:38" ht="17.25">
      <c r="A6" s="98" t="s">
        <v>16</v>
      </c>
      <c r="B6" s="99" t="s">
        <v>152</v>
      </c>
      <c r="C6" s="100">
        <f>销量!C14</f>
        <v>0</v>
      </c>
      <c r="D6" s="100">
        <f>销量!D14</f>
        <v>0</v>
      </c>
      <c r="E6" s="100">
        <f>销量!E14</f>
        <v>0</v>
      </c>
      <c r="F6" s="100">
        <f>销量!F13</f>
        <v>0</v>
      </c>
      <c r="G6" s="100">
        <f>销量!G13</f>
        <v>0</v>
      </c>
      <c r="H6" s="100">
        <f>销量!H13</f>
        <v>0</v>
      </c>
      <c r="I6" s="101">
        <f>SUM(C6:H6)</f>
        <v>0</v>
      </c>
      <c r="T6" s="99" t="s">
        <v>3</v>
      </c>
      <c r="AJ6" s="98" t="s">
        <v>16</v>
      </c>
      <c r="AK6" s="99" t="s">
        <v>3</v>
      </c>
      <c r="AL6" s="94" t="s">
        <v>25</v>
      </c>
    </row>
    <row r="7" spans="1:38">
      <c r="A7" s="96">
        <v>1</v>
      </c>
      <c r="B7" s="99" t="s">
        <v>26</v>
      </c>
      <c r="C7" s="101">
        <f>C6*销量!C8</f>
        <v>0</v>
      </c>
      <c r="D7" s="101">
        <f>D6*销量!D8</f>
        <v>0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22" si="0">SUM(C7:H7)</f>
        <v>0</v>
      </c>
      <c r="J7" s="95"/>
      <c r="T7" s="99" t="s">
        <v>26</v>
      </c>
      <c r="AJ7" s="98" t="s">
        <v>27</v>
      </c>
      <c r="AK7" s="99" t="s">
        <v>26</v>
      </c>
      <c r="AL7" s="94" t="s">
        <v>25</v>
      </c>
    </row>
    <row r="8" spans="1:38">
      <c r="A8" s="96">
        <v>2</v>
      </c>
      <c r="B8" s="96" t="s">
        <v>28</v>
      </c>
      <c r="C8" s="101">
        <f>C7*(1-销量!$L$11)</f>
        <v>0</v>
      </c>
      <c r="D8" s="101">
        <f>D7*(1-销量!$L$11)</f>
        <v>0</v>
      </c>
      <c r="E8" s="101">
        <f>E7*(1-销量!$L$11)</f>
        <v>0</v>
      </c>
      <c r="F8" s="101">
        <f>F7*(1-销量!$L$10)</f>
        <v>0</v>
      </c>
      <c r="G8" s="101">
        <f>G7*(1-销量!$L$10)</f>
        <v>0</v>
      </c>
      <c r="H8" s="101">
        <f>H7*(1-销量!$L$10)</f>
        <v>0</v>
      </c>
      <c r="I8" s="101">
        <f t="shared" si="0"/>
        <v>0</v>
      </c>
      <c r="J8" s="113"/>
      <c r="T8" s="96" t="s">
        <v>30</v>
      </c>
      <c r="AJ8" s="98" t="s">
        <v>29</v>
      </c>
      <c r="AK8" s="96" t="s">
        <v>30</v>
      </c>
      <c r="AL8" s="94" t="s">
        <v>25</v>
      </c>
    </row>
    <row r="9" spans="1:38">
      <c r="A9" s="96">
        <v>3</v>
      </c>
      <c r="B9" s="99" t="s">
        <v>31</v>
      </c>
      <c r="C9" s="101">
        <f>+C7-C8</f>
        <v>0</v>
      </c>
      <c r="D9" s="101">
        <f t="shared" ref="D9:H9" si="1">+D7-D8</f>
        <v>0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0</v>
      </c>
      <c r="T9" s="99" t="s">
        <v>31</v>
      </c>
      <c r="AJ9" s="98" t="s">
        <v>32</v>
      </c>
      <c r="AK9" s="99" t="s">
        <v>31</v>
      </c>
      <c r="AL9" s="94" t="s">
        <v>33</v>
      </c>
    </row>
    <row r="10" spans="1:38">
      <c r="A10" s="96">
        <v>4</v>
      </c>
      <c r="B10" s="98" t="s">
        <v>34</v>
      </c>
      <c r="C10" s="101">
        <f>C6*C33</f>
        <v>0</v>
      </c>
      <c r="D10" s="101">
        <f t="shared" ref="D10:H10" si="2">D6*D33</f>
        <v>0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0</v>
      </c>
      <c r="T10" s="98" t="s">
        <v>34</v>
      </c>
      <c r="AJ10" s="98" t="s">
        <v>35</v>
      </c>
      <c r="AK10" s="98" t="s">
        <v>34</v>
      </c>
      <c r="AL10" s="94" t="s">
        <v>36</v>
      </c>
    </row>
    <row r="11" spans="1:38">
      <c r="A11" s="96">
        <v>5</v>
      </c>
      <c r="B11" s="98" t="s">
        <v>37</v>
      </c>
      <c r="C11" s="101">
        <f>+C6*C36</f>
        <v>0</v>
      </c>
      <c r="D11" s="101">
        <f t="shared" ref="D11:H11" si="3">+D6*D36</f>
        <v>0</v>
      </c>
      <c r="E11" s="101">
        <f t="shared" si="3"/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0</v>
      </c>
      <c r="T11" s="98" t="s">
        <v>37</v>
      </c>
      <c r="AJ11" s="98" t="s">
        <v>38</v>
      </c>
      <c r="AK11" s="98" t="s">
        <v>37</v>
      </c>
    </row>
    <row r="12" spans="1:38">
      <c r="A12" s="96">
        <v>6</v>
      </c>
      <c r="B12" s="98" t="s">
        <v>39</v>
      </c>
      <c r="C12" s="101">
        <f>+C6*C37</f>
        <v>0</v>
      </c>
      <c r="D12" s="101">
        <f t="shared" ref="D12:H12" si="4">+D6*D37</f>
        <v>0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0</v>
      </c>
      <c r="T12" s="98" t="s">
        <v>39</v>
      </c>
      <c r="AJ12" s="98" t="s">
        <v>40</v>
      </c>
      <c r="AK12" s="98" t="s">
        <v>39</v>
      </c>
    </row>
    <row r="13" spans="1:38">
      <c r="A13" s="96">
        <v>7</v>
      </c>
      <c r="B13" s="98" t="s">
        <v>41</v>
      </c>
      <c r="C13" s="101">
        <f>+C6*C38</f>
        <v>0</v>
      </c>
      <c r="D13" s="101">
        <f t="shared" ref="D13:H13" si="5">+D6*D38</f>
        <v>0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0</v>
      </c>
      <c r="T13" s="98" t="s">
        <v>41</v>
      </c>
      <c r="AJ13" s="98" t="s">
        <v>42</v>
      </c>
      <c r="AK13" s="98" t="s">
        <v>41</v>
      </c>
      <c r="AL13" s="94" t="s">
        <v>25</v>
      </c>
    </row>
    <row r="14" spans="1:38">
      <c r="A14" s="96">
        <v>8</v>
      </c>
      <c r="B14" s="102" t="s">
        <v>43</v>
      </c>
      <c r="C14" s="101">
        <f>SUM(C11:C13)</f>
        <v>0</v>
      </c>
      <c r="D14" s="101">
        <f t="shared" ref="D14:H14" si="6">SUM(D11:D13)</f>
        <v>0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0</v>
      </c>
      <c r="T14" s="102" t="s">
        <v>43</v>
      </c>
      <c r="AJ14" s="98" t="s">
        <v>44</v>
      </c>
      <c r="AK14" s="102" t="s">
        <v>43</v>
      </c>
    </row>
    <row r="15" spans="1:38">
      <c r="A15" s="96">
        <v>9</v>
      </c>
      <c r="B15" s="102" t="s">
        <v>45</v>
      </c>
      <c r="C15" s="101">
        <f>+C9-C10-C14</f>
        <v>0</v>
      </c>
      <c r="D15" s="101">
        <f t="shared" ref="D15:H15" si="7">+D9-D10-D14</f>
        <v>0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0</v>
      </c>
      <c r="T15" s="102" t="s">
        <v>45</v>
      </c>
      <c r="AJ15" s="98" t="s">
        <v>46</v>
      </c>
      <c r="AK15" s="102" t="s">
        <v>45</v>
      </c>
    </row>
    <row r="16" spans="1:38">
      <c r="A16" s="96">
        <v>10</v>
      </c>
      <c r="B16" s="98" t="s">
        <v>47</v>
      </c>
      <c r="C16" s="103" t="e">
        <f>+C15/C9</f>
        <v>#DIV/0!</v>
      </c>
      <c r="D16" s="103" t="e">
        <f t="shared" ref="D16:I16" si="8">+D15/D9</f>
        <v>#DIV/0!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 t="e">
        <f t="shared" si="8"/>
        <v>#DIV/0!</v>
      </c>
      <c r="T16" s="98" t="s">
        <v>47</v>
      </c>
      <c r="AJ16" s="98" t="s">
        <v>48</v>
      </c>
      <c r="AK16" s="98" t="s">
        <v>47</v>
      </c>
    </row>
    <row r="17" spans="1:38">
      <c r="A17" s="96">
        <v>11</v>
      </c>
      <c r="B17" s="98" t="s">
        <v>49</v>
      </c>
      <c r="C17" s="101" t="e">
        <f>C6*C43+C18</f>
        <v>#DIV/0!</v>
      </c>
      <c r="D17" s="101" t="e">
        <f t="shared" ref="D17:H17" si="9">D6*D43+D18</f>
        <v>#DIV/0!</v>
      </c>
      <c r="E17" s="101" t="e">
        <f t="shared" si="9"/>
        <v>#DIV/0!</v>
      </c>
      <c r="F17" s="101" t="e">
        <f t="shared" si="9"/>
        <v>#DIV/0!</v>
      </c>
      <c r="G17" s="101" t="e">
        <f t="shared" si="9"/>
        <v>#DIV/0!</v>
      </c>
      <c r="H17" s="101" t="e">
        <f t="shared" si="9"/>
        <v>#DIV/0!</v>
      </c>
      <c r="I17" s="101" t="e">
        <f t="shared" si="0"/>
        <v>#DIV/0!</v>
      </c>
      <c r="J17" s="113"/>
      <c r="T17" s="98" t="s">
        <v>49</v>
      </c>
      <c r="AJ17" s="98" t="s">
        <v>50</v>
      </c>
      <c r="AK17" s="98" t="s">
        <v>49</v>
      </c>
    </row>
    <row r="18" spans="1:38" s="92" customFormat="1">
      <c r="A18" s="96">
        <v>12</v>
      </c>
      <c r="B18" s="104" t="s">
        <v>153</v>
      </c>
      <c r="C18" s="105" t="e">
        <f>$I$18/$I$6*C6</f>
        <v>#DIV/0!</v>
      </c>
      <c r="D18" s="105" t="e">
        <f t="shared" ref="D18:H18" si="10">$I$18/$I$6*D6</f>
        <v>#DIV/0!</v>
      </c>
      <c r="E18" s="105" t="e">
        <f t="shared" si="10"/>
        <v>#DIV/0!</v>
      </c>
      <c r="F18" s="105" t="e">
        <f t="shared" si="10"/>
        <v>#DIV/0!</v>
      </c>
      <c r="G18" s="105" t="e">
        <f t="shared" si="10"/>
        <v>#DIV/0!</v>
      </c>
      <c r="H18" s="105" t="e">
        <f t="shared" si="10"/>
        <v>#DIV/0!</v>
      </c>
      <c r="I18" s="105">
        <f>项目投资!I26</f>
        <v>0</v>
      </c>
      <c r="J18" s="114" t="s">
        <v>154</v>
      </c>
      <c r="K18" s="114"/>
      <c r="L18" s="114"/>
    </row>
    <row r="19" spans="1:38">
      <c r="A19" s="96">
        <v>13</v>
      </c>
      <c r="B19" s="98" t="s">
        <v>51</v>
      </c>
      <c r="C19" s="101">
        <f>C6*C44</f>
        <v>0</v>
      </c>
      <c r="D19" s="101">
        <f t="shared" ref="D19:H19" si="11">D6*D44</f>
        <v>0</v>
      </c>
      <c r="E19" s="101">
        <f t="shared" si="11"/>
        <v>0</v>
      </c>
      <c r="F19" s="101">
        <f t="shared" si="11"/>
        <v>0</v>
      </c>
      <c r="G19" s="101">
        <f t="shared" si="11"/>
        <v>0</v>
      </c>
      <c r="H19" s="101">
        <f t="shared" si="11"/>
        <v>0</v>
      </c>
      <c r="I19" s="101">
        <f t="shared" si="0"/>
        <v>0</v>
      </c>
      <c r="J19" s="92"/>
      <c r="T19" s="98" t="s">
        <v>51</v>
      </c>
      <c r="AJ19" s="98" t="s">
        <v>52</v>
      </c>
      <c r="AK19" s="98" t="s">
        <v>51</v>
      </c>
      <c r="AL19" s="94" t="s">
        <v>25</v>
      </c>
    </row>
    <row r="20" spans="1:38">
      <c r="A20" s="96">
        <v>14</v>
      </c>
      <c r="B20" s="98" t="s">
        <v>53</v>
      </c>
      <c r="C20" s="101">
        <f>C6*C45</f>
        <v>0</v>
      </c>
      <c r="D20" s="101">
        <f t="shared" ref="D20:H20" si="12">D6*D45</f>
        <v>0</v>
      </c>
      <c r="E20" s="101">
        <f t="shared" si="12"/>
        <v>0</v>
      </c>
      <c r="F20" s="101">
        <f t="shared" si="12"/>
        <v>0</v>
      </c>
      <c r="G20" s="101">
        <f t="shared" si="12"/>
        <v>0</v>
      </c>
      <c r="H20" s="101">
        <f t="shared" si="12"/>
        <v>0</v>
      </c>
      <c r="I20" s="101">
        <f t="shared" si="0"/>
        <v>0</v>
      </c>
      <c r="T20" s="98" t="s">
        <v>53</v>
      </c>
      <c r="AJ20" s="98" t="s">
        <v>54</v>
      </c>
      <c r="AK20" s="98" t="s">
        <v>53</v>
      </c>
    </row>
    <row r="21" spans="1:38">
      <c r="A21" s="96">
        <v>15</v>
      </c>
      <c r="B21" s="98" t="s">
        <v>55</v>
      </c>
      <c r="C21" s="106" t="e">
        <f>$I$21/$I$6*C6</f>
        <v>#DIV/0!</v>
      </c>
      <c r="D21" s="106" t="e">
        <f t="shared" ref="D21:H21" si="13">$I$21/$I$6*D6</f>
        <v>#DIV/0!</v>
      </c>
      <c r="E21" s="106" t="e">
        <f t="shared" si="13"/>
        <v>#DIV/0!</v>
      </c>
      <c r="F21" s="106" t="e">
        <f t="shared" si="13"/>
        <v>#DIV/0!</v>
      </c>
      <c r="G21" s="106" t="e">
        <f t="shared" si="13"/>
        <v>#DIV/0!</v>
      </c>
      <c r="H21" s="106" t="e">
        <f t="shared" si="13"/>
        <v>#DIV/0!</v>
      </c>
      <c r="I21" s="101">
        <f>项目投资!I27</f>
        <v>0</v>
      </c>
      <c r="T21" s="98" t="s">
        <v>55</v>
      </c>
      <c r="AJ21" s="98"/>
      <c r="AK21" s="98"/>
    </row>
    <row r="22" spans="1:38">
      <c r="A22" s="96">
        <v>16</v>
      </c>
      <c r="B22" s="98" t="s">
        <v>56</v>
      </c>
      <c r="C22" s="101">
        <f>C6*C47</f>
        <v>0</v>
      </c>
      <c r="D22" s="101">
        <f t="shared" ref="D22:H22" si="14">D6*D47</f>
        <v>0</v>
      </c>
      <c r="E22" s="101">
        <f t="shared" si="14"/>
        <v>0</v>
      </c>
      <c r="F22" s="101">
        <f t="shared" si="14"/>
        <v>0</v>
      </c>
      <c r="G22" s="101">
        <f t="shared" si="14"/>
        <v>0</v>
      </c>
      <c r="H22" s="101">
        <f t="shared" si="14"/>
        <v>0</v>
      </c>
      <c r="I22" s="101">
        <f t="shared" si="0"/>
        <v>0</v>
      </c>
      <c r="T22" s="98" t="s">
        <v>56</v>
      </c>
      <c r="AJ22" s="98" t="s">
        <v>57</v>
      </c>
      <c r="AK22" s="98" t="s">
        <v>56</v>
      </c>
    </row>
    <row r="23" spans="1:38">
      <c r="A23" s="96">
        <v>17</v>
      </c>
      <c r="B23" s="102" t="s">
        <v>58</v>
      </c>
      <c r="C23" s="106" t="e">
        <f>+C22+C21+C20+C19+C17</f>
        <v>#DIV/0!</v>
      </c>
      <c r="D23" s="106" t="e">
        <f t="shared" ref="D23:I23" si="15">+D22+D21+D20+D19+D17</f>
        <v>#DIV/0!</v>
      </c>
      <c r="E23" s="106" t="e">
        <f t="shared" si="15"/>
        <v>#DIV/0!</v>
      </c>
      <c r="F23" s="106" t="e">
        <f t="shared" si="15"/>
        <v>#DIV/0!</v>
      </c>
      <c r="G23" s="106" t="e">
        <f t="shared" si="15"/>
        <v>#DIV/0!</v>
      </c>
      <c r="H23" s="106" t="e">
        <f t="shared" si="15"/>
        <v>#DIV/0!</v>
      </c>
      <c r="I23" s="106" t="e">
        <f t="shared" si="15"/>
        <v>#DIV/0!</v>
      </c>
      <c r="T23" s="102" t="s">
        <v>58</v>
      </c>
      <c r="AJ23" s="98" t="s">
        <v>59</v>
      </c>
      <c r="AK23" s="102" t="s">
        <v>58</v>
      </c>
    </row>
    <row r="24" spans="1:38">
      <c r="A24" s="96">
        <v>18</v>
      </c>
      <c r="B24" s="107" t="s">
        <v>60</v>
      </c>
      <c r="C24" s="106" t="e">
        <f>+C15-C23</f>
        <v>#DIV/0!</v>
      </c>
      <c r="D24" s="106" t="e">
        <f t="shared" ref="D24:I24" si="16">+D15-D23</f>
        <v>#DIV/0!</v>
      </c>
      <c r="E24" s="106" t="e">
        <f t="shared" si="16"/>
        <v>#DIV/0!</v>
      </c>
      <c r="F24" s="106" t="e">
        <f t="shared" si="16"/>
        <v>#DIV/0!</v>
      </c>
      <c r="G24" s="106" t="e">
        <f t="shared" si="16"/>
        <v>#DIV/0!</v>
      </c>
      <c r="H24" s="106" t="e">
        <f t="shared" si="16"/>
        <v>#DIV/0!</v>
      </c>
      <c r="I24" s="106" t="e">
        <f t="shared" si="16"/>
        <v>#DIV/0!</v>
      </c>
      <c r="K24" s="115"/>
      <c r="T24" s="98" t="s">
        <v>60</v>
      </c>
      <c r="AJ24" s="98" t="s">
        <v>61</v>
      </c>
      <c r="AK24" s="98" t="s">
        <v>60</v>
      </c>
    </row>
    <row r="25" spans="1:38">
      <c r="A25" s="96">
        <v>19</v>
      </c>
      <c r="B25" s="98" t="s">
        <v>155</v>
      </c>
      <c r="C25" s="106" t="e">
        <f>IF(C24&lt;0,0,C24*0.25)</f>
        <v>#DIV/0!</v>
      </c>
      <c r="D25" s="106" t="e">
        <f t="shared" ref="D25:I25" si="17">IF(D24&lt;0,0,D24*0.25)</f>
        <v>#DIV/0!</v>
      </c>
      <c r="E25" s="106" t="e">
        <f t="shared" si="17"/>
        <v>#DIV/0!</v>
      </c>
      <c r="F25" s="106" t="e">
        <f t="shared" si="17"/>
        <v>#DIV/0!</v>
      </c>
      <c r="G25" s="106" t="e">
        <f t="shared" si="17"/>
        <v>#DIV/0!</v>
      </c>
      <c r="H25" s="106" t="e">
        <f t="shared" si="17"/>
        <v>#DIV/0!</v>
      </c>
      <c r="I25" s="106" t="e">
        <f t="shared" si="17"/>
        <v>#DIV/0!</v>
      </c>
      <c r="J25" s="2"/>
      <c r="K25" s="2"/>
      <c r="L25" s="2"/>
      <c r="T25" s="98" t="s">
        <v>62</v>
      </c>
      <c r="AJ25" s="98" t="s">
        <v>63</v>
      </c>
      <c r="AK25" s="98" t="s">
        <v>62</v>
      </c>
    </row>
    <row r="26" spans="1:38">
      <c r="A26" s="96">
        <v>20</v>
      </c>
      <c r="B26" s="98" t="s">
        <v>64</v>
      </c>
      <c r="C26" s="106" t="e">
        <f t="shared" ref="C26:H26" si="18">C24-C25</f>
        <v>#DIV/0!</v>
      </c>
      <c r="D26" s="106" t="e">
        <f t="shared" si="18"/>
        <v>#DIV/0!</v>
      </c>
      <c r="E26" s="106" t="e">
        <f t="shared" si="18"/>
        <v>#DIV/0!</v>
      </c>
      <c r="F26" s="106" t="e">
        <f t="shared" si="18"/>
        <v>#DIV/0!</v>
      </c>
      <c r="G26" s="106" t="e">
        <f t="shared" si="18"/>
        <v>#DIV/0!</v>
      </c>
      <c r="H26" s="106" t="e">
        <f t="shared" si="18"/>
        <v>#DIV/0!</v>
      </c>
      <c r="I26" s="101" t="e">
        <f>+SUM(C26:H26)</f>
        <v>#DIV/0!</v>
      </c>
      <c r="J26" s="2"/>
      <c r="K26" s="2"/>
      <c r="L26" s="2"/>
      <c r="T26" s="98" t="s">
        <v>64</v>
      </c>
      <c r="AJ26" s="98" t="s">
        <v>65</v>
      </c>
      <c r="AK26" s="98" t="s">
        <v>64</v>
      </c>
    </row>
    <row r="27" spans="1:38">
      <c r="A27" s="96">
        <v>21</v>
      </c>
      <c r="B27" s="98" t="s">
        <v>68</v>
      </c>
      <c r="C27" s="108" t="e">
        <f t="shared" ref="C27:I27" si="19">C26/C7</f>
        <v>#DIV/0!</v>
      </c>
      <c r="D27" s="108" t="e">
        <f t="shared" si="19"/>
        <v>#DIV/0!</v>
      </c>
      <c r="E27" s="108" t="e">
        <f t="shared" si="19"/>
        <v>#DIV/0!</v>
      </c>
      <c r="F27" s="108" t="e">
        <f t="shared" si="19"/>
        <v>#DIV/0!</v>
      </c>
      <c r="G27" s="108" t="e">
        <f t="shared" si="19"/>
        <v>#DIV/0!</v>
      </c>
      <c r="H27" s="108" t="e">
        <f t="shared" si="19"/>
        <v>#DIV/0!</v>
      </c>
      <c r="I27" s="108" t="e">
        <f t="shared" si="19"/>
        <v>#DIV/0!</v>
      </c>
      <c r="J27" s="2"/>
      <c r="K27" s="2"/>
      <c r="L27" s="2"/>
      <c r="T27" s="98" t="s">
        <v>68</v>
      </c>
      <c r="AJ27" s="98" t="s">
        <v>67</v>
      </c>
      <c r="AK27" s="98" t="s">
        <v>68</v>
      </c>
    </row>
    <row r="28" spans="1:38">
      <c r="J28" s="2"/>
      <c r="K28" s="2"/>
      <c r="L28" s="2"/>
      <c r="T28" s="98"/>
    </row>
    <row r="29" spans="1:38">
      <c r="A29" s="94" t="s">
        <v>69</v>
      </c>
      <c r="I29" s="95" t="s">
        <v>156</v>
      </c>
      <c r="J29" s="2"/>
      <c r="K29" s="2"/>
      <c r="L29" s="2"/>
      <c r="T29" s="98"/>
      <c r="AJ29" s="94" t="s">
        <v>69</v>
      </c>
    </row>
    <row r="30" spans="1:38">
      <c r="A30" s="98" t="s">
        <v>70</v>
      </c>
      <c r="B30" s="102" t="s">
        <v>71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71</v>
      </c>
      <c r="AJ30" s="98" t="s">
        <v>72</v>
      </c>
      <c r="AK30" s="102" t="s">
        <v>71</v>
      </c>
    </row>
    <row r="31" spans="1:38">
      <c r="A31" s="96">
        <v>1</v>
      </c>
      <c r="B31" s="104" t="s">
        <v>73</v>
      </c>
      <c r="C31" s="109">
        <f>销量!C8</f>
        <v>244.86725663716817</v>
      </c>
      <c r="D31" s="109">
        <f>销量!D8</f>
        <v>320.79646017699116</v>
      </c>
      <c r="E31" s="109">
        <f>销量!E8</f>
        <v>313.45132743362836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73</v>
      </c>
      <c r="AJ31" s="98" t="s">
        <v>27</v>
      </c>
      <c r="AK31" s="98" t="s">
        <v>73</v>
      </c>
    </row>
    <row r="32" spans="1:38">
      <c r="A32" s="96">
        <v>2</v>
      </c>
      <c r="B32" s="98" t="s">
        <v>157</v>
      </c>
      <c r="C32" s="101" t="e">
        <f>C9/C6</f>
        <v>#DIV/0!</v>
      </c>
      <c r="D32" s="101" t="e">
        <f t="shared" ref="D32:H32" si="20">D9/D6</f>
        <v>#DIV/0!</v>
      </c>
      <c r="E32" s="101" t="e">
        <f t="shared" si="20"/>
        <v>#DIV/0!</v>
      </c>
      <c r="F32" s="101" t="e">
        <f t="shared" si="20"/>
        <v>#DIV/0!</v>
      </c>
      <c r="G32" s="101" t="e">
        <f t="shared" si="20"/>
        <v>#DIV/0!</v>
      </c>
      <c r="H32" s="101" t="e">
        <f t="shared" si="20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74</v>
      </c>
      <c r="C33" s="101">
        <f>材料成本!D17</f>
        <v>0</v>
      </c>
      <c r="D33" s="101">
        <f>材料成本!E17</f>
        <v>0</v>
      </c>
      <c r="E33" s="101">
        <f>材料成本!F17</f>
        <v>0</v>
      </c>
      <c r="F33" s="101">
        <f>材料成本!G17</f>
        <v>0</v>
      </c>
      <c r="G33" s="101">
        <f>材料成本!H17</f>
        <v>0</v>
      </c>
      <c r="H33" s="101">
        <f>材料成本!I17</f>
        <v>0</v>
      </c>
      <c r="I33" s="106"/>
      <c r="K33" s="2"/>
      <c r="L33" s="2"/>
      <c r="M33" s="2"/>
      <c r="N33" s="2"/>
      <c r="O33" s="2"/>
      <c r="P33" s="2"/>
      <c r="T33" s="98" t="s">
        <v>74</v>
      </c>
      <c r="AJ33" s="98" t="s">
        <v>29</v>
      </c>
      <c r="AK33" s="98" t="s">
        <v>74</v>
      </c>
    </row>
    <row r="34" spans="1:37" ht="17.25" customHeight="1">
      <c r="A34" s="96">
        <v>4</v>
      </c>
      <c r="B34" s="98" t="s">
        <v>76</v>
      </c>
      <c r="C34" s="110" t="e">
        <f>C32-C33</f>
        <v>#DIV/0!</v>
      </c>
      <c r="D34" s="110" t="e">
        <f t="shared" ref="D34:H34" si="21">D32-D33</f>
        <v>#DIV/0!</v>
      </c>
      <c r="E34" s="110" t="e">
        <f t="shared" si="21"/>
        <v>#DIV/0!</v>
      </c>
      <c r="F34" s="110" t="e">
        <f t="shared" si="21"/>
        <v>#DIV/0!</v>
      </c>
      <c r="G34" s="110" t="e">
        <f t="shared" si="21"/>
        <v>#DIV/0!</v>
      </c>
      <c r="H34" s="110" t="e">
        <f t="shared" si="21"/>
        <v>#DIV/0!</v>
      </c>
      <c r="I34" s="106"/>
      <c r="K34" s="2"/>
      <c r="L34" s="2"/>
      <c r="M34" s="2"/>
      <c r="N34" s="2"/>
      <c r="O34" s="2"/>
      <c r="P34" s="2"/>
      <c r="T34" s="98" t="s">
        <v>76</v>
      </c>
      <c r="AJ34" s="98" t="s">
        <v>75</v>
      </c>
      <c r="AK34" s="98" t="s">
        <v>76</v>
      </c>
    </row>
    <row r="35" spans="1:37">
      <c r="A35" s="98" t="s">
        <v>72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78</v>
      </c>
      <c r="AK35" s="102" t="s">
        <v>9</v>
      </c>
    </row>
    <row r="36" spans="1:37">
      <c r="A36" s="96">
        <v>1</v>
      </c>
      <c r="B36" s="98" t="s">
        <v>79</v>
      </c>
      <c r="C36" s="105">
        <f>'2023年'!C36</f>
        <v>14.236729252219602</v>
      </c>
      <c r="D36" s="105">
        <f>'2023年'!D36</f>
        <v>18.651298713153615</v>
      </c>
      <c r="E36" s="105">
        <f>'2023年'!E36</f>
        <v>18.224248287445548</v>
      </c>
      <c r="F36" s="105">
        <f>'2023年'!F36</f>
        <v>0</v>
      </c>
      <c r="G36" s="105">
        <f>'2023年'!G36</f>
        <v>0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79</v>
      </c>
      <c r="AJ36" s="98" t="s">
        <v>75</v>
      </c>
      <c r="AK36" s="98" t="s">
        <v>79</v>
      </c>
    </row>
    <row r="37" spans="1:37">
      <c r="A37" s="96">
        <v>2</v>
      </c>
      <c r="B37" s="98" t="s">
        <v>80</v>
      </c>
      <c r="C37" s="105">
        <f>'2023年'!C37</f>
        <v>4.4243489838901997</v>
      </c>
      <c r="D37" s="105">
        <f>'2023年'!D37</f>
        <v>5.796264931912531</v>
      </c>
      <c r="E37" s="105">
        <f>'2023年'!E37</f>
        <v>5.6635504520921893</v>
      </c>
      <c r="F37" s="105">
        <f>'2023年'!F37</f>
        <v>0</v>
      </c>
      <c r="G37" s="105">
        <f>'2023年'!G37</f>
        <v>0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80</v>
      </c>
      <c r="AJ37" s="98" t="s">
        <v>32</v>
      </c>
      <c r="AK37" s="98" t="s">
        <v>80</v>
      </c>
    </row>
    <row r="38" spans="1:37">
      <c r="A38" s="96">
        <v>3</v>
      </c>
      <c r="B38" s="98" t="s">
        <v>81</v>
      </c>
      <c r="C38" s="105">
        <f>'2023年'!C38</f>
        <v>7.3684210526315788</v>
      </c>
      <c r="D38" s="105">
        <f>'2023年'!D38</f>
        <v>14</v>
      </c>
      <c r="E38" s="105">
        <f>'2023年'!E38</f>
        <v>14</v>
      </c>
      <c r="F38" s="105">
        <f>'2023年'!F38</f>
        <v>0</v>
      </c>
      <c r="G38" s="105">
        <f>'2023年'!G38</f>
        <v>0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81</v>
      </c>
      <c r="AJ38" s="98" t="s">
        <v>38</v>
      </c>
      <c r="AK38" s="98" t="s">
        <v>81</v>
      </c>
    </row>
    <row r="39" spans="1:37">
      <c r="A39" s="98" t="s">
        <v>78</v>
      </c>
      <c r="B39" s="102" t="s">
        <v>83</v>
      </c>
      <c r="C39" s="106"/>
      <c r="D39" s="106"/>
      <c r="E39" s="106"/>
      <c r="F39" s="106"/>
      <c r="G39" s="106"/>
      <c r="H39" s="106"/>
      <c r="I39" s="106"/>
      <c r="T39" s="102" t="s">
        <v>83</v>
      </c>
      <c r="AJ39" s="98" t="s">
        <v>82</v>
      </c>
      <c r="AK39" s="102" t="s">
        <v>83</v>
      </c>
    </row>
    <row r="40" spans="1:37">
      <c r="A40" s="96">
        <v>1</v>
      </c>
      <c r="B40" s="98" t="s">
        <v>85</v>
      </c>
      <c r="C40" s="106" t="e">
        <f>C34-C36-C37-C38</f>
        <v>#DIV/0!</v>
      </c>
      <c r="D40" s="106" t="e">
        <f t="shared" ref="D40:H40" si="22">D34-D36-D37-D38</f>
        <v>#DIV/0!</v>
      </c>
      <c r="E40" s="106" t="e">
        <f t="shared" si="22"/>
        <v>#DIV/0!</v>
      </c>
      <c r="F40" s="106" t="e">
        <f t="shared" si="22"/>
        <v>#DIV/0!</v>
      </c>
      <c r="G40" s="106" t="e">
        <f t="shared" si="22"/>
        <v>#DIV/0!</v>
      </c>
      <c r="H40" s="106" t="e">
        <f t="shared" si="22"/>
        <v>#DIV/0!</v>
      </c>
      <c r="I40" s="106"/>
      <c r="T40" s="98" t="s">
        <v>85</v>
      </c>
      <c r="AJ40" s="98" t="s">
        <v>27</v>
      </c>
      <c r="AK40" s="98" t="s">
        <v>85</v>
      </c>
    </row>
    <row r="41" spans="1:37">
      <c r="A41" s="96">
        <v>2</v>
      </c>
      <c r="B41" s="98" t="s">
        <v>86</v>
      </c>
      <c r="C41" s="106"/>
      <c r="D41" s="106"/>
      <c r="E41" s="106"/>
      <c r="F41" s="106"/>
      <c r="G41" s="106"/>
      <c r="H41" s="106"/>
      <c r="I41" s="106"/>
      <c r="T41" s="98" t="s">
        <v>86</v>
      </c>
      <c r="AJ41" s="98" t="s">
        <v>29</v>
      </c>
      <c r="AK41" s="98" t="s">
        <v>86</v>
      </c>
    </row>
    <row r="42" spans="1:37">
      <c r="A42" s="98" t="s">
        <v>82</v>
      </c>
      <c r="B42" s="102" t="s">
        <v>88</v>
      </c>
      <c r="C42" s="106"/>
      <c r="D42" s="106"/>
      <c r="E42" s="106"/>
      <c r="F42" s="106"/>
      <c r="G42" s="106"/>
      <c r="H42" s="106"/>
      <c r="I42" s="106"/>
      <c r="T42" s="102" t="s">
        <v>88</v>
      </c>
      <c r="AJ42" s="98" t="s">
        <v>87</v>
      </c>
      <c r="AK42" s="102" t="s">
        <v>88</v>
      </c>
    </row>
    <row r="43" spans="1:37">
      <c r="A43" s="96">
        <v>1</v>
      </c>
      <c r="B43" s="107" t="s">
        <v>89</v>
      </c>
      <c r="C43" s="105">
        <f>'2023年'!C43</f>
        <v>0</v>
      </c>
      <c r="D43" s="105">
        <f>'2023年'!D43</f>
        <v>0</v>
      </c>
      <c r="E43" s="105">
        <f>'2023年'!E43</f>
        <v>0</v>
      </c>
      <c r="F43" s="105">
        <f>'2023年'!F43</f>
        <v>0</v>
      </c>
      <c r="G43" s="105">
        <f>'2023年'!G43</f>
        <v>0</v>
      </c>
      <c r="H43" s="105"/>
      <c r="I43" s="106"/>
      <c r="T43" s="98" t="s">
        <v>89</v>
      </c>
      <c r="AJ43" s="98" t="s">
        <v>27</v>
      </c>
      <c r="AK43" s="98" t="s">
        <v>89</v>
      </c>
    </row>
    <row r="44" spans="1:37">
      <c r="A44" s="96">
        <v>2</v>
      </c>
      <c r="B44" s="107" t="s">
        <v>90</v>
      </c>
      <c r="C44" s="105">
        <f>'2023年'!C44</f>
        <v>0</v>
      </c>
      <c r="D44" s="105">
        <f>'2023年'!D44</f>
        <v>0</v>
      </c>
      <c r="E44" s="105">
        <f>'2023年'!E44</f>
        <v>0</v>
      </c>
      <c r="F44" s="105">
        <f>'2023年'!F44</f>
        <v>0</v>
      </c>
      <c r="G44" s="105">
        <f>'2023年'!G44</f>
        <v>0</v>
      </c>
      <c r="H44" s="105"/>
      <c r="I44" s="106"/>
      <c r="T44" s="98" t="s">
        <v>90</v>
      </c>
      <c r="AJ44" s="98" t="s">
        <v>29</v>
      </c>
      <c r="AK44" s="98" t="s">
        <v>90</v>
      </c>
    </row>
    <row r="45" spans="1:37">
      <c r="A45" s="96">
        <v>3</v>
      </c>
      <c r="B45" s="107" t="s">
        <v>91</v>
      </c>
      <c r="C45" s="105">
        <f>'2023年'!C45</f>
        <v>0</v>
      </c>
      <c r="D45" s="105">
        <f>'2023年'!D45</f>
        <v>0</v>
      </c>
      <c r="E45" s="105">
        <f>'2023年'!E45</f>
        <v>0</v>
      </c>
      <c r="F45" s="105">
        <f>'2023年'!F45</f>
        <v>0</v>
      </c>
      <c r="G45" s="105">
        <f>'2023年'!G45</f>
        <v>0</v>
      </c>
      <c r="H45" s="105"/>
      <c r="I45" s="106"/>
      <c r="T45" s="98" t="s">
        <v>91</v>
      </c>
      <c r="AJ45" s="98" t="s">
        <v>75</v>
      </c>
      <c r="AK45" s="98" t="s">
        <v>91</v>
      </c>
    </row>
    <row r="46" spans="1:37" s="93" customFormat="1">
      <c r="A46" s="96">
        <v>4</v>
      </c>
      <c r="B46" s="107" t="s">
        <v>92</v>
      </c>
      <c r="C46" s="111" t="e">
        <f>C21/C6</f>
        <v>#DIV/0!</v>
      </c>
      <c r="D46" s="111" t="e">
        <f t="shared" ref="D46:H46" si="23">D21/D6</f>
        <v>#DIV/0!</v>
      </c>
      <c r="E46" s="111" t="e">
        <f t="shared" si="23"/>
        <v>#DIV/0!</v>
      </c>
      <c r="F46" s="111" t="e">
        <f t="shared" si="23"/>
        <v>#DIV/0!</v>
      </c>
      <c r="G46" s="111" t="e">
        <f t="shared" si="23"/>
        <v>#DIV/0!</v>
      </c>
      <c r="H46" s="111" t="e">
        <f t="shared" si="23"/>
        <v>#DIV/0!</v>
      </c>
      <c r="I46" s="111"/>
      <c r="T46" s="107" t="s">
        <v>94</v>
      </c>
      <c r="AJ46" s="107" t="s">
        <v>35</v>
      </c>
      <c r="AK46" s="107" t="s">
        <v>94</v>
      </c>
    </row>
    <row r="47" spans="1:37" s="93" customFormat="1">
      <c r="A47" s="96">
        <v>5</v>
      </c>
      <c r="B47" s="107" t="s">
        <v>94</v>
      </c>
      <c r="C47" s="105">
        <f>'2023年'!C47</f>
        <v>12.243362831858409</v>
      </c>
      <c r="D47" s="105">
        <f>'2023年'!D47</f>
        <v>16.039823008849559</v>
      </c>
      <c r="E47" s="105">
        <f>'2023年'!E47</f>
        <v>15.67256637168142</v>
      </c>
      <c r="F47" s="105">
        <f>'2023年'!F47</f>
        <v>0</v>
      </c>
      <c r="G47" s="105">
        <f>'2023年'!G47</f>
        <v>0</v>
      </c>
      <c r="H47" s="111"/>
      <c r="I47" s="111"/>
      <c r="T47" s="107" t="s">
        <v>94</v>
      </c>
      <c r="AJ47" s="107" t="s">
        <v>35</v>
      </c>
      <c r="AK47" s="107" t="s">
        <v>94</v>
      </c>
    </row>
    <row r="48" spans="1:37">
      <c r="A48" s="98" t="s">
        <v>87</v>
      </c>
      <c r="B48" s="102" t="s">
        <v>105</v>
      </c>
      <c r="C48" s="106" t="e">
        <f>C40-C43-C44-C45-C47-C46</f>
        <v>#DIV/0!</v>
      </c>
      <c r="D48" s="106" t="e">
        <f t="shared" ref="D48:H48" si="24">D40-D43-D44-D45-D47-D46</f>
        <v>#DIV/0!</v>
      </c>
      <c r="E48" s="106" t="e">
        <f t="shared" si="24"/>
        <v>#DIV/0!</v>
      </c>
      <c r="F48" s="106" t="e">
        <f t="shared" si="24"/>
        <v>#DIV/0!</v>
      </c>
      <c r="G48" s="106" t="e">
        <f t="shared" si="24"/>
        <v>#DIV/0!</v>
      </c>
      <c r="H48" s="106" t="e">
        <f t="shared" si="24"/>
        <v>#DIV/0!</v>
      </c>
      <c r="I48" s="106"/>
      <c r="T48" s="102" t="s">
        <v>105</v>
      </c>
      <c r="AJ48" s="98" t="s">
        <v>104</v>
      </c>
      <c r="AK48" s="102" t="s">
        <v>105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2023-11-07T07:36:23Z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FDCC71888790435FB1B44C4531D808E7_12</vt:lpwstr>
  </property>
</Properties>
</file>