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angguangqun\Desktop\上汽红岩系列座椅开发项目\"/>
    </mc:Choice>
  </mc:AlternateContent>
  <bookViews>
    <workbookView xWindow="0" yWindow="450" windowWidth="18525" windowHeight="6240" tabRatio="810" firstSheet="1" activeTab="1"/>
  </bookViews>
  <sheets>
    <sheet name="假设条件" sheetId="34" r:id="rId1"/>
    <sheet name="损益表" sheetId="2" r:id="rId2"/>
    <sheet name="现金" sheetId="36" state="hidden" r:id="rId3"/>
    <sheet name="2024年" sheetId="43" r:id="rId4"/>
    <sheet name="2025年" sheetId="56" r:id="rId5"/>
    <sheet name="2026年" sheetId="57" r:id="rId6"/>
    <sheet name="2027年" sheetId="58" r:id="rId7"/>
    <sheet name="2028年" sheetId="59" r:id="rId8"/>
    <sheet name="2029年" sheetId="62" r:id="rId9"/>
    <sheet name="2030年" sheetId="63" r:id="rId10"/>
    <sheet name="2031年" sheetId="64" r:id="rId11"/>
    <sheet name="项目投资" sheetId="51" r:id="rId12"/>
    <sheet name="销量" sheetId="55" r:id="rId13"/>
    <sheet name="材料成本" sheetId="53" r:id="rId14"/>
    <sheet name="其他" sheetId="54" r:id="rId15"/>
    <sheet name="标准成本" sheetId="50" r:id="rId16"/>
  </sheets>
  <externalReferences>
    <externalReference r:id="rId17"/>
  </externalReferences>
  <definedNames>
    <definedName name="_xlnm.Print_Area" localSheetId="3">'2024年'!$A$1:$J$48</definedName>
    <definedName name="_xlnm.Print_Area" localSheetId="4">'2025年'!$A$1:$J$48</definedName>
    <definedName name="_xlnm.Print_Area" localSheetId="5">'2026年'!$A$1:$J$48</definedName>
    <definedName name="_xlnm.Print_Area" localSheetId="6">'2027年'!$A$1:$J$48</definedName>
    <definedName name="_xlnm.Print_Area" localSheetId="7">'2028年'!$A$1:$J$48</definedName>
    <definedName name="_xlnm.Print_Area" localSheetId="8">'2029年'!$A$1:$J$48</definedName>
    <definedName name="_xlnm.Print_Area" localSheetId="9">'2030年'!$A$1:$J$48</definedName>
    <definedName name="_xlnm.Print_Area" localSheetId="10">'2031年'!$A$1:$J$48</definedName>
    <definedName name="_xlnm.Print_Area" localSheetId="1">损益表!$A$2:$K$62</definedName>
    <definedName name="_xlnm.Print_Area" localSheetId="11">项目投资!$A$1:$C$35</definedName>
  </definedNames>
  <calcPr calcId="162913"/>
</workbook>
</file>

<file path=xl/calcChain.xml><?xml version="1.0" encoding="utf-8"?>
<calcChain xmlns="http://schemas.openxmlformats.org/spreadsheetml/2006/main">
  <c r="E33" i="64" l="1"/>
  <c r="F33" i="64"/>
  <c r="G33" i="64"/>
  <c r="H33" i="64"/>
  <c r="I33" i="64"/>
  <c r="C33" i="64"/>
  <c r="E33" i="63"/>
  <c r="F33" i="63"/>
  <c r="G33" i="63"/>
  <c r="H33" i="63"/>
  <c r="I33" i="63"/>
  <c r="C33" i="63"/>
  <c r="E33" i="62"/>
  <c r="F33" i="62"/>
  <c r="G33" i="62"/>
  <c r="H33" i="62"/>
  <c r="I33" i="62"/>
  <c r="C33" i="62"/>
  <c r="D9" i="62"/>
  <c r="E9" i="62"/>
  <c r="F9" i="62"/>
  <c r="G9" i="62"/>
  <c r="H9" i="62"/>
  <c r="I9" i="62"/>
  <c r="D8" i="62"/>
  <c r="E8" i="62"/>
  <c r="F8" i="62"/>
  <c r="G8" i="62"/>
  <c r="H8" i="62"/>
  <c r="I8" i="62"/>
  <c r="D7" i="62"/>
  <c r="E7" i="62"/>
  <c r="F7" i="62"/>
  <c r="G7" i="62"/>
  <c r="H7" i="62"/>
  <c r="I7" i="62"/>
  <c r="J8" i="55"/>
  <c r="E25" i="59"/>
  <c r="F25" i="59"/>
  <c r="G25" i="59"/>
  <c r="H25" i="59"/>
  <c r="I25" i="59"/>
  <c r="C25" i="59"/>
  <c r="E25" i="58"/>
  <c r="F25" i="58"/>
  <c r="G25" i="58"/>
  <c r="H25" i="58"/>
  <c r="C25" i="58"/>
  <c r="E25" i="57"/>
  <c r="F25" i="57"/>
  <c r="G25" i="57"/>
  <c r="H25" i="57"/>
  <c r="I25" i="57"/>
  <c r="C25" i="57"/>
  <c r="D30" i="2" l="1"/>
  <c r="E30" i="2"/>
  <c r="G30" i="2"/>
  <c r="I30" i="2"/>
  <c r="J30" i="2"/>
  <c r="J4" i="2"/>
  <c r="J35" i="2" s="1"/>
  <c r="J5" i="2"/>
  <c r="J6" i="2"/>
  <c r="J7" i="2"/>
  <c r="J9" i="2"/>
  <c r="J10" i="2"/>
  <c r="J36" i="2" s="1"/>
  <c r="J11" i="2"/>
  <c r="J12" i="2"/>
  <c r="J15" i="2"/>
  <c r="J16" i="2"/>
  <c r="J17" i="2"/>
  <c r="J18" i="2"/>
  <c r="J19" i="2"/>
  <c r="J51" i="2" s="1"/>
  <c r="J20" i="2"/>
  <c r="J21" i="2"/>
  <c r="I4" i="2"/>
  <c r="I5" i="2"/>
  <c r="I6" i="2"/>
  <c r="I7" i="2"/>
  <c r="I9" i="2"/>
  <c r="I10" i="2"/>
  <c r="I11" i="2"/>
  <c r="I12" i="2"/>
  <c r="I15" i="2"/>
  <c r="I16" i="2"/>
  <c r="I17" i="2"/>
  <c r="I18" i="2"/>
  <c r="I19" i="2"/>
  <c r="I20" i="2"/>
  <c r="I21" i="2"/>
  <c r="H4" i="2"/>
  <c r="H9" i="2"/>
  <c r="H10" i="2"/>
  <c r="H11" i="2"/>
  <c r="H12" i="2"/>
  <c r="H15" i="2"/>
  <c r="H16" i="2"/>
  <c r="H17" i="2"/>
  <c r="H43" i="2" s="1"/>
  <c r="H18" i="2"/>
  <c r="H19" i="2"/>
  <c r="H20" i="2"/>
  <c r="H21" i="2"/>
  <c r="G4" i="2"/>
  <c r="G43" i="2" s="1"/>
  <c r="G5" i="2"/>
  <c r="G6" i="2"/>
  <c r="G7" i="2"/>
  <c r="G9" i="2"/>
  <c r="G10" i="2"/>
  <c r="G36" i="2" s="1"/>
  <c r="G11" i="2"/>
  <c r="G12" i="2"/>
  <c r="G15" i="2"/>
  <c r="G16" i="2"/>
  <c r="G17" i="2"/>
  <c r="G18" i="2"/>
  <c r="G19" i="2"/>
  <c r="G20" i="2"/>
  <c r="G21" i="2"/>
  <c r="F4" i="2"/>
  <c r="F9" i="2"/>
  <c r="F10" i="2"/>
  <c r="F11" i="2"/>
  <c r="F12" i="2"/>
  <c r="F15" i="2"/>
  <c r="F16" i="2"/>
  <c r="F17" i="2"/>
  <c r="F18" i="2"/>
  <c r="F19" i="2"/>
  <c r="F20" i="2"/>
  <c r="F21" i="2"/>
  <c r="E61" i="2"/>
  <c r="F61" i="2"/>
  <c r="G61" i="2" s="1"/>
  <c r="D61" i="2"/>
  <c r="D35" i="2"/>
  <c r="E35" i="2"/>
  <c r="F35" i="2"/>
  <c r="G35" i="2"/>
  <c r="H35" i="2"/>
  <c r="I35" i="2"/>
  <c r="D36" i="2"/>
  <c r="E36" i="2"/>
  <c r="F36" i="2"/>
  <c r="H36" i="2"/>
  <c r="I36" i="2"/>
  <c r="D37" i="2"/>
  <c r="E37" i="2"/>
  <c r="F37" i="2"/>
  <c r="H37" i="2"/>
  <c r="I37" i="2"/>
  <c r="D42" i="2"/>
  <c r="E42" i="2"/>
  <c r="F42" i="2"/>
  <c r="G42" i="2"/>
  <c r="H42" i="2"/>
  <c r="I42" i="2"/>
  <c r="D43" i="2"/>
  <c r="E43" i="2"/>
  <c r="F43" i="2"/>
  <c r="I43" i="2"/>
  <c r="D44" i="2"/>
  <c r="E44" i="2"/>
  <c r="F44" i="2"/>
  <c r="H44" i="2"/>
  <c r="I44" i="2"/>
  <c r="D48" i="2"/>
  <c r="E48" i="2"/>
  <c r="G48" i="2"/>
  <c r="I48" i="2"/>
  <c r="D49" i="2"/>
  <c r="E49" i="2"/>
  <c r="I49" i="2"/>
  <c r="D50" i="2"/>
  <c r="E50" i="2"/>
  <c r="I50" i="2"/>
  <c r="J50" i="2"/>
  <c r="D51" i="2"/>
  <c r="E51" i="2"/>
  <c r="G51" i="2"/>
  <c r="I51" i="2"/>
  <c r="D52" i="2"/>
  <c r="E52" i="2"/>
  <c r="G52" i="2"/>
  <c r="I52" i="2"/>
  <c r="F56" i="2"/>
  <c r="I56" i="2"/>
  <c r="D56" i="2"/>
  <c r="E56" i="2"/>
  <c r="G56" i="2"/>
  <c r="H56" i="2"/>
  <c r="J56" i="2"/>
  <c r="E4" i="2"/>
  <c r="E5" i="2"/>
  <c r="E6" i="2"/>
  <c r="E7" i="2"/>
  <c r="E9" i="2"/>
  <c r="E10" i="2"/>
  <c r="E11" i="2"/>
  <c r="E12" i="2"/>
  <c r="E15" i="2"/>
  <c r="E16" i="2"/>
  <c r="E17" i="2"/>
  <c r="E18" i="2"/>
  <c r="E19" i="2"/>
  <c r="E20" i="2"/>
  <c r="E21" i="2"/>
  <c r="J52" i="2" l="1"/>
  <c r="J42" i="2"/>
  <c r="J49" i="2"/>
  <c r="J48" i="2"/>
  <c r="J44" i="2"/>
  <c r="J43" i="2"/>
  <c r="J37" i="2"/>
  <c r="G50" i="2"/>
  <c r="G44" i="2"/>
  <c r="G37" i="2"/>
  <c r="G49" i="2"/>
  <c r="H61" i="2"/>
  <c r="I61" i="2" s="1"/>
  <c r="J18" i="64"/>
  <c r="J21" i="63"/>
  <c r="J18" i="63"/>
  <c r="J21" i="62"/>
  <c r="J18" i="62"/>
  <c r="J21" i="59"/>
  <c r="J18" i="59"/>
  <c r="J18" i="58"/>
  <c r="J21" i="57"/>
  <c r="J18" i="57"/>
  <c r="J21" i="56"/>
  <c r="J18" i="56"/>
  <c r="D6" i="64"/>
  <c r="E6" i="64"/>
  <c r="E12" i="64" s="1"/>
  <c r="F6" i="64"/>
  <c r="G6" i="64"/>
  <c r="H6" i="64"/>
  <c r="I6" i="64"/>
  <c r="C6" i="64"/>
  <c r="C13" i="64" s="1"/>
  <c r="C8" i="64"/>
  <c r="I47" i="64"/>
  <c r="H47" i="64"/>
  <c r="G47" i="64"/>
  <c r="F47" i="64"/>
  <c r="E47" i="64"/>
  <c r="D47" i="64"/>
  <c r="C47" i="64"/>
  <c r="I45" i="64"/>
  <c r="H45" i="64"/>
  <c r="G45" i="64"/>
  <c r="F45" i="64"/>
  <c r="E45" i="64"/>
  <c r="D45" i="64"/>
  <c r="C45" i="64"/>
  <c r="I44" i="64"/>
  <c r="H44" i="64"/>
  <c r="G44" i="64"/>
  <c r="F44" i="64"/>
  <c r="E44" i="64"/>
  <c r="D44" i="64"/>
  <c r="C44" i="64"/>
  <c r="I43" i="64"/>
  <c r="H43" i="64"/>
  <c r="G43" i="64"/>
  <c r="F43" i="64"/>
  <c r="E43" i="64"/>
  <c r="D43" i="64"/>
  <c r="C43" i="64"/>
  <c r="I38" i="64"/>
  <c r="H38" i="64"/>
  <c r="G38" i="64"/>
  <c r="F38" i="64"/>
  <c r="E38" i="64"/>
  <c r="D38" i="64"/>
  <c r="C38" i="64"/>
  <c r="I37" i="64"/>
  <c r="H37" i="64"/>
  <c r="G37" i="64"/>
  <c r="F37" i="64"/>
  <c r="E37" i="64"/>
  <c r="D37" i="64"/>
  <c r="C37" i="64"/>
  <c r="I36" i="64"/>
  <c r="H36" i="64"/>
  <c r="G36" i="64"/>
  <c r="F36" i="64"/>
  <c r="E36" i="64"/>
  <c r="D36" i="64"/>
  <c r="C36" i="64"/>
  <c r="I31" i="64"/>
  <c r="H31" i="64"/>
  <c r="G31" i="64"/>
  <c r="F31" i="64"/>
  <c r="E31" i="64"/>
  <c r="D31" i="64"/>
  <c r="C31" i="64"/>
  <c r="I22" i="64"/>
  <c r="F22" i="64"/>
  <c r="C22" i="64"/>
  <c r="J21" i="64"/>
  <c r="G20" i="64"/>
  <c r="D20" i="64"/>
  <c r="I19" i="64"/>
  <c r="F19" i="64"/>
  <c r="C19" i="64"/>
  <c r="I13" i="64"/>
  <c r="F13" i="64"/>
  <c r="G11" i="64"/>
  <c r="D11" i="64"/>
  <c r="I10" i="64"/>
  <c r="F10" i="64"/>
  <c r="C10" i="64"/>
  <c r="I7" i="64"/>
  <c r="I8" i="64" s="1"/>
  <c r="F7" i="64"/>
  <c r="F8" i="64" s="1"/>
  <c r="C7" i="64"/>
  <c r="I12" i="64"/>
  <c r="G22" i="64"/>
  <c r="F12" i="64"/>
  <c r="D22" i="64"/>
  <c r="C12" i="64"/>
  <c r="I4" i="64"/>
  <c r="H4" i="64"/>
  <c r="G4" i="64"/>
  <c r="F4" i="64"/>
  <c r="E4" i="64"/>
  <c r="D4" i="64"/>
  <c r="C4" i="64"/>
  <c r="I3" i="64"/>
  <c r="H3" i="64"/>
  <c r="G3" i="64"/>
  <c r="F3" i="64"/>
  <c r="E3" i="64"/>
  <c r="D3" i="64"/>
  <c r="C3" i="64"/>
  <c r="C2" i="64"/>
  <c r="D6" i="63"/>
  <c r="D12" i="63" s="1"/>
  <c r="E6" i="63"/>
  <c r="F6" i="63"/>
  <c r="G6" i="63"/>
  <c r="H6" i="63"/>
  <c r="I6" i="63"/>
  <c r="C6" i="63"/>
  <c r="I47" i="63"/>
  <c r="H47" i="63"/>
  <c r="G47" i="63"/>
  <c r="F47" i="63"/>
  <c r="E47" i="63"/>
  <c r="D47" i="63"/>
  <c r="C47" i="63"/>
  <c r="I45" i="63"/>
  <c r="H45" i="63"/>
  <c r="G45" i="63"/>
  <c r="F45" i="63"/>
  <c r="E45" i="63"/>
  <c r="D45" i="63"/>
  <c r="C45" i="63"/>
  <c r="I44" i="63"/>
  <c r="H44" i="63"/>
  <c r="G44" i="63"/>
  <c r="F44" i="63"/>
  <c r="E44" i="63"/>
  <c r="D44" i="63"/>
  <c r="C44" i="63"/>
  <c r="I43" i="63"/>
  <c r="H43" i="63"/>
  <c r="G43" i="63"/>
  <c r="F43" i="63"/>
  <c r="E43" i="63"/>
  <c r="D43" i="63"/>
  <c r="C43" i="63"/>
  <c r="I38" i="63"/>
  <c r="H38" i="63"/>
  <c r="G38" i="63"/>
  <c r="F38" i="63"/>
  <c r="E38" i="63"/>
  <c r="D38" i="63"/>
  <c r="C38" i="63"/>
  <c r="I37" i="63"/>
  <c r="H37" i="63"/>
  <c r="G37" i="63"/>
  <c r="F37" i="63"/>
  <c r="E37" i="63"/>
  <c r="D37" i="63"/>
  <c r="C37" i="63"/>
  <c r="I36" i="63"/>
  <c r="H36" i="63"/>
  <c r="G36" i="63"/>
  <c r="F36" i="63"/>
  <c r="E36" i="63"/>
  <c r="D36" i="63"/>
  <c r="C36" i="63"/>
  <c r="I31" i="63"/>
  <c r="H31" i="63"/>
  <c r="G31" i="63"/>
  <c r="F31" i="63"/>
  <c r="E31" i="63"/>
  <c r="D31" i="63"/>
  <c r="C31" i="63"/>
  <c r="H22" i="63"/>
  <c r="E22" i="63"/>
  <c r="I20" i="63"/>
  <c r="F20" i="63"/>
  <c r="C20" i="63"/>
  <c r="H19" i="63"/>
  <c r="E19" i="63"/>
  <c r="H13" i="63"/>
  <c r="E13" i="63"/>
  <c r="I11" i="63"/>
  <c r="F11" i="63"/>
  <c r="C11" i="63"/>
  <c r="H10" i="63"/>
  <c r="E10" i="63"/>
  <c r="H7" i="63"/>
  <c r="H8" i="63" s="1"/>
  <c r="E7" i="63"/>
  <c r="E8" i="63" s="1"/>
  <c r="I12" i="63"/>
  <c r="H20" i="63"/>
  <c r="F12" i="63"/>
  <c r="E20" i="63"/>
  <c r="C12" i="63"/>
  <c r="I4" i="63"/>
  <c r="H4" i="63"/>
  <c r="G4" i="63"/>
  <c r="F4" i="63"/>
  <c r="E4" i="63"/>
  <c r="D4" i="63"/>
  <c r="C4" i="63"/>
  <c r="I3" i="63"/>
  <c r="H3" i="63"/>
  <c r="G3" i="63"/>
  <c r="F3" i="63"/>
  <c r="E3" i="63"/>
  <c r="D3" i="63"/>
  <c r="C3" i="63"/>
  <c r="C2" i="63"/>
  <c r="D6" i="62"/>
  <c r="E6" i="62"/>
  <c r="F6" i="62"/>
  <c r="G6" i="62"/>
  <c r="H6" i="62"/>
  <c r="I6" i="62"/>
  <c r="C6" i="62"/>
  <c r="D6" i="59"/>
  <c r="E6" i="59"/>
  <c r="F6" i="59"/>
  <c r="F12" i="59" s="1"/>
  <c r="G6" i="59"/>
  <c r="H6" i="59"/>
  <c r="I6" i="59"/>
  <c r="I11" i="59" s="1"/>
  <c r="C6" i="59"/>
  <c r="I47" i="62"/>
  <c r="H47" i="62"/>
  <c r="G47" i="62"/>
  <c r="F47" i="62"/>
  <c r="E47" i="62"/>
  <c r="D47" i="62"/>
  <c r="C47" i="62"/>
  <c r="I45" i="62"/>
  <c r="H45" i="62"/>
  <c r="G45" i="62"/>
  <c r="F45" i="62"/>
  <c r="E45" i="62"/>
  <c r="D45" i="62"/>
  <c r="C45" i="62"/>
  <c r="I44" i="62"/>
  <c r="H44" i="62"/>
  <c r="G44" i="62"/>
  <c r="F44" i="62"/>
  <c r="E44" i="62"/>
  <c r="D44" i="62"/>
  <c r="C44" i="62"/>
  <c r="I43" i="62"/>
  <c r="H43" i="62"/>
  <c r="G43" i="62"/>
  <c r="F43" i="62"/>
  <c r="E43" i="62"/>
  <c r="D43" i="62"/>
  <c r="C43" i="62"/>
  <c r="I38" i="62"/>
  <c r="H38" i="62"/>
  <c r="G38" i="62"/>
  <c r="F38" i="62"/>
  <c r="E38" i="62"/>
  <c r="D38" i="62"/>
  <c r="C38" i="62"/>
  <c r="I37" i="62"/>
  <c r="H37" i="62"/>
  <c r="G37" i="62"/>
  <c r="F37" i="62"/>
  <c r="E37" i="62"/>
  <c r="D37" i="62"/>
  <c r="C37" i="62"/>
  <c r="I36" i="62"/>
  <c r="H36" i="62"/>
  <c r="G36" i="62"/>
  <c r="F36" i="62"/>
  <c r="E36" i="62"/>
  <c r="D36" i="62"/>
  <c r="C36" i="62"/>
  <c r="I31" i="62"/>
  <c r="H31" i="62"/>
  <c r="G31" i="62"/>
  <c r="F31" i="62"/>
  <c r="E31" i="62"/>
  <c r="D31" i="62"/>
  <c r="C31" i="62"/>
  <c r="H22" i="62"/>
  <c r="E22" i="62"/>
  <c r="I20" i="62"/>
  <c r="F20" i="62"/>
  <c r="C20" i="62"/>
  <c r="H19" i="62"/>
  <c r="E19" i="62"/>
  <c r="H13" i="62"/>
  <c r="E13" i="62"/>
  <c r="I11" i="62"/>
  <c r="F11" i="62"/>
  <c r="C11" i="62"/>
  <c r="H10" i="62"/>
  <c r="E10" i="62"/>
  <c r="I12" i="62"/>
  <c r="H20" i="62"/>
  <c r="F12" i="62"/>
  <c r="E20" i="62"/>
  <c r="D12" i="62"/>
  <c r="C12" i="62"/>
  <c r="I4" i="62"/>
  <c r="H4" i="62"/>
  <c r="G4" i="62"/>
  <c r="F4" i="62"/>
  <c r="E4" i="62"/>
  <c r="D4" i="62"/>
  <c r="C4" i="62"/>
  <c r="I3" i="62"/>
  <c r="H3" i="62"/>
  <c r="G3" i="62"/>
  <c r="F3" i="62"/>
  <c r="E3" i="62"/>
  <c r="D3" i="62"/>
  <c r="C3" i="62"/>
  <c r="C2" i="62"/>
  <c r="E10" i="59"/>
  <c r="F10" i="59"/>
  <c r="G10" i="59"/>
  <c r="H10" i="59"/>
  <c r="I10" i="59"/>
  <c r="C10" i="59"/>
  <c r="E33" i="59"/>
  <c r="F33" i="59"/>
  <c r="G33" i="59"/>
  <c r="H33" i="59"/>
  <c r="I33" i="59"/>
  <c r="C33" i="59"/>
  <c r="D43" i="59"/>
  <c r="E43" i="59"/>
  <c r="F43" i="59"/>
  <c r="G43" i="59"/>
  <c r="H43" i="59"/>
  <c r="I43" i="59"/>
  <c r="D44" i="59"/>
  <c r="E44" i="59"/>
  <c r="F44" i="59"/>
  <c r="G44" i="59"/>
  <c r="H44" i="59"/>
  <c r="I44" i="59"/>
  <c r="D45" i="59"/>
  <c r="E45" i="59"/>
  <c r="F45" i="59"/>
  <c r="G45" i="59"/>
  <c r="H45" i="59"/>
  <c r="H20" i="59" s="1"/>
  <c r="I45" i="59"/>
  <c r="D47" i="59"/>
  <c r="E47" i="59"/>
  <c r="F47" i="59"/>
  <c r="G47" i="59"/>
  <c r="H47" i="59"/>
  <c r="H22" i="59" s="1"/>
  <c r="I47" i="59"/>
  <c r="D36" i="59"/>
  <c r="E36" i="59"/>
  <c r="F36" i="59"/>
  <c r="G36" i="59"/>
  <c r="H36" i="59"/>
  <c r="I36" i="59"/>
  <c r="D37" i="59"/>
  <c r="E37" i="59"/>
  <c r="F37" i="59"/>
  <c r="G37" i="59"/>
  <c r="G12" i="59" s="1"/>
  <c r="H37" i="59"/>
  <c r="I37" i="59"/>
  <c r="D38" i="59"/>
  <c r="E38" i="59"/>
  <c r="F38" i="59"/>
  <c r="G38" i="59"/>
  <c r="H38" i="59"/>
  <c r="I38" i="59"/>
  <c r="F31" i="59"/>
  <c r="G31" i="59"/>
  <c r="H31" i="59"/>
  <c r="I31" i="59"/>
  <c r="F3" i="59"/>
  <c r="G3" i="59"/>
  <c r="H3" i="59"/>
  <c r="I3" i="59"/>
  <c r="F4" i="59"/>
  <c r="G4" i="59"/>
  <c r="H4" i="59"/>
  <c r="I4" i="59"/>
  <c r="G7" i="59"/>
  <c r="H7" i="59"/>
  <c r="H11" i="59"/>
  <c r="H14" i="59" s="1"/>
  <c r="H12" i="59"/>
  <c r="I12" i="59"/>
  <c r="H13" i="59"/>
  <c r="I13" i="59"/>
  <c r="H19" i="59"/>
  <c r="I19" i="59"/>
  <c r="I7" i="58"/>
  <c r="I8" i="58"/>
  <c r="I10" i="58"/>
  <c r="I11" i="58"/>
  <c r="I12" i="58"/>
  <c r="I13" i="58"/>
  <c r="I14" i="58"/>
  <c r="I17" i="58"/>
  <c r="I23" i="58" s="1"/>
  <c r="I18" i="58"/>
  <c r="I19" i="58"/>
  <c r="I20" i="58"/>
  <c r="I21" i="58"/>
  <c r="I22" i="58"/>
  <c r="G3" i="58"/>
  <c r="H3" i="58"/>
  <c r="I3" i="58"/>
  <c r="G4" i="58"/>
  <c r="H4" i="58"/>
  <c r="I4" i="58"/>
  <c r="G6" i="58"/>
  <c r="H6" i="58"/>
  <c r="I6" i="58"/>
  <c r="E10" i="58"/>
  <c r="F10" i="58"/>
  <c r="G10" i="58"/>
  <c r="H10" i="58"/>
  <c r="C10" i="58"/>
  <c r="G31" i="58"/>
  <c r="H31" i="58"/>
  <c r="I31" i="58"/>
  <c r="E33" i="58"/>
  <c r="F33" i="58"/>
  <c r="G33" i="58"/>
  <c r="H33" i="58"/>
  <c r="I33" i="58"/>
  <c r="C33" i="58"/>
  <c r="D47" i="58"/>
  <c r="E47" i="58"/>
  <c r="F47" i="58"/>
  <c r="G47" i="58"/>
  <c r="H47" i="58"/>
  <c r="I47" i="58"/>
  <c r="D43" i="58"/>
  <c r="E43" i="58"/>
  <c r="F43" i="58"/>
  <c r="G43" i="58"/>
  <c r="H43" i="58"/>
  <c r="I43" i="58"/>
  <c r="D44" i="58"/>
  <c r="E44" i="58"/>
  <c r="F44" i="58"/>
  <c r="F19" i="58" s="1"/>
  <c r="G44" i="58"/>
  <c r="H44" i="58"/>
  <c r="I44" i="58"/>
  <c r="D45" i="58"/>
  <c r="E45" i="58"/>
  <c r="F45" i="58"/>
  <c r="G45" i="58"/>
  <c r="H45" i="58"/>
  <c r="I45" i="58"/>
  <c r="D36" i="58"/>
  <c r="E36" i="58"/>
  <c r="F36" i="58"/>
  <c r="G36" i="58"/>
  <c r="H36" i="58"/>
  <c r="I36" i="58"/>
  <c r="D37" i="58"/>
  <c r="E37" i="58"/>
  <c r="F37" i="58"/>
  <c r="F12" i="58" s="1"/>
  <c r="G37" i="58"/>
  <c r="H37" i="58"/>
  <c r="I37" i="58"/>
  <c r="D38" i="58"/>
  <c r="E38" i="58"/>
  <c r="F38" i="58"/>
  <c r="F13" i="58" s="1"/>
  <c r="G38" i="58"/>
  <c r="H38" i="58"/>
  <c r="I38" i="58"/>
  <c r="F7" i="58"/>
  <c r="F8" i="58" s="1"/>
  <c r="F11" i="58"/>
  <c r="F20" i="58"/>
  <c r="F22" i="58"/>
  <c r="F31" i="58"/>
  <c r="F3" i="58"/>
  <c r="F4" i="58"/>
  <c r="F6" i="58"/>
  <c r="E10" i="57"/>
  <c r="F10" i="57"/>
  <c r="G10" i="57"/>
  <c r="H10" i="57"/>
  <c r="I10" i="57"/>
  <c r="C10" i="57"/>
  <c r="E33" i="57"/>
  <c r="F33" i="57"/>
  <c r="G33" i="57"/>
  <c r="H33" i="57"/>
  <c r="I33" i="57"/>
  <c r="C33" i="57"/>
  <c r="E10" i="43"/>
  <c r="F10" i="43"/>
  <c r="G10" i="43"/>
  <c r="H10" i="43"/>
  <c r="I10" i="43"/>
  <c r="C10" i="43"/>
  <c r="E10" i="56"/>
  <c r="F10" i="56"/>
  <c r="G10" i="56"/>
  <c r="H10" i="56"/>
  <c r="I10" i="56"/>
  <c r="C10" i="56"/>
  <c r="E33" i="56"/>
  <c r="F33" i="56"/>
  <c r="G33" i="56"/>
  <c r="H33" i="56"/>
  <c r="I33" i="56"/>
  <c r="C33" i="56"/>
  <c r="F47" i="43"/>
  <c r="F45" i="43"/>
  <c r="F44" i="43"/>
  <c r="F43" i="43"/>
  <c r="F38" i="43"/>
  <c r="F37" i="43"/>
  <c r="F36" i="43"/>
  <c r="G47" i="43"/>
  <c r="G45" i="43"/>
  <c r="G44" i="43"/>
  <c r="G43" i="43"/>
  <c r="H47" i="43"/>
  <c r="H45" i="43"/>
  <c r="H44" i="43"/>
  <c r="H43" i="43"/>
  <c r="I47" i="43"/>
  <c r="I45" i="43"/>
  <c r="I44" i="43"/>
  <c r="I43" i="43"/>
  <c r="G38" i="43"/>
  <c r="G37" i="43"/>
  <c r="G36" i="43"/>
  <c r="H38" i="43"/>
  <c r="H37" i="43"/>
  <c r="H36" i="43"/>
  <c r="I38" i="43"/>
  <c r="I37" i="43"/>
  <c r="I36" i="43"/>
  <c r="E33" i="43"/>
  <c r="F33" i="43"/>
  <c r="G33" i="43"/>
  <c r="H33" i="43"/>
  <c r="I33" i="43"/>
  <c r="C33" i="43"/>
  <c r="E19" i="55"/>
  <c r="F19" i="55"/>
  <c r="G19" i="55"/>
  <c r="G20" i="55" s="1"/>
  <c r="H19" i="55"/>
  <c r="I19" i="55"/>
  <c r="E20" i="55"/>
  <c r="F20" i="55"/>
  <c r="H20" i="55"/>
  <c r="I20" i="55"/>
  <c r="C20" i="55"/>
  <c r="C19" i="55"/>
  <c r="I12" i="53"/>
  <c r="I13" i="53" s="1"/>
  <c r="I14" i="53" s="1"/>
  <c r="I15" i="53" s="1"/>
  <c r="I16" i="53" s="1"/>
  <c r="I17" i="53" s="1"/>
  <c r="I18" i="53" s="1"/>
  <c r="I19" i="53" s="1"/>
  <c r="J12" i="53"/>
  <c r="D14" i="53"/>
  <c r="F14" i="53"/>
  <c r="G14" i="53"/>
  <c r="H14" i="53"/>
  <c r="H15" i="53" s="1"/>
  <c r="H16" i="53" s="1"/>
  <c r="H17" i="53" s="1"/>
  <c r="H18" i="53" s="1"/>
  <c r="H19" i="53" s="1"/>
  <c r="D15" i="53"/>
  <c r="D16" i="53" s="1"/>
  <c r="D17" i="53" s="1"/>
  <c r="D18" i="53" s="1"/>
  <c r="D19" i="53" s="1"/>
  <c r="F15" i="53"/>
  <c r="G15" i="53"/>
  <c r="G16" i="53" s="1"/>
  <c r="G17" i="53" s="1"/>
  <c r="G18" i="53" s="1"/>
  <c r="G19" i="53" s="1"/>
  <c r="F16" i="53"/>
  <c r="F17" i="53" s="1"/>
  <c r="F18" i="53" s="1"/>
  <c r="F19" i="53" s="1"/>
  <c r="H13" i="53"/>
  <c r="J13" i="53"/>
  <c r="J14" i="53" s="1"/>
  <c r="J15" i="53" s="1"/>
  <c r="J16" i="53" s="1"/>
  <c r="J17" i="53" s="1"/>
  <c r="J18" i="53" s="1"/>
  <c r="J19" i="53" s="1"/>
  <c r="F13" i="53"/>
  <c r="G13" i="53"/>
  <c r="D13" i="53"/>
  <c r="G18" i="55"/>
  <c r="H18" i="55"/>
  <c r="I18" i="55"/>
  <c r="L11" i="55"/>
  <c r="L12" i="55" s="1"/>
  <c r="F18" i="50"/>
  <c r="F19" i="50"/>
  <c r="F20" i="50"/>
  <c r="F21" i="50"/>
  <c r="F22" i="50"/>
  <c r="F23" i="50"/>
  <c r="F24" i="50"/>
  <c r="F25" i="50"/>
  <c r="I83" i="50"/>
  <c r="I70" i="50"/>
  <c r="I57" i="50"/>
  <c r="I44" i="50"/>
  <c r="F84" i="50"/>
  <c r="F85" i="50"/>
  <c r="F86" i="50"/>
  <c r="F88" i="50"/>
  <c r="F89" i="50"/>
  <c r="F90" i="50"/>
  <c r="F91" i="50"/>
  <c r="F58" i="50"/>
  <c r="F59" i="50"/>
  <c r="F60" i="50"/>
  <c r="F62" i="50"/>
  <c r="F63" i="50"/>
  <c r="F64" i="50"/>
  <c r="F65" i="50"/>
  <c r="F45" i="50"/>
  <c r="F46" i="50"/>
  <c r="F47" i="50"/>
  <c r="F49" i="50"/>
  <c r="F50" i="50"/>
  <c r="F51" i="50"/>
  <c r="F52" i="50"/>
  <c r="F32" i="50"/>
  <c r="F33" i="50"/>
  <c r="F34" i="50"/>
  <c r="F36" i="50"/>
  <c r="F37" i="50"/>
  <c r="F38" i="50"/>
  <c r="F39" i="50"/>
  <c r="C82" i="50"/>
  <c r="C69" i="50"/>
  <c r="C56" i="50"/>
  <c r="C43" i="50"/>
  <c r="C30" i="50"/>
  <c r="C16" i="50"/>
  <c r="F7" i="50"/>
  <c r="F87" i="50" s="1"/>
  <c r="I9" i="58" l="1"/>
  <c r="I15" i="58" s="1"/>
  <c r="I16" i="58" s="1"/>
  <c r="J61" i="2"/>
  <c r="E20" i="64"/>
  <c r="E11" i="64"/>
  <c r="E22" i="64"/>
  <c r="E19" i="64"/>
  <c r="E13" i="64"/>
  <c r="E10" i="64"/>
  <c r="E7" i="64"/>
  <c r="E8" i="64" s="1"/>
  <c r="H20" i="64"/>
  <c r="H11" i="64"/>
  <c r="H22" i="64"/>
  <c r="H19" i="64"/>
  <c r="H13" i="64"/>
  <c r="H10" i="64"/>
  <c r="H7" i="64"/>
  <c r="H8" i="64" s="1"/>
  <c r="F9" i="64"/>
  <c r="I9" i="64"/>
  <c r="H12" i="64"/>
  <c r="J6" i="64"/>
  <c r="C11" i="64"/>
  <c r="F11" i="64"/>
  <c r="F14" i="64" s="1"/>
  <c r="I11" i="64"/>
  <c r="I14" i="64" s="1"/>
  <c r="D12" i="64"/>
  <c r="G12" i="64"/>
  <c r="C20" i="64"/>
  <c r="F20" i="64"/>
  <c r="I20" i="64"/>
  <c r="D7" i="64"/>
  <c r="D8" i="64" s="1"/>
  <c r="G7" i="64"/>
  <c r="G8" i="64" s="1"/>
  <c r="G10" i="64"/>
  <c r="D13" i="64"/>
  <c r="G13" i="64"/>
  <c r="D19" i="64"/>
  <c r="G19" i="64"/>
  <c r="E9" i="63"/>
  <c r="H9" i="63"/>
  <c r="D22" i="63"/>
  <c r="D19" i="63"/>
  <c r="D13" i="63"/>
  <c r="D7" i="63"/>
  <c r="D8" i="63" s="1"/>
  <c r="D20" i="63"/>
  <c r="D11" i="63"/>
  <c r="G22" i="63"/>
  <c r="G19" i="63"/>
  <c r="G13" i="63"/>
  <c r="G10" i="63"/>
  <c r="G7" i="63"/>
  <c r="G8" i="63" s="1"/>
  <c r="G20" i="63"/>
  <c r="G17" i="63"/>
  <c r="G11" i="63"/>
  <c r="J6" i="63"/>
  <c r="I18" i="63" s="1"/>
  <c r="I17" i="63" s="1"/>
  <c r="G12" i="63"/>
  <c r="D21" i="63"/>
  <c r="D46" i="63" s="1"/>
  <c r="G21" i="63"/>
  <c r="G46" i="63" s="1"/>
  <c r="C7" i="63"/>
  <c r="C8" i="63" s="1"/>
  <c r="F7" i="63"/>
  <c r="F8" i="63" s="1"/>
  <c r="I7" i="63"/>
  <c r="I8" i="63" s="1"/>
  <c r="C10" i="63"/>
  <c r="F10" i="63"/>
  <c r="I10" i="63"/>
  <c r="E12" i="63"/>
  <c r="J12" i="63" s="1"/>
  <c r="H12" i="63"/>
  <c r="C13" i="63"/>
  <c r="F13" i="63"/>
  <c r="F14" i="63" s="1"/>
  <c r="I13" i="63"/>
  <c r="I14" i="63" s="1"/>
  <c r="E18" i="63"/>
  <c r="E17" i="63" s="1"/>
  <c r="H18" i="63"/>
  <c r="H17" i="63" s="1"/>
  <c r="C19" i="63"/>
  <c r="F19" i="63"/>
  <c r="I19" i="63"/>
  <c r="E21" i="63"/>
  <c r="E46" i="63" s="1"/>
  <c r="H21" i="63"/>
  <c r="H46" i="63" s="1"/>
  <c r="C22" i="63"/>
  <c r="F22" i="63"/>
  <c r="I22" i="63"/>
  <c r="D18" i="63"/>
  <c r="D17" i="63" s="1"/>
  <c r="G18" i="63"/>
  <c r="E11" i="63"/>
  <c r="H11" i="63"/>
  <c r="H14" i="63" s="1"/>
  <c r="C18" i="63"/>
  <c r="C17" i="63" s="1"/>
  <c r="F18" i="63"/>
  <c r="F17" i="63" s="1"/>
  <c r="C21" i="63"/>
  <c r="C46" i="63" s="1"/>
  <c r="F21" i="63"/>
  <c r="F46" i="63" s="1"/>
  <c r="I22" i="59"/>
  <c r="H8" i="59"/>
  <c r="H9" i="59" s="1"/>
  <c r="F7" i="59"/>
  <c r="F8" i="59" s="1"/>
  <c r="F11" i="59"/>
  <c r="F22" i="59"/>
  <c r="F19" i="59"/>
  <c r="F13" i="59"/>
  <c r="F14" i="59" s="1"/>
  <c r="I7" i="59"/>
  <c r="I8" i="59" s="1"/>
  <c r="F14" i="62"/>
  <c r="D22" i="62"/>
  <c r="D19" i="62"/>
  <c r="D13" i="62"/>
  <c r="D20" i="62"/>
  <c r="J20" i="62" s="1"/>
  <c r="D11" i="62"/>
  <c r="G22" i="62"/>
  <c r="G19" i="62"/>
  <c r="G13" i="62"/>
  <c r="G10" i="62"/>
  <c r="G20" i="62"/>
  <c r="G11" i="62"/>
  <c r="J6" i="62"/>
  <c r="I21" i="62" s="1"/>
  <c r="I46" i="62" s="1"/>
  <c r="G12" i="62"/>
  <c r="C7" i="62"/>
  <c r="C8" i="62" s="1"/>
  <c r="C10" i="62"/>
  <c r="F10" i="62"/>
  <c r="I10" i="62"/>
  <c r="E12" i="62"/>
  <c r="H12" i="62"/>
  <c r="C13" i="62"/>
  <c r="F13" i="62"/>
  <c r="I13" i="62"/>
  <c r="I14" i="62" s="1"/>
  <c r="C19" i="62"/>
  <c r="F19" i="62"/>
  <c r="I19" i="62"/>
  <c r="C22" i="62"/>
  <c r="F22" i="62"/>
  <c r="I22" i="62"/>
  <c r="D21" i="62"/>
  <c r="D46" i="62" s="1"/>
  <c r="E11" i="62"/>
  <c r="E14" i="62" s="1"/>
  <c r="H11" i="62"/>
  <c r="J11" i="62" s="1"/>
  <c r="F21" i="62"/>
  <c r="F46" i="62" s="1"/>
  <c r="I14" i="59"/>
  <c r="G8" i="59"/>
  <c r="G9" i="59" s="1"/>
  <c r="G32" i="59" s="1"/>
  <c r="G34" i="59" s="1"/>
  <c r="G40" i="59" s="1"/>
  <c r="G20" i="59"/>
  <c r="G11" i="59"/>
  <c r="I9" i="59"/>
  <c r="F9" i="59"/>
  <c r="G22" i="59"/>
  <c r="I20" i="59"/>
  <c r="F20" i="59"/>
  <c r="G19" i="59"/>
  <c r="G13" i="59"/>
  <c r="F14" i="58"/>
  <c r="F9" i="58"/>
  <c r="M12" i="55"/>
  <c r="L13" i="55"/>
  <c r="M11" i="55"/>
  <c r="F61" i="50"/>
  <c r="F48" i="50"/>
  <c r="F35" i="50"/>
  <c r="F28" i="51"/>
  <c r="G28" i="51"/>
  <c r="H28" i="51"/>
  <c r="I28" i="51"/>
  <c r="J28" i="51"/>
  <c r="K28" i="51"/>
  <c r="F27" i="51"/>
  <c r="G27" i="51"/>
  <c r="H27" i="51" s="1"/>
  <c r="I27" i="51" s="1"/>
  <c r="J27" i="51" s="1"/>
  <c r="K27" i="51" s="1"/>
  <c r="E27" i="51"/>
  <c r="D27" i="51"/>
  <c r="F26" i="51"/>
  <c r="G26" i="51"/>
  <c r="H26" i="51"/>
  <c r="I26" i="51" s="1"/>
  <c r="J26" i="51" s="1"/>
  <c r="K26" i="51" s="1"/>
  <c r="D26" i="51"/>
  <c r="J13" i="55"/>
  <c r="J14" i="55"/>
  <c r="N17" i="55"/>
  <c r="I24" i="58" l="1"/>
  <c r="I25" i="58" s="1"/>
  <c r="I26" i="58" s="1"/>
  <c r="I27" i="58" s="1"/>
  <c r="D14" i="64"/>
  <c r="J19" i="64"/>
  <c r="J20" i="64"/>
  <c r="J12" i="64"/>
  <c r="J13" i="64"/>
  <c r="I32" i="64"/>
  <c r="I34" i="64" s="1"/>
  <c r="I40" i="64" s="1"/>
  <c r="I15" i="64"/>
  <c r="F32" i="64"/>
  <c r="F34" i="64" s="1"/>
  <c r="F40" i="64" s="1"/>
  <c r="F15" i="64"/>
  <c r="H9" i="64"/>
  <c r="D9" i="64"/>
  <c r="C14" i="64"/>
  <c r="J11" i="64"/>
  <c r="C9" i="64"/>
  <c r="H14" i="64"/>
  <c r="E9" i="64"/>
  <c r="I21" i="64"/>
  <c r="F21" i="64"/>
  <c r="C21" i="64"/>
  <c r="I18" i="64"/>
  <c r="I17" i="64" s="1"/>
  <c r="F18" i="64"/>
  <c r="F17" i="64" s="1"/>
  <c r="C18" i="64"/>
  <c r="C17" i="64" s="1"/>
  <c r="E18" i="64"/>
  <c r="E17" i="64" s="1"/>
  <c r="G21" i="64"/>
  <c r="D21" i="64"/>
  <c r="G18" i="64"/>
  <c r="G17" i="64" s="1"/>
  <c r="D18" i="64"/>
  <c r="D17" i="64" s="1"/>
  <c r="H21" i="64"/>
  <c r="H46" i="64" s="1"/>
  <c r="E21" i="64"/>
  <c r="E46" i="64" s="1"/>
  <c r="H18" i="64"/>
  <c r="H17" i="64" s="1"/>
  <c r="G9" i="64"/>
  <c r="G14" i="64"/>
  <c r="J7" i="64"/>
  <c r="J22" i="64"/>
  <c r="E14" i="64"/>
  <c r="J20" i="63"/>
  <c r="E14" i="63"/>
  <c r="E15" i="63" s="1"/>
  <c r="I21" i="63"/>
  <c r="I46" i="63" s="1"/>
  <c r="H32" i="63"/>
  <c r="H34" i="63" s="1"/>
  <c r="H40" i="63" s="1"/>
  <c r="H48" i="63" s="1"/>
  <c r="H15" i="63"/>
  <c r="E32" i="63"/>
  <c r="E34" i="63" s="1"/>
  <c r="E40" i="63" s="1"/>
  <c r="E48" i="63" s="1"/>
  <c r="J13" i="63"/>
  <c r="C14" i="63"/>
  <c r="I9" i="63"/>
  <c r="G23" i="63"/>
  <c r="J11" i="63"/>
  <c r="F23" i="63"/>
  <c r="J19" i="63"/>
  <c r="F9" i="63"/>
  <c r="D14" i="63"/>
  <c r="D9" i="63"/>
  <c r="I23" i="63"/>
  <c r="J17" i="63"/>
  <c r="J22" i="63"/>
  <c r="C23" i="63"/>
  <c r="J7" i="63"/>
  <c r="C9" i="63"/>
  <c r="H23" i="63"/>
  <c r="G14" i="63"/>
  <c r="G9" i="63"/>
  <c r="D23" i="63"/>
  <c r="E23" i="63"/>
  <c r="F18" i="62"/>
  <c r="F17" i="62" s="1"/>
  <c r="F23" i="62" s="1"/>
  <c r="E21" i="62"/>
  <c r="E46" i="62" s="1"/>
  <c r="J19" i="62"/>
  <c r="J12" i="62"/>
  <c r="C18" i="62"/>
  <c r="C17" i="62" s="1"/>
  <c r="G21" i="62"/>
  <c r="G46" i="62" s="1"/>
  <c r="H18" i="62"/>
  <c r="H17" i="62" s="1"/>
  <c r="H23" i="62" s="1"/>
  <c r="C21" i="62"/>
  <c r="C46" i="62" s="1"/>
  <c r="H21" i="62"/>
  <c r="H46" i="62" s="1"/>
  <c r="E18" i="62"/>
  <c r="E17" i="62" s="1"/>
  <c r="H32" i="59"/>
  <c r="H34" i="59" s="1"/>
  <c r="H40" i="59" s="1"/>
  <c r="H15" i="59"/>
  <c r="H16" i="59" s="1"/>
  <c r="I15" i="59"/>
  <c r="I32" i="59"/>
  <c r="I34" i="59" s="1"/>
  <c r="I40" i="59" s="1"/>
  <c r="F15" i="59"/>
  <c r="F32" i="59"/>
  <c r="F34" i="59" s="1"/>
  <c r="F40" i="59" s="1"/>
  <c r="H32" i="62"/>
  <c r="H34" i="62" s="1"/>
  <c r="H40" i="62" s="1"/>
  <c r="E32" i="62"/>
  <c r="E34" i="62" s="1"/>
  <c r="E40" i="62" s="1"/>
  <c r="E15" i="62"/>
  <c r="H14" i="62"/>
  <c r="H15" i="62" s="1"/>
  <c r="J22" i="62"/>
  <c r="J7" i="62"/>
  <c r="H5" i="2" s="1"/>
  <c r="C9" i="62"/>
  <c r="G18" i="62"/>
  <c r="G17" i="62" s="1"/>
  <c r="D18" i="62"/>
  <c r="D17" i="62" s="1"/>
  <c r="D23" i="62" s="1"/>
  <c r="D14" i="62"/>
  <c r="I18" i="62"/>
  <c r="I17" i="62" s="1"/>
  <c r="I23" i="62" s="1"/>
  <c r="J13" i="62"/>
  <c r="C14" i="62"/>
  <c r="G14" i="62"/>
  <c r="I16" i="59"/>
  <c r="G14" i="59"/>
  <c r="G15" i="59" s="1"/>
  <c r="F16" i="59"/>
  <c r="F32" i="58"/>
  <c r="F34" i="58" s="1"/>
  <c r="F40" i="58" s="1"/>
  <c r="F15" i="58"/>
  <c r="M13" i="55"/>
  <c r="L14" i="55"/>
  <c r="M14" i="55" s="1"/>
  <c r="D3" i="53"/>
  <c r="C23" i="62" l="1"/>
  <c r="E23" i="62"/>
  <c r="E48" i="62"/>
  <c r="G32" i="64"/>
  <c r="G34" i="64" s="1"/>
  <c r="G40" i="64" s="1"/>
  <c r="G15" i="64"/>
  <c r="D32" i="64"/>
  <c r="J14" i="64"/>
  <c r="E23" i="64"/>
  <c r="J8" i="64"/>
  <c r="I16" i="64"/>
  <c r="H23" i="64"/>
  <c r="G46" i="64"/>
  <c r="G23" i="64"/>
  <c r="F46" i="64"/>
  <c r="F48" i="64" s="1"/>
  <c r="F23" i="64"/>
  <c r="I46" i="64"/>
  <c r="I48" i="64" s="1"/>
  <c r="I23" i="64"/>
  <c r="I24" i="64" s="1"/>
  <c r="I25" i="64" s="1"/>
  <c r="D46" i="64"/>
  <c r="D23" i="64"/>
  <c r="J17" i="64"/>
  <c r="J23" i="64" s="1"/>
  <c r="C46" i="64"/>
  <c r="C23" i="64"/>
  <c r="E32" i="64"/>
  <c r="E34" i="64" s="1"/>
  <c r="E40" i="64" s="1"/>
  <c r="E48" i="64" s="1"/>
  <c r="E15" i="64"/>
  <c r="C32" i="64"/>
  <c r="C34" i="64" s="1"/>
  <c r="C40" i="64" s="1"/>
  <c r="C15" i="64"/>
  <c r="J9" i="64"/>
  <c r="H32" i="64"/>
  <c r="H34" i="64" s="1"/>
  <c r="H40" i="64" s="1"/>
  <c r="H48" i="64" s="1"/>
  <c r="H15" i="64"/>
  <c r="F24" i="64"/>
  <c r="F25" i="64" s="1"/>
  <c r="F16" i="64"/>
  <c r="G32" i="63"/>
  <c r="G34" i="63" s="1"/>
  <c r="G40" i="63" s="1"/>
  <c r="G48" i="63" s="1"/>
  <c r="G15" i="63"/>
  <c r="C32" i="63"/>
  <c r="C34" i="63" s="1"/>
  <c r="C40" i="63" s="1"/>
  <c r="C48" i="63" s="1"/>
  <c r="C15" i="63"/>
  <c r="J9" i="63"/>
  <c r="D32" i="63"/>
  <c r="J14" i="63"/>
  <c r="J23" i="63"/>
  <c r="H24" i="63"/>
  <c r="H25" i="63" s="1"/>
  <c r="H16" i="63"/>
  <c r="J8" i="63"/>
  <c r="F32" i="63"/>
  <c r="F34" i="63" s="1"/>
  <c r="F40" i="63" s="1"/>
  <c r="F48" i="63" s="1"/>
  <c r="F15" i="63"/>
  <c r="I32" i="63"/>
  <c r="I34" i="63" s="1"/>
  <c r="I40" i="63" s="1"/>
  <c r="I48" i="63" s="1"/>
  <c r="I15" i="63"/>
  <c r="E16" i="63"/>
  <c r="E24" i="63"/>
  <c r="E25" i="63" s="1"/>
  <c r="H48" i="62"/>
  <c r="J14" i="62"/>
  <c r="G23" i="62"/>
  <c r="G32" i="62"/>
  <c r="G34" i="62" s="1"/>
  <c r="G40" i="62" s="1"/>
  <c r="G48" i="62" s="1"/>
  <c r="G15" i="62"/>
  <c r="I32" i="62"/>
  <c r="I34" i="62" s="1"/>
  <c r="I40" i="62" s="1"/>
  <c r="I48" i="62" s="1"/>
  <c r="I15" i="62"/>
  <c r="C32" i="62"/>
  <c r="C34" i="62" s="1"/>
  <c r="C40" i="62" s="1"/>
  <c r="C48" i="62" s="1"/>
  <c r="C15" i="62"/>
  <c r="J9" i="62"/>
  <c r="H7" i="2" s="1"/>
  <c r="H24" i="62"/>
  <c r="H25" i="62" s="1"/>
  <c r="H16" i="62"/>
  <c r="D32" i="62"/>
  <c r="J17" i="62"/>
  <c r="J23" i="62" s="1"/>
  <c r="F32" i="62"/>
  <c r="F34" i="62" s="1"/>
  <c r="F40" i="62" s="1"/>
  <c r="F48" i="62" s="1"/>
  <c r="F15" i="62"/>
  <c r="J8" i="62"/>
  <c r="H6" i="2" s="1"/>
  <c r="E24" i="62"/>
  <c r="E25" i="62" s="1"/>
  <c r="E16" i="62"/>
  <c r="G16" i="59"/>
  <c r="F16" i="58"/>
  <c r="F74" i="50"/>
  <c r="H50" i="2" l="1"/>
  <c r="H49" i="2"/>
  <c r="H30" i="2"/>
  <c r="H51" i="2"/>
  <c r="H48" i="2"/>
  <c r="H52" i="2"/>
  <c r="C48" i="64"/>
  <c r="I26" i="64"/>
  <c r="I27" i="64" s="1"/>
  <c r="G16" i="64"/>
  <c r="G24" i="64"/>
  <c r="G25" i="64" s="1"/>
  <c r="H16" i="64"/>
  <c r="H24" i="64"/>
  <c r="H25" i="64" s="1"/>
  <c r="C24" i="64"/>
  <c r="C25" i="64" s="1"/>
  <c r="C16" i="64"/>
  <c r="F26" i="64"/>
  <c r="F27" i="64" s="1"/>
  <c r="E16" i="64"/>
  <c r="E24" i="64"/>
  <c r="E25" i="64" s="1"/>
  <c r="G48" i="64"/>
  <c r="F24" i="63"/>
  <c r="F25" i="63" s="1"/>
  <c r="F16" i="63"/>
  <c r="G16" i="63"/>
  <c r="G24" i="63"/>
  <c r="G25" i="63" s="1"/>
  <c r="E26" i="63"/>
  <c r="E27" i="63" s="1"/>
  <c r="I24" i="63"/>
  <c r="I25" i="63" s="1"/>
  <c r="I16" i="63"/>
  <c r="H26" i="63"/>
  <c r="H27" i="63" s="1"/>
  <c r="C24" i="63"/>
  <c r="C25" i="63" s="1"/>
  <c r="C16" i="63"/>
  <c r="C24" i="62"/>
  <c r="C25" i="62" s="1"/>
  <c r="C16" i="62"/>
  <c r="E26" i="62"/>
  <c r="E27" i="62" s="1"/>
  <c r="F24" i="62"/>
  <c r="F25" i="62" s="1"/>
  <c r="F16" i="62"/>
  <c r="H26" i="62"/>
  <c r="H27" i="62" s="1"/>
  <c r="G16" i="62"/>
  <c r="G24" i="62"/>
  <c r="G25" i="62" s="1"/>
  <c r="I24" i="62"/>
  <c r="I25" i="62" s="1"/>
  <c r="I16" i="62"/>
  <c r="E4" i="53"/>
  <c r="F4" i="53"/>
  <c r="G4" i="53"/>
  <c r="H4" i="53"/>
  <c r="I4" i="53"/>
  <c r="J4" i="53"/>
  <c r="E5" i="53"/>
  <c r="F5" i="53"/>
  <c r="G5" i="53"/>
  <c r="H5" i="53"/>
  <c r="I5" i="53"/>
  <c r="J5" i="53"/>
  <c r="D5" i="53"/>
  <c r="D4" i="53"/>
  <c r="H88" i="50"/>
  <c r="I87" i="50"/>
  <c r="H87" i="50"/>
  <c r="E26" i="64" l="1"/>
  <c r="E27" i="64" s="1"/>
  <c r="H26" i="64"/>
  <c r="H27" i="64" s="1"/>
  <c r="C26" i="64"/>
  <c r="G26" i="64"/>
  <c r="G27" i="64" s="1"/>
  <c r="C26" i="63"/>
  <c r="I26" i="63"/>
  <c r="I27" i="63" s="1"/>
  <c r="G26" i="63"/>
  <c r="G27" i="63" s="1"/>
  <c r="F26" i="63"/>
  <c r="F27" i="63" s="1"/>
  <c r="F26" i="62"/>
  <c r="F27" i="62" s="1"/>
  <c r="I26" i="62"/>
  <c r="I27" i="62" s="1"/>
  <c r="G26" i="62"/>
  <c r="G27" i="62" s="1"/>
  <c r="C26" i="62"/>
  <c r="E59" i="50"/>
  <c r="E62" i="50"/>
  <c r="E64" i="50"/>
  <c r="E60" i="50"/>
  <c r="E63" i="50"/>
  <c r="E61" i="50"/>
  <c r="E74" i="50"/>
  <c r="E72" i="50"/>
  <c r="E75" i="50"/>
  <c r="E77" i="50"/>
  <c r="E73" i="50"/>
  <c r="E76" i="50"/>
  <c r="E47" i="50"/>
  <c r="E50" i="50"/>
  <c r="E48" i="50"/>
  <c r="E52" i="50"/>
  <c r="E46" i="50"/>
  <c r="E49" i="50"/>
  <c r="E51" i="50"/>
  <c r="E86" i="50"/>
  <c r="E89" i="50"/>
  <c r="E87" i="50"/>
  <c r="E85" i="50"/>
  <c r="E88" i="50"/>
  <c r="E91" i="50"/>
  <c r="H47" i="57" s="1"/>
  <c r="I47" i="57"/>
  <c r="E84" i="50"/>
  <c r="E90" i="50"/>
  <c r="J21" i="58"/>
  <c r="E31" i="57"/>
  <c r="F31" i="57"/>
  <c r="G31" i="57"/>
  <c r="H31" i="57"/>
  <c r="I31" i="57"/>
  <c r="E6" i="57"/>
  <c r="E7" i="57" s="1"/>
  <c r="F6" i="57"/>
  <c r="F7" i="57" s="1"/>
  <c r="G6" i="57"/>
  <c r="G7" i="57" s="1"/>
  <c r="H6" i="57"/>
  <c r="I6" i="57"/>
  <c r="E3" i="57"/>
  <c r="F3" i="57"/>
  <c r="G3" i="57"/>
  <c r="H3" i="57"/>
  <c r="I3" i="57"/>
  <c r="E4" i="57"/>
  <c r="F4" i="57"/>
  <c r="G4" i="57"/>
  <c r="H4" i="57"/>
  <c r="I4" i="57"/>
  <c r="E31" i="56"/>
  <c r="F31" i="56"/>
  <c r="G31" i="56"/>
  <c r="H31" i="56"/>
  <c r="I31" i="56"/>
  <c r="E3" i="56"/>
  <c r="F3" i="56"/>
  <c r="G3" i="56"/>
  <c r="H3" i="56"/>
  <c r="I3" i="56"/>
  <c r="E4" i="56"/>
  <c r="F4" i="56"/>
  <c r="G4" i="56"/>
  <c r="H4" i="56"/>
  <c r="I4" i="56"/>
  <c r="E6" i="56"/>
  <c r="F6" i="56"/>
  <c r="F7" i="56" s="1"/>
  <c r="G6" i="56"/>
  <c r="G7" i="56" s="1"/>
  <c r="H6" i="56"/>
  <c r="I6" i="56"/>
  <c r="F31" i="43"/>
  <c r="F32" i="43" s="1"/>
  <c r="G31" i="43"/>
  <c r="G32" i="43" s="1"/>
  <c r="H31" i="43"/>
  <c r="H32" i="43" s="1"/>
  <c r="I31" i="43"/>
  <c r="I32" i="43" s="1"/>
  <c r="J8" i="43"/>
  <c r="D6" i="43"/>
  <c r="E6" i="43"/>
  <c r="F6" i="43"/>
  <c r="F7" i="43" s="1"/>
  <c r="G6" i="43"/>
  <c r="G7" i="43" s="1"/>
  <c r="H6" i="43"/>
  <c r="I6" i="43"/>
  <c r="D4" i="43"/>
  <c r="E4" i="43"/>
  <c r="F4" i="43"/>
  <c r="G4" i="43"/>
  <c r="H4" i="43"/>
  <c r="I4" i="43"/>
  <c r="F3" i="43"/>
  <c r="G3" i="43"/>
  <c r="H3" i="43"/>
  <c r="I3" i="43"/>
  <c r="D17" i="55"/>
  <c r="E17" i="55"/>
  <c r="F17" i="55"/>
  <c r="G17" i="55"/>
  <c r="H17" i="55"/>
  <c r="I17" i="55"/>
  <c r="C27" i="64" l="1"/>
  <c r="C27" i="63"/>
  <c r="C27" i="62"/>
  <c r="I47" i="56"/>
  <c r="I22" i="56" s="1"/>
  <c r="H7" i="56"/>
  <c r="H45" i="57"/>
  <c r="H20" i="57" s="1"/>
  <c r="H45" i="56"/>
  <c r="H20" i="56" s="1"/>
  <c r="I45" i="57"/>
  <c r="I20" i="57" s="1"/>
  <c r="I45" i="56"/>
  <c r="I20" i="56" s="1"/>
  <c r="H7" i="57"/>
  <c r="I43" i="57"/>
  <c r="I43" i="56"/>
  <c r="I44" i="56"/>
  <c r="I44" i="57"/>
  <c r="I19" i="57" s="1"/>
  <c r="H44" i="57"/>
  <c r="H19" i="57" s="1"/>
  <c r="H44" i="56"/>
  <c r="H19" i="56" s="1"/>
  <c r="G43" i="57"/>
  <c r="G43" i="56"/>
  <c r="F44" i="56"/>
  <c r="F44" i="57"/>
  <c r="G44" i="57"/>
  <c r="G44" i="56"/>
  <c r="H43" i="56"/>
  <c r="H43" i="57"/>
  <c r="F43" i="57"/>
  <c r="F43" i="56"/>
  <c r="H7" i="43"/>
  <c r="H9" i="43" s="1"/>
  <c r="H13" i="43"/>
  <c r="H12" i="43"/>
  <c r="H11" i="43"/>
  <c r="H22" i="43"/>
  <c r="H20" i="43"/>
  <c r="H19" i="43"/>
  <c r="I7" i="56"/>
  <c r="I22" i="57"/>
  <c r="H22" i="57"/>
  <c r="I7" i="43"/>
  <c r="I9" i="43" s="1"/>
  <c r="I13" i="43"/>
  <c r="I12" i="43"/>
  <c r="I11" i="43"/>
  <c r="I22" i="43"/>
  <c r="I20" i="43"/>
  <c r="I19" i="43"/>
  <c r="I19" i="56"/>
  <c r="I7" i="57"/>
  <c r="H47" i="56"/>
  <c r="H22" i="56" s="1"/>
  <c r="H34" i="43"/>
  <c r="H40" i="43" s="1"/>
  <c r="H38" i="57"/>
  <c r="H13" i="57" s="1"/>
  <c r="H38" i="56"/>
  <c r="H13" i="56" s="1"/>
  <c r="I34" i="43"/>
  <c r="I40" i="43" s="1"/>
  <c r="H36" i="56"/>
  <c r="H11" i="56" s="1"/>
  <c r="H36" i="57"/>
  <c r="H11" i="57" s="1"/>
  <c r="H37" i="56"/>
  <c r="H12" i="56" s="1"/>
  <c r="H37" i="57"/>
  <c r="H12" i="57" s="1"/>
  <c r="I37" i="57"/>
  <c r="I12" i="57" s="1"/>
  <c r="I37" i="56"/>
  <c r="I12" i="56" s="1"/>
  <c r="I36" i="56"/>
  <c r="I11" i="56" s="1"/>
  <c r="I36" i="57"/>
  <c r="I11" i="57" s="1"/>
  <c r="I38" i="56"/>
  <c r="I13" i="56" s="1"/>
  <c r="I38" i="57"/>
  <c r="I13" i="57" s="1"/>
  <c r="H14" i="56" l="1"/>
  <c r="I14" i="43"/>
  <c r="I15" i="43" s="1"/>
  <c r="I16" i="43" s="1"/>
  <c r="H14" i="43"/>
  <c r="H15" i="43" s="1"/>
  <c r="H16" i="43" s="1"/>
  <c r="I14" i="56"/>
  <c r="H14" i="57"/>
  <c r="I14" i="57"/>
  <c r="D12" i="53" l="1"/>
  <c r="C18" i="55" s="1"/>
  <c r="F12" i="53"/>
  <c r="E18" i="55" s="1"/>
  <c r="G12" i="53"/>
  <c r="F18" i="55" s="1"/>
  <c r="H12" i="53"/>
  <c r="D7" i="59" l="1"/>
  <c r="E7" i="59"/>
  <c r="H75" i="50"/>
  <c r="I74" i="50"/>
  <c r="H74" i="50"/>
  <c r="H62" i="50"/>
  <c r="I61" i="50"/>
  <c r="H61" i="50"/>
  <c r="H49" i="50"/>
  <c r="I48" i="50"/>
  <c r="H48" i="50"/>
  <c r="I31" i="50"/>
  <c r="H36" i="50"/>
  <c r="I35" i="50"/>
  <c r="H35" i="50"/>
  <c r="I17" i="50"/>
  <c r="H22" i="50"/>
  <c r="I21" i="50"/>
  <c r="H21" i="50"/>
  <c r="I3" i="50"/>
  <c r="D3" i="59"/>
  <c r="E3" i="59"/>
  <c r="D4" i="59"/>
  <c r="E4" i="59"/>
  <c r="D31" i="59"/>
  <c r="E31" i="59"/>
  <c r="D3" i="58"/>
  <c r="E3" i="58"/>
  <c r="D4" i="58"/>
  <c r="E4" i="58"/>
  <c r="D6" i="58"/>
  <c r="D12" i="58" s="1"/>
  <c r="E6" i="58"/>
  <c r="G19" i="58"/>
  <c r="H13" i="58"/>
  <c r="D31" i="58"/>
  <c r="E31" i="58"/>
  <c r="D3" i="57"/>
  <c r="D4" i="57"/>
  <c r="D6" i="57"/>
  <c r="D7" i="57" s="1"/>
  <c r="D31" i="57"/>
  <c r="D31" i="56"/>
  <c r="D3" i="56"/>
  <c r="D4" i="56"/>
  <c r="D6" i="56"/>
  <c r="E7" i="56"/>
  <c r="E9" i="50" l="1"/>
  <c r="C44" i="43" s="1"/>
  <c r="E5" i="50"/>
  <c r="C43" i="43" s="1"/>
  <c r="E10" i="50"/>
  <c r="E19" i="50"/>
  <c r="D43" i="43" s="1"/>
  <c r="E22" i="50"/>
  <c r="D45" i="43" s="1"/>
  <c r="E24" i="50"/>
  <c r="E20" i="50"/>
  <c r="D37" i="43" s="1"/>
  <c r="E23" i="50"/>
  <c r="D44" i="43" s="1"/>
  <c r="E21" i="50"/>
  <c r="E25" i="50"/>
  <c r="D47" i="43" s="1"/>
  <c r="E35" i="50"/>
  <c r="E39" i="50"/>
  <c r="E47" i="43" s="1"/>
  <c r="E33" i="50"/>
  <c r="E43" i="43" s="1"/>
  <c r="E36" i="50"/>
  <c r="E45" i="43" s="1"/>
  <c r="E38" i="50"/>
  <c r="E38" i="43" s="1"/>
  <c r="E34" i="50"/>
  <c r="E37" i="43" s="1"/>
  <c r="E37" i="50"/>
  <c r="E44" i="43" s="1"/>
  <c r="E71" i="50"/>
  <c r="E78" i="50"/>
  <c r="E45" i="50"/>
  <c r="E13" i="59"/>
  <c r="E32" i="50"/>
  <c r="E36" i="43" s="1"/>
  <c r="E65" i="50"/>
  <c r="E58" i="50"/>
  <c r="E7" i="50"/>
  <c r="E6" i="50"/>
  <c r="E4" i="50"/>
  <c r="C36" i="43" s="1"/>
  <c r="C36" i="56" s="1"/>
  <c r="E8" i="50"/>
  <c r="C45" i="43" s="1"/>
  <c r="E11" i="50"/>
  <c r="D38" i="43"/>
  <c r="E18" i="50"/>
  <c r="D36" i="43" s="1"/>
  <c r="J6" i="59"/>
  <c r="E7" i="58"/>
  <c r="D22" i="58"/>
  <c r="E22" i="59"/>
  <c r="D22" i="59"/>
  <c r="D12" i="59"/>
  <c r="E11" i="59"/>
  <c r="E19" i="59"/>
  <c r="G19" i="57"/>
  <c r="H19" i="58"/>
  <c r="H7" i="58"/>
  <c r="H11" i="58"/>
  <c r="H22" i="58"/>
  <c r="G13" i="58"/>
  <c r="D7" i="56"/>
  <c r="E13" i="58"/>
  <c r="D13" i="59"/>
  <c r="D19" i="59"/>
  <c r="D11" i="59"/>
  <c r="E12" i="59"/>
  <c r="G7" i="58"/>
  <c r="G12" i="58"/>
  <c r="F19" i="56"/>
  <c r="E22" i="58"/>
  <c r="E12" i="58"/>
  <c r="G11" i="58"/>
  <c r="G19" i="56"/>
  <c r="G22" i="58"/>
  <c r="E19" i="58"/>
  <c r="E11" i="58"/>
  <c r="D13" i="58"/>
  <c r="D19" i="58"/>
  <c r="H12" i="58"/>
  <c r="D11" i="58"/>
  <c r="D7" i="58"/>
  <c r="F19" i="57"/>
  <c r="H18" i="59" l="1"/>
  <c r="H17" i="59" s="1"/>
  <c r="H21" i="59"/>
  <c r="H46" i="59" s="1"/>
  <c r="H48" i="59" s="1"/>
  <c r="F18" i="59"/>
  <c r="F17" i="59" s="1"/>
  <c r="I18" i="59"/>
  <c r="I17" i="59" s="1"/>
  <c r="F21" i="59"/>
  <c r="F46" i="59" s="1"/>
  <c r="F48" i="59" s="1"/>
  <c r="I21" i="59"/>
  <c r="I46" i="59" s="1"/>
  <c r="I48" i="59" s="1"/>
  <c r="G18" i="59"/>
  <c r="G17" i="59" s="1"/>
  <c r="G21" i="59"/>
  <c r="G46" i="59" s="1"/>
  <c r="G48" i="59" s="1"/>
  <c r="E44" i="57"/>
  <c r="E19" i="57" s="1"/>
  <c r="E44" i="56"/>
  <c r="E19" i="56" s="1"/>
  <c r="D44" i="56"/>
  <c r="D19" i="56" s="1"/>
  <c r="D44" i="57"/>
  <c r="D19" i="57" s="1"/>
  <c r="E43" i="57"/>
  <c r="E43" i="56"/>
  <c r="D43" i="57"/>
  <c r="D43" i="56"/>
  <c r="F36" i="57"/>
  <c r="F11" i="57" s="1"/>
  <c r="F36" i="56"/>
  <c r="F11" i="56" s="1"/>
  <c r="F38" i="56"/>
  <c r="F13" i="56" s="1"/>
  <c r="F38" i="57"/>
  <c r="F13" i="57" s="1"/>
  <c r="G45" i="57"/>
  <c r="G45" i="56"/>
  <c r="G38" i="56"/>
  <c r="G13" i="56" s="1"/>
  <c r="G38" i="57"/>
  <c r="G13" i="57" s="1"/>
  <c r="G37" i="56"/>
  <c r="G12" i="56" s="1"/>
  <c r="G37" i="57"/>
  <c r="G12" i="57" s="1"/>
  <c r="F45" i="56"/>
  <c r="F45" i="57"/>
  <c r="F37" i="56"/>
  <c r="F12" i="56" s="1"/>
  <c r="F37" i="57"/>
  <c r="F12" i="57" s="1"/>
  <c r="G36" i="56"/>
  <c r="G11" i="56" s="1"/>
  <c r="G36" i="57"/>
  <c r="G11" i="57" s="1"/>
  <c r="E37" i="56"/>
  <c r="E12" i="56" s="1"/>
  <c r="E37" i="57"/>
  <c r="E12" i="57" s="1"/>
  <c r="E45" i="56"/>
  <c r="E45" i="57"/>
  <c r="E38" i="57"/>
  <c r="E13" i="57" s="1"/>
  <c r="E38" i="56"/>
  <c r="E13" i="56" s="1"/>
  <c r="E36" i="56"/>
  <c r="E11" i="56" s="1"/>
  <c r="E36" i="57"/>
  <c r="E11" i="57" s="1"/>
  <c r="D45" i="56"/>
  <c r="D45" i="57"/>
  <c r="D38" i="56"/>
  <c r="D13" i="56" s="1"/>
  <c r="D38" i="57"/>
  <c r="D13" i="57" s="1"/>
  <c r="D37" i="57"/>
  <c r="D12" i="57" s="1"/>
  <c r="D37" i="56"/>
  <c r="D12" i="56" s="1"/>
  <c r="D36" i="56"/>
  <c r="D11" i="56" s="1"/>
  <c r="D36" i="57"/>
  <c r="D11" i="57" s="1"/>
  <c r="G47" i="56"/>
  <c r="G22" i="56" s="1"/>
  <c r="G47" i="57"/>
  <c r="G22" i="57" s="1"/>
  <c r="F47" i="56"/>
  <c r="F22" i="56" s="1"/>
  <c r="F47" i="57"/>
  <c r="F22" i="57" s="1"/>
  <c r="E47" i="56"/>
  <c r="E22" i="56" s="1"/>
  <c r="E47" i="57"/>
  <c r="E22" i="57" s="1"/>
  <c r="D47" i="56"/>
  <c r="D22" i="56" s="1"/>
  <c r="D47" i="57"/>
  <c r="D22" i="57" s="1"/>
  <c r="C36" i="57"/>
  <c r="C36" i="58"/>
  <c r="C36" i="59"/>
  <c r="C44" i="56"/>
  <c r="C44" i="57"/>
  <c r="C44" i="58"/>
  <c r="C44" i="59"/>
  <c r="C45" i="56"/>
  <c r="C45" i="57"/>
  <c r="C45" i="58"/>
  <c r="C45" i="59"/>
  <c r="C43" i="56"/>
  <c r="C43" i="59"/>
  <c r="C43" i="57"/>
  <c r="C43" i="58"/>
  <c r="E14" i="58"/>
  <c r="D14" i="59"/>
  <c r="E14" i="59"/>
  <c r="G14" i="58"/>
  <c r="H14" i="58"/>
  <c r="D14" i="58"/>
  <c r="I23" i="59" l="1"/>
  <c r="I24" i="59" s="1"/>
  <c r="G23" i="59"/>
  <c r="G24" i="59" s="1"/>
  <c r="F23" i="59"/>
  <c r="F24" i="59" s="1"/>
  <c r="H23" i="59"/>
  <c r="H24" i="59" s="1"/>
  <c r="G14" i="56"/>
  <c r="D14" i="57"/>
  <c r="F14" i="56"/>
  <c r="E14" i="56"/>
  <c r="F14" i="57"/>
  <c r="G14" i="57"/>
  <c r="D14" i="56"/>
  <c r="E14" i="57"/>
  <c r="H26" i="59" l="1"/>
  <c r="H27" i="59" s="1"/>
  <c r="I26" i="59"/>
  <c r="I27" i="59" s="1"/>
  <c r="F26" i="59"/>
  <c r="F27" i="59" s="1"/>
  <c r="G26" i="59"/>
  <c r="G27" i="59" s="1"/>
  <c r="D31" i="43"/>
  <c r="D32" i="43" s="1"/>
  <c r="E31" i="43"/>
  <c r="E32" i="43" s="1"/>
  <c r="E3" i="43"/>
  <c r="D3" i="43"/>
  <c r="L7" i="55"/>
  <c r="L8" i="55" s="1"/>
  <c r="J10" i="55"/>
  <c r="J11" i="55"/>
  <c r="J12" i="55"/>
  <c r="J15" i="55"/>
  <c r="J16" i="55"/>
  <c r="C17" i="55"/>
  <c r="F11" i="43" l="1"/>
  <c r="F13" i="43"/>
  <c r="E12" i="43"/>
  <c r="E7" i="43"/>
  <c r="E9" i="43" s="1"/>
  <c r="F22" i="43"/>
  <c r="E22" i="43"/>
  <c r="E13" i="43"/>
  <c r="F19" i="43"/>
  <c r="F12" i="43"/>
  <c r="D22" i="43"/>
  <c r="D13" i="43"/>
  <c r="F9" i="43"/>
  <c r="D19" i="43"/>
  <c r="D12" i="43"/>
  <c r="D11" i="43"/>
  <c r="D20" i="43"/>
  <c r="G22" i="43"/>
  <c r="F20" i="43"/>
  <c r="G13" i="43"/>
  <c r="G12" i="43"/>
  <c r="G11" i="43"/>
  <c r="G20" i="43"/>
  <c r="E19" i="43"/>
  <c r="G9" i="43"/>
  <c r="D7" i="43"/>
  <c r="D9" i="43" s="1"/>
  <c r="G19" i="43"/>
  <c r="E11" i="43"/>
  <c r="E20" i="43"/>
  <c r="G34" i="43"/>
  <c r="G40" i="43" s="1"/>
  <c r="F14" i="43" l="1"/>
  <c r="E14" i="43"/>
  <c r="G14" i="43"/>
  <c r="G15" i="43" s="1"/>
  <c r="G16" i="43" s="1"/>
  <c r="D14" i="43"/>
  <c r="C2" i="59"/>
  <c r="C2" i="58"/>
  <c r="C2" i="57"/>
  <c r="C2" i="56"/>
  <c r="C4" i="59" l="1"/>
  <c r="C3" i="59"/>
  <c r="C4" i="58"/>
  <c r="C3" i="58"/>
  <c r="C4" i="57"/>
  <c r="C3" i="57"/>
  <c r="C3" i="56"/>
  <c r="C4" i="56"/>
  <c r="C3" i="43"/>
  <c r="C4" i="43"/>
  <c r="B9" i="51"/>
  <c r="M8" i="55" l="1"/>
  <c r="L9" i="55"/>
  <c r="M7" i="55"/>
  <c r="C31" i="59"/>
  <c r="C6" i="58"/>
  <c r="C31" i="58"/>
  <c r="C6" i="57"/>
  <c r="J6" i="57" s="1"/>
  <c r="C31" i="57"/>
  <c r="C6" i="56"/>
  <c r="J6" i="56" s="1"/>
  <c r="C31" i="56"/>
  <c r="H8" i="56" l="1"/>
  <c r="H9" i="56" s="1"/>
  <c r="I8" i="56"/>
  <c r="I9" i="56" s="1"/>
  <c r="H8" i="57"/>
  <c r="H9" i="57" s="1"/>
  <c r="I8" i="57"/>
  <c r="I9" i="57" s="1"/>
  <c r="E8" i="56"/>
  <c r="E9" i="56" s="1"/>
  <c r="E32" i="56" s="1"/>
  <c r="D8" i="56"/>
  <c r="D9" i="56" s="1"/>
  <c r="F8" i="56"/>
  <c r="F9" i="56" s="1"/>
  <c r="F32" i="56" s="1"/>
  <c r="G8" i="56"/>
  <c r="G9" i="56" s="1"/>
  <c r="G32" i="56" s="1"/>
  <c r="E8" i="57"/>
  <c r="E9" i="57" s="1"/>
  <c r="E32" i="57" s="1"/>
  <c r="D8" i="57"/>
  <c r="D9" i="57" s="1"/>
  <c r="G8" i="57"/>
  <c r="G9" i="57" s="1"/>
  <c r="G32" i="57" s="1"/>
  <c r="F8" i="57"/>
  <c r="F9" i="57" s="1"/>
  <c r="F32" i="57" s="1"/>
  <c r="J6" i="58"/>
  <c r="D4" i="2"/>
  <c r="C7" i="56"/>
  <c r="J7" i="56" s="1"/>
  <c r="C7" i="57"/>
  <c r="J7" i="57" s="1"/>
  <c r="C7" i="58"/>
  <c r="J7" i="58" s="1"/>
  <c r="F5" i="2" s="1"/>
  <c r="C38" i="43"/>
  <c r="C38" i="56" s="1"/>
  <c r="C19" i="59"/>
  <c r="J19" i="59" s="1"/>
  <c r="C37" i="43"/>
  <c r="C37" i="56" s="1"/>
  <c r="M9" i="55"/>
  <c r="L10" i="55"/>
  <c r="M10" i="55" s="1"/>
  <c r="C7" i="59"/>
  <c r="J7" i="59" s="1"/>
  <c r="C11" i="58"/>
  <c r="J11" i="58" s="1"/>
  <c r="C11" i="56"/>
  <c r="J11" i="56" s="1"/>
  <c r="F21" i="58" l="1"/>
  <c r="F18" i="58"/>
  <c r="F17" i="58" s="1"/>
  <c r="H32" i="57"/>
  <c r="H34" i="57" s="1"/>
  <c r="H40" i="57" s="1"/>
  <c r="H15" i="57"/>
  <c r="I32" i="57"/>
  <c r="I34" i="57" s="1"/>
  <c r="I40" i="57" s="1"/>
  <c r="I15" i="57"/>
  <c r="I32" i="56"/>
  <c r="I34" i="56" s="1"/>
  <c r="I40" i="56" s="1"/>
  <c r="I15" i="56"/>
  <c r="H32" i="56"/>
  <c r="H34" i="56" s="1"/>
  <c r="H40" i="56" s="1"/>
  <c r="H15" i="56"/>
  <c r="C13" i="56"/>
  <c r="J13" i="56" s="1"/>
  <c r="C38" i="57"/>
  <c r="C13" i="57" s="1"/>
  <c r="C38" i="58"/>
  <c r="C13" i="58" s="1"/>
  <c r="J13" i="58" s="1"/>
  <c r="C38" i="59"/>
  <c r="C13" i="59" s="1"/>
  <c r="J13" i="59" s="1"/>
  <c r="C12" i="56"/>
  <c r="J12" i="56" s="1"/>
  <c r="C37" i="58"/>
  <c r="C12" i="58" s="1"/>
  <c r="J12" i="58" s="1"/>
  <c r="C37" i="59"/>
  <c r="C12" i="59" s="1"/>
  <c r="J12" i="59" s="1"/>
  <c r="C37" i="57"/>
  <c r="C12" i="57" s="1"/>
  <c r="J12" i="57" s="1"/>
  <c r="E8" i="59"/>
  <c r="E9" i="59" s="1"/>
  <c r="D8" i="59"/>
  <c r="D9" i="59" s="1"/>
  <c r="G15" i="57"/>
  <c r="G16" i="57" s="1"/>
  <c r="G8" i="58"/>
  <c r="G9" i="58" s="1"/>
  <c r="G32" i="58" s="1"/>
  <c r="I32" i="58"/>
  <c r="H8" i="58"/>
  <c r="H9" i="58" s="1"/>
  <c r="H32" i="58" s="1"/>
  <c r="D8" i="58"/>
  <c r="D9" i="58" s="1"/>
  <c r="E8" i="58"/>
  <c r="E9" i="58" s="1"/>
  <c r="D32" i="56"/>
  <c r="D32" i="57"/>
  <c r="G15" i="56"/>
  <c r="G16" i="56" s="1"/>
  <c r="C8" i="56"/>
  <c r="D5" i="2"/>
  <c r="C8" i="57"/>
  <c r="J8" i="57" s="1"/>
  <c r="C8" i="58"/>
  <c r="C11" i="57"/>
  <c r="J11" i="57" s="1"/>
  <c r="D9" i="2"/>
  <c r="C19" i="58"/>
  <c r="J19" i="58" s="1"/>
  <c r="C19" i="57"/>
  <c r="J19" i="57" s="1"/>
  <c r="C11" i="59"/>
  <c r="C19" i="56"/>
  <c r="J19" i="56" s="1"/>
  <c r="C8" i="59"/>
  <c r="F46" i="58" l="1"/>
  <c r="F48" i="58" s="1"/>
  <c r="F23" i="58"/>
  <c r="F24" i="58" s="1"/>
  <c r="F26" i="58" s="1"/>
  <c r="F27" i="58" s="1"/>
  <c r="H16" i="56"/>
  <c r="I16" i="57"/>
  <c r="I16" i="56"/>
  <c r="H16" i="57"/>
  <c r="J13" i="57"/>
  <c r="C9" i="56"/>
  <c r="J9" i="56" s="1"/>
  <c r="D7" i="2" s="1"/>
  <c r="J8" i="56"/>
  <c r="D6" i="2" s="1"/>
  <c r="F20" i="57"/>
  <c r="E32" i="58"/>
  <c r="F20" i="56"/>
  <c r="E32" i="59"/>
  <c r="J8" i="59"/>
  <c r="J8" i="58"/>
  <c r="F6" i="2" s="1"/>
  <c r="E20" i="56"/>
  <c r="D20" i="56"/>
  <c r="D32" i="58"/>
  <c r="G20" i="57"/>
  <c r="G34" i="57"/>
  <c r="G40" i="57" s="1"/>
  <c r="D32" i="59"/>
  <c r="G34" i="56"/>
  <c r="G40" i="56" s="1"/>
  <c r="G20" i="56"/>
  <c r="D20" i="57"/>
  <c r="E20" i="57"/>
  <c r="C14" i="59"/>
  <c r="J14" i="59" s="1"/>
  <c r="J11" i="59"/>
  <c r="C9" i="57"/>
  <c r="J9" i="57" s="1"/>
  <c r="C14" i="56"/>
  <c r="J14" i="56" s="1"/>
  <c r="C9" i="58"/>
  <c r="J9" i="58" s="1"/>
  <c r="F7" i="2" s="1"/>
  <c r="C14" i="57"/>
  <c r="J14" i="57" s="1"/>
  <c r="C14" i="58"/>
  <c r="J14" i="58" s="1"/>
  <c r="D11" i="2"/>
  <c r="D17" i="2"/>
  <c r="C9" i="59"/>
  <c r="J9" i="59" s="1"/>
  <c r="F49" i="2" l="1"/>
  <c r="F50" i="2"/>
  <c r="F52" i="2"/>
  <c r="F30" i="2"/>
  <c r="F48" i="2"/>
  <c r="F51" i="2"/>
  <c r="C32" i="56"/>
  <c r="C20" i="56" s="1"/>
  <c r="J20" i="56" s="1"/>
  <c r="D20" i="59"/>
  <c r="E20" i="58"/>
  <c r="D20" i="58"/>
  <c r="E20" i="59"/>
  <c r="I34" i="58"/>
  <c r="I40" i="58" s="1"/>
  <c r="H20" i="58"/>
  <c r="G20" i="58"/>
  <c r="C32" i="57"/>
  <c r="C20" i="57" s="1"/>
  <c r="J20" i="57" s="1"/>
  <c r="C32" i="58"/>
  <c r="C20" i="58" s="1"/>
  <c r="C32" i="59"/>
  <c r="J20" i="58" l="1"/>
  <c r="C20" i="59"/>
  <c r="J20" i="59" s="1"/>
  <c r="D12" i="2"/>
  <c r="D10" i="2"/>
  <c r="D18" i="2" l="1"/>
  <c r="B5" i="51" l="1"/>
  <c r="E12" i="53" l="1"/>
  <c r="J9" i="55"/>
  <c r="J17" i="55" s="1"/>
  <c r="G22" i="51"/>
  <c r="B27" i="51"/>
  <c r="B8" i="51"/>
  <c r="B7" i="51"/>
  <c r="C47" i="43"/>
  <c r="C31" i="43"/>
  <c r="C32" i="43" s="1"/>
  <c r="C6" i="43"/>
  <c r="J6" i="43" s="1"/>
  <c r="R23" i="36"/>
  <c r="M16" i="36"/>
  <c r="L15" i="36"/>
  <c r="K15" i="36"/>
  <c r="J15" i="36"/>
  <c r="I15" i="36"/>
  <c r="H15" i="36"/>
  <c r="G15" i="36"/>
  <c r="F15" i="36"/>
  <c r="E15" i="36"/>
  <c r="D15" i="36"/>
  <c r="C15" i="36"/>
  <c r="L14" i="36"/>
  <c r="K14" i="36"/>
  <c r="J14" i="36"/>
  <c r="I14" i="36"/>
  <c r="H14" i="36"/>
  <c r="G14" i="36"/>
  <c r="F14" i="36"/>
  <c r="E14" i="36"/>
  <c r="D14" i="36"/>
  <c r="C14" i="36"/>
  <c r="L13" i="36"/>
  <c r="K13" i="36"/>
  <c r="J13" i="36"/>
  <c r="I13" i="36"/>
  <c r="H13" i="36"/>
  <c r="G13" i="36"/>
  <c r="F13" i="36"/>
  <c r="E13" i="36"/>
  <c r="D13" i="36"/>
  <c r="C13" i="36"/>
  <c r="L12" i="36"/>
  <c r="K12" i="36"/>
  <c r="J12" i="36"/>
  <c r="I12" i="36"/>
  <c r="H12" i="36"/>
  <c r="G12" i="36"/>
  <c r="F12" i="36"/>
  <c r="E12" i="36"/>
  <c r="D12" i="36"/>
  <c r="C12" i="36"/>
  <c r="L11" i="36"/>
  <c r="K11" i="36"/>
  <c r="J11" i="36"/>
  <c r="I11" i="36"/>
  <c r="H11" i="36"/>
  <c r="G11" i="36"/>
  <c r="F11" i="36"/>
  <c r="E11" i="36"/>
  <c r="D11" i="36"/>
  <c r="C11" i="36"/>
  <c r="M9" i="36"/>
  <c r="M8" i="36"/>
  <c r="L7" i="36"/>
  <c r="K7" i="36"/>
  <c r="J7" i="36"/>
  <c r="I7" i="36"/>
  <c r="H7" i="36"/>
  <c r="G7" i="36"/>
  <c r="F7" i="36"/>
  <c r="E7" i="36"/>
  <c r="K6" i="36"/>
  <c r="J6" i="36"/>
  <c r="I6" i="36"/>
  <c r="I5" i="36" s="1"/>
  <c r="H6" i="36"/>
  <c r="G6" i="36"/>
  <c r="E6" i="36"/>
  <c r="E5" i="36" s="1"/>
  <c r="K5" i="36"/>
  <c r="J5" i="36"/>
  <c r="D5" i="36"/>
  <c r="C5" i="36"/>
  <c r="D4" i="36"/>
  <c r="E4" i="36" s="1"/>
  <c r="F4" i="36" s="1"/>
  <c r="G4" i="36" s="1"/>
  <c r="H4" i="36" s="1"/>
  <c r="I4" i="36" s="1"/>
  <c r="J4" i="36" s="1"/>
  <c r="K4" i="36" s="1"/>
  <c r="L4" i="36" s="1"/>
  <c r="C6" i="2"/>
  <c r="K6" i="2" s="1"/>
  <c r="D18" i="55" l="1"/>
  <c r="D33" i="43"/>
  <c r="D10" i="43" s="1"/>
  <c r="E13" i="53"/>
  <c r="C57" i="2"/>
  <c r="E10" i="36"/>
  <c r="E17" i="36" s="1"/>
  <c r="E19" i="36" s="1"/>
  <c r="C47" i="56"/>
  <c r="C22" i="56" s="1"/>
  <c r="J22" i="56" s="1"/>
  <c r="D20" i="2" s="1"/>
  <c r="C47" i="58"/>
  <c r="C22" i="58" s="1"/>
  <c r="J22" i="58" s="1"/>
  <c r="C47" i="59"/>
  <c r="C22" i="59" s="1"/>
  <c r="J22" i="59" s="1"/>
  <c r="C47" i="57"/>
  <c r="C22" i="57" s="1"/>
  <c r="H34" i="58"/>
  <c r="H40" i="58" s="1"/>
  <c r="G34" i="58"/>
  <c r="G40" i="58" s="1"/>
  <c r="K10" i="36"/>
  <c r="K17" i="36" s="1"/>
  <c r="K19" i="36" s="1"/>
  <c r="C22" i="43"/>
  <c r="J22" i="43" s="1"/>
  <c r="C4" i="2"/>
  <c r="K4" i="2" s="1"/>
  <c r="C19" i="43"/>
  <c r="J19" i="43" s="1"/>
  <c r="C34" i="43"/>
  <c r="C40" i="43" s="1"/>
  <c r="C7" i="43"/>
  <c r="J7" i="43" s="1"/>
  <c r="B26" i="51"/>
  <c r="G5" i="36"/>
  <c r="M6" i="36"/>
  <c r="G10" i="36"/>
  <c r="J10" i="36"/>
  <c r="J17" i="36" s="1"/>
  <c r="J19" i="36" s="1"/>
  <c r="C10" i="36"/>
  <c r="C17" i="36" s="1"/>
  <c r="M15" i="36"/>
  <c r="H5" i="36"/>
  <c r="B10" i="51"/>
  <c r="M7" i="36"/>
  <c r="M12" i="36"/>
  <c r="H10" i="36"/>
  <c r="D10" i="36"/>
  <c r="D17" i="36" s="1"/>
  <c r="M5" i="36"/>
  <c r="M11" i="36"/>
  <c r="F10" i="36"/>
  <c r="I10" i="36"/>
  <c r="I17" i="36" s="1"/>
  <c r="I19" i="36" s="1"/>
  <c r="L10" i="36"/>
  <c r="M13" i="36"/>
  <c r="M14" i="36"/>
  <c r="C11" i="43"/>
  <c r="J11" i="43" s="1"/>
  <c r="C12" i="43"/>
  <c r="J12" i="43" s="1"/>
  <c r="C13" i="43"/>
  <c r="J13" i="43" s="1"/>
  <c r="C20" i="43"/>
  <c r="J20" i="43" s="1"/>
  <c r="E14" i="53" l="1"/>
  <c r="D33" i="56"/>
  <c r="D10" i="56" s="1"/>
  <c r="D15" i="56" s="1"/>
  <c r="D16" i="56" s="1"/>
  <c r="J18" i="55"/>
  <c r="J19" i="55" s="1"/>
  <c r="J20" i="55" s="1"/>
  <c r="D19" i="55"/>
  <c r="D20" i="55" s="1"/>
  <c r="M26" i="51"/>
  <c r="J22" i="57"/>
  <c r="J10" i="43"/>
  <c r="C8" i="2" s="1"/>
  <c r="C31" i="2" s="1"/>
  <c r="E34" i="59"/>
  <c r="E40" i="59" s="1"/>
  <c r="C58" i="2"/>
  <c r="C56" i="2" s="1"/>
  <c r="F34" i="56"/>
  <c r="F40" i="56" s="1"/>
  <c r="F15" i="56"/>
  <c r="F16" i="56" s="1"/>
  <c r="E34" i="56"/>
  <c r="E40" i="56" s="1"/>
  <c r="E15" i="56"/>
  <c r="E16" i="56" s="1"/>
  <c r="C9" i="43"/>
  <c r="J9" i="43" s="1"/>
  <c r="C5" i="2"/>
  <c r="E21" i="58"/>
  <c r="G21" i="58"/>
  <c r="H21" i="58"/>
  <c r="D21" i="58"/>
  <c r="D34" i="43"/>
  <c r="D40" i="43" s="1"/>
  <c r="D15" i="43"/>
  <c r="C34" i="56"/>
  <c r="C40" i="56" s="1"/>
  <c r="C14" i="43"/>
  <c r="J14" i="43" s="1"/>
  <c r="G17" i="36"/>
  <c r="G19" i="36" s="1"/>
  <c r="E23" i="36"/>
  <c r="C18" i="36"/>
  <c r="D18" i="36" s="1"/>
  <c r="E18" i="36" s="1"/>
  <c r="C19" i="36"/>
  <c r="M10" i="36"/>
  <c r="D19" i="36"/>
  <c r="E22" i="36"/>
  <c r="H17" i="36"/>
  <c r="H19" i="36" s="1"/>
  <c r="C18" i="2"/>
  <c r="C44" i="2" s="1"/>
  <c r="C10" i="2"/>
  <c r="C36" i="2" s="1"/>
  <c r="J21" i="43"/>
  <c r="M17" i="36"/>
  <c r="D34" i="56" l="1"/>
  <c r="D40" i="56" s="1"/>
  <c r="E15" i="53"/>
  <c r="D33" i="57"/>
  <c r="D10" i="57" s="1"/>
  <c r="I21" i="56"/>
  <c r="H21" i="56"/>
  <c r="I18" i="56"/>
  <c r="I17" i="56" s="1"/>
  <c r="H18" i="56"/>
  <c r="H17" i="56" s="1"/>
  <c r="I21" i="43"/>
  <c r="H21" i="43"/>
  <c r="H21" i="57"/>
  <c r="I21" i="57"/>
  <c r="J10" i="56"/>
  <c r="D8" i="2" s="1"/>
  <c r="D31" i="2" s="1"/>
  <c r="D32" i="2" s="1"/>
  <c r="D33" i="2" s="1"/>
  <c r="E18" i="59"/>
  <c r="E17" i="59" s="1"/>
  <c r="D28" i="51"/>
  <c r="E26" i="51"/>
  <c r="J18" i="43"/>
  <c r="M19" i="36"/>
  <c r="C34" i="57"/>
  <c r="C40" i="57" s="1"/>
  <c r="D34" i="57"/>
  <c r="D40" i="57" s="1"/>
  <c r="D15" i="57"/>
  <c r="D16" i="57" s="1"/>
  <c r="K10" i="2"/>
  <c r="K36" i="2" s="1"/>
  <c r="I22" i="36"/>
  <c r="E34" i="57"/>
  <c r="E40" i="57" s="1"/>
  <c r="E15" i="57"/>
  <c r="K18" i="2"/>
  <c r="K44" i="2" s="1"/>
  <c r="F6" i="36"/>
  <c r="F5" i="36" s="1"/>
  <c r="F17" i="36" s="1"/>
  <c r="F19" i="36" s="1"/>
  <c r="K5" i="2"/>
  <c r="L6" i="36" s="1"/>
  <c r="L5" i="36" s="1"/>
  <c r="L17" i="36" s="1"/>
  <c r="L19" i="36" s="1"/>
  <c r="F34" i="57"/>
  <c r="F40" i="57" s="1"/>
  <c r="F15" i="57"/>
  <c r="F16" i="57" s="1"/>
  <c r="I23" i="36"/>
  <c r="G46" i="58"/>
  <c r="G48" i="58" s="1"/>
  <c r="I46" i="58"/>
  <c r="I48" i="58" s="1"/>
  <c r="D46" i="58"/>
  <c r="E46" i="58"/>
  <c r="H46" i="58"/>
  <c r="H48" i="58" s="1"/>
  <c r="D21" i="56"/>
  <c r="G21" i="56"/>
  <c r="G46" i="56" s="1"/>
  <c r="G48" i="56" s="1"/>
  <c r="F21" i="56"/>
  <c r="F46" i="56" s="1"/>
  <c r="F48" i="56" s="1"/>
  <c r="E21" i="56"/>
  <c r="E46" i="56" s="1"/>
  <c r="E48" i="56" s="1"/>
  <c r="C21" i="43"/>
  <c r="D21" i="43"/>
  <c r="D46" i="43" s="1"/>
  <c r="D48" i="43" s="1"/>
  <c r="G21" i="43"/>
  <c r="G46" i="43" s="1"/>
  <c r="G48" i="43" s="1"/>
  <c r="E21" i="43"/>
  <c r="E46" i="43" s="1"/>
  <c r="F21" i="43"/>
  <c r="F46" i="43" s="1"/>
  <c r="D21" i="59"/>
  <c r="D46" i="59" s="1"/>
  <c r="E21" i="59"/>
  <c r="E46" i="59" s="1"/>
  <c r="D18" i="59"/>
  <c r="D17" i="59" s="1"/>
  <c r="G21" i="57"/>
  <c r="G46" i="57" s="1"/>
  <c r="G48" i="57" s="1"/>
  <c r="E21" i="57"/>
  <c r="E46" i="57" s="1"/>
  <c r="D21" i="57"/>
  <c r="D46" i="57" s="1"/>
  <c r="F21" i="57"/>
  <c r="F46" i="57" s="1"/>
  <c r="D16" i="43"/>
  <c r="E34" i="43"/>
  <c r="E40" i="43" s="1"/>
  <c r="E15" i="43"/>
  <c r="C7" i="2"/>
  <c r="C15" i="56"/>
  <c r="J15" i="56" s="1"/>
  <c r="C18" i="58"/>
  <c r="C17" i="58" s="1"/>
  <c r="C20" i="36"/>
  <c r="D20" i="36" s="1"/>
  <c r="E20" i="36" s="1"/>
  <c r="C17" i="2"/>
  <c r="K17" i="2" s="1"/>
  <c r="C21" i="58"/>
  <c r="C46" i="58" s="1"/>
  <c r="D19" i="2"/>
  <c r="C21" i="56"/>
  <c r="C46" i="56" s="1"/>
  <c r="C48" i="56" s="1"/>
  <c r="C21" i="57"/>
  <c r="C46" i="57" s="1"/>
  <c r="C21" i="59"/>
  <c r="C46" i="59" s="1"/>
  <c r="C9" i="2"/>
  <c r="C35" i="2" s="1"/>
  <c r="C11" i="2"/>
  <c r="C37" i="2" s="1"/>
  <c r="C15" i="43"/>
  <c r="L27" i="51"/>
  <c r="C20" i="2"/>
  <c r="K20" i="2" s="1"/>
  <c r="C19" i="2"/>
  <c r="E16" i="53" l="1"/>
  <c r="D33" i="58"/>
  <c r="D10" i="58" s="1"/>
  <c r="D15" i="58" s="1"/>
  <c r="D16" i="58" s="1"/>
  <c r="H46" i="43"/>
  <c r="H48" i="43" s="1"/>
  <c r="C18" i="59"/>
  <c r="C17" i="59" s="1"/>
  <c r="J17" i="59" s="1"/>
  <c r="J23" i="59" s="1"/>
  <c r="F48" i="57"/>
  <c r="D48" i="57"/>
  <c r="C18" i="43"/>
  <c r="I18" i="43"/>
  <c r="I17" i="43" s="1"/>
  <c r="I23" i="43" s="1"/>
  <c r="I24" i="43" s="1"/>
  <c r="I25" i="43" s="1"/>
  <c r="I26" i="43" s="1"/>
  <c r="I27" i="43" s="1"/>
  <c r="H18" i="43"/>
  <c r="H17" i="43" s="1"/>
  <c r="H23" i="43" s="1"/>
  <c r="H24" i="43" s="1"/>
  <c r="H25" i="43" s="1"/>
  <c r="H26" i="43" s="1"/>
  <c r="H27" i="43" s="1"/>
  <c r="H46" i="57"/>
  <c r="H48" i="57" s="1"/>
  <c r="H46" i="56"/>
  <c r="H48" i="56" s="1"/>
  <c r="H23" i="56"/>
  <c r="H24" i="56" s="1"/>
  <c r="H25" i="56" s="1"/>
  <c r="H26" i="56" s="1"/>
  <c r="H27" i="56" s="1"/>
  <c r="I46" i="57"/>
  <c r="I48" i="57" s="1"/>
  <c r="I46" i="56"/>
  <c r="I48" i="56" s="1"/>
  <c r="I23" i="56"/>
  <c r="I24" i="56" s="1"/>
  <c r="I25" i="56" s="1"/>
  <c r="I26" i="56" s="1"/>
  <c r="I27" i="56" s="1"/>
  <c r="E48" i="57"/>
  <c r="I18" i="57"/>
  <c r="I17" i="57" s="1"/>
  <c r="I23" i="57" s="1"/>
  <c r="I24" i="57" s="1"/>
  <c r="I26" i="57" s="1"/>
  <c r="I27" i="57" s="1"/>
  <c r="H18" i="57"/>
  <c r="H17" i="57" s="1"/>
  <c r="H23" i="57" s="1"/>
  <c r="H24" i="57" s="1"/>
  <c r="H26" i="57" s="1"/>
  <c r="H27" i="57" s="1"/>
  <c r="I46" i="43"/>
  <c r="I48" i="43" s="1"/>
  <c r="J10" i="57"/>
  <c r="E8" i="2" s="1"/>
  <c r="E31" i="2" s="1"/>
  <c r="E32" i="2" s="1"/>
  <c r="E33" i="2" s="1"/>
  <c r="E16" i="57"/>
  <c r="E18" i="58"/>
  <c r="E17" i="58" s="1"/>
  <c r="E23" i="58" s="1"/>
  <c r="D18" i="58"/>
  <c r="D17" i="58" s="1"/>
  <c r="D23" i="58" s="1"/>
  <c r="D24" i="58" s="1"/>
  <c r="E18" i="57"/>
  <c r="E17" i="57" s="1"/>
  <c r="E23" i="57" s="1"/>
  <c r="E24" i="57" s="1"/>
  <c r="G18" i="58"/>
  <c r="G17" i="58" s="1"/>
  <c r="G23" i="58" s="1"/>
  <c r="H18" i="58"/>
  <c r="H17" i="58" s="1"/>
  <c r="H23" i="58" s="1"/>
  <c r="C61" i="2"/>
  <c r="G18" i="57"/>
  <c r="G17" i="57" s="1"/>
  <c r="G23" i="57" s="1"/>
  <c r="G24" i="57" s="1"/>
  <c r="G26" i="57" s="1"/>
  <c r="G27" i="57" s="1"/>
  <c r="F18" i="57"/>
  <c r="F17" i="57" s="1"/>
  <c r="F23" i="57" s="1"/>
  <c r="F24" i="57" s="1"/>
  <c r="C18" i="57"/>
  <c r="C17" i="57" s="1"/>
  <c r="D18" i="57"/>
  <c r="D17" i="57" s="1"/>
  <c r="D23" i="57" s="1"/>
  <c r="D24" i="57" s="1"/>
  <c r="D25" i="57" s="1"/>
  <c r="E28" i="51"/>
  <c r="K43" i="2"/>
  <c r="C43" i="2"/>
  <c r="C50" i="2"/>
  <c r="C30" i="2"/>
  <c r="C32" i="2" s="1"/>
  <c r="C33" i="2" s="1"/>
  <c r="C52" i="2"/>
  <c r="C51" i="2"/>
  <c r="C48" i="2"/>
  <c r="F20" i="36"/>
  <c r="G20" i="36" s="1"/>
  <c r="H20" i="36" s="1"/>
  <c r="I24" i="36" s="1"/>
  <c r="K19" i="2"/>
  <c r="F18" i="36"/>
  <c r="G18" i="36" s="1"/>
  <c r="H18" i="36" s="1"/>
  <c r="E24" i="36" s="1"/>
  <c r="K11" i="2"/>
  <c r="H15" i="58"/>
  <c r="H16" i="58" s="1"/>
  <c r="G15" i="58"/>
  <c r="G16" i="58" s="1"/>
  <c r="K9" i="2"/>
  <c r="K35" i="2" s="1"/>
  <c r="K7" i="2"/>
  <c r="E15" i="59"/>
  <c r="E16" i="59" s="1"/>
  <c r="E15" i="58"/>
  <c r="E16" i="58" s="1"/>
  <c r="E48" i="43"/>
  <c r="C16" i="43"/>
  <c r="E48" i="59"/>
  <c r="E23" i="59"/>
  <c r="D23" i="59"/>
  <c r="D46" i="56"/>
  <c r="D48" i="56" s="1"/>
  <c r="C16" i="56"/>
  <c r="J16" i="56"/>
  <c r="D14" i="2" s="1"/>
  <c r="E16" i="43"/>
  <c r="C48" i="57"/>
  <c r="C15" i="57"/>
  <c r="J15" i="57" s="1"/>
  <c r="E13" i="2" s="1"/>
  <c r="E39" i="2" s="1"/>
  <c r="E40" i="2" s="1"/>
  <c r="C34" i="58"/>
  <c r="C40" i="58" s="1"/>
  <c r="C48" i="58" s="1"/>
  <c r="C23" i="58"/>
  <c r="C12" i="2"/>
  <c r="K12" i="2" s="1"/>
  <c r="C46" i="43"/>
  <c r="C48" i="43" s="1"/>
  <c r="D25" i="58" l="1"/>
  <c r="D26" i="58" s="1"/>
  <c r="D27" i="58" s="1"/>
  <c r="E17" i="53"/>
  <c r="D33" i="59"/>
  <c r="C23" i="59"/>
  <c r="J17" i="57"/>
  <c r="J17" i="58"/>
  <c r="J23" i="58" s="1"/>
  <c r="C23" i="57"/>
  <c r="C24" i="57" s="1"/>
  <c r="I20" i="36"/>
  <c r="J20" i="36" s="1"/>
  <c r="K20" i="36" s="1"/>
  <c r="L20" i="36" s="1"/>
  <c r="D26" i="57"/>
  <c r="D27" i="57" s="1"/>
  <c r="I18" i="36"/>
  <c r="J18" i="36" s="1"/>
  <c r="K18" i="36" s="1"/>
  <c r="L18" i="36" s="1"/>
  <c r="H24" i="58"/>
  <c r="H26" i="58" s="1"/>
  <c r="H27" i="58" s="1"/>
  <c r="J10" i="58"/>
  <c r="F8" i="2" s="1"/>
  <c r="F31" i="2" s="1"/>
  <c r="F32" i="2" s="1"/>
  <c r="F33" i="2" s="1"/>
  <c r="K48" i="2"/>
  <c r="K37" i="2"/>
  <c r="E24" i="58"/>
  <c r="E26" i="58" s="1"/>
  <c r="E27" i="58" s="1"/>
  <c r="G24" i="58"/>
  <c r="E24" i="59"/>
  <c r="E26" i="59" s="1"/>
  <c r="E27" i="59" s="1"/>
  <c r="D34" i="58"/>
  <c r="D40" i="58" s="1"/>
  <c r="D48" i="58" s="1"/>
  <c r="K30" i="2"/>
  <c r="K52" i="2"/>
  <c r="K50" i="2"/>
  <c r="K51" i="2"/>
  <c r="E26" i="57"/>
  <c r="E27" i="57" s="1"/>
  <c r="F26" i="57"/>
  <c r="F27" i="57" s="1"/>
  <c r="D13" i="2"/>
  <c r="D39" i="2" s="1"/>
  <c r="D40" i="2" s="1"/>
  <c r="F34" i="43"/>
  <c r="F40" i="43" s="1"/>
  <c r="F48" i="43" s="1"/>
  <c r="F15" i="43"/>
  <c r="J15" i="43" s="1"/>
  <c r="C16" i="57"/>
  <c r="C15" i="58"/>
  <c r="J15" i="58" s="1"/>
  <c r="F13" i="2" s="1"/>
  <c r="F39" i="2" s="1"/>
  <c r="F40" i="2" s="1"/>
  <c r="C34" i="59"/>
  <c r="C40" i="59" s="1"/>
  <c r="C48" i="59" s="1"/>
  <c r="L26" i="51"/>
  <c r="K61" i="2" s="1"/>
  <c r="D10" i="59" l="1"/>
  <c r="D15" i="59" s="1"/>
  <c r="D34" i="59"/>
  <c r="D40" i="59" s="1"/>
  <c r="D48" i="59" s="1"/>
  <c r="E18" i="53"/>
  <c r="D33" i="62"/>
  <c r="J24" i="58"/>
  <c r="J23" i="57"/>
  <c r="J24" i="57" s="1"/>
  <c r="C26" i="57"/>
  <c r="C27" i="57" s="1"/>
  <c r="G26" i="58"/>
  <c r="G27" i="58" s="1"/>
  <c r="E34" i="58"/>
  <c r="E40" i="58" s="1"/>
  <c r="E48" i="58" s="1"/>
  <c r="J10" i="59"/>
  <c r="G8" i="2" s="1"/>
  <c r="G31" i="2" s="1"/>
  <c r="G32" i="2" s="1"/>
  <c r="G33" i="2" s="1"/>
  <c r="J16" i="43"/>
  <c r="C13" i="2"/>
  <c r="C39" i="2" s="1"/>
  <c r="J16" i="58"/>
  <c r="F14" i="2" s="1"/>
  <c r="F16" i="43"/>
  <c r="C16" i="58"/>
  <c r="J16" i="57"/>
  <c r="E14" i="2" s="1"/>
  <c r="C24" i="58"/>
  <c r="E19" i="53" l="1"/>
  <c r="D33" i="64" s="1"/>
  <c r="D33" i="63"/>
  <c r="J25" i="57"/>
  <c r="E23" i="2" s="1"/>
  <c r="E22" i="2"/>
  <c r="E54" i="2" s="1"/>
  <c r="D10" i="62"/>
  <c r="D34" i="62"/>
  <c r="D40" i="62" s="1"/>
  <c r="D48" i="62" s="1"/>
  <c r="D16" i="59"/>
  <c r="D24" i="59"/>
  <c r="J25" i="58"/>
  <c r="F23" i="2" s="1"/>
  <c r="F22" i="2"/>
  <c r="F54" i="2" s="1"/>
  <c r="C26" i="58"/>
  <c r="C15" i="59"/>
  <c r="J15" i="59" s="1"/>
  <c r="G13" i="2" s="1"/>
  <c r="G39" i="2" s="1"/>
  <c r="G40" i="2" s="1"/>
  <c r="C14" i="2"/>
  <c r="D10" i="63" l="1"/>
  <c r="D34" i="63"/>
  <c r="D40" i="63" s="1"/>
  <c r="D48" i="63" s="1"/>
  <c r="J26" i="58"/>
  <c r="D25" i="59"/>
  <c r="D26" i="59"/>
  <c r="D27" i="59" s="1"/>
  <c r="J10" i="62"/>
  <c r="H8" i="2" s="1"/>
  <c r="D15" i="62"/>
  <c r="J26" i="57"/>
  <c r="D10" i="64"/>
  <c r="D34" i="64"/>
  <c r="D40" i="64" s="1"/>
  <c r="D48" i="64" s="1"/>
  <c r="C27" i="58"/>
  <c r="C24" i="59"/>
  <c r="C16" i="59"/>
  <c r="J16" i="59"/>
  <c r="G14" i="2" s="1"/>
  <c r="J24" i="59"/>
  <c r="J10" i="64" l="1"/>
  <c r="J8" i="2" s="1"/>
  <c r="J31" i="2" s="1"/>
  <c r="J32" i="2" s="1"/>
  <c r="J33" i="2" s="1"/>
  <c r="D15" i="64"/>
  <c r="H31" i="2"/>
  <c r="H32" i="2" s="1"/>
  <c r="H33" i="2" s="1"/>
  <c r="J27" i="57"/>
  <c r="E25" i="2" s="1"/>
  <c r="E24" i="2"/>
  <c r="J25" i="59"/>
  <c r="G23" i="2" s="1"/>
  <c r="G22" i="2"/>
  <c r="G54" i="2" s="1"/>
  <c r="D24" i="62"/>
  <c r="D16" i="62"/>
  <c r="J15" i="62"/>
  <c r="J10" i="63"/>
  <c r="I8" i="2" s="1"/>
  <c r="I31" i="2" s="1"/>
  <c r="I32" i="2" s="1"/>
  <c r="I33" i="2" s="1"/>
  <c r="D15" i="63"/>
  <c r="J27" i="58"/>
  <c r="F25" i="2" s="1"/>
  <c r="F24" i="2"/>
  <c r="C26" i="59"/>
  <c r="D16" i="63" l="1"/>
  <c r="J15" i="63"/>
  <c r="D24" i="63"/>
  <c r="J15" i="64"/>
  <c r="D24" i="64"/>
  <c r="D16" i="64"/>
  <c r="H13" i="2"/>
  <c r="H39" i="2" s="1"/>
  <c r="H40" i="2" s="1"/>
  <c r="J16" i="62"/>
  <c r="H14" i="2" s="1"/>
  <c r="J24" i="62"/>
  <c r="E60" i="2"/>
  <c r="E59" i="2" s="1"/>
  <c r="E53" i="2"/>
  <c r="D25" i="62"/>
  <c r="D26" i="62"/>
  <c r="D27" i="62" s="1"/>
  <c r="J26" i="59"/>
  <c r="G24" i="2" s="1"/>
  <c r="K8" i="2"/>
  <c r="F53" i="2"/>
  <c r="F60" i="2"/>
  <c r="F59" i="2" s="1"/>
  <c r="C27" i="59"/>
  <c r="E18" i="43"/>
  <c r="E17" i="43" s="1"/>
  <c r="E23" i="43" s="1"/>
  <c r="E24" i="43" s="1"/>
  <c r="G18" i="43"/>
  <c r="G17" i="43" s="1"/>
  <c r="G23" i="43" s="1"/>
  <c r="G24" i="43" s="1"/>
  <c r="D18" i="43"/>
  <c r="D17" i="43" s="1"/>
  <c r="D23" i="43" s="1"/>
  <c r="D24" i="43" s="1"/>
  <c r="D25" i="43" s="1"/>
  <c r="C17" i="43"/>
  <c r="F18" i="43"/>
  <c r="F17" i="43" s="1"/>
  <c r="F23" i="43" s="1"/>
  <c r="F24" i="43" s="1"/>
  <c r="K13" i="2" l="1"/>
  <c r="K31" i="2"/>
  <c r="K32" i="2" s="1"/>
  <c r="K33" i="2" s="1"/>
  <c r="J26" i="62"/>
  <c r="J25" i="62"/>
  <c r="H23" i="2" s="1"/>
  <c r="H22" i="2"/>
  <c r="H54" i="2" s="1"/>
  <c r="D25" i="63"/>
  <c r="D26" i="63" s="1"/>
  <c r="D27" i="63" s="1"/>
  <c r="D25" i="64"/>
  <c r="D26" i="64"/>
  <c r="D27" i="64" s="1"/>
  <c r="I13" i="2"/>
  <c r="I39" i="2" s="1"/>
  <c r="I40" i="2" s="1"/>
  <c r="J24" i="63"/>
  <c r="J16" i="63"/>
  <c r="I14" i="2" s="1"/>
  <c r="J13" i="2"/>
  <c r="J39" i="2" s="1"/>
  <c r="J40" i="2" s="1"/>
  <c r="J24" i="64"/>
  <c r="J16" i="64"/>
  <c r="J14" i="2" s="1"/>
  <c r="G60" i="2"/>
  <c r="G59" i="2" s="1"/>
  <c r="G53" i="2"/>
  <c r="J17" i="43"/>
  <c r="J27" i="59"/>
  <c r="G25" i="2" s="1"/>
  <c r="C23" i="43"/>
  <c r="C24" i="43" s="1"/>
  <c r="C25" i="43" s="1"/>
  <c r="D26" i="43"/>
  <c r="D27" i="43" s="1"/>
  <c r="E25" i="43"/>
  <c r="E26" i="43" s="1"/>
  <c r="E27" i="43" s="1"/>
  <c r="F25" i="43"/>
  <c r="F26" i="43" s="1"/>
  <c r="F27" i="43" s="1"/>
  <c r="G25" i="43"/>
  <c r="G26" i="43" s="1"/>
  <c r="G27" i="43" s="1"/>
  <c r="H24" i="2" l="1"/>
  <c r="J27" i="62"/>
  <c r="H25" i="2" s="1"/>
  <c r="J26" i="64"/>
  <c r="J25" i="64"/>
  <c r="J23" i="2" s="1"/>
  <c r="J22" i="2"/>
  <c r="J54" i="2" s="1"/>
  <c r="I22" i="2"/>
  <c r="I54" i="2" s="1"/>
  <c r="J25" i="63"/>
  <c r="I23" i="2" s="1"/>
  <c r="K39" i="2"/>
  <c r="K40" i="2" s="1"/>
  <c r="K14" i="2"/>
  <c r="J23" i="43"/>
  <c r="J24" i="43" s="1"/>
  <c r="J25" i="43" s="1"/>
  <c r="C15" i="2"/>
  <c r="C26" i="43"/>
  <c r="J26" i="63" l="1"/>
  <c r="J27" i="64"/>
  <c r="J25" i="2" s="1"/>
  <c r="J24" i="2"/>
  <c r="H60" i="2"/>
  <c r="H59" i="2" s="1"/>
  <c r="H53" i="2"/>
  <c r="J26" i="43"/>
  <c r="J27" i="43" s="1"/>
  <c r="C42" i="2"/>
  <c r="C49" i="2"/>
  <c r="C27" i="43"/>
  <c r="C21" i="2"/>
  <c r="C40" i="2" s="1"/>
  <c r="J60" i="2" l="1"/>
  <c r="J59" i="2" s="1"/>
  <c r="J53" i="2"/>
  <c r="I24" i="2"/>
  <c r="J27" i="63"/>
  <c r="I25" i="2" s="1"/>
  <c r="C22" i="2"/>
  <c r="I53" i="2" l="1"/>
  <c r="I60" i="2"/>
  <c r="I59" i="2" s="1"/>
  <c r="C54" i="2"/>
  <c r="C23" i="2"/>
  <c r="C24" i="2" s="1"/>
  <c r="C60" i="2" l="1"/>
  <c r="C59" i="2" s="1"/>
  <c r="C53" i="2"/>
  <c r="C25" i="2"/>
  <c r="D18" i="56"/>
  <c r="D17" i="56" s="1"/>
  <c r="D23" i="56" s="1"/>
  <c r="D24" i="56" s="1"/>
  <c r="D25" i="56" s="1"/>
  <c r="F18" i="56"/>
  <c r="F17" i="56" s="1"/>
  <c r="F23" i="56" s="1"/>
  <c r="F24" i="56" s="1"/>
  <c r="F25" i="56" s="1"/>
  <c r="E18" i="56"/>
  <c r="E17" i="56" s="1"/>
  <c r="E23" i="56" s="1"/>
  <c r="E24" i="56" s="1"/>
  <c r="E25" i="56" s="1"/>
  <c r="C18" i="56"/>
  <c r="C17" i="56" s="1"/>
  <c r="G18" i="56"/>
  <c r="G17" i="56" s="1"/>
  <c r="G23" i="56" s="1"/>
  <c r="G24" i="56" s="1"/>
  <c r="G25" i="56" s="1"/>
  <c r="G26" i="56" l="1"/>
  <c r="G27" i="56" s="1"/>
  <c r="E26" i="56"/>
  <c r="E27" i="56" s="1"/>
  <c r="F26" i="56"/>
  <c r="F27" i="56" s="1"/>
  <c r="C23" i="56"/>
  <c r="C24" i="56" s="1"/>
  <c r="C25" i="56" s="1"/>
  <c r="J17" i="56"/>
  <c r="D26" i="56"/>
  <c r="D27" i="56" s="1"/>
  <c r="D15" i="2" l="1"/>
  <c r="J23" i="56"/>
  <c r="C26" i="56"/>
  <c r="C27" i="56" l="1"/>
  <c r="J24" i="56"/>
  <c r="J25" i="56" s="1"/>
  <c r="D21" i="2"/>
  <c r="K15" i="2"/>
  <c r="J26" i="56" l="1"/>
  <c r="K21" i="2"/>
  <c r="K42" i="2"/>
  <c r="K49" i="2"/>
  <c r="D22" i="2"/>
  <c r="D54" i="2" s="1"/>
  <c r="D23" i="2" l="1"/>
  <c r="D24" i="2"/>
  <c r="J27" i="56"/>
  <c r="D25" i="2" s="1"/>
  <c r="K22" i="2"/>
  <c r="K23" i="2" s="1"/>
  <c r="D53" i="2" l="1"/>
  <c r="D60" i="2"/>
  <c r="D59" i="2" s="1"/>
  <c r="K24" i="2"/>
  <c r="K54" i="2"/>
  <c r="K25" i="2" l="1"/>
  <c r="K53" i="2"/>
  <c r="K60" i="2"/>
  <c r="K59" i="2" s="1"/>
</calcChain>
</file>

<file path=xl/comments1.xml><?xml version="1.0" encoding="utf-8"?>
<comments xmlns="http://schemas.openxmlformats.org/spreadsheetml/2006/main">
  <authors>
    <author>作者</author>
  </authors>
  <commentList>
    <comment ref="K3" authorId="0" shapeId="0">
      <text>
        <r>
          <rPr>
            <b/>
            <sz val="9"/>
            <rFont val="宋体"/>
            <family val="3"/>
            <charset val="134"/>
          </rPr>
          <t>委外加工、客户指定信息必须填写</t>
        </r>
        <r>
          <rPr>
            <sz val="9"/>
            <rFont val="宋体"/>
            <family val="3"/>
            <charset val="13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User</author>
  </authors>
  <commentList>
    <comment ref="F3" authorId="0" shapeId="0">
      <text>
        <r>
          <rPr>
            <b/>
            <sz val="9"/>
            <color indexed="81"/>
            <rFont val="宋体"/>
            <family val="3"/>
            <charset val="134"/>
          </rPr>
          <t>User:</t>
        </r>
        <r>
          <rPr>
            <sz val="9"/>
            <color indexed="81"/>
            <rFont val="宋体"/>
            <family val="3"/>
            <charset val="134"/>
          </rPr>
          <t xml:space="preserve">
2021.11月河北报表数据</t>
        </r>
      </text>
    </comment>
  </commentList>
</comments>
</file>

<file path=xl/sharedStrings.xml><?xml version="1.0" encoding="utf-8"?>
<sst xmlns="http://schemas.openxmlformats.org/spreadsheetml/2006/main" count="1946" uniqueCount="307">
  <si>
    <t xml:space="preserve">序号 </t>
  </si>
  <si>
    <t>项目</t>
  </si>
  <si>
    <t xml:space="preserve">假设条件 </t>
  </si>
  <si>
    <t>销量</t>
  </si>
  <si>
    <t>假设产销一致，暂不考虑库存部分。</t>
  </si>
  <si>
    <t>价格及商务政策</t>
  </si>
  <si>
    <t>销售价格（未税）：由营销或项目经理提供，包括年降。</t>
  </si>
  <si>
    <t>材料成本</t>
  </si>
  <si>
    <t>单台材料成本为未税价格。</t>
  </si>
  <si>
    <t>变动费用</t>
  </si>
  <si>
    <t>固定费用</t>
  </si>
  <si>
    <t>预测工厂产能满足客户订单。</t>
  </si>
  <si>
    <t>如有产线改造按照产销量摊销，无净残值。</t>
  </si>
  <si>
    <t>投资回收期</t>
  </si>
  <si>
    <t>投资仅指此项目研发费用及模夹检具工装、生产地产线改造投入。</t>
  </si>
  <si>
    <t>序号</t>
  </si>
  <si>
    <t>合计</t>
  </si>
  <si>
    <t>各责任主体</t>
  </si>
  <si>
    <t>销售公司</t>
  </si>
  <si>
    <t>收入</t>
  </si>
  <si>
    <t>1、</t>
  </si>
  <si>
    <t>年降</t>
  </si>
  <si>
    <t>2、</t>
  </si>
  <si>
    <t>折扣折让</t>
  </si>
  <si>
    <t>收入净额</t>
  </si>
  <si>
    <t>4、</t>
  </si>
  <si>
    <t>计算</t>
  </si>
  <si>
    <t>直接材料</t>
  </si>
  <si>
    <t>5、</t>
  </si>
  <si>
    <t>各业务部门进行技术方案分析、包括实现方式，采购中心根据技术方案的输入向供应商询价</t>
  </si>
  <si>
    <t>直接人工</t>
  </si>
  <si>
    <t>6、</t>
  </si>
  <si>
    <t>变动制造费用</t>
  </si>
  <si>
    <t>7、</t>
  </si>
  <si>
    <t>变动销售费用</t>
  </si>
  <si>
    <t>9、</t>
  </si>
  <si>
    <t>变动费用小计</t>
  </si>
  <si>
    <t>11、</t>
  </si>
  <si>
    <t>边际贡献总额</t>
  </si>
  <si>
    <t>12、</t>
  </si>
  <si>
    <t>边际贡献率</t>
  </si>
  <si>
    <t>13、</t>
  </si>
  <si>
    <t>固定制造费用</t>
  </si>
  <si>
    <t>14、</t>
  </si>
  <si>
    <t>固定销售费用</t>
  </si>
  <si>
    <t>15、</t>
  </si>
  <si>
    <t>管理费用</t>
  </si>
  <si>
    <t>16、</t>
  </si>
  <si>
    <t>研发费用</t>
  </si>
  <si>
    <t>财务费用</t>
  </si>
  <si>
    <t>17、</t>
  </si>
  <si>
    <t>固定费用小计</t>
  </si>
  <si>
    <t>18、</t>
  </si>
  <si>
    <t>税前利润</t>
  </si>
  <si>
    <t>19、</t>
  </si>
  <si>
    <t>所得税</t>
  </si>
  <si>
    <t>20、</t>
  </si>
  <si>
    <t>净利润</t>
  </si>
  <si>
    <t>21、</t>
  </si>
  <si>
    <t>销售净利率</t>
  </si>
  <si>
    <t>22、</t>
  </si>
  <si>
    <t>利润率</t>
  </si>
  <si>
    <t>指标值</t>
  </si>
  <si>
    <t>一、</t>
  </si>
  <si>
    <t>附加值</t>
  </si>
  <si>
    <t>二、</t>
  </si>
  <si>
    <t>单件销售收入</t>
  </si>
  <si>
    <t>单件材料成本</t>
  </si>
  <si>
    <t>3、</t>
  </si>
  <si>
    <t>单件附加值</t>
  </si>
  <si>
    <t>附加值比例</t>
  </si>
  <si>
    <t>三、</t>
  </si>
  <si>
    <t>单件直接人工</t>
  </si>
  <si>
    <t>单件变动制造费用</t>
  </si>
  <si>
    <t>单件变动销售费用</t>
  </si>
  <si>
    <t>四、</t>
  </si>
  <si>
    <t>边际贡献</t>
  </si>
  <si>
    <t>单件边际贡献率</t>
  </si>
  <si>
    <t>单件边际贡献</t>
  </si>
  <si>
    <t>保本量</t>
  </si>
  <si>
    <t>五、</t>
  </si>
  <si>
    <t>单件固定成本</t>
  </si>
  <si>
    <t>单件固定制造费用</t>
  </si>
  <si>
    <t>单件固定销售费用</t>
  </si>
  <si>
    <t>单件管理费用</t>
  </si>
  <si>
    <t>单件研发费用</t>
  </si>
  <si>
    <t>单件折旧及模具摊销</t>
  </si>
  <si>
    <t>单件财务费用</t>
  </si>
  <si>
    <t>六、</t>
  </si>
  <si>
    <t>主要比例指标</t>
  </si>
  <si>
    <t>销售费用占收入比例</t>
  </si>
  <si>
    <t>制造费用占收入比例</t>
  </si>
  <si>
    <t>管理费用占收入比例</t>
  </si>
  <si>
    <t>研发费用占收入比例</t>
  </si>
  <si>
    <t>财务费用占收入比例</t>
  </si>
  <si>
    <t>销售利润率</t>
  </si>
  <si>
    <t>销售利润率吧</t>
  </si>
  <si>
    <t>七、</t>
  </si>
  <si>
    <t>税前单件利润</t>
  </si>
  <si>
    <t>八、</t>
  </si>
  <si>
    <t>投资回收期（研发投资+产线改造投资）</t>
  </si>
  <si>
    <t>新增投资</t>
  </si>
  <si>
    <t xml:space="preserve">研发投资 </t>
  </si>
  <si>
    <t xml:space="preserve">设备模具等投资 </t>
  </si>
  <si>
    <t>新增现金流量</t>
  </si>
  <si>
    <t>新增净利润</t>
  </si>
  <si>
    <t>新增折旧</t>
  </si>
  <si>
    <t>残值处理</t>
  </si>
  <si>
    <t>财务现金流量表</t>
  </si>
  <si>
    <t>附表10</t>
  </si>
  <si>
    <t xml:space="preserve">   年    份</t>
  </si>
  <si>
    <t>建设期</t>
  </si>
  <si>
    <t>运营期</t>
  </si>
  <si>
    <t xml:space="preserve">    项    目</t>
  </si>
  <si>
    <t>合 计</t>
  </si>
  <si>
    <t>现金流入</t>
  </si>
  <si>
    <t>销售收入</t>
  </si>
  <si>
    <t>回收固定资产和无形资产余值</t>
  </si>
  <si>
    <t>回收流动资金</t>
  </si>
  <si>
    <t xml:space="preserve"> </t>
  </si>
  <si>
    <t>其他收入</t>
  </si>
  <si>
    <t>现金流出</t>
  </si>
  <si>
    <t>建设投资</t>
  </si>
  <si>
    <t>流动资金</t>
  </si>
  <si>
    <t>经营成本</t>
  </si>
  <si>
    <t>销售税金及附加</t>
  </si>
  <si>
    <t>其他</t>
  </si>
  <si>
    <t>净现金流量</t>
  </si>
  <si>
    <t>累计净现金流量</t>
  </si>
  <si>
    <t>所得税前净现金流量</t>
  </si>
  <si>
    <t>所得税前累计净现金流量</t>
  </si>
  <si>
    <t>计算指标:</t>
  </si>
  <si>
    <t>所得税后</t>
  </si>
  <si>
    <t>所得税前</t>
  </si>
  <si>
    <t>财务内部收益率(%):</t>
  </si>
  <si>
    <t xml:space="preserve">     </t>
  </si>
  <si>
    <t>财务净现值(ic=12%)(万元):</t>
  </si>
  <si>
    <t>投资回收期(年):</t>
  </si>
  <si>
    <t>年度</t>
  </si>
  <si>
    <t>客户全称</t>
  </si>
  <si>
    <t>产品名称</t>
  </si>
  <si>
    <t>产品图号</t>
  </si>
  <si>
    <t>车型</t>
  </si>
  <si>
    <t>销量(件）</t>
  </si>
  <si>
    <t>设备模具等折旧分摊</t>
  </si>
  <si>
    <t>假设包含在固定制造费用中</t>
  </si>
  <si>
    <t>单位：元</t>
  </si>
  <si>
    <t>单件销售收入净额</t>
  </si>
  <si>
    <r>
      <rPr>
        <b/>
        <sz val="16"/>
        <color indexed="8"/>
        <rFont val="宋体"/>
        <family val="3"/>
        <charset val="134"/>
      </rPr>
      <t xml:space="preserve">    项目建设及投资估算表    </t>
    </r>
    <r>
      <rPr>
        <b/>
        <sz val="8"/>
        <color indexed="8"/>
        <rFont val="宋体"/>
        <family val="3"/>
        <charset val="134"/>
      </rPr>
      <t>单位：万元</t>
    </r>
  </si>
  <si>
    <t>金额</t>
  </si>
  <si>
    <t>备注</t>
  </si>
  <si>
    <t>类型</t>
  </si>
  <si>
    <t>预算费用（万元）</t>
  </si>
  <si>
    <t>一、土地</t>
  </si>
  <si>
    <t>生产线设备</t>
  </si>
  <si>
    <t>新购置</t>
  </si>
  <si>
    <t>二、建设工程投资</t>
  </si>
  <si>
    <t>改造</t>
  </si>
  <si>
    <t>三、设备投资</t>
  </si>
  <si>
    <t>模、夹、检、工装等</t>
  </si>
  <si>
    <t>注塑模具</t>
  </si>
  <si>
    <t>四、其他</t>
  </si>
  <si>
    <t>冲压模具</t>
  </si>
  <si>
    <t>小计</t>
  </si>
  <si>
    <t>发泡模具</t>
  </si>
  <si>
    <t>五、模夹检具、工装</t>
  </si>
  <si>
    <t>压铸模具</t>
  </si>
  <si>
    <t>六、开发投入</t>
  </si>
  <si>
    <t>夹具</t>
  </si>
  <si>
    <t>检具</t>
  </si>
  <si>
    <t>工装</t>
  </si>
  <si>
    <t xml:space="preserve">其它 </t>
  </si>
  <si>
    <t>人力成本</t>
  </si>
  <si>
    <t>差旅费</t>
  </si>
  <si>
    <t>邮寄费</t>
  </si>
  <si>
    <t>运费</t>
  </si>
  <si>
    <t>设计费</t>
  </si>
  <si>
    <t>样品费</t>
  </si>
  <si>
    <t>试验费</t>
  </si>
  <si>
    <t>维修费</t>
  </si>
  <si>
    <t>注：生产线改造、机器人及生产设备等投入费用预算由工厂策划预算。</t>
  </si>
  <si>
    <t>摊余系数</t>
  </si>
  <si>
    <t>2025年</t>
  </si>
  <si>
    <t>预计净残值</t>
  </si>
  <si>
    <t>研发费用分摊</t>
  </si>
  <si>
    <t>产品量价规划</t>
  </si>
  <si>
    <t>一、销量、售价</t>
  </si>
  <si>
    <t>预计销价年降</t>
  </si>
  <si>
    <t>新开发产品</t>
  </si>
  <si>
    <t>配置</t>
  </si>
  <si>
    <t xml:space="preserve">销售价格
（元，未税）  </t>
  </si>
  <si>
    <t>销量（件）</t>
  </si>
  <si>
    <t>预估原材料成本（单位：元，未税）</t>
  </si>
  <si>
    <t>模块</t>
  </si>
  <si>
    <t>项目名称</t>
  </si>
  <si>
    <t>项目编号</t>
  </si>
  <si>
    <t>汇总</t>
  </si>
  <si>
    <t>项    目</t>
  </si>
  <si>
    <t>内容</t>
  </si>
  <si>
    <t>说明</t>
  </si>
  <si>
    <t>生产地点</t>
  </si>
  <si>
    <t>客户地点</t>
  </si>
  <si>
    <t>客户付款方式</t>
  </si>
  <si>
    <t>喷涂件生产地点</t>
  </si>
  <si>
    <t>委外加工</t>
  </si>
  <si>
    <t>物流包装信息</t>
  </si>
  <si>
    <t>客户现场服务要求</t>
  </si>
  <si>
    <t>客户所在地第三方收费标准</t>
  </si>
  <si>
    <t>客户是否指定供方及其结算方式</t>
  </si>
  <si>
    <t>面料价格</t>
  </si>
  <si>
    <t>产品特殊特性</t>
  </si>
  <si>
    <t>单位：元、%、未税</t>
  </si>
  <si>
    <t>科目</t>
  </si>
  <si>
    <t>人工成本</t>
  </si>
  <si>
    <t>制造费用</t>
  </si>
  <si>
    <t>固定</t>
  </si>
  <si>
    <t>变动</t>
  </si>
  <si>
    <t>标准成本小计</t>
  </si>
  <si>
    <t>销售费用</t>
  </si>
  <si>
    <t>预计</t>
    <phoneticPr fontId="38" type="noConversion"/>
  </si>
  <si>
    <t>综合单件金额</t>
    <phoneticPr fontId="38" type="noConversion"/>
  </si>
  <si>
    <t>座椅单件金额</t>
    <phoneticPr fontId="38" type="noConversion"/>
  </si>
  <si>
    <t>后视镜单件金额</t>
    <phoneticPr fontId="38" type="noConversion"/>
  </si>
  <si>
    <t>综合占收入比率</t>
    <phoneticPr fontId="38" type="noConversion"/>
  </si>
  <si>
    <t>后视镜占收入比率</t>
    <phoneticPr fontId="38" type="noConversion"/>
  </si>
  <si>
    <t>座椅占收入比率</t>
    <phoneticPr fontId="38" type="noConversion"/>
  </si>
  <si>
    <t>2026年</t>
  </si>
  <si>
    <t xml:space="preserve">成都王牌V5/V7座椅项目研发费用预算表 </t>
    <phoneticPr fontId="38" type="noConversion"/>
  </si>
  <si>
    <t>所得税(税率25%）</t>
    <phoneticPr fontId="38" type="noConversion"/>
  </si>
  <si>
    <t>上汽红岩系列座椅开发项目项目</t>
    <phoneticPr fontId="38" type="noConversion"/>
  </si>
  <si>
    <t>投资收益分析</t>
    <phoneticPr fontId="38" type="noConversion"/>
  </si>
  <si>
    <t>单位：未税、元</t>
    <phoneticPr fontId="38" type="noConversion"/>
  </si>
  <si>
    <t>上汽红岩</t>
    <phoneticPr fontId="38" type="noConversion"/>
  </si>
  <si>
    <t>2024年</t>
    <phoneticPr fontId="38" type="noConversion"/>
  </si>
  <si>
    <t>2027年</t>
  </si>
  <si>
    <t>2028年</t>
  </si>
  <si>
    <t>2029年</t>
  </si>
  <si>
    <t>2030年</t>
  </si>
  <si>
    <t>2031年</t>
  </si>
  <si>
    <t>正司机</t>
  </si>
  <si>
    <t>副司机</t>
  </si>
  <si>
    <t>2.2平台速降/坐垫延伸/可变阻尼/腰脱/安全带/单扶手</t>
  </si>
  <si>
    <t>2.2定阻尼/腰脱/安全带/单扶手</t>
  </si>
  <si>
    <t>2.1平台/腰脱/安全带</t>
  </si>
  <si>
    <t>2.2定阻尼/坐垫延伸/腰脱/安全带/单扶手</t>
  </si>
  <si>
    <t>副司机：简易管式固定式</t>
    <phoneticPr fontId="38" type="noConversion"/>
  </si>
  <si>
    <t>已取消</t>
    <phoneticPr fontId="38" type="noConversion"/>
  </si>
  <si>
    <t>成都工厂</t>
  </si>
  <si>
    <t>重庆江北</t>
  </si>
  <si>
    <t>送货地点</t>
  </si>
  <si>
    <t>现汇或承兑的比例</t>
  </si>
  <si>
    <t xml:space="preserve">无 </t>
  </si>
  <si>
    <t>暂无</t>
  </si>
  <si>
    <t>包含所有的主、辅料</t>
  </si>
  <si>
    <t>开发费分摊情况</t>
  </si>
  <si>
    <t>无</t>
  </si>
  <si>
    <t>产品应用场景</t>
  </si>
  <si>
    <t>牵引车/载货车/自卸车/专用车</t>
  </si>
  <si>
    <t>三包周期</t>
  </si>
  <si>
    <t>18个月</t>
  </si>
  <si>
    <t>涂红色处为必填项</t>
  </si>
  <si>
    <t>副驾底支架钣金件新开 13W（10/23推进会议决定由西安工厂寻找属地资源整体外购，李谦负责）</t>
  </si>
  <si>
    <t>副驾底支架总成焊胎新开 6W（10/23推进会议决定由西安工厂寻找属地资源整体外购，李谦负责）</t>
  </si>
  <si>
    <t>项目期间按5次出差计算，单次1500</t>
  </si>
  <si>
    <t>项目期间按5次邮寄费用，单次200</t>
  </si>
  <si>
    <t>项目期间按3次专车计算，单次500</t>
  </si>
  <si>
    <t>项目期间按花费120天计算，单价1600</t>
  </si>
  <si>
    <t>项目期间预计51套，单价4400</t>
  </si>
  <si>
    <t>强检、3C</t>
  </si>
  <si>
    <t>项目期间按5次计算，单价500</t>
  </si>
  <si>
    <t>会议决定，不开发检具</t>
  </si>
  <si>
    <t>西安出差，按照3天一次</t>
  </si>
  <si>
    <t>底座模块化需要河北供货</t>
  </si>
  <si>
    <t>西安工厂进行生产，距离较近，后续所有的样件西安权志维负责</t>
  </si>
  <si>
    <t>从7月份开始设计，直至今日才初定技术方案</t>
  </si>
  <si>
    <t>3台评审样件、18台过程样件（15把过程提交样件，3把3C，强检、DVP试验等）、30台小批量试生产样件</t>
  </si>
  <si>
    <t>李谦确认，是需要做强检、3C、安全带固定点试验</t>
  </si>
  <si>
    <t>成都工厂2023.7</t>
    <phoneticPr fontId="38" type="noConversion"/>
  </si>
  <si>
    <t>按累计</t>
    <phoneticPr fontId="38" type="noConversion"/>
  </si>
  <si>
    <t xml:space="preserve">2028年  </t>
    <phoneticPr fontId="38" type="noConversion"/>
  </si>
  <si>
    <t xml:space="preserve">2027年  </t>
    <phoneticPr fontId="38" type="noConversion"/>
  </si>
  <si>
    <t xml:space="preserve">2026年  </t>
    <phoneticPr fontId="38" type="noConversion"/>
  </si>
  <si>
    <t xml:space="preserve">2025年  </t>
    <phoneticPr fontId="38" type="noConversion"/>
  </si>
  <si>
    <t xml:space="preserve">2024年  </t>
    <phoneticPr fontId="38" type="noConversion"/>
  </si>
  <si>
    <r>
      <t>2024</t>
    </r>
    <r>
      <rPr>
        <b/>
        <sz val="10"/>
        <rFont val="宋体"/>
        <family val="3"/>
        <charset val="134"/>
      </rPr>
      <t>年</t>
    </r>
    <phoneticPr fontId="38" type="noConversion"/>
  </si>
  <si>
    <r>
      <t>2025年</t>
    </r>
    <r>
      <rPr>
        <b/>
        <sz val="10"/>
        <rFont val="宋体"/>
        <family val="3"/>
        <charset val="134"/>
      </rPr>
      <t/>
    </r>
  </si>
  <si>
    <r>
      <t>2026年</t>
    </r>
    <r>
      <rPr>
        <b/>
        <sz val="10"/>
        <rFont val="宋体"/>
        <family val="3"/>
        <charset val="134"/>
      </rPr>
      <t/>
    </r>
  </si>
  <si>
    <r>
      <t>2027年</t>
    </r>
    <r>
      <rPr>
        <b/>
        <sz val="10"/>
        <rFont val="宋体"/>
        <family val="3"/>
        <charset val="134"/>
      </rPr>
      <t/>
    </r>
  </si>
  <si>
    <r>
      <t>2028年</t>
    </r>
    <r>
      <rPr>
        <b/>
        <sz val="10"/>
        <rFont val="宋体"/>
        <family val="3"/>
        <charset val="134"/>
      </rPr>
      <t/>
    </r>
  </si>
  <si>
    <r>
      <t>2029年</t>
    </r>
    <r>
      <rPr>
        <b/>
        <sz val="10"/>
        <rFont val="宋体"/>
        <family val="3"/>
        <charset val="134"/>
      </rPr>
      <t/>
    </r>
  </si>
  <si>
    <r>
      <t>2030年</t>
    </r>
    <r>
      <rPr>
        <b/>
        <sz val="10"/>
        <rFont val="宋体"/>
        <family val="3"/>
        <charset val="134"/>
      </rPr>
      <t/>
    </r>
  </si>
  <si>
    <r>
      <t>2031年</t>
    </r>
    <r>
      <rPr>
        <b/>
        <sz val="10"/>
        <rFont val="宋体"/>
        <family val="3"/>
        <charset val="134"/>
      </rPr>
      <t/>
    </r>
  </si>
  <si>
    <t>2025年</t>
    <phoneticPr fontId="38" type="noConversion"/>
  </si>
  <si>
    <t>供应商年降：    3%</t>
    <phoneticPr fontId="38" type="noConversion"/>
  </si>
  <si>
    <t>每年</t>
    <phoneticPr fontId="38" type="noConversion"/>
  </si>
  <si>
    <t>附加值</t>
    <phoneticPr fontId="38" type="noConversion"/>
  </si>
  <si>
    <t>附加值率</t>
    <phoneticPr fontId="38" type="noConversion"/>
  </si>
  <si>
    <t>原材料成本</t>
    <phoneticPr fontId="38" type="noConversion"/>
  </si>
  <si>
    <t>ZY2204</t>
    <phoneticPr fontId="38" type="noConversion"/>
  </si>
  <si>
    <t xml:space="preserve">2029年  </t>
    <phoneticPr fontId="38" type="noConversion"/>
  </si>
  <si>
    <t xml:space="preserve">2030年  </t>
    <phoneticPr fontId="38" type="noConversion"/>
  </si>
  <si>
    <t xml:space="preserve">2031年  </t>
    <phoneticPr fontId="38" type="noConversion"/>
  </si>
  <si>
    <t>所得税(税率25%）</t>
    <phoneticPr fontId="38" type="noConversion"/>
  </si>
  <si>
    <t>原材料成本按工艺BOM及相关预计测算。供应商年度降价与销价降幅同步。</t>
    <phoneticPr fontId="38" type="noConversion"/>
  </si>
  <si>
    <t>变动费用按成都工厂2023年7月实际数据。</t>
    <phoneticPr fontId="38" type="noConversion"/>
  </si>
  <si>
    <t>研发费用按照年限摊销。</t>
    <phoneticPr fontId="38" type="noConversion"/>
  </si>
  <si>
    <t>财务费用按集团平均。</t>
    <phoneticPr fontId="3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</si>
</sst>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 * #,##0.00_ ;_ * \-#,##0.00_ ;_ * &quot;-&quot;??_ ;_ @_ "/>
    <numFmt numFmtId="176" formatCode="&quot;$&quot;#,##0.00_);[Red]\(&quot;$&quot;#,##0.00\)"/>
    <numFmt numFmtId="177" formatCode="0_ "/>
    <numFmt numFmtId="178" formatCode="_ * #,##0_ ;_ * \-#,##0_ ;_ * &quot;-&quot;??_ ;_ @_ "/>
    <numFmt numFmtId="179" formatCode="0.00_ "/>
    <numFmt numFmtId="180" formatCode="0.0%"/>
  </numFmts>
  <fonts count="48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b/>
      <sz val="11"/>
      <name val="微软雅黑"/>
      <family val="2"/>
      <charset val="134"/>
    </font>
    <font>
      <sz val="11"/>
      <name val="微软雅黑"/>
      <family val="2"/>
      <charset val="134"/>
    </font>
    <font>
      <sz val="11"/>
      <color rgb="FF000000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sz val="12"/>
      <color rgb="FF000000"/>
      <name val="微软雅黑"/>
      <family val="2"/>
      <charset val="134"/>
    </font>
    <font>
      <b/>
      <sz val="16"/>
      <color indexed="8"/>
      <name val="宋体"/>
      <family val="3"/>
      <charset val="134"/>
    </font>
    <font>
      <sz val="10"/>
      <color indexed="12"/>
      <name val="宋体"/>
      <family val="3"/>
      <charset val="134"/>
    </font>
    <font>
      <sz val="10"/>
      <name val="宋体"/>
      <family val="3"/>
      <charset val="134"/>
    </font>
    <font>
      <sz val="10"/>
      <color indexed="8"/>
      <name val="Times New Roman"/>
      <family val="1"/>
    </font>
    <font>
      <sz val="10"/>
      <color indexed="8"/>
      <name val="宋体"/>
      <family val="3"/>
      <charset val="134"/>
    </font>
    <font>
      <sz val="10"/>
      <color indexed="8"/>
      <name val="Times New Roman"/>
      <family val="1"/>
    </font>
    <font>
      <sz val="10"/>
      <color rgb="FFFF0000"/>
      <name val="微软雅黑"/>
      <family val="2"/>
      <charset val="134"/>
    </font>
    <font>
      <sz val="1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name val="宋体"/>
      <family val="3"/>
      <charset val="134"/>
    </font>
    <font>
      <b/>
      <sz val="10"/>
      <color theme="1"/>
      <name val="微软雅黑"/>
      <family val="2"/>
      <charset val="134"/>
    </font>
    <font>
      <sz val="11"/>
      <color rgb="FFFF0000"/>
      <name val="宋体"/>
      <family val="3"/>
      <charset val="134"/>
      <scheme val="minor"/>
    </font>
    <font>
      <sz val="14"/>
      <name val="宋体"/>
      <family val="3"/>
      <charset val="134"/>
    </font>
    <font>
      <sz val="18"/>
      <color theme="1"/>
      <name val="微软雅黑"/>
      <family val="2"/>
      <charset val="134"/>
    </font>
    <font>
      <b/>
      <sz val="10"/>
      <name val="CorpoS"/>
      <family val="1"/>
    </font>
    <font>
      <b/>
      <sz val="10"/>
      <name val="微软雅黑"/>
      <family val="2"/>
      <charset val="134"/>
    </font>
    <font>
      <sz val="12"/>
      <color theme="1"/>
      <name val="宋体"/>
      <family val="3"/>
      <charset val="134"/>
      <scheme val="minor"/>
    </font>
    <font>
      <b/>
      <sz val="12"/>
      <color rgb="FF000000"/>
      <name val="微软雅黑"/>
      <family val="2"/>
      <charset val="134"/>
    </font>
    <font>
      <sz val="12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sz val="10"/>
      <name val="MS Sans Serif"/>
      <family val="1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Times New Roman"/>
      <family val="1"/>
    </font>
    <font>
      <b/>
      <sz val="12"/>
      <name val="仿宋体"/>
      <charset val="134"/>
    </font>
    <font>
      <sz val="11"/>
      <color indexed="8"/>
      <name val="宋体"/>
      <family val="3"/>
      <charset val="134"/>
    </font>
    <font>
      <b/>
      <sz val="8"/>
      <color indexed="8"/>
      <name val="宋体"/>
      <family val="3"/>
      <charset val="134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sz val="9"/>
      <name val="Arial"/>
      <family val="2"/>
    </font>
    <font>
      <sz val="11"/>
      <color rgb="FF000000"/>
      <name val="宋体"/>
      <family val="3"/>
      <charset val="134"/>
    </font>
    <font>
      <sz val="11"/>
      <name val="宋体"/>
      <family val="3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12"/>
      <color rgb="FFFF0000"/>
      <name val="微软雅黑"/>
      <family val="2"/>
      <charset val="134"/>
    </font>
    <font>
      <sz val="10"/>
      <color rgb="FF000000"/>
      <name val="微软雅黑"/>
      <family val="2"/>
      <charset val="134"/>
    </font>
    <font>
      <sz val="12"/>
      <color theme="1"/>
      <name val="微软雅黑"/>
      <family val="2"/>
      <charset val="134"/>
    </font>
  </fonts>
  <fills count="11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1">
    <xf numFmtId="0" fontId="0" fillId="0" borderId="0">
      <alignment vertical="center"/>
    </xf>
    <xf numFmtId="43" fontId="37" fillId="0" borderId="0" applyFont="0" applyFill="0" applyBorder="0" applyAlignment="0" applyProtection="0">
      <alignment vertical="center"/>
    </xf>
    <xf numFmtId="0" fontId="28" fillId="0" borderId="0"/>
    <xf numFmtId="9" fontId="37" fillId="0" borderId="0" applyFont="0" applyFill="0" applyBorder="0" applyAlignment="0" applyProtection="0">
      <alignment vertical="center"/>
    </xf>
    <xf numFmtId="0" fontId="31" fillId="0" borderId="0"/>
    <xf numFmtId="0" fontId="30" fillId="0" borderId="0">
      <alignment vertical="center"/>
    </xf>
    <xf numFmtId="0" fontId="29" fillId="0" borderId="0"/>
    <xf numFmtId="1" fontId="32" fillId="0" borderId="1" applyBorder="0"/>
    <xf numFmtId="43" fontId="33" fillId="0" borderId="0" applyFont="0" applyFill="0" applyBorder="0" applyAlignment="0" applyProtection="0">
      <alignment vertical="center"/>
    </xf>
    <xf numFmtId="0" fontId="29" fillId="0" borderId="0"/>
    <xf numFmtId="0" fontId="40" fillId="0" borderId="1" applyNumberFormat="0" applyFill="0" applyBorder="0" applyAlignment="0" applyProtection="0">
      <alignment vertical="center"/>
    </xf>
  </cellStyleXfs>
  <cellXfs count="294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Fill="1" applyBorder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Border="1">
      <alignment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2" fillId="2" borderId="0" xfId="0" applyFont="1" applyFill="1">
      <alignment vertical="center"/>
    </xf>
    <xf numFmtId="43" fontId="2" fillId="2" borderId="1" xfId="1" applyFont="1" applyFill="1" applyBorder="1">
      <alignment vertical="center"/>
    </xf>
    <xf numFmtId="0" fontId="4" fillId="0" borderId="1" xfId="0" applyFont="1" applyBorder="1" applyAlignment="1">
      <alignment horizontal="center" vertical="center" wrapText="1"/>
    </xf>
    <xf numFmtId="43" fontId="4" fillId="2" borderId="1" xfId="1" applyFont="1" applyFill="1" applyBorder="1">
      <alignment vertical="center"/>
    </xf>
    <xf numFmtId="43" fontId="4" fillId="0" borderId="1" xfId="1" applyFont="1" applyBorder="1">
      <alignment vertical="center"/>
    </xf>
    <xf numFmtId="43" fontId="2" fillId="0" borderId="0" xfId="0" applyNumberFormat="1" applyFont="1" applyBorder="1">
      <alignment vertical="center"/>
    </xf>
    <xf numFmtId="0" fontId="2" fillId="0" borderId="1" xfId="0" applyFont="1" applyBorder="1">
      <alignment vertical="center"/>
    </xf>
    <xf numFmtId="0" fontId="6" fillId="0" borderId="0" xfId="0" applyFont="1" applyAlignment="1">
      <alignment vertical="center" wrapText="1"/>
    </xf>
    <xf numFmtId="178" fontId="2" fillId="0" borderId="0" xfId="1" applyNumberFormat="1" applyFont="1">
      <alignment vertical="center"/>
    </xf>
    <xf numFmtId="0" fontId="6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 readingOrder="1"/>
    </xf>
    <xf numFmtId="0" fontId="7" fillId="2" borderId="1" xfId="0" applyFont="1" applyFill="1" applyBorder="1" applyAlignment="1">
      <alignment horizontal="center" vertical="center" wrapText="1" readingOrder="1"/>
    </xf>
    <xf numFmtId="178" fontId="5" fillId="3" borderId="1" xfId="0" applyNumberFormat="1" applyFont="1" applyFill="1" applyBorder="1" applyAlignment="1">
      <alignment horizontal="center" wrapText="1" readingOrder="1"/>
    </xf>
    <xf numFmtId="43" fontId="2" fillId="0" borderId="0" xfId="1" applyFont="1">
      <alignment vertical="center"/>
    </xf>
    <xf numFmtId="178" fontId="7" fillId="3" borderId="1" xfId="1" applyNumberFormat="1" applyFont="1" applyFill="1" applyBorder="1" applyAlignment="1">
      <alignment horizontal="center" vertical="center" wrapText="1" readingOrder="1"/>
    </xf>
    <xf numFmtId="43" fontId="0" fillId="0" borderId="0" xfId="1" applyFont="1">
      <alignment vertical="center"/>
    </xf>
    <xf numFmtId="177" fontId="9" fillId="5" borderId="1" xfId="4" applyNumberFormat="1" applyFont="1" applyFill="1" applyBorder="1" applyAlignment="1">
      <alignment horizontal="center" vertical="center" wrapText="1"/>
    </xf>
    <xf numFmtId="43" fontId="9" fillId="5" borderId="1" xfId="1" applyFont="1" applyFill="1" applyBorder="1" applyAlignment="1">
      <alignment horizontal="center" vertical="center" wrapText="1"/>
    </xf>
    <xf numFmtId="0" fontId="9" fillId="5" borderId="1" xfId="2" applyNumberFormat="1" applyFont="1" applyFill="1" applyBorder="1" applyAlignment="1" applyProtection="1">
      <alignment horizontal="center" vertical="center"/>
    </xf>
    <xf numFmtId="43" fontId="0" fillId="0" borderId="1" xfId="1" applyFont="1" applyBorder="1" applyAlignment="1">
      <alignment horizontal="center" vertical="center"/>
    </xf>
    <xf numFmtId="177" fontId="10" fillId="0" borderId="1" xfId="4" applyNumberFormat="1" applyFont="1" applyFill="1" applyBorder="1" applyAlignment="1">
      <alignment horizontal="left" vertical="center"/>
    </xf>
    <xf numFmtId="43" fontId="10" fillId="2" borderId="1" xfId="1" applyFont="1" applyFill="1" applyBorder="1" applyAlignment="1">
      <alignment horizontal="center" vertical="center"/>
    </xf>
    <xf numFmtId="0" fontId="11" fillId="4" borderId="1" xfId="2" applyNumberFormat="1" applyFont="1" applyFill="1" applyBorder="1" applyAlignment="1" applyProtection="1">
      <alignment horizontal="center" vertical="center"/>
    </xf>
    <xf numFmtId="0" fontId="12" fillId="4" borderId="1" xfId="2" applyNumberFormat="1" applyFont="1" applyFill="1" applyBorder="1" applyAlignment="1" applyProtection="1">
      <alignment horizontal="center" vertical="center"/>
    </xf>
    <xf numFmtId="43" fontId="10" fillId="0" borderId="1" xfId="1" applyFont="1" applyFill="1" applyBorder="1" applyAlignment="1">
      <alignment horizontal="center" vertical="center"/>
    </xf>
    <xf numFmtId="0" fontId="0" fillId="3" borderId="1" xfId="0" applyFill="1" applyBorder="1">
      <alignment vertical="center"/>
    </xf>
    <xf numFmtId="177" fontId="10" fillId="0" borderId="4" xfId="4" applyNumberFormat="1" applyFont="1" applyFill="1" applyBorder="1" applyAlignment="1">
      <alignment horizontal="center" vertical="center"/>
    </xf>
    <xf numFmtId="177" fontId="10" fillId="0" borderId="4" xfId="4" applyNumberFormat="1" applyFont="1" applyFill="1" applyBorder="1" applyAlignment="1">
      <alignment horizontal="left" vertical="center" wrapText="1"/>
    </xf>
    <xf numFmtId="0" fontId="13" fillId="4" borderId="1" xfId="2" applyNumberFormat="1" applyFont="1" applyFill="1" applyBorder="1" applyAlignment="1" applyProtection="1">
      <alignment horizontal="center" vertical="center" wrapText="1"/>
    </xf>
    <xf numFmtId="0" fontId="3" fillId="0" borderId="1" xfId="0" applyFont="1" applyBorder="1" applyAlignment="1">
      <alignment horizontal="center" vertical="center" readingOrder="1"/>
    </xf>
    <xf numFmtId="43" fontId="4" fillId="0" borderId="1" xfId="0" applyNumberFormat="1" applyFont="1" applyBorder="1">
      <alignment vertical="center"/>
    </xf>
    <xf numFmtId="43" fontId="4" fillId="0" borderId="1" xfId="1" applyNumberFormat="1" applyFont="1" applyBorder="1">
      <alignment vertical="center"/>
    </xf>
    <xf numFmtId="0" fontId="2" fillId="0" borderId="5" xfId="0" applyFont="1" applyBorder="1" applyAlignment="1">
      <alignment horizontal="center" vertical="center" wrapText="1"/>
    </xf>
    <xf numFmtId="0" fontId="4" fillId="0" borderId="0" xfId="0" applyFont="1">
      <alignment vertical="center"/>
    </xf>
    <xf numFmtId="0" fontId="14" fillId="0" borderId="0" xfId="0" applyFont="1" applyFill="1">
      <alignment vertical="center"/>
    </xf>
    <xf numFmtId="0" fontId="15" fillId="0" borderId="0" xfId="0" applyFont="1" applyFill="1">
      <alignment vertical="center"/>
    </xf>
    <xf numFmtId="0" fontId="16" fillId="0" borderId="0" xfId="0" applyFont="1" applyFill="1">
      <alignment vertical="center"/>
    </xf>
    <xf numFmtId="43" fontId="16" fillId="0" borderId="0" xfId="1" applyFont="1" applyFill="1">
      <alignment vertical="center"/>
    </xf>
    <xf numFmtId="0" fontId="16" fillId="0" borderId="1" xfId="0" applyFont="1" applyFill="1" applyBorder="1" applyAlignment="1">
      <alignment horizontal="center" vertical="center"/>
    </xf>
    <xf numFmtId="43" fontId="17" fillId="0" borderId="1" xfId="1" applyFont="1" applyFill="1" applyBorder="1" applyAlignment="1">
      <alignment horizontal="center" vertical="center" wrapText="1"/>
    </xf>
    <xf numFmtId="0" fontId="16" fillId="0" borderId="1" xfId="0" applyFont="1" applyFill="1" applyBorder="1">
      <alignment vertical="center"/>
    </xf>
    <xf numFmtId="0" fontId="18" fillId="0" borderId="1" xfId="0" applyFont="1" applyFill="1" applyBorder="1" applyAlignment="1">
      <alignment horizontal="center" vertical="center"/>
    </xf>
    <xf numFmtId="43" fontId="16" fillId="0" borderId="1" xfId="1" applyFont="1" applyFill="1" applyBorder="1" applyAlignment="1">
      <alignment horizontal="center" vertical="center"/>
    </xf>
    <xf numFmtId="0" fontId="18" fillId="0" borderId="1" xfId="0" applyFont="1" applyFill="1" applyBorder="1">
      <alignment vertical="center"/>
    </xf>
    <xf numFmtId="9" fontId="16" fillId="0" borderId="1" xfId="3" applyFont="1" applyFill="1" applyBorder="1" applyAlignment="1">
      <alignment horizontal="center" vertical="center"/>
    </xf>
    <xf numFmtId="0" fontId="14" fillId="0" borderId="1" xfId="0" applyFont="1" applyFill="1" applyBorder="1">
      <alignment vertical="center"/>
    </xf>
    <xf numFmtId="43" fontId="14" fillId="0" borderId="1" xfId="1" applyFont="1" applyFill="1" applyBorder="1">
      <alignment vertical="center"/>
    </xf>
    <xf numFmtId="43" fontId="16" fillId="0" borderId="1" xfId="1" applyFont="1" applyFill="1" applyBorder="1">
      <alignment vertical="center"/>
    </xf>
    <xf numFmtId="0" fontId="15" fillId="0" borderId="1" xfId="0" applyFont="1" applyFill="1" applyBorder="1">
      <alignment vertical="center"/>
    </xf>
    <xf numFmtId="9" fontId="16" fillId="0" borderId="1" xfId="3" applyFont="1" applyFill="1" applyBorder="1">
      <alignment vertical="center"/>
    </xf>
    <xf numFmtId="0" fontId="16" fillId="0" borderId="1" xfId="0" applyFont="1" applyFill="1" applyBorder="1" applyAlignment="1">
      <alignment horizontal="center" vertical="center"/>
    </xf>
    <xf numFmtId="43" fontId="14" fillId="0" borderId="1" xfId="1" applyFont="1" applyFill="1" applyBorder="1" applyAlignment="1">
      <alignment horizontal="center" vertical="center"/>
    </xf>
    <xf numFmtId="43" fontId="16" fillId="0" borderId="1" xfId="0" applyNumberFormat="1" applyFont="1" applyFill="1" applyBorder="1">
      <alignment vertical="center"/>
    </xf>
    <xf numFmtId="43" fontId="15" fillId="0" borderId="1" xfId="1" applyFont="1" applyFill="1" applyBorder="1">
      <alignment vertical="center"/>
    </xf>
    <xf numFmtId="43" fontId="16" fillId="0" borderId="0" xfId="1" applyFont="1" applyFill="1" applyAlignment="1">
      <alignment horizontal="center" vertical="center"/>
    </xf>
    <xf numFmtId="0" fontId="0" fillId="0" borderId="0" xfId="0" applyFill="1">
      <alignment vertical="center"/>
    </xf>
    <xf numFmtId="43" fontId="0" fillId="0" borderId="0" xfId="1" applyFont="1" applyFill="1">
      <alignment vertical="center"/>
    </xf>
    <xf numFmtId="43" fontId="16" fillId="0" borderId="0" xfId="0" applyNumberFormat="1" applyFont="1" applyFill="1">
      <alignment vertical="center"/>
    </xf>
    <xf numFmtId="0" fontId="19" fillId="0" borderId="0" xfId="0" applyFont="1" applyFill="1">
      <alignment vertical="center"/>
    </xf>
    <xf numFmtId="179" fontId="16" fillId="0" borderId="0" xfId="0" applyNumberFormat="1" applyFont="1" applyFill="1">
      <alignment vertical="center"/>
    </xf>
    <xf numFmtId="1" fontId="10" fillId="4" borderId="0" xfId="2" applyNumberFormat="1" applyFont="1" applyFill="1" applyProtection="1"/>
    <xf numFmtId="0" fontId="10" fillId="4" borderId="0" xfId="2" applyFont="1" applyFill="1" applyProtection="1"/>
    <xf numFmtId="0" fontId="20" fillId="4" borderId="0" xfId="2" applyFont="1" applyFill="1" applyAlignment="1" applyProtection="1">
      <alignment horizontal="centerContinuous"/>
    </xf>
    <xf numFmtId="0" fontId="10" fillId="4" borderId="0" xfId="2" applyFont="1" applyFill="1" applyAlignment="1">
      <alignment horizontal="centerContinuous"/>
    </xf>
    <xf numFmtId="0" fontId="10" fillId="4" borderId="0" xfId="2" applyFont="1" applyFill="1" applyAlignment="1" applyProtection="1">
      <alignment horizontal="centerContinuous"/>
    </xf>
    <xf numFmtId="9" fontId="10" fillId="4" borderId="0" xfId="2" applyNumberFormat="1" applyFont="1" applyFill="1" applyProtection="1"/>
    <xf numFmtId="0" fontId="10" fillId="4" borderId="5" xfId="2" applyFont="1" applyFill="1" applyBorder="1" applyAlignment="1" applyProtection="1">
      <alignment horizontal="center"/>
    </xf>
    <xf numFmtId="0" fontId="12" fillId="4" borderId="1" xfId="2" applyFont="1" applyFill="1" applyBorder="1" applyAlignment="1" applyProtection="1">
      <alignment horizontal="center"/>
    </xf>
    <xf numFmtId="0" fontId="12" fillId="4" borderId="2" xfId="2" applyFont="1" applyFill="1" applyBorder="1" applyAlignment="1" applyProtection="1">
      <alignment horizontal="center"/>
    </xf>
    <xf numFmtId="1" fontId="12" fillId="4" borderId="2" xfId="7" applyFont="1" applyFill="1" applyBorder="1"/>
    <xf numFmtId="1" fontId="10" fillId="4" borderId="2" xfId="7" applyFont="1" applyFill="1" applyBorder="1"/>
    <xf numFmtId="0" fontId="10" fillId="4" borderId="6" xfId="2" applyFont="1" applyFill="1" applyBorder="1" applyProtection="1"/>
    <xf numFmtId="0" fontId="10" fillId="4" borderId="1" xfId="2" applyFont="1" applyFill="1" applyBorder="1" applyAlignment="1" applyProtection="1">
      <alignment horizontal="center"/>
    </xf>
    <xf numFmtId="0" fontId="10" fillId="4" borderId="1" xfId="2" applyFont="1" applyFill="1" applyBorder="1" applyAlignment="1" applyProtection="1">
      <alignment horizontal="left"/>
    </xf>
    <xf numFmtId="0" fontId="10" fillId="6" borderId="1" xfId="2" applyFont="1" applyFill="1" applyBorder="1" applyProtection="1"/>
    <xf numFmtId="178" fontId="10" fillId="6" borderId="1" xfId="1" applyNumberFormat="1" applyFont="1" applyFill="1" applyBorder="1" applyAlignment="1" applyProtection="1"/>
    <xf numFmtId="0" fontId="10" fillId="4" borderId="1" xfId="2" applyFont="1" applyFill="1" applyBorder="1" applyProtection="1"/>
    <xf numFmtId="178" fontId="10" fillId="4" borderId="1" xfId="1" applyNumberFormat="1" applyFont="1" applyFill="1" applyBorder="1" applyAlignment="1" applyProtection="1"/>
    <xf numFmtId="0" fontId="10" fillId="4" borderId="1" xfId="2" applyNumberFormat="1" applyFont="1" applyFill="1" applyBorder="1" applyAlignment="1" applyProtection="1">
      <alignment horizontal="left"/>
    </xf>
    <xf numFmtId="1" fontId="10" fillId="4" borderId="1" xfId="2" applyNumberFormat="1" applyFont="1" applyFill="1" applyBorder="1" applyProtection="1"/>
    <xf numFmtId="1" fontId="10" fillId="4" borderId="1" xfId="2" applyNumberFormat="1" applyFont="1" applyFill="1" applyBorder="1" applyAlignment="1" applyProtection="1">
      <alignment horizontal="left"/>
    </xf>
    <xf numFmtId="0" fontId="10" fillId="4" borderId="9" xfId="2" applyFont="1" applyFill="1" applyBorder="1" applyProtection="1"/>
    <xf numFmtId="0" fontId="10" fillId="4" borderId="10" xfId="2" applyFont="1" applyFill="1" applyBorder="1" applyProtection="1"/>
    <xf numFmtId="0" fontId="10" fillId="4" borderId="11" xfId="2" applyFont="1" applyFill="1" applyBorder="1" applyProtection="1"/>
    <xf numFmtId="0" fontId="10" fillId="4" borderId="0" xfId="2" applyFont="1" applyFill="1" applyBorder="1" applyProtection="1"/>
    <xf numFmtId="176" fontId="10" fillId="4" borderId="0" xfId="2" applyNumberFormat="1" applyFont="1" applyFill="1" applyBorder="1" applyProtection="1"/>
    <xf numFmtId="10" fontId="10" fillId="4" borderId="0" xfId="2" applyNumberFormat="1" applyFont="1" applyFill="1" applyBorder="1" applyProtection="1"/>
    <xf numFmtId="1" fontId="10" fillId="4" borderId="0" xfId="2" applyNumberFormat="1" applyFont="1" applyFill="1" applyBorder="1" applyProtection="1"/>
    <xf numFmtId="0" fontId="10" fillId="4" borderId="12" xfId="2" applyFont="1" applyFill="1" applyBorder="1" applyProtection="1"/>
    <xf numFmtId="0" fontId="10" fillId="4" borderId="8" xfId="2" applyFont="1" applyFill="1" applyBorder="1" applyProtection="1"/>
    <xf numFmtId="2" fontId="10" fillId="4" borderId="8" xfId="2" applyNumberFormat="1" applyFont="1" applyFill="1" applyBorder="1" applyProtection="1"/>
    <xf numFmtId="0" fontId="10" fillId="4" borderId="3" xfId="2" applyFont="1" applyFill="1" applyBorder="1"/>
    <xf numFmtId="1" fontId="10" fillId="4" borderId="6" xfId="7" applyFont="1" applyFill="1" applyBorder="1" applyAlignment="1">
      <alignment horizontal="center"/>
    </xf>
    <xf numFmtId="0" fontId="10" fillId="4" borderId="13" xfId="2" applyFont="1" applyFill="1" applyBorder="1" applyProtection="1"/>
    <xf numFmtId="0" fontId="10" fillId="4" borderId="14" xfId="2" applyFont="1" applyFill="1" applyBorder="1" applyProtection="1"/>
    <xf numFmtId="0" fontId="10" fillId="4" borderId="15" xfId="2" applyFont="1" applyFill="1" applyBorder="1" applyProtection="1"/>
    <xf numFmtId="0" fontId="15" fillId="0" borderId="0" xfId="0" applyFont="1">
      <alignment vertical="center"/>
    </xf>
    <xf numFmtId="0" fontId="16" fillId="0" borderId="0" xfId="0" applyFont="1" applyBorder="1">
      <alignment vertical="center"/>
    </xf>
    <xf numFmtId="0" fontId="16" fillId="0" borderId="0" xfId="0" applyFont="1">
      <alignment vertical="center"/>
    </xf>
    <xf numFmtId="43" fontId="16" fillId="0" borderId="0" xfId="1" applyFont="1">
      <alignment vertical="center"/>
    </xf>
    <xf numFmtId="43" fontId="22" fillId="0" borderId="1" xfId="1" applyFont="1" applyFill="1" applyBorder="1" applyAlignment="1">
      <alignment horizontal="center" vertical="center" wrapText="1"/>
    </xf>
    <xf numFmtId="178" fontId="16" fillId="0" borderId="1" xfId="1" applyNumberFormat="1" applyFont="1" applyFill="1" applyBorder="1" applyAlignment="1">
      <alignment horizontal="center" vertical="center"/>
    </xf>
    <xf numFmtId="178" fontId="15" fillId="0" borderId="1" xfId="1" applyNumberFormat="1" applyFont="1" applyFill="1" applyBorder="1" applyAlignment="1">
      <alignment horizontal="center" vertical="center"/>
    </xf>
    <xf numFmtId="0" fontId="16" fillId="3" borderId="1" xfId="0" applyFont="1" applyFill="1" applyBorder="1">
      <alignment vertical="center"/>
    </xf>
    <xf numFmtId="0" fontId="18" fillId="6" borderId="1" xfId="0" applyFont="1" applyFill="1" applyBorder="1">
      <alignment vertical="center"/>
    </xf>
    <xf numFmtId="178" fontId="15" fillId="6" borderId="1" xfId="1" applyNumberFormat="1" applyFont="1" applyFill="1" applyBorder="1" applyAlignment="1">
      <alignment horizontal="center" vertical="center"/>
    </xf>
    <xf numFmtId="0" fontId="23" fillId="0" borderId="1" xfId="0" applyFont="1" applyFill="1" applyBorder="1">
      <alignment vertical="center"/>
    </xf>
    <xf numFmtId="0" fontId="16" fillId="0" borderId="1" xfId="0" applyFont="1" applyBorder="1">
      <alignment vertical="center"/>
    </xf>
    <xf numFmtId="10" fontId="15" fillId="0" borderId="1" xfId="3" applyNumberFormat="1" applyFont="1" applyBorder="1" applyAlignment="1">
      <alignment vertical="center"/>
    </xf>
    <xf numFmtId="178" fontId="15" fillId="0" borderId="1" xfId="1" applyNumberFormat="1" applyFont="1" applyBorder="1" applyAlignment="1">
      <alignment horizontal="center" vertical="center"/>
    </xf>
    <xf numFmtId="43" fontId="15" fillId="0" borderId="1" xfId="1" applyFont="1" applyFill="1" applyBorder="1" applyAlignment="1">
      <alignment horizontal="center" vertical="center"/>
    </xf>
    <xf numFmtId="0" fontId="23" fillId="6" borderId="1" xfId="0" applyFont="1" applyFill="1" applyBorder="1">
      <alignment vertical="center"/>
    </xf>
    <xf numFmtId="178" fontId="16" fillId="0" borderId="1" xfId="1" applyNumberFormat="1" applyFont="1" applyBorder="1" applyAlignment="1">
      <alignment horizontal="center" vertical="center"/>
    </xf>
    <xf numFmtId="10" fontId="16" fillId="0" borderId="1" xfId="3" applyNumberFormat="1" applyFont="1" applyBorder="1">
      <alignment vertical="center"/>
    </xf>
    <xf numFmtId="10" fontId="16" fillId="0" borderId="0" xfId="3" applyNumberFormat="1" applyFont="1" applyBorder="1">
      <alignment vertical="center"/>
    </xf>
    <xf numFmtId="43" fontId="16" fillId="0" borderId="0" xfId="1" applyFont="1" applyBorder="1">
      <alignment vertical="center"/>
    </xf>
    <xf numFmtId="0" fontId="16" fillId="0" borderId="1" xfId="0" applyFont="1" applyBorder="1" applyAlignment="1">
      <alignment horizontal="center" vertical="center"/>
    </xf>
    <xf numFmtId="10" fontId="16" fillId="0" borderId="1" xfId="3" applyNumberFormat="1" applyFont="1" applyFill="1" applyBorder="1" applyAlignment="1">
      <alignment horizontal="center" vertical="center"/>
    </xf>
    <xf numFmtId="10" fontId="16" fillId="0" borderId="1" xfId="3" applyNumberFormat="1" applyFont="1" applyFill="1" applyBorder="1">
      <alignment vertical="center"/>
    </xf>
    <xf numFmtId="0" fontId="18" fillId="0" borderId="1" xfId="0" applyFont="1" applyFill="1" applyBorder="1" applyAlignment="1">
      <alignment vertical="center" wrapText="1"/>
    </xf>
    <xf numFmtId="0" fontId="16" fillId="0" borderId="1" xfId="0" applyFont="1" applyFill="1" applyBorder="1" applyAlignment="1">
      <alignment vertical="center" wrapText="1"/>
    </xf>
    <xf numFmtId="43" fontId="16" fillId="0" borderId="1" xfId="1" applyFont="1" applyBorder="1">
      <alignment vertical="center"/>
    </xf>
    <xf numFmtId="178" fontId="16" fillId="0" borderId="1" xfId="1" applyNumberFormat="1" applyFont="1" applyBorder="1">
      <alignment vertical="center"/>
    </xf>
    <xf numFmtId="43" fontId="16" fillId="0" borderId="0" xfId="0" applyNumberFormat="1" applyFont="1" applyFill="1" applyBorder="1">
      <alignment vertical="center"/>
    </xf>
    <xf numFmtId="0" fontId="15" fillId="0" borderId="1" xfId="0" applyFont="1" applyBorder="1">
      <alignment vertical="center"/>
    </xf>
    <xf numFmtId="0" fontId="23" fillId="0" borderId="1" xfId="0" applyFont="1" applyBorder="1">
      <alignment vertical="center"/>
    </xf>
    <xf numFmtId="0" fontId="16" fillId="0" borderId="5" xfId="0" applyFont="1" applyBorder="1">
      <alignment vertical="center"/>
    </xf>
    <xf numFmtId="0" fontId="24" fillId="0" borderId="0" xfId="0" applyFont="1">
      <alignment vertical="center"/>
    </xf>
    <xf numFmtId="0" fontId="25" fillId="0" borderId="1" xfId="0" applyFont="1" applyBorder="1" applyAlignment="1">
      <alignment horizontal="center" vertical="center" wrapText="1" readingOrder="1"/>
    </xf>
    <xf numFmtId="0" fontId="24" fillId="0" borderId="0" xfId="0" applyFont="1" applyFill="1">
      <alignment vertical="center"/>
    </xf>
    <xf numFmtId="0" fontId="7" fillId="0" borderId="1" xfId="0" applyFont="1" applyBorder="1" applyAlignment="1">
      <alignment horizontal="center" vertical="center" wrapText="1" readingOrder="1"/>
    </xf>
    <xf numFmtId="0" fontId="26" fillId="0" borderId="1" xfId="0" applyFont="1" applyBorder="1" applyAlignment="1">
      <alignment horizontal="left" vertical="center" wrapText="1" readingOrder="1"/>
    </xf>
    <xf numFmtId="0" fontId="26" fillId="0" borderId="1" xfId="0" applyFont="1" applyFill="1" applyBorder="1" applyAlignment="1">
      <alignment horizontal="left" vertical="center" wrapText="1" readingOrder="1"/>
    </xf>
    <xf numFmtId="0" fontId="26" fillId="0" borderId="1" xfId="0" applyFont="1" applyBorder="1" applyAlignment="1">
      <alignment horizontal="center" vertical="center" wrapText="1" readingOrder="1"/>
    </xf>
    <xf numFmtId="0" fontId="26" fillId="0" borderId="0" xfId="0" applyFont="1" applyFill="1" applyBorder="1" applyAlignment="1">
      <alignment horizontal="left" vertical="center" wrapText="1" readingOrder="1"/>
    </xf>
    <xf numFmtId="0" fontId="1" fillId="0" borderId="0" xfId="0" applyFont="1" applyFill="1">
      <alignment vertical="center"/>
    </xf>
    <xf numFmtId="10" fontId="1" fillId="0" borderId="0" xfId="3" applyNumberFormat="1" applyFont="1" applyFill="1" applyAlignment="1">
      <alignment horizontal="center" vertical="center"/>
    </xf>
    <xf numFmtId="10" fontId="27" fillId="0" borderId="0" xfId="3" applyNumberFormat="1" applyFont="1" applyFill="1" applyAlignment="1">
      <alignment horizontal="center" vertical="center"/>
    </xf>
    <xf numFmtId="10" fontId="0" fillId="0" borderId="0" xfId="3" applyNumberFormat="1" applyFont="1" applyFill="1" applyAlignment="1">
      <alignment horizontal="center" vertical="center"/>
    </xf>
    <xf numFmtId="43" fontId="0" fillId="0" borderId="1" xfId="1" applyFont="1" applyFill="1" applyBorder="1">
      <alignment vertical="center"/>
    </xf>
    <xf numFmtId="43" fontId="0" fillId="0" borderId="1" xfId="0" applyNumberFormat="1" applyFill="1" applyBorder="1" applyAlignment="1">
      <alignment horizontal="center" vertical="center"/>
    </xf>
    <xf numFmtId="10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0" fontId="1" fillId="0" borderId="1" xfId="0" applyFont="1" applyFill="1" applyBorder="1">
      <alignment vertical="center"/>
    </xf>
    <xf numFmtId="43" fontId="1" fillId="0" borderId="1" xfId="1" applyFont="1" applyFill="1" applyBorder="1">
      <alignment vertical="center"/>
    </xf>
    <xf numFmtId="10" fontId="0" fillId="0" borderId="1" xfId="3" applyNumberFormat="1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39" fillId="2" borderId="1" xfId="0" applyFont="1" applyFill="1" applyBorder="1" applyAlignment="1">
      <alignment horizontal="center" vertical="center" wrapText="1"/>
    </xf>
    <xf numFmtId="43" fontId="0" fillId="0" borderId="0" xfId="1" applyFont="1" applyFill="1" applyAlignment="1">
      <alignment horizontal="center" vertical="center"/>
    </xf>
    <xf numFmtId="10" fontId="2" fillId="0" borderId="0" xfId="0" applyNumberFormat="1" applyFont="1">
      <alignment vertical="center"/>
    </xf>
    <xf numFmtId="43" fontId="2" fillId="0" borderId="0" xfId="0" applyNumberFormat="1" applyFont="1">
      <alignment vertical="center"/>
    </xf>
    <xf numFmtId="9" fontId="0" fillId="0" borderId="0" xfId="0" applyNumberFormat="1" applyFill="1" applyAlignment="1">
      <alignment horizontal="center" vertical="center"/>
    </xf>
    <xf numFmtId="10" fontId="0" fillId="0" borderId="0" xfId="0" applyNumberFormat="1" applyFill="1" applyAlignment="1">
      <alignment horizontal="center" vertical="center"/>
    </xf>
    <xf numFmtId="0" fontId="27" fillId="0" borderId="0" xfId="0" applyFont="1" applyFill="1">
      <alignment vertical="center"/>
    </xf>
    <xf numFmtId="43" fontId="16" fillId="7" borderId="0" xfId="0" applyNumberFormat="1" applyFont="1" applyFill="1">
      <alignment vertical="center"/>
    </xf>
    <xf numFmtId="0" fontId="16" fillId="7" borderId="0" xfId="0" applyFont="1" applyFill="1">
      <alignment vertical="center"/>
    </xf>
    <xf numFmtId="0" fontId="19" fillId="7" borderId="0" xfId="0" applyFont="1" applyFill="1">
      <alignment vertical="center"/>
    </xf>
    <xf numFmtId="0" fontId="14" fillId="7" borderId="0" xfId="0" applyFont="1" applyFill="1">
      <alignment vertical="center"/>
    </xf>
    <xf numFmtId="0" fontId="7" fillId="3" borderId="1" xfId="0" applyFont="1" applyFill="1" applyBorder="1" applyAlignment="1">
      <alignment horizontal="center" vertical="center" wrapText="1" readingOrder="1"/>
    </xf>
    <xf numFmtId="0" fontId="2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0" fontId="45" fillId="0" borderId="1" xfId="0" applyFont="1" applyFill="1" applyBorder="1" applyAlignment="1">
      <alignment horizontal="center" vertical="center" wrapText="1" readingOrder="1"/>
    </xf>
    <xf numFmtId="178" fontId="16" fillId="7" borderId="1" xfId="1" applyNumberFormat="1" applyFont="1" applyFill="1" applyBorder="1" applyAlignment="1">
      <alignment horizontal="center" vertical="center"/>
    </xf>
    <xf numFmtId="0" fontId="5" fillId="8" borderId="13" xfId="0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 wrapText="1"/>
    </xf>
    <xf numFmtId="0" fontId="41" fillId="9" borderId="1" xfId="0" applyFont="1" applyFill="1" applyBorder="1" applyAlignment="1">
      <alignment vertical="center" wrapText="1"/>
    </xf>
    <xf numFmtId="0" fontId="41" fillId="0" borderId="1" xfId="0" applyFont="1" applyBorder="1" applyAlignment="1">
      <alignment vertical="center" wrapText="1"/>
    </xf>
    <xf numFmtId="0" fontId="0" fillId="0" borderId="0" xfId="0" applyBorder="1" applyAlignment="1">
      <alignment horizontal="center" vertical="center"/>
    </xf>
    <xf numFmtId="43" fontId="17" fillId="0" borderId="6" xfId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27" fillId="0" borderId="0" xfId="0" applyFont="1" applyAlignment="1">
      <alignment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/>
    </xf>
    <xf numFmtId="0" fontId="41" fillId="0" borderId="1" xfId="0" applyFont="1" applyFill="1" applyBorder="1" applyAlignment="1">
      <alignment vertical="center" wrapText="1"/>
    </xf>
    <xf numFmtId="0" fontId="15" fillId="0" borderId="1" xfId="0" applyFont="1" applyBorder="1" applyAlignment="1">
      <alignment horizontal="center" vertical="center"/>
    </xf>
    <xf numFmtId="0" fontId="46" fillId="0" borderId="1" xfId="0" applyFont="1" applyFill="1" applyBorder="1" applyAlignment="1">
      <alignment horizontal="center" vertical="center" wrapText="1"/>
    </xf>
    <xf numFmtId="0" fontId="46" fillId="0" borderId="1" xfId="0" applyFont="1" applyFill="1" applyBorder="1" applyAlignment="1">
      <alignment horizontal="center" vertical="center" wrapText="1" readingOrder="1"/>
    </xf>
    <xf numFmtId="0" fontId="5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 readingOrder="1"/>
    </xf>
    <xf numFmtId="0" fontId="27" fillId="0" borderId="1" xfId="0" applyFont="1" applyBorder="1" applyAlignment="1">
      <alignment horizontal="center" vertical="center" wrapText="1"/>
    </xf>
    <xf numFmtId="10" fontId="0" fillId="10" borderId="0" xfId="3" applyNumberFormat="1" applyFont="1" applyFill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 readingOrder="1"/>
    </xf>
    <xf numFmtId="0" fontId="2" fillId="0" borderId="1" xfId="0" applyFont="1" applyBorder="1" applyAlignment="1">
      <alignment horizontal="center" vertical="center"/>
    </xf>
    <xf numFmtId="0" fontId="21" fillId="0" borderId="8" xfId="0" applyFont="1" applyBorder="1" applyAlignment="1">
      <alignment vertical="center"/>
    </xf>
    <xf numFmtId="0" fontId="47" fillId="0" borderId="8" xfId="0" applyFont="1" applyBorder="1" applyAlignment="1">
      <alignment vertical="center"/>
    </xf>
    <xf numFmtId="0" fontId="4" fillId="0" borderId="13" xfId="0" applyFont="1" applyFill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top" wrapText="1"/>
    </xf>
    <xf numFmtId="0" fontId="26" fillId="0" borderId="1" xfId="0" applyFont="1" applyFill="1" applyBorder="1" applyAlignment="1">
      <alignment horizontal="center" vertical="center" wrapText="1" readingOrder="1"/>
    </xf>
    <xf numFmtId="0" fontId="7" fillId="9" borderId="1" xfId="0" applyFont="1" applyFill="1" applyBorder="1" applyAlignment="1">
      <alignment horizontal="center" vertical="center" wrapText="1" readingOrder="1"/>
    </xf>
    <xf numFmtId="43" fontId="4" fillId="0" borderId="1" xfId="1" applyFont="1" applyFill="1" applyBorder="1" applyAlignment="1">
      <alignment horizontal="center" vertical="center" wrapText="1"/>
    </xf>
    <xf numFmtId="43" fontId="5" fillId="0" borderId="1" xfId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1" fillId="0" borderId="1" xfId="0" applyFont="1" applyBorder="1" applyAlignment="1">
      <alignment horizontal="center" vertical="center"/>
    </xf>
    <xf numFmtId="0" fontId="41" fillId="10" borderId="1" xfId="0" applyFont="1" applyFill="1" applyBorder="1" applyAlignment="1">
      <alignment horizontal="center" vertical="center"/>
    </xf>
    <xf numFmtId="0" fontId="41" fillId="8" borderId="1" xfId="0" applyFont="1" applyFill="1" applyBorder="1" applyAlignment="1">
      <alignment horizontal="center" vertical="center"/>
    </xf>
    <xf numFmtId="0" fontId="41" fillId="8" borderId="1" xfId="0" applyFont="1" applyFill="1" applyBorder="1" applyAlignment="1">
      <alignment horizontal="center" vertical="center" wrapText="1"/>
    </xf>
    <xf numFmtId="0" fontId="41" fillId="0" borderId="0" xfId="0" applyFont="1" applyAlignment="1">
      <alignment horizontal="center" vertical="center"/>
    </xf>
    <xf numFmtId="0" fontId="41" fillId="2" borderId="1" xfId="0" applyFont="1" applyFill="1" applyBorder="1" applyAlignment="1">
      <alignment horizontal="center" vertical="center"/>
    </xf>
    <xf numFmtId="0" fontId="5" fillId="10" borderId="0" xfId="0" applyFont="1" applyFill="1">
      <alignment vertical="center"/>
    </xf>
    <xf numFmtId="43" fontId="0" fillId="2" borderId="1" xfId="1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43" fontId="41" fillId="8" borderId="1" xfId="1" applyFont="1" applyFill="1" applyBorder="1" applyAlignment="1" applyProtection="1">
      <alignment horizontal="center" vertical="center" wrapText="1"/>
    </xf>
    <xf numFmtId="0" fontId="0" fillId="0" borderId="0" xfId="0" applyBorder="1" applyAlignment="1">
      <alignment vertical="center"/>
    </xf>
    <xf numFmtId="0" fontId="0" fillId="0" borderId="0" xfId="0" applyAlignment="1">
      <alignment vertical="center" wrapText="1"/>
    </xf>
    <xf numFmtId="10" fontId="0" fillId="7" borderId="0" xfId="3" applyNumberFormat="1" applyFont="1" applyFill="1" applyAlignment="1">
      <alignment horizontal="center" vertical="center"/>
    </xf>
    <xf numFmtId="10" fontId="0" fillId="10" borderId="1" xfId="3" applyNumberFormat="1" applyFont="1" applyFill="1" applyBorder="1" applyAlignment="1">
      <alignment horizontal="center" vertical="center"/>
    </xf>
    <xf numFmtId="10" fontId="1" fillId="0" borderId="0" xfId="3" applyNumberFormat="1" applyFont="1" applyFill="1">
      <alignment vertical="center"/>
    </xf>
    <xf numFmtId="10" fontId="27" fillId="0" borderId="1" xfId="3" applyNumberFormat="1" applyFont="1" applyFill="1" applyBorder="1" applyAlignment="1">
      <alignment horizontal="center" vertical="center" wrapText="1"/>
    </xf>
    <xf numFmtId="10" fontId="0" fillId="0" borderId="0" xfId="3" applyNumberFormat="1" applyFont="1" applyFill="1">
      <alignment vertical="center"/>
    </xf>
    <xf numFmtId="43" fontId="2" fillId="0" borderId="0" xfId="0" applyNumberFormat="1" applyFont="1" applyFill="1">
      <alignment vertical="center"/>
    </xf>
    <xf numFmtId="43" fontId="7" fillId="3" borderId="1" xfId="0" applyNumberFormat="1" applyFont="1" applyFill="1" applyBorder="1" applyAlignment="1">
      <alignment vertical="center" wrapText="1" readingOrder="1"/>
    </xf>
    <xf numFmtId="180" fontId="2" fillId="0" borderId="0" xfId="3" applyNumberFormat="1" applyFont="1">
      <alignment vertical="center"/>
    </xf>
    <xf numFmtId="0" fontId="7" fillId="0" borderId="5" xfId="0" applyFont="1" applyBorder="1" applyAlignment="1">
      <alignment horizontal="center" vertical="center" wrapText="1" readingOrder="1"/>
    </xf>
    <xf numFmtId="0" fontId="7" fillId="0" borderId="7" xfId="0" applyFont="1" applyBorder="1" applyAlignment="1">
      <alignment horizontal="center" vertical="center" wrapText="1" readingOrder="1"/>
    </xf>
    <xf numFmtId="0" fontId="18" fillId="0" borderId="5" xfId="0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0" fontId="12" fillId="4" borderId="1" xfId="2" applyFont="1" applyFill="1" applyBorder="1" applyAlignment="1" applyProtection="1">
      <alignment horizontal="center"/>
    </xf>
    <xf numFmtId="0" fontId="16" fillId="0" borderId="1" xfId="0" applyFont="1" applyFill="1" applyBorder="1" applyAlignment="1">
      <alignment horizontal="center" vertical="center"/>
    </xf>
    <xf numFmtId="43" fontId="17" fillId="0" borderId="5" xfId="1" applyFont="1" applyFill="1" applyBorder="1" applyAlignment="1">
      <alignment horizontal="center" vertical="center" wrapText="1"/>
    </xf>
    <xf numFmtId="43" fontId="17" fillId="0" borderId="7" xfId="1" applyFont="1" applyFill="1" applyBorder="1" applyAlignment="1">
      <alignment horizontal="center" vertical="center" wrapText="1"/>
    </xf>
    <xf numFmtId="43" fontId="17" fillId="0" borderId="6" xfId="1" applyFont="1" applyFill="1" applyBorder="1" applyAlignment="1">
      <alignment horizontal="center" vertical="center" wrapText="1"/>
    </xf>
    <xf numFmtId="43" fontId="16" fillId="0" borderId="4" xfId="1" applyFont="1" applyFill="1" applyBorder="1" applyAlignment="1">
      <alignment horizontal="center" vertical="center"/>
    </xf>
    <xf numFmtId="43" fontId="16" fillId="0" borderId="2" xfId="1" applyFont="1" applyFill="1" applyBorder="1" applyAlignment="1">
      <alignment horizontal="center" vertical="center"/>
    </xf>
    <xf numFmtId="43" fontId="16" fillId="0" borderId="3" xfId="1" applyFont="1" applyFill="1" applyBorder="1" applyAlignment="1">
      <alignment horizontal="center" vertical="center"/>
    </xf>
    <xf numFmtId="43" fontId="16" fillId="2" borderId="1" xfId="1" applyFont="1" applyFill="1" applyBorder="1" applyAlignment="1">
      <alignment horizontal="center" vertical="center"/>
    </xf>
    <xf numFmtId="43" fontId="16" fillId="2" borderId="4" xfId="1" applyFont="1" applyFill="1" applyBorder="1" applyAlignment="1">
      <alignment horizontal="center" vertical="center"/>
    </xf>
    <xf numFmtId="43" fontId="16" fillId="2" borderId="2" xfId="1" applyFont="1" applyFill="1" applyBorder="1" applyAlignment="1">
      <alignment horizontal="center" vertical="center"/>
    </xf>
    <xf numFmtId="43" fontId="16" fillId="2" borderId="3" xfId="1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8" fillId="4" borderId="8" xfId="2" applyNumberFormat="1" applyFont="1" applyFill="1" applyBorder="1" applyAlignment="1" applyProtection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7" fillId="3" borderId="1" xfId="0" applyFont="1" applyFill="1" applyBorder="1" applyAlignment="1">
      <alignment horizontal="center" vertical="center" wrapText="1" readingOrder="1"/>
    </xf>
    <xf numFmtId="0" fontId="2" fillId="0" borderId="1" xfId="0" applyFont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 wrapText="1" readingOrder="1"/>
    </xf>
    <xf numFmtId="0" fontId="7" fillId="3" borderId="7" xfId="0" applyFont="1" applyFill="1" applyBorder="1" applyAlignment="1">
      <alignment horizontal="center" vertical="center" wrapText="1" readingOrder="1"/>
    </xf>
    <xf numFmtId="0" fontId="7" fillId="3" borderId="6" xfId="0" applyFont="1" applyFill="1" applyBorder="1" applyAlignment="1">
      <alignment horizontal="center" vertical="center" wrapText="1" readingOrder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43" fontId="2" fillId="0" borderId="5" xfId="0" applyNumberFormat="1" applyFont="1" applyBorder="1" applyAlignment="1">
      <alignment horizontal="center" vertical="center"/>
    </xf>
    <xf numFmtId="43" fontId="2" fillId="0" borderId="7" xfId="0" applyNumberFormat="1" applyFont="1" applyBorder="1" applyAlignment="1">
      <alignment horizontal="center" vertical="center"/>
    </xf>
    <xf numFmtId="43" fontId="2" fillId="0" borderId="6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2" fillId="0" borderId="11" xfId="0" applyFont="1" applyFill="1" applyBorder="1" applyAlignment="1">
      <alignment horizontal="center" vertical="center" wrapText="1"/>
    </xf>
    <xf numFmtId="0" fontId="42" fillId="0" borderId="0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0" fontId="0" fillId="0" borderId="5" xfId="0" applyFill="1" applyBorder="1" applyAlignment="1">
      <alignment horizontal="left" vertical="center"/>
    </xf>
    <xf numFmtId="0" fontId="0" fillId="0" borderId="6" xfId="0" applyFill="1" applyBorder="1" applyAlignment="1">
      <alignment horizontal="left" vertical="center"/>
    </xf>
    <xf numFmtId="0" fontId="1" fillId="0" borderId="8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</cellXfs>
  <cellStyles count="11">
    <cellStyle name="_x000a_mouse.drv=lm" xfId="2"/>
    <cellStyle name="BOM_Level_Below3" xfId="10"/>
    <cellStyle name="百分比" xfId="3" builtinId="5"/>
    <cellStyle name="常规" xfId="0" builtinId="0"/>
    <cellStyle name="常规 11 2" xfId="5"/>
    <cellStyle name="常规 2" xfId="6"/>
    <cellStyle name="常规_20061221C2项目损益分析（概念稿）" xfId="4"/>
    <cellStyle name="普通_销售收入.XLS" xfId="7"/>
    <cellStyle name="千位分隔" xfId="1" builtinId="3"/>
    <cellStyle name="千位分隔 2 25" xfId="8"/>
    <cellStyle name="样式 1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2" name="Line 13"/>
        <xdr:cNvSpPr>
          <a:spLocks noChangeShapeType="1"/>
        </xdr:cNvSpPr>
      </xdr:nvSpPr>
      <xdr:spPr>
        <a:xfrm>
          <a:off x="558800" y="400050"/>
          <a:ext cx="1990725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3" name="Line 14"/>
        <xdr:cNvSpPr>
          <a:spLocks noChangeShapeType="1"/>
        </xdr:cNvSpPr>
      </xdr:nvSpPr>
      <xdr:spPr>
        <a:xfrm>
          <a:off x="13421360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4" name="Line 15"/>
        <xdr:cNvSpPr>
          <a:spLocks noChangeShapeType="1"/>
        </xdr:cNvSpPr>
      </xdr:nvSpPr>
      <xdr:spPr>
        <a:xfrm>
          <a:off x="13421360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5" name="Line 16"/>
        <xdr:cNvSpPr>
          <a:spLocks noChangeShapeType="1"/>
        </xdr:cNvSpPr>
      </xdr:nvSpPr>
      <xdr:spPr>
        <a:xfrm>
          <a:off x="13421360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6" name="Line 20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7" name="Line 21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8" name="Line 22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9" name="Line 23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0" name="Line 24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1" name="Line 25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2" name="Line 26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3" name="Line 27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4" name="Line 40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5" name="Line 41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6" name="Line 42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7" name="Line 43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8" name="Line 54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9" name="Line 55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0" name="Line 56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1" name="Line 57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2" name="Line 58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3" name="Line 59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4" name="Line 60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5" name="Line 61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6" name="Line 6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7" name="Line 6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8" name="Line 7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9" name="Line 7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0" name="Line 7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1" name="Line 7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2" name="Line 7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3" name="Line 7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4" name="Line 8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5" name="Line 8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6" name="Line 8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7" name="Line 8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8" name="Line 8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9" name="Line 8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0" name="Line 8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1" name="Line 8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2" name="Line 8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3" name="Line 8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4" name="Line 9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5" name="Line 9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6" name="Line 9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7" name="Line 9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8" name="Line 9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9" name="Line 9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0" name="Line 9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1" name="Line 9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2" name="Line 9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3" name="Line 9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4" name="Line 10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5" name="Line 10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6" name="Line 10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7" name="Line 10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8" name="Line 10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9" name="Line 10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0" name="Line 10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1" name="Line 10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2" name="Line 10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3" name="Line 10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4" name="Line 11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5" name="Line 11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6" name="Line 11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7" name="Line 11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8" name="Line 11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9" name="Line 11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0" name="Line 11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1" name="Line 11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2" name="Line 11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3" name="Line 11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4" name="Line 12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5" name="Line 12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6" name="Line 12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7" name="Line 12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8" name="Line 12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9" name="Line 12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0" name="Line 12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1" name="Line 12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2" name="Line 12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3" name="Line 12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4" name="Line 13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5" name="Line 13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6" name="Line 13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7" name="Line 13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8" name="Line 13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9" name="Line 13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0" name="Line 13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1" name="Line 17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2" name="Line 17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3" name="Line 17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4" name="Line 17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5" name="Line 18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6" name="Line 18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7" name="Line 18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8" name="Line 18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9" name="Line 18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0" name="Line 18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1" name="Line 18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2" name="Line 18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3" name="Line 18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4" name="Line 18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5" name="Line 19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6" name="Line 19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7" name="Line 19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8" name="Line 19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9" name="Line 19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0" name="Line 19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1" name="Line 19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2" name="Line 19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3" name="Line 20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4" name="Line 20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5" name="Line 20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6" name="Line 20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7" name="Line 20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8" name="Line 20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9" name="Line 20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0" name="Line 20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1" name="Line 20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2" name="Line 20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3" name="Line 21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4" name="Line 21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5" name="Line 21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6" name="Line 21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7" name="Line 21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8" name="Line 21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9" name="Line 21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0" name="Line 21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1" name="Line 21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2" name="Line 22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3" name="Line 22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4" name="Line 22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5" name="Line 22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6" name="Line 22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7" name="Line 22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8" name="Line 22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9" name="Line 22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0" name="Line 22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1" name="Line 22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2" name="Line 23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3" name="Line 23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4" name="Line 23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5" name="Line 23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6" name="Line 23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7" name="Line 23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8" name="Line 23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9" name="Line 23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0" name="Line 23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1" name="Line 23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2" name="Line 24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3" name="Line 24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4" name="Line 24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5" name="Line 24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6" name="Line 24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7" name="Line 24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8" name="Line 24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9" name="Line 24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0" name="Line 24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1" name="Line 24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2" name="Line 25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3" name="Line 25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4" name="Line 25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5" name="Line 25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6" name="Line 25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7" name="Line 25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8" name="Line 25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9" name="Line 25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0" name="Line 25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1" name="Line 25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2" name="Line 26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3" name="Line 26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4" name="Line 26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5" name="Line 26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6" name="Line 26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7" name="Line 26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8" name="Line 26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9" name="Line 26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0" name="Line 26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1" name="Line 26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2" name="Line 27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3" name="Line 27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4" name="Line 27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5" name="Line 27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6" name="Line 27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7" name="Line 27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8" name="Line 27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9" name="Line 27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0" name="Line 27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1" name="Line 27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2" name="Line 28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3" name="Line 28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4" name="Line 28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5" name="Line 28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6" name="Line 28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7" name="Line 28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8" name="Line 28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9" name="Line 28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0" name="Line 28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1" name="Line 28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2" name="Line 29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3" name="Line 29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4" name="Line 29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5" name="Line 29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6" name="Line 29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7" name="Line 29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8" name="Line 29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9" name="Line 29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10" name="Line 29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11" name="Line 29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12" name="Line 30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3" name="Line 301"/>
        <xdr:cNvSpPr>
          <a:spLocks noChangeShapeType="1"/>
        </xdr:cNvSpPr>
      </xdr:nvSpPr>
      <xdr:spPr>
        <a:xfrm>
          <a:off x="55880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4" name="Line 302"/>
        <xdr:cNvSpPr>
          <a:spLocks noChangeShapeType="1"/>
        </xdr:cNvSpPr>
      </xdr:nvSpPr>
      <xdr:spPr>
        <a:xfrm>
          <a:off x="55880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273843</xdr:colOff>
      <xdr:row>1</xdr:row>
      <xdr:rowOff>238126</xdr:rowOff>
    </xdr:from>
    <xdr:to>
      <xdr:col>11</xdr:col>
      <xdr:colOff>491013</xdr:colOff>
      <xdr:row>8</xdr:row>
      <xdr:rowOff>126695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58374" y="500064"/>
          <a:ext cx="3122295" cy="1400662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Jade\Desktop\&#24037;&#20316;&#34920;%20&#22312;%20F%20%20&#21442;&#32771;&#36164;&#26009;%20&#25104;&#26412;&#20215;&#26684;&#31185;&#65288;&#39759;&#20029;&#23068;&#65289;%20&#25104;&#26412;&#20215;&#26684;&#31185;&#21046;&#24230;&#27719;&#24635;%20FTOP.10008.48.1-2010%20&#39033;&#30446;&#25237;&#36164;&#32463;&#27982;&#21487;&#34892;&#24615;&#21450;&#39118;&#38505;&#20998;&#26512;&#31649;&#29702;&#21150;&#2786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投资"/>
      <sheetName val="损益表"/>
      <sheetName val="现金"/>
      <sheetName val="销量"/>
      <sheetName val="材料"/>
      <sheetName val="价格"/>
      <sheetName val="工资"/>
      <sheetName val="计划"/>
      <sheetName val="流动"/>
      <sheetName val="折、摊"/>
      <sheetName val="总成本"/>
      <sheetName val="利润"/>
      <sheetName val="借"/>
      <sheetName val="来源"/>
      <sheetName val="负债"/>
      <sheetName val="人工"/>
      <sheetName val="燃动"/>
      <sheetName val="制造费"/>
      <sheetName val="技术费"/>
      <sheetName val="管理费"/>
      <sheetName val="销售费"/>
    </sheetNames>
    <sheetDataSet>
      <sheetData sheetId="0"/>
      <sheetData sheetId="1"/>
      <sheetData sheetId="2"/>
      <sheetData sheetId="3"/>
      <sheetData sheetId="4"/>
      <sheetData sheetId="5"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</sheetData>
      <sheetData sheetId="6"/>
      <sheetData sheetId="7">
        <row r="6">
          <cell r="C6">
            <v>0</v>
          </cell>
          <cell r="D6">
            <v>0</v>
          </cell>
        </row>
        <row r="7">
          <cell r="C7">
            <v>0</v>
          </cell>
          <cell r="D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</sheetData>
      <sheetData sheetId="8"/>
      <sheetData sheetId="9"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</sheetData>
      <sheetData sheetId="10"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</sheetData>
      <sheetData sheetId="11"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5"/>
  <sheetViews>
    <sheetView zoomScale="80" zoomScaleNormal="80" workbookViewId="0">
      <selection activeCell="C2" sqref="C2"/>
    </sheetView>
  </sheetViews>
  <sheetFormatPr defaultColWidth="9" defaultRowHeight="13.5"/>
  <cols>
    <col min="1" max="1" width="8.875" customWidth="1"/>
    <col min="2" max="2" width="16.375" customWidth="1"/>
    <col min="3" max="3" width="89.75" customWidth="1"/>
  </cols>
  <sheetData>
    <row r="2" spans="1:4" s="138" customFormat="1" ht="35.25" customHeight="1">
      <c r="A2" s="139" t="s">
        <v>0</v>
      </c>
      <c r="B2" s="139" t="s">
        <v>1</v>
      </c>
      <c r="C2" s="139" t="s">
        <v>2</v>
      </c>
      <c r="D2" s="140"/>
    </row>
    <row r="3" spans="1:4" s="138" customFormat="1" ht="33.75" customHeight="1">
      <c r="A3" s="141">
        <v>1</v>
      </c>
      <c r="B3" s="141" t="s">
        <v>3</v>
      </c>
      <c r="C3" s="142" t="s">
        <v>4</v>
      </c>
      <c r="D3" s="140"/>
    </row>
    <row r="4" spans="1:4" s="138" customFormat="1" ht="33.75" customHeight="1">
      <c r="A4" s="141">
        <v>2</v>
      </c>
      <c r="B4" s="141" t="s">
        <v>5</v>
      </c>
      <c r="C4" s="142" t="s">
        <v>6</v>
      </c>
    </row>
    <row r="5" spans="1:4" s="138" customFormat="1" ht="33.75" customHeight="1">
      <c r="A5" s="141">
        <v>3</v>
      </c>
      <c r="B5" s="230" t="s">
        <v>7</v>
      </c>
      <c r="C5" s="143" t="s">
        <v>303</v>
      </c>
    </row>
    <row r="6" spans="1:4" s="138" customFormat="1" ht="33.75" customHeight="1">
      <c r="A6" s="141">
        <v>4</v>
      </c>
      <c r="B6" s="231"/>
      <c r="C6" s="142" t="s">
        <v>8</v>
      </c>
    </row>
    <row r="7" spans="1:4" s="138" customFormat="1" ht="33.75" customHeight="1">
      <c r="A7" s="141">
        <v>5</v>
      </c>
      <c r="B7" s="144" t="s">
        <v>9</v>
      </c>
      <c r="C7" s="142" t="s">
        <v>304</v>
      </c>
    </row>
    <row r="8" spans="1:4" s="138" customFormat="1" ht="33.75" customHeight="1">
      <c r="A8" s="141">
        <v>6</v>
      </c>
      <c r="B8" s="230" t="s">
        <v>10</v>
      </c>
      <c r="C8" s="142" t="s">
        <v>11</v>
      </c>
    </row>
    <row r="9" spans="1:4" s="138" customFormat="1" ht="33.75" customHeight="1">
      <c r="A9" s="141">
        <v>7</v>
      </c>
      <c r="B9" s="231"/>
      <c r="C9" s="142" t="s">
        <v>305</v>
      </c>
    </row>
    <row r="10" spans="1:4" s="138" customFormat="1" ht="33.75" customHeight="1">
      <c r="A10" s="141">
        <v>8</v>
      </c>
      <c r="B10" s="231"/>
      <c r="C10" s="143" t="s">
        <v>306</v>
      </c>
    </row>
    <row r="11" spans="1:4" s="138" customFormat="1" ht="33.75" customHeight="1">
      <c r="A11" s="141">
        <v>9</v>
      </c>
      <c r="B11" s="231"/>
      <c r="C11" s="142" t="s">
        <v>12</v>
      </c>
    </row>
    <row r="12" spans="1:4" s="138" customFormat="1" ht="33.75" customHeight="1">
      <c r="A12" s="141">
        <v>10</v>
      </c>
      <c r="B12" s="144" t="s">
        <v>13</v>
      </c>
      <c r="C12" s="142" t="s">
        <v>14</v>
      </c>
    </row>
    <row r="13" spans="1:4" ht="33.75" customHeight="1"/>
    <row r="14" spans="1:4" ht="33.75" customHeight="1"/>
    <row r="15" spans="1:4" ht="33.75" customHeight="1">
      <c r="C15" s="145"/>
    </row>
  </sheetData>
  <mergeCells count="2">
    <mergeCell ref="B5:B6"/>
    <mergeCell ref="B8:B11"/>
  </mergeCells>
  <phoneticPr fontId="38" type="noConversion"/>
  <pageMargins left="0.7" right="0.7" top="0.75" bottom="0.75" header="0.3" footer="0.3"/>
  <pageSetup paperSize="9" scale="75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74"/>
  <sheetViews>
    <sheetView workbookViewId="0">
      <pane xSplit="2" ySplit="7" topLeftCell="C16" activePane="bottomRight" state="frozen"/>
      <selection pane="topRight"/>
      <selection pane="bottomLeft"/>
      <selection pane="bottomRight" activeCell="J26" sqref="J26"/>
    </sheetView>
  </sheetViews>
  <sheetFormatPr defaultColWidth="9" defaultRowHeight="16.5"/>
  <cols>
    <col min="1" max="1" width="5.125" style="47" customWidth="1"/>
    <col min="2" max="2" width="17.5" style="47" customWidth="1"/>
    <col min="3" max="9" width="13.25" style="48" customWidth="1"/>
    <col min="10" max="10" width="18.75" style="48" customWidth="1"/>
    <col min="11" max="11" width="12.375" style="47" customWidth="1"/>
    <col min="12" max="12" width="10.125" style="47" customWidth="1"/>
    <col min="13" max="19" width="9" style="47" customWidth="1"/>
    <col min="20" max="36" width="9" style="47"/>
    <col min="37" max="37" width="4.375" style="47" customWidth="1"/>
    <col min="38" max="38" width="13.875" style="47" customWidth="1"/>
    <col min="39" max="16384" width="9" style="47"/>
  </cols>
  <sheetData>
    <row r="1" spans="1:39">
      <c r="A1" s="236" t="s">
        <v>138</v>
      </c>
      <c r="B1" s="236"/>
      <c r="C1" s="240" t="s">
        <v>300</v>
      </c>
      <c r="D1" s="241"/>
      <c r="E1" s="241"/>
      <c r="F1" s="241"/>
      <c r="G1" s="241"/>
      <c r="H1" s="241"/>
      <c r="I1" s="241"/>
      <c r="J1" s="242"/>
    </row>
    <row r="2" spans="1:39">
      <c r="A2" s="236" t="s">
        <v>139</v>
      </c>
      <c r="B2" s="236"/>
      <c r="C2" s="243" t="str">
        <f>'2024年'!C2:J2</f>
        <v>上汽红岩</v>
      </c>
      <c r="D2" s="243"/>
      <c r="E2" s="243"/>
      <c r="F2" s="243"/>
      <c r="G2" s="243"/>
      <c r="H2" s="243"/>
      <c r="I2" s="243"/>
      <c r="J2" s="243"/>
    </row>
    <row r="3" spans="1:39">
      <c r="A3" s="236" t="s">
        <v>140</v>
      </c>
      <c r="B3" s="236"/>
      <c r="C3" s="160" t="str">
        <f>销量!C5</f>
        <v>正司机</v>
      </c>
      <c r="D3" s="160" t="str">
        <f>销量!D5</f>
        <v>正司机</v>
      </c>
      <c r="E3" s="160" t="str">
        <f>销量!E5</f>
        <v>正司机</v>
      </c>
      <c r="F3" s="160" t="str">
        <f>销量!F5</f>
        <v>副司机</v>
      </c>
      <c r="G3" s="160">
        <f>销量!G5</f>
        <v>0</v>
      </c>
      <c r="H3" s="160">
        <f>销量!H5</f>
        <v>0</v>
      </c>
      <c r="I3" s="160">
        <f>销量!I5</f>
        <v>0</v>
      </c>
      <c r="J3" s="237" t="s">
        <v>16</v>
      </c>
    </row>
    <row r="4" spans="1:39">
      <c r="A4" s="236" t="s">
        <v>141</v>
      </c>
      <c r="B4" s="236"/>
      <c r="C4" s="160">
        <f>销量!C6</f>
        <v>6000149199</v>
      </c>
      <c r="D4" s="160">
        <f>销量!D6</f>
        <v>6000149200</v>
      </c>
      <c r="E4" s="160">
        <f>销量!E6</f>
        <v>6000149201</v>
      </c>
      <c r="F4" s="160">
        <f>销量!F6</f>
        <v>6000149205</v>
      </c>
      <c r="G4" s="160">
        <f>销量!G6</f>
        <v>0</v>
      </c>
      <c r="H4" s="160">
        <f>销量!H6</f>
        <v>0</v>
      </c>
      <c r="I4" s="160">
        <f>销量!I6</f>
        <v>0</v>
      </c>
      <c r="J4" s="238"/>
    </row>
    <row r="5" spans="1:39">
      <c r="A5" s="236" t="s">
        <v>142</v>
      </c>
      <c r="B5" s="236"/>
      <c r="C5" s="50"/>
      <c r="D5" s="50"/>
      <c r="E5" s="50"/>
      <c r="F5" s="50"/>
      <c r="G5" s="50"/>
      <c r="H5" s="50"/>
      <c r="I5" s="50"/>
      <c r="J5" s="239"/>
      <c r="AM5" s="47" t="s">
        <v>17</v>
      </c>
    </row>
    <row r="6" spans="1:39" ht="17.25">
      <c r="A6" s="51" t="s">
        <v>15</v>
      </c>
      <c r="B6" s="52" t="s">
        <v>143</v>
      </c>
      <c r="C6" s="22">
        <f>销量!C15</f>
        <v>9660</v>
      </c>
      <c r="D6" s="22">
        <f>销量!D15</f>
        <v>28980</v>
      </c>
      <c r="E6" s="22">
        <f>销量!E15</f>
        <v>9660</v>
      </c>
      <c r="F6" s="22">
        <f>销量!F15</f>
        <v>38640</v>
      </c>
      <c r="G6" s="22">
        <f>销量!G15</f>
        <v>0</v>
      </c>
      <c r="H6" s="22">
        <f>销量!H15</f>
        <v>0</v>
      </c>
      <c r="I6" s="22">
        <f>销量!I15</f>
        <v>0</v>
      </c>
      <c r="J6" s="53">
        <f>SUM(C6:I6)</f>
        <v>86940</v>
      </c>
      <c r="U6" s="52" t="s">
        <v>3</v>
      </c>
      <c r="AK6" s="51" t="s">
        <v>15</v>
      </c>
      <c r="AL6" s="52" t="s">
        <v>3</v>
      </c>
      <c r="AM6" s="47" t="s">
        <v>18</v>
      </c>
    </row>
    <row r="7" spans="1:39">
      <c r="A7" s="194">
        <v>1</v>
      </c>
      <c r="B7" s="52" t="s">
        <v>19</v>
      </c>
      <c r="C7" s="53">
        <f>C6*销量!C8</f>
        <v>17022852</v>
      </c>
      <c r="D7" s="53">
        <f>D6*销量!D8</f>
        <v>44339400</v>
      </c>
      <c r="E7" s="53">
        <f>E6*销量!E8</f>
        <v>11553360</v>
      </c>
      <c r="F7" s="53">
        <f>F6*销量!F8</f>
        <v>15318055.200000001</v>
      </c>
      <c r="G7" s="53">
        <f>G6*销量!G8</f>
        <v>0</v>
      </c>
      <c r="H7" s="53">
        <f>H6*销量!H8</f>
        <v>0</v>
      </c>
      <c r="I7" s="53">
        <f>I6*销量!I8</f>
        <v>0</v>
      </c>
      <c r="J7" s="53">
        <f t="shared" ref="J7:J22" si="0">SUM(C7:I7)</f>
        <v>88233667.200000003</v>
      </c>
      <c r="K7" s="48"/>
      <c r="U7" s="52" t="s">
        <v>19</v>
      </c>
      <c r="AK7" s="51" t="s">
        <v>20</v>
      </c>
      <c r="AL7" s="52" t="s">
        <v>19</v>
      </c>
      <c r="AM7" s="47" t="s">
        <v>18</v>
      </c>
    </row>
    <row r="8" spans="1:39">
      <c r="A8" s="194">
        <v>2</v>
      </c>
      <c r="B8" s="194" t="s">
        <v>21</v>
      </c>
      <c r="C8" s="53">
        <f>C7*(1-销量!$M$12)</f>
        <v>2843292.8399503636</v>
      </c>
      <c r="D8" s="53">
        <f>D7*(1-销量!$M$12)</f>
        <v>7405921.0846511014</v>
      </c>
      <c r="E8" s="53">
        <f>E7*(1-销量!$M$12)</f>
        <v>1929734.5571334895</v>
      </c>
      <c r="F8" s="53">
        <f>F7*(1-销量!$M$12)</f>
        <v>2558544.0484429072</v>
      </c>
      <c r="G8" s="53">
        <f>G7*(1-销量!$M$12)</f>
        <v>0</v>
      </c>
      <c r="H8" s="53">
        <f>H7*(1-销量!$M$12)</f>
        <v>0</v>
      </c>
      <c r="I8" s="53">
        <f>I7*(1-销量!$M$12)</f>
        <v>0</v>
      </c>
      <c r="J8" s="53">
        <f t="shared" si="0"/>
        <v>14737492.530177863</v>
      </c>
      <c r="K8" s="68"/>
      <c r="U8" s="194" t="s">
        <v>23</v>
      </c>
      <c r="AK8" s="51" t="s">
        <v>22</v>
      </c>
      <c r="AL8" s="194" t="s">
        <v>23</v>
      </c>
      <c r="AM8" s="47" t="s">
        <v>18</v>
      </c>
    </row>
    <row r="9" spans="1:39">
      <c r="A9" s="194">
        <v>3</v>
      </c>
      <c r="B9" s="52" t="s">
        <v>24</v>
      </c>
      <c r="C9" s="53">
        <f>+C7-C8</f>
        <v>14179559.160049636</v>
      </c>
      <c r="D9" s="53">
        <f t="shared" ref="D9:I9" si="1">+D7-D8</f>
        <v>36933478.915348902</v>
      </c>
      <c r="E9" s="53">
        <f t="shared" si="1"/>
        <v>9623625.4428665098</v>
      </c>
      <c r="F9" s="53">
        <f t="shared" si="1"/>
        <v>12759511.151557093</v>
      </c>
      <c r="G9" s="53">
        <f t="shared" si="1"/>
        <v>0</v>
      </c>
      <c r="H9" s="53">
        <f t="shared" si="1"/>
        <v>0</v>
      </c>
      <c r="I9" s="53">
        <f t="shared" si="1"/>
        <v>0</v>
      </c>
      <c r="J9" s="53">
        <f t="shared" si="0"/>
        <v>73496174.669822142</v>
      </c>
      <c r="U9" s="52" t="s">
        <v>24</v>
      </c>
      <c r="AK9" s="51" t="s">
        <v>25</v>
      </c>
      <c r="AL9" s="52" t="s">
        <v>24</v>
      </c>
      <c r="AM9" s="47" t="s">
        <v>26</v>
      </c>
    </row>
    <row r="10" spans="1:39">
      <c r="A10" s="194">
        <v>4</v>
      </c>
      <c r="B10" s="51" t="s">
        <v>27</v>
      </c>
      <c r="C10" s="53">
        <f>C6*C33</f>
        <v>10446173.014748808</v>
      </c>
      <c r="D10" s="53">
        <f t="shared" ref="D10:I10" si="2">D6*D33</f>
        <v>28230906.048042245</v>
      </c>
      <c r="E10" s="53">
        <f t="shared" si="2"/>
        <v>8033574.8317292519</v>
      </c>
      <c r="F10" s="53">
        <f t="shared" si="2"/>
        <v>9473066.1599726547</v>
      </c>
      <c r="G10" s="53">
        <f t="shared" si="2"/>
        <v>0</v>
      </c>
      <c r="H10" s="53">
        <f t="shared" si="2"/>
        <v>0</v>
      </c>
      <c r="I10" s="53">
        <f t="shared" si="2"/>
        <v>0</v>
      </c>
      <c r="J10" s="53">
        <f t="shared" si="0"/>
        <v>56183720.05449295</v>
      </c>
      <c r="U10" s="51" t="s">
        <v>27</v>
      </c>
      <c r="AK10" s="51" t="s">
        <v>28</v>
      </c>
      <c r="AL10" s="51" t="s">
        <v>27</v>
      </c>
      <c r="AM10" s="47" t="s">
        <v>29</v>
      </c>
    </row>
    <row r="11" spans="1:39">
      <c r="A11" s="194">
        <v>5</v>
      </c>
      <c r="B11" s="51" t="s">
        <v>30</v>
      </c>
      <c r="C11" s="53">
        <f>+C6*C36</f>
        <v>599204.39040000003</v>
      </c>
      <c r="D11" s="53">
        <f t="shared" ref="D11:I11" si="3">+D6*D36</f>
        <v>1560746.8800000001</v>
      </c>
      <c r="E11" s="53">
        <f t="shared" si="3"/>
        <v>406678.27200000006</v>
      </c>
      <c r="F11" s="53">
        <f t="shared" si="3"/>
        <v>539195.54304000002</v>
      </c>
      <c r="G11" s="53">
        <f t="shared" si="3"/>
        <v>0</v>
      </c>
      <c r="H11" s="53">
        <f t="shared" si="3"/>
        <v>0</v>
      </c>
      <c r="I11" s="53">
        <f t="shared" si="3"/>
        <v>0</v>
      </c>
      <c r="J11" s="53">
        <f t="shared" si="0"/>
        <v>3105825.0854400001</v>
      </c>
      <c r="U11" s="51" t="s">
        <v>30</v>
      </c>
      <c r="AK11" s="51" t="s">
        <v>31</v>
      </c>
      <c r="AL11" s="51" t="s">
        <v>30</v>
      </c>
    </row>
    <row r="12" spans="1:39">
      <c r="A12" s="194">
        <v>6</v>
      </c>
      <c r="B12" s="51" t="s">
        <v>32</v>
      </c>
      <c r="C12" s="53">
        <f>+C6*C37</f>
        <v>180442.23120000001</v>
      </c>
      <c r="D12" s="53">
        <f t="shared" ref="D12:I12" si="4">+D6*D37</f>
        <v>469997.64</v>
      </c>
      <c r="E12" s="53">
        <f t="shared" si="4"/>
        <v>122465.61599999999</v>
      </c>
      <c r="F12" s="53">
        <f t="shared" si="4"/>
        <v>162371.38511999999</v>
      </c>
      <c r="G12" s="53">
        <f t="shared" si="4"/>
        <v>0</v>
      </c>
      <c r="H12" s="53">
        <f t="shared" si="4"/>
        <v>0</v>
      </c>
      <c r="I12" s="53">
        <f t="shared" si="4"/>
        <v>0</v>
      </c>
      <c r="J12" s="53">
        <f t="shared" si="0"/>
        <v>935276.87232000008</v>
      </c>
      <c r="U12" s="51" t="s">
        <v>32</v>
      </c>
      <c r="AK12" s="51" t="s">
        <v>33</v>
      </c>
      <c r="AL12" s="51" t="s">
        <v>32</v>
      </c>
    </row>
    <row r="13" spans="1:39">
      <c r="A13" s="194">
        <v>7</v>
      </c>
      <c r="B13" s="51" t="s">
        <v>34</v>
      </c>
      <c r="C13" s="53">
        <f>+C6*C38</f>
        <v>134480.53080000001</v>
      </c>
      <c r="D13" s="53">
        <f t="shared" ref="D13:I13" si="5">+D6*D38</f>
        <v>350281.26000000007</v>
      </c>
      <c r="E13" s="53">
        <f t="shared" si="5"/>
        <v>91271.544000000009</v>
      </c>
      <c r="F13" s="53">
        <f t="shared" si="5"/>
        <v>121012.63608000001</v>
      </c>
      <c r="G13" s="53">
        <f t="shared" si="5"/>
        <v>0</v>
      </c>
      <c r="H13" s="53">
        <f t="shared" si="5"/>
        <v>0</v>
      </c>
      <c r="I13" s="53">
        <f t="shared" si="5"/>
        <v>0</v>
      </c>
      <c r="J13" s="53">
        <f t="shared" si="0"/>
        <v>697045.97088000004</v>
      </c>
      <c r="U13" s="51" t="s">
        <v>34</v>
      </c>
      <c r="AK13" s="51" t="s">
        <v>35</v>
      </c>
      <c r="AL13" s="51" t="s">
        <v>34</v>
      </c>
      <c r="AM13" s="47" t="s">
        <v>18</v>
      </c>
    </row>
    <row r="14" spans="1:39">
      <c r="A14" s="194">
        <v>8</v>
      </c>
      <c r="B14" s="54" t="s">
        <v>36</v>
      </c>
      <c r="C14" s="53">
        <f>SUM(C11:C13)</f>
        <v>914127.15240000002</v>
      </c>
      <c r="D14" s="53">
        <f t="shared" ref="D14:I14" si="6">SUM(D11:D13)</f>
        <v>2381025.7800000003</v>
      </c>
      <c r="E14" s="53">
        <f t="shared" si="6"/>
        <v>620415.43200000003</v>
      </c>
      <c r="F14" s="53">
        <f t="shared" si="6"/>
        <v>822579.56423999998</v>
      </c>
      <c r="G14" s="53">
        <f t="shared" si="6"/>
        <v>0</v>
      </c>
      <c r="H14" s="53">
        <f t="shared" si="6"/>
        <v>0</v>
      </c>
      <c r="I14" s="53">
        <f t="shared" si="6"/>
        <v>0</v>
      </c>
      <c r="J14" s="53">
        <f t="shared" si="0"/>
        <v>4738147.9286400005</v>
      </c>
      <c r="U14" s="54" t="s">
        <v>36</v>
      </c>
      <c r="AK14" s="51" t="s">
        <v>37</v>
      </c>
      <c r="AL14" s="54" t="s">
        <v>36</v>
      </c>
    </row>
    <row r="15" spans="1:39">
      <c r="A15" s="194">
        <v>9</v>
      </c>
      <c r="B15" s="54" t="s">
        <v>38</v>
      </c>
      <c r="C15" s="53">
        <f>+C9-C10-C14</f>
        <v>2819258.9929008279</v>
      </c>
      <c r="D15" s="53">
        <f t="shared" ref="D15:I15" si="7">+D9-D10-D14</f>
        <v>6321547.0873066569</v>
      </c>
      <c r="E15" s="53">
        <f t="shared" si="7"/>
        <v>969635.17913725786</v>
      </c>
      <c r="F15" s="53">
        <f t="shared" si="7"/>
        <v>2463865.4273444386</v>
      </c>
      <c r="G15" s="53">
        <f t="shared" si="7"/>
        <v>0</v>
      </c>
      <c r="H15" s="53">
        <f t="shared" si="7"/>
        <v>0</v>
      </c>
      <c r="I15" s="53">
        <f t="shared" si="7"/>
        <v>0</v>
      </c>
      <c r="J15" s="53">
        <f t="shared" si="0"/>
        <v>12574306.686689183</v>
      </c>
      <c r="U15" s="54" t="s">
        <v>38</v>
      </c>
      <c r="AK15" s="51" t="s">
        <v>39</v>
      </c>
      <c r="AL15" s="54" t="s">
        <v>38</v>
      </c>
    </row>
    <row r="16" spans="1:39">
      <c r="A16" s="194">
        <v>10</v>
      </c>
      <c r="B16" s="51" t="s">
        <v>40</v>
      </c>
      <c r="C16" s="55">
        <f>+C15/C9</f>
        <v>0.19882557427060088</v>
      </c>
      <c r="D16" s="55">
        <f t="shared" ref="D16:J16" si="8">+D15/D9</f>
        <v>0.17116034754796774</v>
      </c>
      <c r="E16" s="55">
        <f t="shared" si="8"/>
        <v>0.10075570634931534</v>
      </c>
      <c r="F16" s="55">
        <f t="shared" si="8"/>
        <v>0.19310029969633777</v>
      </c>
      <c r="G16" s="55" t="e">
        <f t="shared" si="8"/>
        <v>#DIV/0!</v>
      </c>
      <c r="H16" s="55" t="e">
        <f t="shared" si="8"/>
        <v>#DIV/0!</v>
      </c>
      <c r="I16" s="55" t="e">
        <f t="shared" si="8"/>
        <v>#DIV/0!</v>
      </c>
      <c r="J16" s="55">
        <f t="shared" si="8"/>
        <v>0.17108790686288941</v>
      </c>
      <c r="U16" s="51" t="s">
        <v>40</v>
      </c>
      <c r="AK16" s="51" t="s">
        <v>41</v>
      </c>
      <c r="AL16" s="51" t="s">
        <v>40</v>
      </c>
    </row>
    <row r="17" spans="1:39">
      <c r="A17" s="194">
        <v>11</v>
      </c>
      <c r="B17" s="51" t="s">
        <v>42</v>
      </c>
      <c r="C17" s="53">
        <f>C6*C43+C18</f>
        <v>332750.27324444446</v>
      </c>
      <c r="D17" s="53">
        <f t="shared" ref="D17:I17" si="9">D6*D43+D18</f>
        <v>867705.19333333347</v>
      </c>
      <c r="E17" s="53">
        <f t="shared" si="9"/>
        <v>226642.12844444445</v>
      </c>
      <c r="F17" s="53">
        <f t="shared" si="9"/>
        <v>307198.04865777778</v>
      </c>
      <c r="G17" s="53">
        <f t="shared" si="9"/>
        <v>0</v>
      </c>
      <c r="H17" s="53">
        <f t="shared" si="9"/>
        <v>0</v>
      </c>
      <c r="I17" s="53">
        <f t="shared" si="9"/>
        <v>0</v>
      </c>
      <c r="J17" s="53">
        <f t="shared" si="0"/>
        <v>1734295.64368</v>
      </c>
      <c r="K17" s="68"/>
      <c r="U17" s="51" t="s">
        <v>42</v>
      </c>
      <c r="AK17" s="51" t="s">
        <v>43</v>
      </c>
      <c r="AL17" s="51" t="s">
        <v>42</v>
      </c>
    </row>
    <row r="18" spans="1:39" s="45" customFormat="1">
      <c r="A18" s="194">
        <v>12</v>
      </c>
      <c r="B18" s="56" t="s">
        <v>144</v>
      </c>
      <c r="C18" s="57">
        <f>$J$18/$J$6*C6</f>
        <v>2506.9444444444448</v>
      </c>
      <c r="D18" s="57">
        <f t="shared" ref="D18:I18" si="10">$J$18/$J$6*D6</f>
        <v>7520.8333333333339</v>
      </c>
      <c r="E18" s="57">
        <f t="shared" si="10"/>
        <v>2506.9444444444448</v>
      </c>
      <c r="F18" s="57">
        <f t="shared" si="10"/>
        <v>10027.777777777779</v>
      </c>
      <c r="G18" s="57">
        <f t="shared" si="10"/>
        <v>0</v>
      </c>
      <c r="H18" s="57">
        <f t="shared" si="10"/>
        <v>0</v>
      </c>
      <c r="I18" s="57">
        <f t="shared" si="10"/>
        <v>0</v>
      </c>
      <c r="J18" s="57">
        <f>项目投资!J26</f>
        <v>22562.5</v>
      </c>
      <c r="K18" s="69" t="s">
        <v>145</v>
      </c>
      <c r="L18" s="69"/>
      <c r="M18" s="69"/>
    </row>
    <row r="19" spans="1:39">
      <c r="A19" s="194">
        <v>13</v>
      </c>
      <c r="B19" s="51" t="s">
        <v>44</v>
      </c>
      <c r="C19" s="53">
        <f>C6*C44</f>
        <v>160014.80880000003</v>
      </c>
      <c r="D19" s="53">
        <f t="shared" ref="D19:I19" si="11">D6*D44</f>
        <v>416790.36000000004</v>
      </c>
      <c r="E19" s="53">
        <f t="shared" si="11"/>
        <v>108601.584</v>
      </c>
      <c r="F19" s="53">
        <f t="shared" si="11"/>
        <v>143989.71888</v>
      </c>
      <c r="G19" s="53">
        <f t="shared" si="11"/>
        <v>0</v>
      </c>
      <c r="H19" s="53">
        <f t="shared" si="11"/>
        <v>0</v>
      </c>
      <c r="I19" s="53">
        <f t="shared" si="11"/>
        <v>0</v>
      </c>
      <c r="J19" s="53">
        <f t="shared" si="0"/>
        <v>829396.47168000019</v>
      </c>
      <c r="K19" s="45"/>
      <c r="U19" s="51" t="s">
        <v>44</v>
      </c>
      <c r="AK19" s="51" t="s">
        <v>45</v>
      </c>
      <c r="AL19" s="51" t="s">
        <v>44</v>
      </c>
      <c r="AM19" s="47" t="s">
        <v>18</v>
      </c>
    </row>
    <row r="20" spans="1:39">
      <c r="A20" s="194">
        <v>14</v>
      </c>
      <c r="B20" s="51" t="s">
        <v>46</v>
      </c>
      <c r="C20" s="53">
        <f>C6*C45</f>
        <v>554944.97519999999</v>
      </c>
      <c r="D20" s="53">
        <f t="shared" ref="D20:I20" si="12">D6*D45</f>
        <v>1445464.4399999997</v>
      </c>
      <c r="E20" s="53">
        <f t="shared" si="12"/>
        <v>376639.53599999996</v>
      </c>
      <c r="F20" s="53">
        <f t="shared" si="12"/>
        <v>499368.59951999999</v>
      </c>
      <c r="G20" s="53">
        <f t="shared" si="12"/>
        <v>0</v>
      </c>
      <c r="H20" s="53">
        <f t="shared" si="12"/>
        <v>0</v>
      </c>
      <c r="I20" s="53">
        <f t="shared" si="12"/>
        <v>0</v>
      </c>
      <c r="J20" s="53">
        <f t="shared" si="0"/>
        <v>2876417.5507199997</v>
      </c>
      <c r="U20" s="51" t="s">
        <v>46</v>
      </c>
      <c r="AK20" s="51" t="s">
        <v>47</v>
      </c>
      <c r="AL20" s="51" t="s">
        <v>46</v>
      </c>
    </row>
    <row r="21" spans="1:39">
      <c r="A21" s="194">
        <v>15</v>
      </c>
      <c r="B21" s="51" t="s">
        <v>48</v>
      </c>
      <c r="C21" s="58">
        <f>$J$21/$J$6*C6</f>
        <v>7137.5</v>
      </c>
      <c r="D21" s="58">
        <f t="shared" ref="D21:I21" si="13">$J$21/$J$6*D6</f>
        <v>21412.5</v>
      </c>
      <c r="E21" s="58">
        <f t="shared" si="13"/>
        <v>7137.5</v>
      </c>
      <c r="F21" s="58">
        <f t="shared" si="13"/>
        <v>28550</v>
      </c>
      <c r="G21" s="58">
        <f t="shared" si="13"/>
        <v>0</v>
      </c>
      <c r="H21" s="58">
        <f t="shared" si="13"/>
        <v>0</v>
      </c>
      <c r="I21" s="58">
        <f t="shared" si="13"/>
        <v>0</v>
      </c>
      <c r="J21" s="53">
        <f>项目投资!J27</f>
        <v>64237.5</v>
      </c>
      <c r="U21" s="51" t="s">
        <v>48</v>
      </c>
      <c r="AK21" s="51"/>
      <c r="AL21" s="51"/>
    </row>
    <row r="22" spans="1:39">
      <c r="A22" s="194">
        <v>16</v>
      </c>
      <c r="B22" s="51" t="s">
        <v>49</v>
      </c>
      <c r="C22" s="53">
        <f>C6*C47</f>
        <v>851142.60000000009</v>
      </c>
      <c r="D22" s="53">
        <f t="shared" ref="D22:I22" si="14">D6*D47</f>
        <v>2216970</v>
      </c>
      <c r="E22" s="53">
        <f t="shared" si="14"/>
        <v>577668</v>
      </c>
      <c r="F22" s="53">
        <f t="shared" si="14"/>
        <v>765902.76</v>
      </c>
      <c r="G22" s="53">
        <f t="shared" si="14"/>
        <v>0</v>
      </c>
      <c r="H22" s="53">
        <f t="shared" si="14"/>
        <v>0</v>
      </c>
      <c r="I22" s="53">
        <f t="shared" si="14"/>
        <v>0</v>
      </c>
      <c r="J22" s="53">
        <f t="shared" si="0"/>
        <v>4411683.3600000003</v>
      </c>
      <c r="U22" s="51" t="s">
        <v>49</v>
      </c>
      <c r="AK22" s="51" t="s">
        <v>50</v>
      </c>
      <c r="AL22" s="51" t="s">
        <v>49</v>
      </c>
    </row>
    <row r="23" spans="1:39">
      <c r="A23" s="194">
        <v>17</v>
      </c>
      <c r="B23" s="54" t="s">
        <v>51</v>
      </c>
      <c r="C23" s="58">
        <f>+C22+C21+C20+C19+C17</f>
        <v>1905990.1572444446</v>
      </c>
      <c r="D23" s="58">
        <f t="shared" ref="D23:J23" si="15">+D22+D21+D20+D19+D17</f>
        <v>4968342.4933333332</v>
      </c>
      <c r="E23" s="58">
        <f t="shared" si="15"/>
        <v>1296688.7484444443</v>
      </c>
      <c r="F23" s="58">
        <f t="shared" si="15"/>
        <v>1745009.1270577777</v>
      </c>
      <c r="G23" s="58">
        <f t="shared" si="15"/>
        <v>0</v>
      </c>
      <c r="H23" s="58">
        <f t="shared" si="15"/>
        <v>0</v>
      </c>
      <c r="I23" s="58">
        <f t="shared" si="15"/>
        <v>0</v>
      </c>
      <c r="J23" s="58">
        <f t="shared" si="15"/>
        <v>9916030.5260800011</v>
      </c>
      <c r="U23" s="54" t="s">
        <v>51</v>
      </c>
      <c r="AK23" s="51" t="s">
        <v>52</v>
      </c>
      <c r="AL23" s="54" t="s">
        <v>51</v>
      </c>
    </row>
    <row r="24" spans="1:39">
      <c r="A24" s="194">
        <v>18</v>
      </c>
      <c r="B24" s="59" t="s">
        <v>53</v>
      </c>
      <c r="C24" s="58">
        <f>+C15-C23</f>
        <v>913268.83565638331</v>
      </c>
      <c r="D24" s="58">
        <f t="shared" ref="D24:J24" si="16">+D15-D23</f>
        <v>1353204.5939733237</v>
      </c>
      <c r="E24" s="58">
        <f t="shared" si="16"/>
        <v>-327053.56930718641</v>
      </c>
      <c r="F24" s="58">
        <f t="shared" si="16"/>
        <v>718856.3002866609</v>
      </c>
      <c r="G24" s="58">
        <f t="shared" si="16"/>
        <v>0</v>
      </c>
      <c r="H24" s="58">
        <f t="shared" si="16"/>
        <v>0</v>
      </c>
      <c r="I24" s="58">
        <f t="shared" si="16"/>
        <v>0</v>
      </c>
      <c r="J24" s="58">
        <f t="shared" si="16"/>
        <v>2658276.160609182</v>
      </c>
      <c r="L24" s="70"/>
      <c r="U24" s="51" t="s">
        <v>53</v>
      </c>
      <c r="AK24" s="51" t="s">
        <v>54</v>
      </c>
      <c r="AL24" s="51" t="s">
        <v>53</v>
      </c>
    </row>
    <row r="25" spans="1:39">
      <c r="A25" s="194">
        <v>19</v>
      </c>
      <c r="B25" s="51" t="s">
        <v>302</v>
      </c>
      <c r="C25" s="58">
        <f>IF(C24&lt;0,0,C24*0.25)</f>
        <v>228317.20891409583</v>
      </c>
      <c r="D25" s="58">
        <f t="shared" ref="D25:J25" si="17">IF(D24&lt;0,0,D24*0.25)</f>
        <v>338301.14849333093</v>
      </c>
      <c r="E25" s="58">
        <f t="shared" si="17"/>
        <v>0</v>
      </c>
      <c r="F25" s="58">
        <f t="shared" si="17"/>
        <v>179714.07507166523</v>
      </c>
      <c r="G25" s="58">
        <f t="shared" si="17"/>
        <v>0</v>
      </c>
      <c r="H25" s="58">
        <f t="shared" si="17"/>
        <v>0</v>
      </c>
      <c r="I25" s="58">
        <f t="shared" si="17"/>
        <v>0</v>
      </c>
      <c r="J25" s="58">
        <f t="shared" si="17"/>
        <v>664569.04015229549</v>
      </c>
      <c r="K25" s="66"/>
      <c r="L25" s="66"/>
      <c r="M25" s="66"/>
      <c r="U25" s="51" t="s">
        <v>55</v>
      </c>
      <c r="AK25" s="51" t="s">
        <v>56</v>
      </c>
      <c r="AL25" s="51" t="s">
        <v>55</v>
      </c>
    </row>
    <row r="26" spans="1:39">
      <c r="A26" s="194">
        <v>20</v>
      </c>
      <c r="B26" s="51" t="s">
        <v>57</v>
      </c>
      <c r="C26" s="58">
        <f t="shared" ref="C26:I26" si="18">C24-C25</f>
        <v>684951.62674228754</v>
      </c>
      <c r="D26" s="58">
        <f t="shared" si="18"/>
        <v>1014903.4454799928</v>
      </c>
      <c r="E26" s="58">
        <f t="shared" si="18"/>
        <v>-327053.56930718641</v>
      </c>
      <c r="F26" s="58">
        <f t="shared" si="18"/>
        <v>539142.22521499568</v>
      </c>
      <c r="G26" s="58">
        <f t="shared" si="18"/>
        <v>0</v>
      </c>
      <c r="H26" s="58">
        <f t="shared" si="18"/>
        <v>0</v>
      </c>
      <c r="I26" s="58">
        <f t="shared" si="18"/>
        <v>0</v>
      </c>
      <c r="J26" s="53">
        <f>J24-J25</f>
        <v>1993707.1204568865</v>
      </c>
      <c r="K26" s="66"/>
      <c r="L26" s="66"/>
      <c r="M26" s="66"/>
      <c r="U26" s="51" t="s">
        <v>57</v>
      </c>
      <c r="AK26" s="51" t="s">
        <v>58</v>
      </c>
      <c r="AL26" s="51" t="s">
        <v>57</v>
      </c>
    </row>
    <row r="27" spans="1:39">
      <c r="A27" s="194">
        <v>21</v>
      </c>
      <c r="B27" s="51" t="s">
        <v>61</v>
      </c>
      <c r="C27" s="60">
        <f t="shared" ref="C27:J27" si="19">C26/C7</f>
        <v>4.0237183918551814E-2</v>
      </c>
      <c r="D27" s="60">
        <f t="shared" si="19"/>
        <v>2.2889426683265737E-2</v>
      </c>
      <c r="E27" s="60">
        <f t="shared" si="19"/>
        <v>-2.8308091265847025E-2</v>
      </c>
      <c r="F27" s="60">
        <f t="shared" si="19"/>
        <v>3.5196519282356134E-2</v>
      </c>
      <c r="G27" s="60" t="e">
        <f t="shared" si="19"/>
        <v>#DIV/0!</v>
      </c>
      <c r="H27" s="60" t="e">
        <f t="shared" si="19"/>
        <v>#DIV/0!</v>
      </c>
      <c r="I27" s="60" t="e">
        <f t="shared" si="19"/>
        <v>#DIV/0!</v>
      </c>
      <c r="J27" s="60">
        <f t="shared" si="19"/>
        <v>2.259576399491289E-2</v>
      </c>
      <c r="K27" s="66"/>
      <c r="L27" s="66"/>
      <c r="M27" s="66"/>
      <c r="U27" s="51" t="s">
        <v>61</v>
      </c>
      <c r="AK27" s="51" t="s">
        <v>60</v>
      </c>
      <c r="AL27" s="51" t="s">
        <v>61</v>
      </c>
    </row>
    <row r="28" spans="1:39">
      <c r="K28" s="66"/>
      <c r="L28" s="66"/>
      <c r="M28" s="66"/>
      <c r="U28" s="51"/>
    </row>
    <row r="29" spans="1:39">
      <c r="A29" s="47" t="s">
        <v>62</v>
      </c>
      <c r="J29" s="48" t="s">
        <v>146</v>
      </c>
      <c r="K29" s="66"/>
      <c r="L29" s="66"/>
      <c r="M29" s="66"/>
      <c r="U29" s="51"/>
      <c r="AK29" s="47" t="s">
        <v>62</v>
      </c>
    </row>
    <row r="30" spans="1:39">
      <c r="A30" s="51" t="s">
        <v>63</v>
      </c>
      <c r="B30" s="54" t="s">
        <v>64</v>
      </c>
      <c r="C30" s="58"/>
      <c r="D30" s="58"/>
      <c r="E30" s="58"/>
      <c r="F30" s="58"/>
      <c r="G30" s="58"/>
      <c r="H30" s="58"/>
      <c r="I30" s="58"/>
      <c r="J30" s="58"/>
      <c r="K30" s="66"/>
      <c r="L30" s="66"/>
      <c r="M30" s="66"/>
      <c r="O30" s="66"/>
      <c r="U30" s="54" t="s">
        <v>64</v>
      </c>
      <c r="AK30" s="51" t="s">
        <v>65</v>
      </c>
      <c r="AL30" s="54" t="s">
        <v>64</v>
      </c>
    </row>
    <row r="31" spans="1:39">
      <c r="A31" s="194">
        <v>1</v>
      </c>
      <c r="B31" s="56" t="s">
        <v>66</v>
      </c>
      <c r="C31" s="62">
        <f>销量!C8</f>
        <v>1762.2</v>
      </c>
      <c r="D31" s="62">
        <f>销量!D8</f>
        <v>1530</v>
      </c>
      <c r="E31" s="62">
        <f>销量!E8</f>
        <v>1196</v>
      </c>
      <c r="F31" s="62">
        <f>销量!F8</f>
        <v>396.43</v>
      </c>
      <c r="G31" s="62">
        <f>销量!G8</f>
        <v>0</v>
      </c>
      <c r="H31" s="62">
        <f>销量!H8</f>
        <v>0</v>
      </c>
      <c r="I31" s="62">
        <f>销量!I8</f>
        <v>0</v>
      </c>
      <c r="J31" s="58"/>
      <c r="K31" s="66"/>
      <c r="L31" s="66"/>
      <c r="M31" s="66"/>
      <c r="O31" s="66"/>
      <c r="U31" s="51" t="s">
        <v>66</v>
      </c>
      <c r="AK31" s="51" t="s">
        <v>20</v>
      </c>
      <c r="AL31" s="51" t="s">
        <v>66</v>
      </c>
    </row>
    <row r="32" spans="1:39">
      <c r="A32" s="194">
        <v>2</v>
      </c>
      <c r="B32" s="51" t="s">
        <v>147</v>
      </c>
      <c r="C32" s="53">
        <f>C9/C6</f>
        <v>1467.8632670858835</v>
      </c>
      <c r="D32" s="53">
        <f t="shared" ref="D32:I32" si="20">D9/D6</f>
        <v>1274.4471675413699</v>
      </c>
      <c r="E32" s="53">
        <f t="shared" si="20"/>
        <v>996.23451789508385</v>
      </c>
      <c r="F32" s="53">
        <f t="shared" si="20"/>
        <v>330.21509191400344</v>
      </c>
      <c r="G32" s="53" t="e">
        <f t="shared" si="20"/>
        <v>#DIV/0!</v>
      </c>
      <c r="H32" s="53" t="e">
        <f t="shared" si="20"/>
        <v>#DIV/0!</v>
      </c>
      <c r="I32" s="53" t="e">
        <f t="shared" si="20"/>
        <v>#DIV/0!</v>
      </c>
      <c r="J32" s="58"/>
      <c r="K32" s="66"/>
      <c r="L32" s="66"/>
      <c r="M32" s="66"/>
      <c r="N32" s="66"/>
      <c r="O32" s="66"/>
      <c r="P32" s="66"/>
      <c r="Q32" s="66"/>
      <c r="AK32" s="51"/>
      <c r="AL32" s="51"/>
    </row>
    <row r="33" spans="1:38">
      <c r="A33" s="194">
        <v>3</v>
      </c>
      <c r="B33" s="56" t="s">
        <v>67</v>
      </c>
      <c r="C33" s="53">
        <f>材料成本!D18</f>
        <v>1081.3843700568125</v>
      </c>
      <c r="D33" s="53">
        <f>材料成本!E18</f>
        <v>974.15134741346606</v>
      </c>
      <c r="E33" s="53">
        <f>材料成本!F18</f>
        <v>831.63300535499502</v>
      </c>
      <c r="F33" s="53">
        <f>材料成本!G18</f>
        <v>245.16216770115565</v>
      </c>
      <c r="G33" s="53">
        <f>材料成本!H18</f>
        <v>0</v>
      </c>
      <c r="H33" s="53">
        <f>材料成本!I18</f>
        <v>0</v>
      </c>
      <c r="I33" s="53">
        <f>材料成本!J18</f>
        <v>0</v>
      </c>
      <c r="J33" s="58"/>
      <c r="L33" s="66"/>
      <c r="M33" s="66"/>
      <c r="N33" s="66"/>
      <c r="O33" s="66"/>
      <c r="P33" s="66"/>
      <c r="Q33" s="66"/>
      <c r="U33" s="51" t="s">
        <v>67</v>
      </c>
      <c r="AK33" s="51" t="s">
        <v>22</v>
      </c>
      <c r="AL33" s="51" t="s">
        <v>67</v>
      </c>
    </row>
    <row r="34" spans="1:38" ht="17.25" customHeight="1">
      <c r="A34" s="194">
        <v>4</v>
      </c>
      <c r="B34" s="51" t="s">
        <v>69</v>
      </c>
      <c r="C34" s="63">
        <f>C32-C33</f>
        <v>386.47889702907105</v>
      </c>
      <c r="D34" s="63">
        <f t="shared" ref="D34:I34" si="21">D32-D33</f>
        <v>300.29582012790388</v>
      </c>
      <c r="E34" s="63">
        <f t="shared" si="21"/>
        <v>164.60151254008883</v>
      </c>
      <c r="F34" s="63">
        <f t="shared" si="21"/>
        <v>85.052924212847785</v>
      </c>
      <c r="G34" s="63" t="e">
        <f t="shared" si="21"/>
        <v>#DIV/0!</v>
      </c>
      <c r="H34" s="63" t="e">
        <f t="shared" si="21"/>
        <v>#DIV/0!</v>
      </c>
      <c r="I34" s="63" t="e">
        <f t="shared" si="21"/>
        <v>#DIV/0!</v>
      </c>
      <c r="J34" s="58"/>
      <c r="L34" s="66"/>
      <c r="M34" s="66"/>
      <c r="N34" s="66"/>
      <c r="O34" s="66"/>
      <c r="P34" s="66"/>
      <c r="Q34" s="66"/>
      <c r="U34" s="51" t="s">
        <v>69</v>
      </c>
      <c r="AK34" s="51" t="s">
        <v>68</v>
      </c>
      <c r="AL34" s="51" t="s">
        <v>69</v>
      </c>
    </row>
    <row r="35" spans="1:38">
      <c r="A35" s="51" t="s">
        <v>65</v>
      </c>
      <c r="B35" s="54" t="s">
        <v>9</v>
      </c>
      <c r="C35" s="58"/>
      <c r="D35" s="58"/>
      <c r="E35" s="58"/>
      <c r="F35" s="58"/>
      <c r="G35" s="58"/>
      <c r="H35" s="58"/>
      <c r="I35" s="58"/>
      <c r="J35" s="58"/>
      <c r="K35" s="66"/>
      <c r="L35" s="66"/>
      <c r="M35" s="66"/>
      <c r="N35" s="66"/>
      <c r="O35" s="66"/>
      <c r="P35" s="66"/>
      <c r="Q35" s="66"/>
      <c r="R35" s="66"/>
      <c r="S35" s="66"/>
      <c r="T35" s="66"/>
      <c r="U35" s="54" t="s">
        <v>9</v>
      </c>
      <c r="AK35" s="51" t="s">
        <v>71</v>
      </c>
      <c r="AL35" s="54" t="s">
        <v>9</v>
      </c>
    </row>
    <row r="36" spans="1:38">
      <c r="A36" s="194">
        <v>1</v>
      </c>
      <c r="B36" s="51" t="s">
        <v>72</v>
      </c>
      <c r="C36" s="57">
        <f>'2024年'!C36</f>
        <v>62.029440000000008</v>
      </c>
      <c r="D36" s="57">
        <f>'2024年'!D36</f>
        <v>53.856000000000002</v>
      </c>
      <c r="E36" s="57">
        <f>'2024年'!E36</f>
        <v>42.099200000000003</v>
      </c>
      <c r="F36" s="57">
        <f>'2024年'!F36</f>
        <v>13.954336000000001</v>
      </c>
      <c r="G36" s="57">
        <f>'2024年'!G36</f>
        <v>0</v>
      </c>
      <c r="H36" s="57">
        <f>'2024年'!H36</f>
        <v>0</v>
      </c>
      <c r="I36" s="57">
        <f>'2024年'!I36</f>
        <v>0</v>
      </c>
      <c r="J36" s="62"/>
      <c r="K36" s="66"/>
      <c r="L36" s="66"/>
      <c r="M36" s="66"/>
      <c r="N36" s="66"/>
      <c r="O36" s="66"/>
      <c r="P36" s="66"/>
      <c r="Q36" s="66"/>
      <c r="R36" s="66"/>
      <c r="S36" s="66"/>
      <c r="T36" s="66"/>
      <c r="U36" s="51" t="s">
        <v>72</v>
      </c>
      <c r="AK36" s="51" t="s">
        <v>68</v>
      </c>
      <c r="AL36" s="51" t="s">
        <v>72</v>
      </c>
    </row>
    <row r="37" spans="1:38">
      <c r="A37" s="194">
        <v>2</v>
      </c>
      <c r="B37" s="51" t="s">
        <v>73</v>
      </c>
      <c r="C37" s="57">
        <f>'2024年'!C37</f>
        <v>18.679320000000001</v>
      </c>
      <c r="D37" s="57">
        <f>'2024年'!D37</f>
        <v>16.218</v>
      </c>
      <c r="E37" s="57">
        <f>'2024年'!E37</f>
        <v>12.6776</v>
      </c>
      <c r="F37" s="57">
        <f>'2024年'!F37</f>
        <v>4.2021579999999998</v>
      </c>
      <c r="G37" s="57">
        <f>'2024年'!G37</f>
        <v>0</v>
      </c>
      <c r="H37" s="57">
        <f>'2024年'!H37</f>
        <v>0</v>
      </c>
      <c r="I37" s="57">
        <f>'2024年'!I37</f>
        <v>0</v>
      </c>
      <c r="J37" s="62"/>
      <c r="K37" s="66"/>
      <c r="L37" s="66"/>
      <c r="M37" s="66"/>
      <c r="N37" s="66"/>
      <c r="O37" s="66"/>
      <c r="P37" s="66"/>
      <c r="Q37" s="66"/>
      <c r="R37" s="66"/>
      <c r="S37" s="66"/>
      <c r="T37" s="66"/>
      <c r="U37" s="51" t="s">
        <v>73</v>
      </c>
      <c r="AK37" s="51" t="s">
        <v>25</v>
      </c>
      <c r="AL37" s="51" t="s">
        <v>73</v>
      </c>
    </row>
    <row r="38" spans="1:38">
      <c r="A38" s="194">
        <v>3</v>
      </c>
      <c r="B38" s="51" t="s">
        <v>74</v>
      </c>
      <c r="C38" s="57">
        <f>'2024年'!C38</f>
        <v>13.921380000000001</v>
      </c>
      <c r="D38" s="57">
        <f>'2024年'!D38</f>
        <v>12.087000000000002</v>
      </c>
      <c r="E38" s="57">
        <f>'2024年'!E38</f>
        <v>9.4484000000000012</v>
      </c>
      <c r="F38" s="57">
        <f>'2024年'!F38</f>
        <v>3.1317970000000002</v>
      </c>
      <c r="G38" s="57">
        <f>'2024年'!G38</f>
        <v>0</v>
      </c>
      <c r="H38" s="57">
        <f>'2024年'!H38</f>
        <v>0</v>
      </c>
      <c r="I38" s="57">
        <f>'2024年'!I38</f>
        <v>0</v>
      </c>
      <c r="J38" s="62"/>
      <c r="K38" s="66"/>
      <c r="L38" s="66"/>
      <c r="M38" s="66"/>
      <c r="N38" s="66"/>
      <c r="O38" s="66"/>
      <c r="P38" s="66"/>
      <c r="Q38" s="66"/>
      <c r="R38" s="66"/>
      <c r="S38" s="66"/>
      <c r="T38" s="66"/>
      <c r="U38" s="51" t="s">
        <v>74</v>
      </c>
      <c r="AK38" s="51" t="s">
        <v>31</v>
      </c>
      <c r="AL38" s="51" t="s">
        <v>74</v>
      </c>
    </row>
    <row r="39" spans="1:38">
      <c r="A39" s="51" t="s">
        <v>71</v>
      </c>
      <c r="B39" s="54" t="s">
        <v>76</v>
      </c>
      <c r="C39" s="58"/>
      <c r="D39" s="58"/>
      <c r="E39" s="58"/>
      <c r="F39" s="58"/>
      <c r="G39" s="58"/>
      <c r="H39" s="58"/>
      <c r="I39" s="58"/>
      <c r="J39" s="58"/>
      <c r="U39" s="54" t="s">
        <v>76</v>
      </c>
      <c r="AK39" s="51" t="s">
        <v>75</v>
      </c>
      <c r="AL39" s="54" t="s">
        <v>76</v>
      </c>
    </row>
    <row r="40" spans="1:38">
      <c r="A40" s="194">
        <v>1</v>
      </c>
      <c r="B40" s="51" t="s">
        <v>78</v>
      </c>
      <c r="C40" s="58">
        <f>C34-C36-C37-C38</f>
        <v>291.84875702907101</v>
      </c>
      <c r="D40" s="58">
        <f t="shared" ref="D40:I40" si="22">D34-D36-D37-D38</f>
        <v>218.13482012790391</v>
      </c>
      <c r="E40" s="58">
        <f t="shared" si="22"/>
        <v>100.37631254008883</v>
      </c>
      <c r="F40" s="58">
        <f t="shared" si="22"/>
        <v>63.764633212847791</v>
      </c>
      <c r="G40" s="58" t="e">
        <f t="shared" si="22"/>
        <v>#DIV/0!</v>
      </c>
      <c r="H40" s="58" t="e">
        <f t="shared" si="22"/>
        <v>#DIV/0!</v>
      </c>
      <c r="I40" s="58" t="e">
        <f t="shared" si="22"/>
        <v>#DIV/0!</v>
      </c>
      <c r="J40" s="58"/>
      <c r="U40" s="51" t="s">
        <v>78</v>
      </c>
      <c r="AK40" s="51" t="s">
        <v>20</v>
      </c>
      <c r="AL40" s="51" t="s">
        <v>78</v>
      </c>
    </row>
    <row r="41" spans="1:38">
      <c r="A41" s="194">
        <v>2</v>
      </c>
      <c r="B41" s="51" t="s">
        <v>79</v>
      </c>
      <c r="C41" s="58"/>
      <c r="D41" s="58"/>
      <c r="E41" s="58"/>
      <c r="F41" s="58"/>
      <c r="G41" s="58"/>
      <c r="H41" s="58"/>
      <c r="I41" s="58"/>
      <c r="J41" s="58"/>
      <c r="U41" s="51" t="s">
        <v>79</v>
      </c>
      <c r="AK41" s="51" t="s">
        <v>22</v>
      </c>
      <c r="AL41" s="51" t="s">
        <v>79</v>
      </c>
    </row>
    <row r="42" spans="1:38">
      <c r="A42" s="51" t="s">
        <v>75</v>
      </c>
      <c r="B42" s="54" t="s">
        <v>81</v>
      </c>
      <c r="C42" s="58"/>
      <c r="D42" s="58"/>
      <c r="E42" s="58"/>
      <c r="F42" s="58"/>
      <c r="G42" s="58"/>
      <c r="H42" s="58"/>
      <c r="I42" s="58"/>
      <c r="J42" s="58"/>
      <c r="U42" s="54" t="s">
        <v>81</v>
      </c>
      <c r="AK42" s="51" t="s">
        <v>80</v>
      </c>
      <c r="AL42" s="54" t="s">
        <v>81</v>
      </c>
    </row>
    <row r="43" spans="1:38">
      <c r="A43" s="194">
        <v>1</v>
      </c>
      <c r="B43" s="59" t="s">
        <v>82</v>
      </c>
      <c r="C43" s="57">
        <f>'2024年'!C43</f>
        <v>34.186680000000003</v>
      </c>
      <c r="D43" s="57">
        <f>'2024年'!D43</f>
        <v>29.682000000000002</v>
      </c>
      <c r="E43" s="57">
        <f>'2024年'!E43</f>
        <v>23.202400000000001</v>
      </c>
      <c r="F43" s="57">
        <f>'2024年'!F43</f>
        <v>7.6907420000000002</v>
      </c>
      <c r="G43" s="57">
        <f>'2024年'!G43</f>
        <v>0</v>
      </c>
      <c r="H43" s="57">
        <f>'2024年'!H43</f>
        <v>0</v>
      </c>
      <c r="I43" s="57">
        <f>'2024年'!I43</f>
        <v>0</v>
      </c>
      <c r="J43" s="58"/>
      <c r="U43" s="51" t="s">
        <v>82</v>
      </c>
      <c r="AK43" s="51" t="s">
        <v>20</v>
      </c>
      <c r="AL43" s="51" t="s">
        <v>82</v>
      </c>
    </row>
    <row r="44" spans="1:38">
      <c r="A44" s="194">
        <v>2</v>
      </c>
      <c r="B44" s="59" t="s">
        <v>83</v>
      </c>
      <c r="C44" s="57">
        <f>'2024年'!C44</f>
        <v>16.564680000000003</v>
      </c>
      <c r="D44" s="57">
        <f>'2024年'!D44</f>
        <v>14.382000000000001</v>
      </c>
      <c r="E44" s="57">
        <f>'2024年'!E44</f>
        <v>11.2424</v>
      </c>
      <c r="F44" s="57">
        <f>'2024年'!F44</f>
        <v>3.726442</v>
      </c>
      <c r="G44" s="57">
        <f>'2024年'!G44</f>
        <v>0</v>
      </c>
      <c r="H44" s="57">
        <f>'2024年'!H44</f>
        <v>0</v>
      </c>
      <c r="I44" s="57">
        <f>'2024年'!I44</f>
        <v>0</v>
      </c>
      <c r="J44" s="58"/>
      <c r="U44" s="51" t="s">
        <v>83</v>
      </c>
      <c r="AK44" s="51" t="s">
        <v>22</v>
      </c>
      <c r="AL44" s="51" t="s">
        <v>83</v>
      </c>
    </row>
    <row r="45" spans="1:38">
      <c r="A45" s="194">
        <v>3</v>
      </c>
      <c r="B45" s="59" t="s">
        <v>84</v>
      </c>
      <c r="C45" s="57">
        <f>'2024年'!C45</f>
        <v>57.447719999999997</v>
      </c>
      <c r="D45" s="57">
        <f>'2024年'!D45</f>
        <v>49.877999999999993</v>
      </c>
      <c r="E45" s="57">
        <f>'2024年'!E45</f>
        <v>38.989599999999996</v>
      </c>
      <c r="F45" s="57">
        <f>'2024年'!F45</f>
        <v>12.923617999999999</v>
      </c>
      <c r="G45" s="57">
        <f>'2024年'!G45</f>
        <v>0</v>
      </c>
      <c r="H45" s="57">
        <f>'2024年'!H45</f>
        <v>0</v>
      </c>
      <c r="I45" s="57">
        <f>'2024年'!I45</f>
        <v>0</v>
      </c>
      <c r="J45" s="58"/>
      <c r="U45" s="51" t="s">
        <v>84</v>
      </c>
      <c r="AK45" s="51" t="s">
        <v>68</v>
      </c>
      <c r="AL45" s="51" t="s">
        <v>84</v>
      </c>
    </row>
    <row r="46" spans="1:38" s="46" customFormat="1">
      <c r="A46" s="194">
        <v>4</v>
      </c>
      <c r="B46" s="59" t="s">
        <v>85</v>
      </c>
      <c r="C46" s="64">
        <f>C21/C6</f>
        <v>0.73887163561076608</v>
      </c>
      <c r="D46" s="64">
        <f t="shared" ref="D46:I46" si="23">D21/D6</f>
        <v>0.73887163561076608</v>
      </c>
      <c r="E46" s="64">
        <f t="shared" si="23"/>
        <v>0.73887163561076608</v>
      </c>
      <c r="F46" s="64">
        <f t="shared" si="23"/>
        <v>0.73887163561076608</v>
      </c>
      <c r="G46" s="64" t="e">
        <f t="shared" si="23"/>
        <v>#DIV/0!</v>
      </c>
      <c r="H46" s="64" t="e">
        <f t="shared" si="23"/>
        <v>#DIV/0!</v>
      </c>
      <c r="I46" s="64" t="e">
        <f t="shared" si="23"/>
        <v>#DIV/0!</v>
      </c>
      <c r="J46" s="64"/>
      <c r="U46" s="59" t="s">
        <v>87</v>
      </c>
      <c r="AK46" s="59" t="s">
        <v>28</v>
      </c>
      <c r="AL46" s="59" t="s">
        <v>87</v>
      </c>
    </row>
    <row r="47" spans="1:38" s="46" customFormat="1">
      <c r="A47" s="194">
        <v>5</v>
      </c>
      <c r="B47" s="59" t="s">
        <v>87</v>
      </c>
      <c r="C47" s="64">
        <f>'2024年'!C47</f>
        <v>88.110000000000014</v>
      </c>
      <c r="D47" s="64">
        <f>'2024年'!D47</f>
        <v>76.5</v>
      </c>
      <c r="E47" s="64">
        <f>'2024年'!E47</f>
        <v>59.800000000000004</v>
      </c>
      <c r="F47" s="64">
        <f>'2024年'!F47</f>
        <v>19.8215</v>
      </c>
      <c r="G47" s="64">
        <f>'2024年'!G47</f>
        <v>0</v>
      </c>
      <c r="H47" s="64">
        <f>'2024年'!H47</f>
        <v>0</v>
      </c>
      <c r="I47" s="64">
        <f>'2024年'!I47</f>
        <v>0</v>
      </c>
      <c r="J47" s="64"/>
      <c r="U47" s="59" t="s">
        <v>87</v>
      </c>
      <c r="AK47" s="59" t="s">
        <v>28</v>
      </c>
      <c r="AL47" s="59" t="s">
        <v>87</v>
      </c>
    </row>
    <row r="48" spans="1:38">
      <c r="A48" s="51" t="s">
        <v>80</v>
      </c>
      <c r="B48" s="54" t="s">
        <v>98</v>
      </c>
      <c r="C48" s="58">
        <f>C40-C43-C44-C45-C47-C46</f>
        <v>94.800805393460195</v>
      </c>
      <c r="D48" s="58">
        <f t="shared" ref="D48:I48" si="24">D40-D43-D44-D45-D47-D46</f>
        <v>46.953948492293165</v>
      </c>
      <c r="E48" s="58">
        <f t="shared" si="24"/>
        <v>-33.596959095521932</v>
      </c>
      <c r="F48" s="58">
        <f t="shared" si="24"/>
        <v>18.863459577237027</v>
      </c>
      <c r="G48" s="58" t="e">
        <f t="shared" si="24"/>
        <v>#DIV/0!</v>
      </c>
      <c r="H48" s="58" t="e">
        <f t="shared" si="24"/>
        <v>#DIV/0!</v>
      </c>
      <c r="I48" s="58" t="e">
        <f t="shared" si="24"/>
        <v>#DIV/0!</v>
      </c>
      <c r="J48" s="58"/>
      <c r="U48" s="54" t="s">
        <v>98</v>
      </c>
      <c r="AK48" s="51" t="s">
        <v>97</v>
      </c>
      <c r="AL48" s="54" t="s">
        <v>98</v>
      </c>
    </row>
    <row r="51" spans="2:15">
      <c r="C51" s="65"/>
      <c r="D51" s="65"/>
      <c r="E51" s="65"/>
      <c r="F51" s="65"/>
      <c r="G51" s="65"/>
      <c r="H51" s="65"/>
      <c r="I51" s="65"/>
    </row>
    <row r="54" spans="2:15">
      <c r="B54" s="66"/>
      <c r="C54" s="67"/>
      <c r="D54" s="67"/>
      <c r="E54" s="67"/>
      <c r="F54" s="67"/>
      <c r="G54" s="67"/>
      <c r="H54" s="67"/>
      <c r="I54" s="67"/>
      <c r="J54" s="67"/>
      <c r="K54" s="66"/>
      <c r="L54" s="66"/>
      <c r="M54" s="66"/>
      <c r="N54" s="66"/>
      <c r="O54" s="66"/>
    </row>
    <row r="55" spans="2:15">
      <c r="B55" s="66"/>
      <c r="C55" s="67"/>
      <c r="D55" s="67"/>
      <c r="E55" s="67"/>
      <c r="F55" s="67"/>
      <c r="G55" s="67"/>
      <c r="H55" s="67"/>
      <c r="I55" s="67"/>
      <c r="J55" s="67"/>
      <c r="K55" s="66"/>
      <c r="L55" s="66"/>
      <c r="M55" s="66"/>
      <c r="N55" s="66"/>
      <c r="O55" s="66"/>
    </row>
    <row r="56" spans="2:15">
      <c r="B56" s="66"/>
      <c r="C56" s="67"/>
      <c r="D56" s="67"/>
      <c r="E56" s="67"/>
      <c r="F56" s="67"/>
      <c r="G56" s="67"/>
      <c r="H56" s="67"/>
      <c r="I56" s="67"/>
      <c r="J56" s="67"/>
      <c r="K56" s="66"/>
      <c r="L56" s="66"/>
      <c r="M56" s="66"/>
      <c r="N56" s="66"/>
      <c r="O56" s="66"/>
    </row>
    <row r="57" spans="2:15">
      <c r="B57" s="66"/>
      <c r="C57" s="67"/>
      <c r="D57" s="67"/>
      <c r="E57" s="67"/>
      <c r="F57" s="67"/>
      <c r="G57" s="67"/>
      <c r="H57" s="67"/>
      <c r="I57" s="67"/>
      <c r="J57" s="67"/>
      <c r="K57" s="66"/>
      <c r="L57" s="66"/>
      <c r="M57" s="66"/>
      <c r="N57" s="66"/>
      <c r="O57" s="66"/>
    </row>
    <row r="58" spans="2:15">
      <c r="B58" s="66"/>
      <c r="C58" s="67"/>
      <c r="D58" s="67"/>
      <c r="E58" s="67"/>
      <c r="F58" s="67"/>
      <c r="G58" s="67"/>
      <c r="H58" s="67"/>
      <c r="I58" s="67"/>
      <c r="J58" s="67"/>
      <c r="K58" s="66"/>
      <c r="L58" s="66"/>
      <c r="M58" s="66"/>
      <c r="N58" s="66"/>
      <c r="O58" s="66"/>
    </row>
    <row r="59" spans="2:15">
      <c r="B59" s="66"/>
      <c r="C59" s="67"/>
      <c r="D59" s="67"/>
      <c r="E59" s="67"/>
      <c r="F59" s="67"/>
      <c r="G59" s="67"/>
      <c r="H59" s="67"/>
      <c r="I59" s="67"/>
      <c r="J59" s="67"/>
      <c r="K59" s="66"/>
      <c r="L59" s="66"/>
      <c r="M59" s="66"/>
      <c r="N59" s="66"/>
      <c r="O59" s="66"/>
    </row>
    <row r="60" spans="2:15">
      <c r="B60" s="66"/>
      <c r="C60" s="67"/>
      <c r="D60" s="67"/>
      <c r="E60" s="67"/>
      <c r="F60" s="67"/>
      <c r="G60" s="67"/>
      <c r="H60" s="67"/>
      <c r="I60" s="67"/>
      <c r="J60" s="67"/>
      <c r="K60" s="66"/>
      <c r="L60" s="66"/>
      <c r="M60" s="66"/>
      <c r="N60" s="66"/>
      <c r="O60" s="66"/>
    </row>
    <row r="61" spans="2:15">
      <c r="B61" s="66"/>
      <c r="C61" s="67"/>
      <c r="D61" s="67"/>
      <c r="E61" s="67"/>
      <c r="F61" s="67"/>
      <c r="G61" s="67"/>
      <c r="H61" s="67"/>
      <c r="I61" s="67"/>
      <c r="J61" s="67"/>
      <c r="K61" s="66"/>
      <c r="L61" s="66"/>
      <c r="M61" s="66"/>
      <c r="N61" s="66"/>
      <c r="O61" s="66"/>
    </row>
    <row r="62" spans="2:15">
      <c r="B62" s="66"/>
      <c r="C62" s="67"/>
      <c r="D62" s="67"/>
      <c r="E62" s="67"/>
      <c r="F62" s="67"/>
      <c r="G62" s="67"/>
      <c r="H62" s="67"/>
      <c r="I62" s="67"/>
      <c r="J62" s="67"/>
      <c r="K62" s="66"/>
      <c r="L62" s="66"/>
      <c r="M62" s="66"/>
      <c r="N62" s="66"/>
      <c r="O62" s="66"/>
    </row>
    <row r="63" spans="2:15">
      <c r="B63" s="66"/>
      <c r="C63" s="67"/>
      <c r="D63" s="67"/>
      <c r="E63" s="67"/>
      <c r="F63" s="67"/>
      <c r="G63" s="67"/>
      <c r="H63" s="67"/>
      <c r="I63" s="67"/>
      <c r="J63" s="67"/>
      <c r="K63" s="66"/>
      <c r="L63" s="66"/>
      <c r="M63" s="66"/>
      <c r="N63" s="66"/>
      <c r="O63" s="66"/>
    </row>
    <row r="64" spans="2:15">
      <c r="B64" s="66"/>
      <c r="C64" s="67"/>
      <c r="D64" s="67"/>
      <c r="E64" s="67"/>
      <c r="F64" s="67"/>
      <c r="G64" s="67"/>
      <c r="H64" s="67"/>
      <c r="I64" s="67"/>
      <c r="J64" s="67"/>
      <c r="K64" s="66"/>
      <c r="L64" s="66"/>
      <c r="M64" s="66"/>
      <c r="N64" s="66"/>
      <c r="O64" s="66"/>
    </row>
    <row r="65" spans="2:15">
      <c r="B65" s="66"/>
      <c r="C65" s="67"/>
      <c r="D65" s="67"/>
      <c r="E65" s="67"/>
      <c r="F65" s="67"/>
      <c r="G65" s="67"/>
      <c r="H65" s="67"/>
      <c r="I65" s="67"/>
      <c r="J65" s="67"/>
      <c r="K65" s="66"/>
      <c r="L65" s="66"/>
      <c r="M65" s="66"/>
      <c r="N65" s="66"/>
      <c r="O65" s="66"/>
    </row>
    <row r="66" spans="2:15">
      <c r="B66" s="66"/>
      <c r="C66" s="67"/>
      <c r="D66" s="67"/>
      <c r="E66" s="67"/>
      <c r="F66" s="67"/>
      <c r="G66" s="67"/>
      <c r="H66" s="67"/>
      <c r="I66" s="67"/>
      <c r="J66" s="67"/>
      <c r="K66" s="66"/>
      <c r="L66" s="66"/>
      <c r="M66" s="66"/>
      <c r="N66" s="66"/>
      <c r="O66" s="66"/>
    </row>
    <row r="67" spans="2:15">
      <c r="B67" s="66"/>
      <c r="C67" s="67"/>
      <c r="D67" s="67"/>
      <c r="E67" s="67"/>
      <c r="F67" s="67"/>
      <c r="G67" s="67"/>
      <c r="H67" s="67"/>
      <c r="I67" s="67"/>
      <c r="J67" s="67"/>
      <c r="K67" s="66"/>
    </row>
    <row r="68" spans="2:15">
      <c r="B68" s="66"/>
      <c r="C68" s="67"/>
      <c r="D68" s="67"/>
      <c r="E68" s="67"/>
      <c r="F68" s="67"/>
      <c r="G68" s="67"/>
      <c r="H68" s="67"/>
      <c r="I68" s="67"/>
      <c r="J68" s="67"/>
      <c r="K68" s="66"/>
    </row>
    <row r="69" spans="2:15">
      <c r="B69" s="66"/>
      <c r="C69" s="67"/>
      <c r="D69" s="67"/>
      <c r="E69" s="67"/>
      <c r="F69" s="67"/>
      <c r="G69" s="67"/>
      <c r="H69" s="67"/>
      <c r="I69" s="67"/>
      <c r="J69" s="67"/>
      <c r="K69" s="66"/>
    </row>
    <row r="70" spans="2:15">
      <c r="B70" s="66"/>
      <c r="C70" s="67"/>
      <c r="D70" s="67"/>
      <c r="E70" s="67"/>
      <c r="F70" s="67"/>
      <c r="G70" s="67"/>
      <c r="H70" s="67"/>
      <c r="I70" s="67"/>
      <c r="J70" s="67"/>
      <c r="K70" s="66"/>
    </row>
    <row r="71" spans="2:15">
      <c r="B71" s="66"/>
      <c r="C71" s="67"/>
      <c r="D71" s="67"/>
      <c r="E71" s="67"/>
      <c r="F71" s="67"/>
      <c r="G71" s="67"/>
      <c r="H71" s="67"/>
      <c r="I71" s="67"/>
      <c r="J71" s="67"/>
      <c r="K71" s="66"/>
    </row>
    <row r="72" spans="2:15">
      <c r="B72" s="66"/>
      <c r="C72" s="67"/>
      <c r="D72" s="67"/>
      <c r="E72" s="67"/>
      <c r="F72" s="67"/>
      <c r="G72" s="67"/>
      <c r="H72" s="67"/>
      <c r="I72" s="67"/>
      <c r="J72" s="67"/>
      <c r="K72" s="66"/>
    </row>
    <row r="73" spans="2:15">
      <c r="B73" s="66"/>
      <c r="C73" s="67"/>
      <c r="D73" s="67"/>
      <c r="E73" s="67"/>
      <c r="F73" s="67"/>
      <c r="G73" s="67"/>
      <c r="H73" s="67"/>
      <c r="I73" s="67"/>
      <c r="J73" s="67"/>
      <c r="K73" s="66"/>
    </row>
    <row r="74" spans="2:15">
      <c r="B74" s="66"/>
      <c r="C74" s="67"/>
      <c r="D74" s="67"/>
      <c r="E74" s="67"/>
      <c r="F74" s="67"/>
      <c r="G74" s="67"/>
      <c r="H74" s="67"/>
      <c r="I74" s="67"/>
      <c r="J74" s="67"/>
      <c r="K74" s="66"/>
    </row>
  </sheetData>
  <mergeCells count="8">
    <mergeCell ref="A1:B1"/>
    <mergeCell ref="C1:J1"/>
    <mergeCell ref="A2:B2"/>
    <mergeCell ref="C2:J2"/>
    <mergeCell ref="A3:B3"/>
    <mergeCell ref="J3:J5"/>
    <mergeCell ref="A4:B4"/>
    <mergeCell ref="A5:B5"/>
  </mergeCells>
  <phoneticPr fontId="38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7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74"/>
  <sheetViews>
    <sheetView workbookViewId="0">
      <pane xSplit="2" ySplit="7" topLeftCell="C18" activePane="bottomRight" state="frozen"/>
      <selection pane="topRight"/>
      <selection pane="bottomLeft"/>
      <selection pane="bottomRight" activeCell="J25" sqref="J25"/>
    </sheetView>
  </sheetViews>
  <sheetFormatPr defaultColWidth="9" defaultRowHeight="16.5"/>
  <cols>
    <col min="1" max="1" width="5.125" style="47" customWidth="1"/>
    <col min="2" max="2" width="17.5" style="47" customWidth="1"/>
    <col min="3" max="9" width="13.25" style="48" customWidth="1"/>
    <col min="10" max="10" width="18.75" style="48" customWidth="1"/>
    <col min="11" max="11" width="12.375" style="47" customWidth="1"/>
    <col min="12" max="12" width="10.125" style="47" customWidth="1"/>
    <col min="13" max="19" width="9" style="47" customWidth="1"/>
    <col min="20" max="36" width="9" style="47"/>
    <col min="37" max="37" width="4.375" style="47" customWidth="1"/>
    <col min="38" max="38" width="13.875" style="47" customWidth="1"/>
    <col min="39" max="16384" width="9" style="47"/>
  </cols>
  <sheetData>
    <row r="1" spans="1:39">
      <c r="A1" s="236" t="s">
        <v>138</v>
      </c>
      <c r="B1" s="236"/>
      <c r="C1" s="240" t="s">
        <v>301</v>
      </c>
      <c r="D1" s="241"/>
      <c r="E1" s="241"/>
      <c r="F1" s="241"/>
      <c r="G1" s="241"/>
      <c r="H1" s="241"/>
      <c r="I1" s="241"/>
      <c r="J1" s="242"/>
    </row>
    <row r="2" spans="1:39">
      <c r="A2" s="236" t="s">
        <v>139</v>
      </c>
      <c r="B2" s="236"/>
      <c r="C2" s="243" t="str">
        <f>'2024年'!C2:J2</f>
        <v>上汽红岩</v>
      </c>
      <c r="D2" s="243"/>
      <c r="E2" s="243"/>
      <c r="F2" s="243"/>
      <c r="G2" s="243"/>
      <c r="H2" s="243"/>
      <c r="I2" s="243"/>
      <c r="J2" s="243"/>
    </row>
    <row r="3" spans="1:39">
      <c r="A3" s="236" t="s">
        <v>140</v>
      </c>
      <c r="B3" s="236"/>
      <c r="C3" s="160" t="str">
        <f>销量!C5</f>
        <v>正司机</v>
      </c>
      <c r="D3" s="160" t="str">
        <f>销量!D5</f>
        <v>正司机</v>
      </c>
      <c r="E3" s="160" t="str">
        <f>销量!E5</f>
        <v>正司机</v>
      </c>
      <c r="F3" s="160" t="str">
        <f>销量!F5</f>
        <v>副司机</v>
      </c>
      <c r="G3" s="160">
        <f>销量!G5</f>
        <v>0</v>
      </c>
      <c r="H3" s="160">
        <f>销量!H5</f>
        <v>0</v>
      </c>
      <c r="I3" s="160">
        <f>销量!I5</f>
        <v>0</v>
      </c>
      <c r="J3" s="237" t="s">
        <v>16</v>
      </c>
    </row>
    <row r="4" spans="1:39">
      <c r="A4" s="236" t="s">
        <v>141</v>
      </c>
      <c r="B4" s="236"/>
      <c r="C4" s="160">
        <f>销量!C6</f>
        <v>6000149199</v>
      </c>
      <c r="D4" s="160">
        <f>销量!D6</f>
        <v>6000149200</v>
      </c>
      <c r="E4" s="160">
        <f>销量!E6</f>
        <v>6000149201</v>
      </c>
      <c r="F4" s="160">
        <f>销量!F6</f>
        <v>6000149205</v>
      </c>
      <c r="G4" s="160">
        <f>销量!G6</f>
        <v>0</v>
      </c>
      <c r="H4" s="160">
        <f>销量!H6</f>
        <v>0</v>
      </c>
      <c r="I4" s="160">
        <f>销量!I6</f>
        <v>0</v>
      </c>
      <c r="J4" s="238"/>
    </row>
    <row r="5" spans="1:39">
      <c r="A5" s="236" t="s">
        <v>142</v>
      </c>
      <c r="B5" s="236"/>
      <c r="C5" s="50"/>
      <c r="D5" s="50"/>
      <c r="E5" s="50"/>
      <c r="F5" s="50"/>
      <c r="G5" s="50"/>
      <c r="H5" s="50"/>
      <c r="I5" s="50"/>
      <c r="J5" s="239"/>
      <c r="AM5" s="47" t="s">
        <v>17</v>
      </c>
    </row>
    <row r="6" spans="1:39" ht="17.25">
      <c r="A6" s="51" t="s">
        <v>15</v>
      </c>
      <c r="B6" s="52" t="s">
        <v>143</v>
      </c>
      <c r="C6" s="22">
        <f>销量!C16</f>
        <v>9620</v>
      </c>
      <c r="D6" s="22">
        <f>销量!D16</f>
        <v>28860</v>
      </c>
      <c r="E6" s="22">
        <f>销量!E16</f>
        <v>9620</v>
      </c>
      <c r="F6" s="22">
        <f>销量!F16</f>
        <v>38480</v>
      </c>
      <c r="G6" s="22">
        <f>销量!G16</f>
        <v>0</v>
      </c>
      <c r="H6" s="22">
        <f>销量!H16</f>
        <v>0</v>
      </c>
      <c r="I6" s="22">
        <f>销量!I16</f>
        <v>0</v>
      </c>
      <c r="J6" s="53">
        <f>SUM(C6:I6)</f>
        <v>86580</v>
      </c>
      <c r="U6" s="52" t="s">
        <v>3</v>
      </c>
      <c r="AK6" s="51" t="s">
        <v>15</v>
      </c>
      <c r="AL6" s="52" t="s">
        <v>3</v>
      </c>
      <c r="AM6" s="47" t="s">
        <v>18</v>
      </c>
    </row>
    <row r="7" spans="1:39">
      <c r="A7" s="194">
        <v>1</v>
      </c>
      <c r="B7" s="52" t="s">
        <v>19</v>
      </c>
      <c r="C7" s="53">
        <f>C6*销量!C8</f>
        <v>16952364</v>
      </c>
      <c r="D7" s="53">
        <f>D6*销量!D8</f>
        <v>44155800</v>
      </c>
      <c r="E7" s="53">
        <f>E6*销量!E8</f>
        <v>11505520</v>
      </c>
      <c r="F7" s="53">
        <f>F6*销量!F8</f>
        <v>15254626.4</v>
      </c>
      <c r="G7" s="53">
        <f>G6*销量!G8</f>
        <v>0</v>
      </c>
      <c r="H7" s="53">
        <f>H6*销量!H8</f>
        <v>0</v>
      </c>
      <c r="I7" s="53">
        <f>I6*销量!I8</f>
        <v>0</v>
      </c>
      <c r="J7" s="53">
        <f t="shared" ref="J7:J22" si="0">SUM(C7:I7)</f>
        <v>87868310.400000006</v>
      </c>
      <c r="K7" s="48"/>
      <c r="U7" s="52" t="s">
        <v>19</v>
      </c>
      <c r="AK7" s="51" t="s">
        <v>20</v>
      </c>
      <c r="AL7" s="52" t="s">
        <v>19</v>
      </c>
      <c r="AM7" s="47" t="s">
        <v>18</v>
      </c>
    </row>
    <row r="8" spans="1:39">
      <c r="A8" s="194">
        <v>2</v>
      </c>
      <c r="B8" s="194" t="s">
        <v>21</v>
      </c>
      <c r="C8" s="53">
        <f>C7*(1-销量!$M$13)</f>
        <v>3255144.7095147856</v>
      </c>
      <c r="D8" s="53">
        <f>D7*(1-销量!$M$13)</f>
        <v>8478671.1024133842</v>
      </c>
      <c r="E8" s="53">
        <f>E7*(1-销量!$M$13)</f>
        <v>2209257.2197138141</v>
      </c>
      <c r="F8" s="53">
        <f>F7*(1-销量!$M$13)</f>
        <v>2929149.9652546733</v>
      </c>
      <c r="G8" s="53">
        <f>G7*(1-销量!$M$13)</f>
        <v>0</v>
      </c>
      <c r="H8" s="53">
        <f>H7*(1-销量!$M$13)</f>
        <v>0</v>
      </c>
      <c r="I8" s="53">
        <f>I7*(1-销量!$M$13)</f>
        <v>0</v>
      </c>
      <c r="J8" s="53">
        <f t="shared" si="0"/>
        <v>16872222.996896658</v>
      </c>
      <c r="K8" s="68"/>
      <c r="U8" s="194" t="s">
        <v>23</v>
      </c>
      <c r="AK8" s="51" t="s">
        <v>22</v>
      </c>
      <c r="AL8" s="194" t="s">
        <v>23</v>
      </c>
      <c r="AM8" s="47" t="s">
        <v>18</v>
      </c>
    </row>
    <row r="9" spans="1:39">
      <c r="A9" s="194">
        <v>3</v>
      </c>
      <c r="B9" s="52" t="s">
        <v>24</v>
      </c>
      <c r="C9" s="53">
        <f>+C7-C8</f>
        <v>13697219.290485214</v>
      </c>
      <c r="D9" s="53">
        <f t="shared" ref="D9:I9" si="1">+D7-D8</f>
        <v>35677128.897586614</v>
      </c>
      <c r="E9" s="53">
        <f t="shared" si="1"/>
        <v>9296262.7802861854</v>
      </c>
      <c r="F9" s="53">
        <f t="shared" si="1"/>
        <v>12325476.434745327</v>
      </c>
      <c r="G9" s="53">
        <f t="shared" si="1"/>
        <v>0</v>
      </c>
      <c r="H9" s="53">
        <f t="shared" si="1"/>
        <v>0</v>
      </c>
      <c r="I9" s="53">
        <f t="shared" si="1"/>
        <v>0</v>
      </c>
      <c r="J9" s="53">
        <f t="shared" si="0"/>
        <v>70996087.403103352</v>
      </c>
      <c r="U9" s="52" t="s">
        <v>24</v>
      </c>
      <c r="AK9" s="51" t="s">
        <v>25</v>
      </c>
      <c r="AL9" s="52" t="s">
        <v>24</v>
      </c>
      <c r="AM9" s="47" t="s">
        <v>26</v>
      </c>
    </row>
    <row r="10" spans="1:39">
      <c r="A10" s="194">
        <v>4</v>
      </c>
      <c r="B10" s="51" t="s">
        <v>27</v>
      </c>
      <c r="C10" s="53">
        <f>C6*C33</f>
        <v>10090830.11074814</v>
      </c>
      <c r="D10" s="53">
        <f t="shared" ref="D10:I10" si="2">D6*D33</f>
        <v>27270587.649762049</v>
      </c>
      <c r="E10" s="53">
        <f t="shared" si="2"/>
        <v>7760300.2261696011</v>
      </c>
      <c r="F10" s="53">
        <f t="shared" si="2"/>
        <v>9150825.0067462549</v>
      </c>
      <c r="G10" s="53">
        <f t="shared" si="2"/>
        <v>0</v>
      </c>
      <c r="H10" s="53">
        <f t="shared" si="2"/>
        <v>0</v>
      </c>
      <c r="I10" s="53">
        <f t="shared" si="2"/>
        <v>0</v>
      </c>
      <c r="J10" s="53">
        <f t="shared" si="0"/>
        <v>54272542.993426047</v>
      </c>
      <c r="U10" s="51" t="s">
        <v>27</v>
      </c>
      <c r="AK10" s="51" t="s">
        <v>28</v>
      </c>
      <c r="AL10" s="51" t="s">
        <v>27</v>
      </c>
      <c r="AM10" s="47" t="s">
        <v>29</v>
      </c>
    </row>
    <row r="11" spans="1:39">
      <c r="A11" s="194">
        <v>5</v>
      </c>
      <c r="B11" s="51" t="s">
        <v>30</v>
      </c>
      <c r="C11" s="53">
        <f>+C6*C36</f>
        <v>596723.2128000001</v>
      </c>
      <c r="D11" s="53">
        <f t="shared" ref="D11:I11" si="3">+D6*D36</f>
        <v>1554284.1600000001</v>
      </c>
      <c r="E11" s="53">
        <f t="shared" si="3"/>
        <v>404994.304</v>
      </c>
      <c r="F11" s="53">
        <f t="shared" si="3"/>
        <v>536962.84928000008</v>
      </c>
      <c r="G11" s="53">
        <f t="shared" si="3"/>
        <v>0</v>
      </c>
      <c r="H11" s="53">
        <f t="shared" si="3"/>
        <v>0</v>
      </c>
      <c r="I11" s="53">
        <f t="shared" si="3"/>
        <v>0</v>
      </c>
      <c r="J11" s="53">
        <f t="shared" si="0"/>
        <v>3092964.5260800002</v>
      </c>
      <c r="U11" s="51" t="s">
        <v>30</v>
      </c>
      <c r="AK11" s="51" t="s">
        <v>31</v>
      </c>
      <c r="AL11" s="51" t="s">
        <v>30</v>
      </c>
    </row>
    <row r="12" spans="1:39">
      <c r="A12" s="194">
        <v>6</v>
      </c>
      <c r="B12" s="51" t="s">
        <v>32</v>
      </c>
      <c r="C12" s="53">
        <f>+C6*C37</f>
        <v>179695.05840000001</v>
      </c>
      <c r="D12" s="53">
        <f t="shared" ref="D12:I12" si="4">+D6*D37</f>
        <v>468051.48</v>
      </c>
      <c r="E12" s="53">
        <f t="shared" si="4"/>
        <v>121958.512</v>
      </c>
      <c r="F12" s="53">
        <f t="shared" si="4"/>
        <v>161699.03983999998</v>
      </c>
      <c r="G12" s="53">
        <f t="shared" si="4"/>
        <v>0</v>
      </c>
      <c r="H12" s="53">
        <f t="shared" si="4"/>
        <v>0</v>
      </c>
      <c r="I12" s="53">
        <f t="shared" si="4"/>
        <v>0</v>
      </c>
      <c r="J12" s="53">
        <f t="shared" si="0"/>
        <v>931404.09023999993</v>
      </c>
      <c r="U12" s="51" t="s">
        <v>32</v>
      </c>
      <c r="AK12" s="51" t="s">
        <v>33</v>
      </c>
      <c r="AL12" s="51" t="s">
        <v>32</v>
      </c>
    </row>
    <row r="13" spans="1:39">
      <c r="A13" s="194">
        <v>7</v>
      </c>
      <c r="B13" s="51" t="s">
        <v>34</v>
      </c>
      <c r="C13" s="53">
        <f>+C6*C38</f>
        <v>133923.67560000002</v>
      </c>
      <c r="D13" s="53">
        <f t="shared" ref="D13:I13" si="5">+D6*D38</f>
        <v>348830.82000000007</v>
      </c>
      <c r="E13" s="53">
        <f t="shared" si="5"/>
        <v>90893.608000000007</v>
      </c>
      <c r="F13" s="53">
        <f t="shared" si="5"/>
        <v>120511.54856000001</v>
      </c>
      <c r="G13" s="53">
        <f t="shared" si="5"/>
        <v>0</v>
      </c>
      <c r="H13" s="53">
        <f t="shared" si="5"/>
        <v>0</v>
      </c>
      <c r="I13" s="53">
        <f t="shared" si="5"/>
        <v>0</v>
      </c>
      <c r="J13" s="53">
        <f t="shared" si="0"/>
        <v>694159.65216000006</v>
      </c>
      <c r="U13" s="51" t="s">
        <v>34</v>
      </c>
      <c r="AK13" s="51" t="s">
        <v>35</v>
      </c>
      <c r="AL13" s="51" t="s">
        <v>34</v>
      </c>
      <c r="AM13" s="47" t="s">
        <v>18</v>
      </c>
    </row>
    <row r="14" spans="1:39">
      <c r="A14" s="194">
        <v>8</v>
      </c>
      <c r="B14" s="54" t="s">
        <v>36</v>
      </c>
      <c r="C14" s="53">
        <f>SUM(C11:C13)</f>
        <v>910341.94680000003</v>
      </c>
      <c r="D14" s="53">
        <f t="shared" ref="D14:I14" si="6">SUM(D11:D13)</f>
        <v>2371166.46</v>
      </c>
      <c r="E14" s="53">
        <f t="shared" si="6"/>
        <v>617846.424</v>
      </c>
      <c r="F14" s="53">
        <f t="shared" si="6"/>
        <v>819173.43768000009</v>
      </c>
      <c r="G14" s="53">
        <f t="shared" si="6"/>
        <v>0</v>
      </c>
      <c r="H14" s="53">
        <f t="shared" si="6"/>
        <v>0</v>
      </c>
      <c r="I14" s="53">
        <f t="shared" si="6"/>
        <v>0</v>
      </c>
      <c r="J14" s="53">
        <f t="shared" si="0"/>
        <v>4718528.2684800001</v>
      </c>
      <c r="U14" s="54" t="s">
        <v>36</v>
      </c>
      <c r="AK14" s="51" t="s">
        <v>37</v>
      </c>
      <c r="AL14" s="54" t="s">
        <v>36</v>
      </c>
    </row>
    <row r="15" spans="1:39">
      <c r="A15" s="194">
        <v>9</v>
      </c>
      <c r="B15" s="54" t="s">
        <v>38</v>
      </c>
      <c r="C15" s="53">
        <f>+C9-C10-C14</f>
        <v>2696047.2329370743</v>
      </c>
      <c r="D15" s="53">
        <f t="shared" ref="D15:I15" si="7">+D9-D10-D14</f>
        <v>6035374.7878245646</v>
      </c>
      <c r="E15" s="53">
        <f t="shared" si="7"/>
        <v>918116.13011658436</v>
      </c>
      <c r="F15" s="53">
        <f t="shared" si="7"/>
        <v>2355477.9903190718</v>
      </c>
      <c r="G15" s="53">
        <f t="shared" si="7"/>
        <v>0</v>
      </c>
      <c r="H15" s="53">
        <f t="shared" si="7"/>
        <v>0</v>
      </c>
      <c r="I15" s="53">
        <f t="shared" si="7"/>
        <v>0</v>
      </c>
      <c r="J15" s="53">
        <f t="shared" si="0"/>
        <v>12005016.141197294</v>
      </c>
      <c r="U15" s="54" t="s">
        <v>38</v>
      </c>
      <c r="AK15" s="51" t="s">
        <v>39</v>
      </c>
      <c r="AL15" s="54" t="s">
        <v>38</v>
      </c>
    </row>
    <row r="16" spans="1:39">
      <c r="A16" s="194">
        <v>10</v>
      </c>
      <c r="B16" s="51" t="s">
        <v>40</v>
      </c>
      <c r="C16" s="55">
        <f>+C15/C9</f>
        <v>0.19683172005648517</v>
      </c>
      <c r="D16" s="55">
        <f t="shared" ref="D16:J16" si="8">+D15/D9</f>
        <v>0.169166493333852</v>
      </c>
      <c r="E16" s="55">
        <f t="shared" si="8"/>
        <v>9.8761852135199668E-2</v>
      </c>
      <c r="F16" s="55">
        <f t="shared" si="8"/>
        <v>0.19110644548222216</v>
      </c>
      <c r="G16" s="55" t="e">
        <f t="shared" si="8"/>
        <v>#DIV/0!</v>
      </c>
      <c r="H16" s="55" t="e">
        <f t="shared" si="8"/>
        <v>#DIV/0!</v>
      </c>
      <c r="I16" s="55" t="e">
        <f t="shared" si="8"/>
        <v>#DIV/0!</v>
      </c>
      <c r="J16" s="55">
        <f t="shared" si="8"/>
        <v>0.16909405264877364</v>
      </c>
      <c r="U16" s="51" t="s">
        <v>40</v>
      </c>
      <c r="AK16" s="51" t="s">
        <v>41</v>
      </c>
      <c r="AL16" s="51" t="s">
        <v>40</v>
      </c>
    </row>
    <row r="17" spans="1:39">
      <c r="A17" s="194">
        <v>11</v>
      </c>
      <c r="B17" s="51" t="s">
        <v>42</v>
      </c>
      <c r="C17" s="53">
        <f>C6*C43+C18</f>
        <v>331382.80604444444</v>
      </c>
      <c r="D17" s="53">
        <f t="shared" ref="D17:I17" si="9">D6*D43+D18</f>
        <v>864143.35333333339</v>
      </c>
      <c r="E17" s="53">
        <f t="shared" si="9"/>
        <v>225714.03244444446</v>
      </c>
      <c r="F17" s="53">
        <f t="shared" si="9"/>
        <v>305967.52993777778</v>
      </c>
      <c r="G17" s="53">
        <f t="shared" si="9"/>
        <v>0</v>
      </c>
      <c r="H17" s="53">
        <f t="shared" si="9"/>
        <v>0</v>
      </c>
      <c r="I17" s="53">
        <f t="shared" si="9"/>
        <v>0</v>
      </c>
      <c r="J17" s="53">
        <f t="shared" si="0"/>
        <v>1727207.7217600001</v>
      </c>
      <c r="K17" s="68"/>
      <c r="U17" s="51" t="s">
        <v>42</v>
      </c>
      <c r="AK17" s="51" t="s">
        <v>43</v>
      </c>
      <c r="AL17" s="51" t="s">
        <v>42</v>
      </c>
    </row>
    <row r="18" spans="1:39" s="45" customFormat="1">
      <c r="A18" s="194">
        <v>12</v>
      </c>
      <c r="B18" s="56" t="s">
        <v>144</v>
      </c>
      <c r="C18" s="57">
        <f>$J$18/$J$6*C6</f>
        <v>2506.9444444444443</v>
      </c>
      <c r="D18" s="57">
        <f t="shared" ref="D18:I18" si="10">$J$18/$J$6*D6</f>
        <v>7520.833333333333</v>
      </c>
      <c r="E18" s="57">
        <f t="shared" si="10"/>
        <v>2506.9444444444443</v>
      </c>
      <c r="F18" s="57">
        <f t="shared" si="10"/>
        <v>10027.777777777777</v>
      </c>
      <c r="G18" s="57">
        <f t="shared" si="10"/>
        <v>0</v>
      </c>
      <c r="H18" s="57">
        <f t="shared" si="10"/>
        <v>0</v>
      </c>
      <c r="I18" s="57">
        <f t="shared" si="10"/>
        <v>0</v>
      </c>
      <c r="J18" s="57">
        <f>项目投资!K26</f>
        <v>22562.5</v>
      </c>
      <c r="K18" s="69" t="s">
        <v>145</v>
      </c>
      <c r="L18" s="69"/>
      <c r="M18" s="69"/>
    </row>
    <row r="19" spans="1:39">
      <c r="A19" s="194">
        <v>13</v>
      </c>
      <c r="B19" s="51" t="s">
        <v>44</v>
      </c>
      <c r="C19" s="53">
        <f>C6*C44</f>
        <v>159352.22160000002</v>
      </c>
      <c r="D19" s="53">
        <f t="shared" ref="D19:I19" si="11">D6*D44</f>
        <v>415064.52</v>
      </c>
      <c r="E19" s="53">
        <f t="shared" si="11"/>
        <v>108151.88800000001</v>
      </c>
      <c r="F19" s="53">
        <f t="shared" si="11"/>
        <v>143393.48816000001</v>
      </c>
      <c r="G19" s="53">
        <f t="shared" si="11"/>
        <v>0</v>
      </c>
      <c r="H19" s="53">
        <f t="shared" si="11"/>
        <v>0</v>
      </c>
      <c r="I19" s="53">
        <f t="shared" si="11"/>
        <v>0</v>
      </c>
      <c r="J19" s="53">
        <f t="shared" si="0"/>
        <v>825962.11776000005</v>
      </c>
      <c r="K19" s="45"/>
      <c r="U19" s="51" t="s">
        <v>44</v>
      </c>
      <c r="AK19" s="51" t="s">
        <v>45</v>
      </c>
      <c r="AL19" s="51" t="s">
        <v>44</v>
      </c>
      <c r="AM19" s="47" t="s">
        <v>18</v>
      </c>
    </row>
    <row r="20" spans="1:39">
      <c r="A20" s="194">
        <v>14</v>
      </c>
      <c r="B20" s="51" t="s">
        <v>46</v>
      </c>
      <c r="C20" s="53">
        <f>C6*C45</f>
        <v>552647.06640000001</v>
      </c>
      <c r="D20" s="53">
        <f t="shared" ref="D20:I20" si="12">D6*D45</f>
        <v>1439479.0799999998</v>
      </c>
      <c r="E20" s="53">
        <f t="shared" si="12"/>
        <v>375079.95199999993</v>
      </c>
      <c r="F20" s="53">
        <f t="shared" si="12"/>
        <v>497300.82063999999</v>
      </c>
      <c r="G20" s="53">
        <f t="shared" si="12"/>
        <v>0</v>
      </c>
      <c r="H20" s="53">
        <f t="shared" si="12"/>
        <v>0</v>
      </c>
      <c r="I20" s="53">
        <f t="shared" si="12"/>
        <v>0</v>
      </c>
      <c r="J20" s="53">
        <f t="shared" si="0"/>
        <v>2864506.9190400001</v>
      </c>
      <c r="U20" s="51" t="s">
        <v>46</v>
      </c>
      <c r="AK20" s="51" t="s">
        <v>47</v>
      </c>
      <c r="AL20" s="51" t="s">
        <v>46</v>
      </c>
    </row>
    <row r="21" spans="1:39">
      <c r="A21" s="194">
        <v>15</v>
      </c>
      <c r="B21" s="51" t="s">
        <v>48</v>
      </c>
      <c r="C21" s="58">
        <f>$J$21/$J$6*C6</f>
        <v>7137.5</v>
      </c>
      <c r="D21" s="58">
        <f t="shared" ref="D21:I21" si="13">$J$21/$J$6*D6</f>
        <v>21412.5</v>
      </c>
      <c r="E21" s="58">
        <f t="shared" si="13"/>
        <v>7137.5</v>
      </c>
      <c r="F21" s="58">
        <f t="shared" si="13"/>
        <v>28550</v>
      </c>
      <c r="G21" s="58">
        <f t="shared" si="13"/>
        <v>0</v>
      </c>
      <c r="H21" s="58">
        <f t="shared" si="13"/>
        <v>0</v>
      </c>
      <c r="I21" s="58">
        <f t="shared" si="13"/>
        <v>0</v>
      </c>
      <c r="J21" s="53">
        <f>项目投资!K27</f>
        <v>64237.5</v>
      </c>
      <c r="U21" s="51" t="s">
        <v>48</v>
      </c>
      <c r="AK21" s="51"/>
      <c r="AL21" s="51"/>
    </row>
    <row r="22" spans="1:39">
      <c r="A22" s="194">
        <v>16</v>
      </c>
      <c r="B22" s="51" t="s">
        <v>49</v>
      </c>
      <c r="C22" s="53">
        <f>C6*C47</f>
        <v>847618.20000000019</v>
      </c>
      <c r="D22" s="53">
        <f t="shared" ref="D22:I22" si="14">D6*D47</f>
        <v>2207790</v>
      </c>
      <c r="E22" s="53">
        <f t="shared" si="14"/>
        <v>575276</v>
      </c>
      <c r="F22" s="53">
        <f t="shared" si="14"/>
        <v>762731.32000000007</v>
      </c>
      <c r="G22" s="53">
        <f t="shared" si="14"/>
        <v>0</v>
      </c>
      <c r="H22" s="53">
        <f t="shared" si="14"/>
        <v>0</v>
      </c>
      <c r="I22" s="53">
        <f t="shared" si="14"/>
        <v>0</v>
      </c>
      <c r="J22" s="53">
        <f t="shared" si="0"/>
        <v>4393415.5200000005</v>
      </c>
      <c r="U22" s="51" t="s">
        <v>49</v>
      </c>
      <c r="AK22" s="51" t="s">
        <v>50</v>
      </c>
      <c r="AL22" s="51" t="s">
        <v>49</v>
      </c>
    </row>
    <row r="23" spans="1:39">
      <c r="A23" s="194">
        <v>17</v>
      </c>
      <c r="B23" s="54" t="s">
        <v>51</v>
      </c>
      <c r="C23" s="58">
        <f>+C22+C21+C20+C19+C17</f>
        <v>1898137.7940444446</v>
      </c>
      <c r="D23" s="58">
        <f t="shared" ref="D23:J23" si="15">+D22+D21+D20+D19+D17</f>
        <v>4947889.4533333331</v>
      </c>
      <c r="E23" s="58">
        <f t="shared" si="15"/>
        <v>1291359.3724444443</v>
      </c>
      <c r="F23" s="58">
        <f t="shared" si="15"/>
        <v>1737943.1587377777</v>
      </c>
      <c r="G23" s="58">
        <f t="shared" si="15"/>
        <v>0</v>
      </c>
      <c r="H23" s="58">
        <f t="shared" si="15"/>
        <v>0</v>
      </c>
      <c r="I23" s="58">
        <f t="shared" si="15"/>
        <v>0</v>
      </c>
      <c r="J23" s="58">
        <f t="shared" si="15"/>
        <v>9875329.7785600014</v>
      </c>
      <c r="U23" s="54" t="s">
        <v>51</v>
      </c>
      <c r="AK23" s="51" t="s">
        <v>52</v>
      </c>
      <c r="AL23" s="54" t="s">
        <v>51</v>
      </c>
    </row>
    <row r="24" spans="1:39">
      <c r="A24" s="194">
        <v>18</v>
      </c>
      <c r="B24" s="59" t="s">
        <v>53</v>
      </c>
      <c r="C24" s="58">
        <f>+C15-C23</f>
        <v>797909.4388926297</v>
      </c>
      <c r="D24" s="58">
        <f t="shared" ref="D24:J24" si="16">+D15-D23</f>
        <v>1087485.3344912315</v>
      </c>
      <c r="E24" s="58">
        <f t="shared" si="16"/>
        <v>-373243.24232785997</v>
      </c>
      <c r="F24" s="58">
        <f t="shared" si="16"/>
        <v>617534.83158129407</v>
      </c>
      <c r="G24" s="58">
        <f t="shared" si="16"/>
        <v>0</v>
      </c>
      <c r="H24" s="58">
        <f t="shared" si="16"/>
        <v>0</v>
      </c>
      <c r="I24" s="58">
        <f t="shared" si="16"/>
        <v>0</v>
      </c>
      <c r="J24" s="58">
        <f t="shared" si="16"/>
        <v>2129686.3626372926</v>
      </c>
      <c r="L24" s="70"/>
      <c r="U24" s="51" t="s">
        <v>53</v>
      </c>
      <c r="AK24" s="51" t="s">
        <v>54</v>
      </c>
      <c r="AL24" s="51" t="s">
        <v>53</v>
      </c>
    </row>
    <row r="25" spans="1:39">
      <c r="A25" s="194">
        <v>19</v>
      </c>
      <c r="B25" s="51" t="s">
        <v>302</v>
      </c>
      <c r="C25" s="58">
        <f>IF(C24&lt;0,0,C24*0.25)</f>
        <v>199477.35972315742</v>
      </c>
      <c r="D25" s="58">
        <f t="shared" ref="D25:J25" si="17">IF(D24&lt;0,0,D24*0.25)</f>
        <v>271871.33362280787</v>
      </c>
      <c r="E25" s="58">
        <f t="shared" si="17"/>
        <v>0</v>
      </c>
      <c r="F25" s="58">
        <f t="shared" si="17"/>
        <v>154383.70789532352</v>
      </c>
      <c r="G25" s="58">
        <f t="shared" si="17"/>
        <v>0</v>
      </c>
      <c r="H25" s="58">
        <f t="shared" si="17"/>
        <v>0</v>
      </c>
      <c r="I25" s="58">
        <f t="shared" si="17"/>
        <v>0</v>
      </c>
      <c r="J25" s="58">
        <f t="shared" si="17"/>
        <v>532421.59065932315</v>
      </c>
      <c r="K25" s="66"/>
      <c r="L25" s="66"/>
      <c r="M25" s="66"/>
      <c r="U25" s="51" t="s">
        <v>55</v>
      </c>
      <c r="AK25" s="51" t="s">
        <v>56</v>
      </c>
      <c r="AL25" s="51" t="s">
        <v>55</v>
      </c>
    </row>
    <row r="26" spans="1:39">
      <c r="A26" s="194">
        <v>20</v>
      </c>
      <c r="B26" s="51" t="s">
        <v>57</v>
      </c>
      <c r="C26" s="58">
        <f t="shared" ref="C26:I26" si="18">C24-C25</f>
        <v>598432.07916947221</v>
      </c>
      <c r="D26" s="58">
        <f t="shared" si="18"/>
        <v>815614.00086842361</v>
      </c>
      <c r="E26" s="58">
        <f t="shared" si="18"/>
        <v>-373243.24232785997</v>
      </c>
      <c r="F26" s="58">
        <f t="shared" si="18"/>
        <v>463151.12368597055</v>
      </c>
      <c r="G26" s="58">
        <f t="shared" si="18"/>
        <v>0</v>
      </c>
      <c r="H26" s="58">
        <f t="shared" si="18"/>
        <v>0</v>
      </c>
      <c r="I26" s="58">
        <f t="shared" si="18"/>
        <v>0</v>
      </c>
      <c r="J26" s="53">
        <f>J24-J25</f>
        <v>1597264.7719779694</v>
      </c>
      <c r="K26" s="66"/>
      <c r="L26" s="66"/>
      <c r="M26" s="66"/>
      <c r="U26" s="51" t="s">
        <v>57</v>
      </c>
      <c r="AK26" s="51" t="s">
        <v>58</v>
      </c>
      <c r="AL26" s="51" t="s">
        <v>57</v>
      </c>
    </row>
    <row r="27" spans="1:39">
      <c r="A27" s="194">
        <v>21</v>
      </c>
      <c r="B27" s="51" t="s">
        <v>61</v>
      </c>
      <c r="C27" s="60">
        <f t="shared" ref="C27:J27" si="19">C26/C7</f>
        <v>3.5300804015857154E-2</v>
      </c>
      <c r="D27" s="60">
        <f t="shared" si="19"/>
        <v>1.8471276726238085E-2</v>
      </c>
      <c r="E27" s="60">
        <f t="shared" si="19"/>
        <v>-3.2440362741350239E-2</v>
      </c>
      <c r="F27" s="60">
        <f t="shared" si="19"/>
        <v>3.0361354748482765E-2</v>
      </c>
      <c r="G27" s="60" t="e">
        <f t="shared" si="19"/>
        <v>#DIV/0!</v>
      </c>
      <c r="H27" s="60" t="e">
        <f t="shared" si="19"/>
        <v>#DIV/0!</v>
      </c>
      <c r="I27" s="60" t="e">
        <f t="shared" si="19"/>
        <v>#DIV/0!</v>
      </c>
      <c r="J27" s="60">
        <f t="shared" si="19"/>
        <v>1.8177938834908671E-2</v>
      </c>
      <c r="K27" s="66"/>
      <c r="L27" s="66"/>
      <c r="M27" s="66"/>
      <c r="U27" s="51" t="s">
        <v>61</v>
      </c>
      <c r="AK27" s="51" t="s">
        <v>60</v>
      </c>
      <c r="AL27" s="51" t="s">
        <v>61</v>
      </c>
    </row>
    <row r="28" spans="1:39">
      <c r="K28" s="66"/>
      <c r="L28" s="66"/>
      <c r="M28" s="66"/>
      <c r="U28" s="51"/>
    </row>
    <row r="29" spans="1:39">
      <c r="A29" s="47" t="s">
        <v>62</v>
      </c>
      <c r="J29" s="48" t="s">
        <v>146</v>
      </c>
      <c r="K29" s="66"/>
      <c r="L29" s="66"/>
      <c r="M29" s="66"/>
      <c r="U29" s="51"/>
      <c r="AK29" s="47" t="s">
        <v>62</v>
      </c>
    </row>
    <row r="30" spans="1:39">
      <c r="A30" s="51" t="s">
        <v>63</v>
      </c>
      <c r="B30" s="54" t="s">
        <v>64</v>
      </c>
      <c r="C30" s="58"/>
      <c r="D30" s="58"/>
      <c r="E30" s="58"/>
      <c r="F30" s="58"/>
      <c r="G30" s="58"/>
      <c r="H30" s="58"/>
      <c r="I30" s="58"/>
      <c r="J30" s="58"/>
      <c r="K30" s="66"/>
      <c r="L30" s="66"/>
      <c r="M30" s="66"/>
      <c r="O30" s="66"/>
      <c r="U30" s="54" t="s">
        <v>64</v>
      </c>
      <c r="AK30" s="51" t="s">
        <v>65</v>
      </c>
      <c r="AL30" s="54" t="s">
        <v>64</v>
      </c>
    </row>
    <row r="31" spans="1:39">
      <c r="A31" s="194">
        <v>1</v>
      </c>
      <c r="B31" s="56" t="s">
        <v>66</v>
      </c>
      <c r="C31" s="62">
        <f>销量!C8</f>
        <v>1762.2</v>
      </c>
      <c r="D31" s="62">
        <f>销量!D8</f>
        <v>1530</v>
      </c>
      <c r="E31" s="62">
        <f>销量!E8</f>
        <v>1196</v>
      </c>
      <c r="F31" s="62">
        <f>销量!F8</f>
        <v>396.43</v>
      </c>
      <c r="G31" s="62">
        <f>销量!G8</f>
        <v>0</v>
      </c>
      <c r="H31" s="62">
        <f>销量!H8</f>
        <v>0</v>
      </c>
      <c r="I31" s="62">
        <f>销量!I8</f>
        <v>0</v>
      </c>
      <c r="J31" s="58"/>
      <c r="K31" s="66"/>
      <c r="L31" s="66"/>
      <c r="M31" s="66"/>
      <c r="O31" s="66"/>
      <c r="U31" s="51" t="s">
        <v>66</v>
      </c>
      <c r="AK31" s="51" t="s">
        <v>20</v>
      </c>
      <c r="AL31" s="51" t="s">
        <v>66</v>
      </c>
    </row>
    <row r="32" spans="1:39">
      <c r="A32" s="194">
        <v>2</v>
      </c>
      <c r="B32" s="51" t="s">
        <v>147</v>
      </c>
      <c r="C32" s="53">
        <f>C9/C6</f>
        <v>1423.8273690733072</v>
      </c>
      <c r="D32" s="53">
        <f t="shared" ref="D32:I32" si="20">D9/D6</f>
        <v>1236.2137525151286</v>
      </c>
      <c r="E32" s="53">
        <f t="shared" si="20"/>
        <v>966.34748235823133</v>
      </c>
      <c r="F32" s="53">
        <f t="shared" si="20"/>
        <v>320.30863915658335</v>
      </c>
      <c r="G32" s="53" t="e">
        <f t="shared" si="20"/>
        <v>#DIV/0!</v>
      </c>
      <c r="H32" s="53" t="e">
        <f t="shared" si="20"/>
        <v>#DIV/0!</v>
      </c>
      <c r="I32" s="53" t="e">
        <f t="shared" si="20"/>
        <v>#DIV/0!</v>
      </c>
      <c r="J32" s="58"/>
      <c r="K32" s="66"/>
      <c r="L32" s="66"/>
      <c r="M32" s="66"/>
      <c r="N32" s="66"/>
      <c r="O32" s="66"/>
      <c r="P32" s="66"/>
      <c r="Q32" s="66"/>
      <c r="AK32" s="51"/>
      <c r="AL32" s="51"/>
    </row>
    <row r="33" spans="1:38">
      <c r="A33" s="194">
        <v>3</v>
      </c>
      <c r="B33" s="56" t="s">
        <v>67</v>
      </c>
      <c r="C33" s="53">
        <f>材料成本!D19</f>
        <v>1048.9428389551081</v>
      </c>
      <c r="D33" s="53">
        <f>材料成本!E19</f>
        <v>944.92680699106199</v>
      </c>
      <c r="E33" s="53">
        <f>材料成本!F19</f>
        <v>806.68401519434519</v>
      </c>
      <c r="F33" s="53">
        <f>材料成本!G19</f>
        <v>237.80730267012098</v>
      </c>
      <c r="G33" s="53">
        <f>材料成本!H19</f>
        <v>0</v>
      </c>
      <c r="H33" s="53">
        <f>材料成本!I19</f>
        <v>0</v>
      </c>
      <c r="I33" s="53">
        <f>材料成本!J19</f>
        <v>0</v>
      </c>
      <c r="J33" s="58"/>
      <c r="L33" s="66"/>
      <c r="M33" s="66"/>
      <c r="N33" s="66"/>
      <c r="O33" s="66"/>
      <c r="P33" s="66"/>
      <c r="Q33" s="66"/>
      <c r="U33" s="51" t="s">
        <v>67</v>
      </c>
      <c r="AK33" s="51" t="s">
        <v>22</v>
      </c>
      <c r="AL33" s="51" t="s">
        <v>67</v>
      </c>
    </row>
    <row r="34" spans="1:38" ht="17.25" customHeight="1">
      <c r="A34" s="194">
        <v>4</v>
      </c>
      <c r="B34" s="51" t="s">
        <v>69</v>
      </c>
      <c r="C34" s="63">
        <f>C32-C33</f>
        <v>374.88453011819911</v>
      </c>
      <c r="D34" s="63">
        <f t="shared" ref="D34:I34" si="21">D32-D33</f>
        <v>291.2869455240666</v>
      </c>
      <c r="E34" s="63">
        <f t="shared" si="21"/>
        <v>159.66346716388614</v>
      </c>
      <c r="F34" s="63">
        <f t="shared" si="21"/>
        <v>82.501336486462378</v>
      </c>
      <c r="G34" s="63" t="e">
        <f t="shared" si="21"/>
        <v>#DIV/0!</v>
      </c>
      <c r="H34" s="63" t="e">
        <f t="shared" si="21"/>
        <v>#DIV/0!</v>
      </c>
      <c r="I34" s="63" t="e">
        <f t="shared" si="21"/>
        <v>#DIV/0!</v>
      </c>
      <c r="J34" s="58"/>
      <c r="L34" s="66"/>
      <c r="M34" s="66"/>
      <c r="N34" s="66"/>
      <c r="O34" s="66"/>
      <c r="P34" s="66"/>
      <c r="Q34" s="66"/>
      <c r="U34" s="51" t="s">
        <v>69</v>
      </c>
      <c r="AK34" s="51" t="s">
        <v>68</v>
      </c>
      <c r="AL34" s="51" t="s">
        <v>69</v>
      </c>
    </row>
    <row r="35" spans="1:38">
      <c r="A35" s="51" t="s">
        <v>65</v>
      </c>
      <c r="B35" s="54" t="s">
        <v>9</v>
      </c>
      <c r="C35" s="58"/>
      <c r="D35" s="58"/>
      <c r="E35" s="58"/>
      <c r="F35" s="58"/>
      <c r="G35" s="58"/>
      <c r="H35" s="58"/>
      <c r="I35" s="58"/>
      <c r="J35" s="58"/>
      <c r="K35" s="66"/>
      <c r="L35" s="66"/>
      <c r="M35" s="66"/>
      <c r="N35" s="66"/>
      <c r="O35" s="66"/>
      <c r="P35" s="66"/>
      <c r="Q35" s="66"/>
      <c r="R35" s="66"/>
      <c r="S35" s="66"/>
      <c r="T35" s="66"/>
      <c r="U35" s="54" t="s">
        <v>9</v>
      </c>
      <c r="AK35" s="51" t="s">
        <v>71</v>
      </c>
      <c r="AL35" s="54" t="s">
        <v>9</v>
      </c>
    </row>
    <row r="36" spans="1:38">
      <c r="A36" s="194">
        <v>1</v>
      </c>
      <c r="B36" s="51" t="s">
        <v>72</v>
      </c>
      <c r="C36" s="57">
        <f>'2024年'!C36</f>
        <v>62.029440000000008</v>
      </c>
      <c r="D36" s="57">
        <f>'2024年'!D36</f>
        <v>53.856000000000002</v>
      </c>
      <c r="E36" s="57">
        <f>'2024年'!E36</f>
        <v>42.099200000000003</v>
      </c>
      <c r="F36" s="57">
        <f>'2024年'!F36</f>
        <v>13.954336000000001</v>
      </c>
      <c r="G36" s="57">
        <f>'2024年'!G36</f>
        <v>0</v>
      </c>
      <c r="H36" s="57">
        <f>'2024年'!H36</f>
        <v>0</v>
      </c>
      <c r="I36" s="57">
        <f>'2024年'!I36</f>
        <v>0</v>
      </c>
      <c r="J36" s="62"/>
      <c r="K36" s="66"/>
      <c r="L36" s="66"/>
      <c r="M36" s="66"/>
      <c r="N36" s="66"/>
      <c r="O36" s="66"/>
      <c r="P36" s="66"/>
      <c r="Q36" s="66"/>
      <c r="R36" s="66"/>
      <c r="S36" s="66"/>
      <c r="T36" s="66"/>
      <c r="U36" s="51" t="s">
        <v>72</v>
      </c>
      <c r="AK36" s="51" t="s">
        <v>68</v>
      </c>
      <c r="AL36" s="51" t="s">
        <v>72</v>
      </c>
    </row>
    <row r="37" spans="1:38">
      <c r="A37" s="194">
        <v>2</v>
      </c>
      <c r="B37" s="51" t="s">
        <v>73</v>
      </c>
      <c r="C37" s="57">
        <f>'2024年'!C37</f>
        <v>18.679320000000001</v>
      </c>
      <c r="D37" s="57">
        <f>'2024年'!D37</f>
        <v>16.218</v>
      </c>
      <c r="E37" s="57">
        <f>'2024年'!E37</f>
        <v>12.6776</v>
      </c>
      <c r="F37" s="57">
        <f>'2024年'!F37</f>
        <v>4.2021579999999998</v>
      </c>
      <c r="G37" s="57">
        <f>'2024年'!G37</f>
        <v>0</v>
      </c>
      <c r="H37" s="57">
        <f>'2024年'!H37</f>
        <v>0</v>
      </c>
      <c r="I37" s="57">
        <f>'2024年'!I37</f>
        <v>0</v>
      </c>
      <c r="J37" s="62"/>
      <c r="K37" s="66"/>
      <c r="L37" s="66"/>
      <c r="M37" s="66"/>
      <c r="N37" s="66"/>
      <c r="O37" s="66"/>
      <c r="P37" s="66"/>
      <c r="Q37" s="66"/>
      <c r="R37" s="66"/>
      <c r="S37" s="66"/>
      <c r="T37" s="66"/>
      <c r="U37" s="51" t="s">
        <v>73</v>
      </c>
      <c r="AK37" s="51" t="s">
        <v>25</v>
      </c>
      <c r="AL37" s="51" t="s">
        <v>73</v>
      </c>
    </row>
    <row r="38" spans="1:38">
      <c r="A38" s="194">
        <v>3</v>
      </c>
      <c r="B38" s="51" t="s">
        <v>74</v>
      </c>
      <c r="C38" s="57">
        <f>'2024年'!C38</f>
        <v>13.921380000000001</v>
      </c>
      <c r="D38" s="57">
        <f>'2024年'!D38</f>
        <v>12.087000000000002</v>
      </c>
      <c r="E38" s="57">
        <f>'2024年'!E38</f>
        <v>9.4484000000000012</v>
      </c>
      <c r="F38" s="57">
        <f>'2024年'!F38</f>
        <v>3.1317970000000002</v>
      </c>
      <c r="G38" s="57">
        <f>'2024年'!G38</f>
        <v>0</v>
      </c>
      <c r="H38" s="57">
        <f>'2024年'!H38</f>
        <v>0</v>
      </c>
      <c r="I38" s="57">
        <f>'2024年'!I38</f>
        <v>0</v>
      </c>
      <c r="J38" s="62"/>
      <c r="K38" s="66"/>
      <c r="L38" s="66"/>
      <c r="M38" s="66"/>
      <c r="N38" s="66"/>
      <c r="O38" s="66"/>
      <c r="P38" s="66"/>
      <c r="Q38" s="66"/>
      <c r="R38" s="66"/>
      <c r="S38" s="66"/>
      <c r="T38" s="66"/>
      <c r="U38" s="51" t="s">
        <v>74</v>
      </c>
      <c r="AK38" s="51" t="s">
        <v>31</v>
      </c>
      <c r="AL38" s="51" t="s">
        <v>74</v>
      </c>
    </row>
    <row r="39" spans="1:38">
      <c r="A39" s="51" t="s">
        <v>71</v>
      </c>
      <c r="B39" s="54" t="s">
        <v>76</v>
      </c>
      <c r="C39" s="58"/>
      <c r="D39" s="58"/>
      <c r="E39" s="58"/>
      <c r="F39" s="58"/>
      <c r="G39" s="58"/>
      <c r="H39" s="58"/>
      <c r="I39" s="58"/>
      <c r="J39" s="58"/>
      <c r="U39" s="54" t="s">
        <v>76</v>
      </c>
      <c r="AK39" s="51" t="s">
        <v>75</v>
      </c>
      <c r="AL39" s="54" t="s">
        <v>76</v>
      </c>
    </row>
    <row r="40" spans="1:38">
      <c r="A40" s="194">
        <v>1</v>
      </c>
      <c r="B40" s="51" t="s">
        <v>78</v>
      </c>
      <c r="C40" s="58">
        <f>C34-C36-C37-C38</f>
        <v>280.25439011819907</v>
      </c>
      <c r="D40" s="58">
        <f t="shared" ref="D40:I40" si="22">D34-D36-D37-D38</f>
        <v>209.12594552406662</v>
      </c>
      <c r="E40" s="58">
        <f t="shared" si="22"/>
        <v>95.438267163886138</v>
      </c>
      <c r="F40" s="58">
        <f t="shared" si="22"/>
        <v>61.213045486462384</v>
      </c>
      <c r="G40" s="58" t="e">
        <f t="shared" si="22"/>
        <v>#DIV/0!</v>
      </c>
      <c r="H40" s="58" t="e">
        <f t="shared" si="22"/>
        <v>#DIV/0!</v>
      </c>
      <c r="I40" s="58" t="e">
        <f t="shared" si="22"/>
        <v>#DIV/0!</v>
      </c>
      <c r="J40" s="58"/>
      <c r="U40" s="51" t="s">
        <v>78</v>
      </c>
      <c r="AK40" s="51" t="s">
        <v>20</v>
      </c>
      <c r="AL40" s="51" t="s">
        <v>78</v>
      </c>
    </row>
    <row r="41" spans="1:38">
      <c r="A41" s="194">
        <v>2</v>
      </c>
      <c r="B41" s="51" t="s">
        <v>79</v>
      </c>
      <c r="C41" s="58"/>
      <c r="D41" s="58"/>
      <c r="E41" s="58"/>
      <c r="F41" s="58"/>
      <c r="G41" s="58"/>
      <c r="H41" s="58"/>
      <c r="I41" s="58"/>
      <c r="J41" s="58"/>
      <c r="U41" s="51" t="s">
        <v>79</v>
      </c>
      <c r="AK41" s="51" t="s">
        <v>22</v>
      </c>
      <c r="AL41" s="51" t="s">
        <v>79</v>
      </c>
    </row>
    <row r="42" spans="1:38">
      <c r="A42" s="51" t="s">
        <v>75</v>
      </c>
      <c r="B42" s="54" t="s">
        <v>81</v>
      </c>
      <c r="C42" s="58"/>
      <c r="D42" s="58"/>
      <c r="E42" s="58"/>
      <c r="F42" s="58"/>
      <c r="G42" s="58"/>
      <c r="H42" s="58"/>
      <c r="I42" s="58"/>
      <c r="J42" s="58"/>
      <c r="U42" s="54" t="s">
        <v>81</v>
      </c>
      <c r="AK42" s="51" t="s">
        <v>80</v>
      </c>
      <c r="AL42" s="54" t="s">
        <v>81</v>
      </c>
    </row>
    <row r="43" spans="1:38">
      <c r="A43" s="194">
        <v>1</v>
      </c>
      <c r="B43" s="59" t="s">
        <v>82</v>
      </c>
      <c r="C43" s="57">
        <f>'2024年'!C43</f>
        <v>34.186680000000003</v>
      </c>
      <c r="D43" s="57">
        <f>'2024年'!D43</f>
        <v>29.682000000000002</v>
      </c>
      <c r="E43" s="57">
        <f>'2024年'!E43</f>
        <v>23.202400000000001</v>
      </c>
      <c r="F43" s="57">
        <f>'2024年'!F43</f>
        <v>7.6907420000000002</v>
      </c>
      <c r="G43" s="57">
        <f>'2024年'!G43</f>
        <v>0</v>
      </c>
      <c r="H43" s="57">
        <f>'2024年'!H43</f>
        <v>0</v>
      </c>
      <c r="I43" s="57">
        <f>'2024年'!I43</f>
        <v>0</v>
      </c>
      <c r="J43" s="58"/>
      <c r="U43" s="51" t="s">
        <v>82</v>
      </c>
      <c r="AK43" s="51" t="s">
        <v>20</v>
      </c>
      <c r="AL43" s="51" t="s">
        <v>82</v>
      </c>
    </row>
    <row r="44" spans="1:38">
      <c r="A44" s="194">
        <v>2</v>
      </c>
      <c r="B44" s="59" t="s">
        <v>83</v>
      </c>
      <c r="C44" s="57">
        <f>'2024年'!C44</f>
        <v>16.564680000000003</v>
      </c>
      <c r="D44" s="57">
        <f>'2024年'!D44</f>
        <v>14.382000000000001</v>
      </c>
      <c r="E44" s="57">
        <f>'2024年'!E44</f>
        <v>11.2424</v>
      </c>
      <c r="F44" s="57">
        <f>'2024年'!F44</f>
        <v>3.726442</v>
      </c>
      <c r="G44" s="57">
        <f>'2024年'!G44</f>
        <v>0</v>
      </c>
      <c r="H44" s="57">
        <f>'2024年'!H44</f>
        <v>0</v>
      </c>
      <c r="I44" s="57">
        <f>'2024年'!I44</f>
        <v>0</v>
      </c>
      <c r="J44" s="58"/>
      <c r="U44" s="51" t="s">
        <v>83</v>
      </c>
      <c r="AK44" s="51" t="s">
        <v>22</v>
      </c>
      <c r="AL44" s="51" t="s">
        <v>83</v>
      </c>
    </row>
    <row r="45" spans="1:38">
      <c r="A45" s="194">
        <v>3</v>
      </c>
      <c r="B45" s="59" t="s">
        <v>84</v>
      </c>
      <c r="C45" s="57">
        <f>'2024年'!C45</f>
        <v>57.447719999999997</v>
      </c>
      <c r="D45" s="57">
        <f>'2024年'!D45</f>
        <v>49.877999999999993</v>
      </c>
      <c r="E45" s="57">
        <f>'2024年'!E45</f>
        <v>38.989599999999996</v>
      </c>
      <c r="F45" s="57">
        <f>'2024年'!F45</f>
        <v>12.923617999999999</v>
      </c>
      <c r="G45" s="57">
        <f>'2024年'!G45</f>
        <v>0</v>
      </c>
      <c r="H45" s="57">
        <f>'2024年'!H45</f>
        <v>0</v>
      </c>
      <c r="I45" s="57">
        <f>'2024年'!I45</f>
        <v>0</v>
      </c>
      <c r="J45" s="58"/>
      <c r="U45" s="51" t="s">
        <v>84</v>
      </c>
      <c r="AK45" s="51" t="s">
        <v>68</v>
      </c>
      <c r="AL45" s="51" t="s">
        <v>84</v>
      </c>
    </row>
    <row r="46" spans="1:38" s="46" customFormat="1">
      <c r="A46" s="194">
        <v>4</v>
      </c>
      <c r="B46" s="59" t="s">
        <v>85</v>
      </c>
      <c r="C46" s="64">
        <f>C21/C6</f>
        <v>0.74194386694386694</v>
      </c>
      <c r="D46" s="64">
        <f t="shared" ref="D46:I46" si="23">D21/D6</f>
        <v>0.74194386694386694</v>
      </c>
      <c r="E46" s="64">
        <f t="shared" si="23"/>
        <v>0.74194386694386694</v>
      </c>
      <c r="F46" s="64">
        <f t="shared" si="23"/>
        <v>0.74194386694386694</v>
      </c>
      <c r="G46" s="64" t="e">
        <f t="shared" si="23"/>
        <v>#DIV/0!</v>
      </c>
      <c r="H46" s="64" t="e">
        <f t="shared" si="23"/>
        <v>#DIV/0!</v>
      </c>
      <c r="I46" s="64" t="e">
        <f t="shared" si="23"/>
        <v>#DIV/0!</v>
      </c>
      <c r="J46" s="64"/>
      <c r="U46" s="59" t="s">
        <v>87</v>
      </c>
      <c r="AK46" s="59" t="s">
        <v>28</v>
      </c>
      <c r="AL46" s="59" t="s">
        <v>87</v>
      </c>
    </row>
    <row r="47" spans="1:38" s="46" customFormat="1">
      <c r="A47" s="194">
        <v>5</v>
      </c>
      <c r="B47" s="59" t="s">
        <v>87</v>
      </c>
      <c r="C47" s="64">
        <f>'2024年'!C47</f>
        <v>88.110000000000014</v>
      </c>
      <c r="D47" s="64">
        <f>'2024年'!D47</f>
        <v>76.5</v>
      </c>
      <c r="E47" s="64">
        <f>'2024年'!E47</f>
        <v>59.800000000000004</v>
      </c>
      <c r="F47" s="64">
        <f>'2024年'!F47</f>
        <v>19.8215</v>
      </c>
      <c r="G47" s="64">
        <f>'2024年'!G47</f>
        <v>0</v>
      </c>
      <c r="H47" s="64">
        <f>'2024年'!H47</f>
        <v>0</v>
      </c>
      <c r="I47" s="64">
        <f>'2024年'!I47</f>
        <v>0</v>
      </c>
      <c r="J47" s="64"/>
      <c r="U47" s="59" t="s">
        <v>87</v>
      </c>
      <c r="AK47" s="59" t="s">
        <v>28</v>
      </c>
      <c r="AL47" s="59" t="s">
        <v>87</v>
      </c>
    </row>
    <row r="48" spans="1:38">
      <c r="A48" s="51" t="s">
        <v>80</v>
      </c>
      <c r="B48" s="54" t="s">
        <v>98</v>
      </c>
      <c r="C48" s="58">
        <f>C40-C43-C44-C45-C47-C46</f>
        <v>83.203366251255176</v>
      </c>
      <c r="D48" s="58">
        <f t="shared" ref="D48:I48" si="24">D40-D43-D44-D45-D47-D46</f>
        <v>37.942001657122773</v>
      </c>
      <c r="E48" s="58">
        <f t="shared" si="24"/>
        <v>-38.538076703057726</v>
      </c>
      <c r="F48" s="58">
        <f t="shared" si="24"/>
        <v>16.308799619518521</v>
      </c>
      <c r="G48" s="58" t="e">
        <f t="shared" si="24"/>
        <v>#DIV/0!</v>
      </c>
      <c r="H48" s="58" t="e">
        <f t="shared" si="24"/>
        <v>#DIV/0!</v>
      </c>
      <c r="I48" s="58" t="e">
        <f t="shared" si="24"/>
        <v>#DIV/0!</v>
      </c>
      <c r="J48" s="58"/>
      <c r="U48" s="54" t="s">
        <v>98</v>
      </c>
      <c r="AK48" s="51" t="s">
        <v>97</v>
      </c>
      <c r="AL48" s="54" t="s">
        <v>98</v>
      </c>
    </row>
    <row r="51" spans="2:15">
      <c r="C51" s="65"/>
      <c r="D51" s="65"/>
      <c r="E51" s="65"/>
      <c r="F51" s="65"/>
      <c r="G51" s="65"/>
      <c r="H51" s="65"/>
      <c r="I51" s="65"/>
    </row>
    <row r="54" spans="2:15">
      <c r="B54" s="66"/>
      <c r="C54" s="67"/>
      <c r="D54" s="67"/>
      <c r="E54" s="67"/>
      <c r="F54" s="67"/>
      <c r="G54" s="67"/>
      <c r="H54" s="67"/>
      <c r="I54" s="67"/>
      <c r="J54" s="67"/>
      <c r="K54" s="66"/>
      <c r="L54" s="66"/>
      <c r="M54" s="66"/>
      <c r="N54" s="66"/>
      <c r="O54" s="66"/>
    </row>
    <row r="55" spans="2:15">
      <c r="B55" s="66"/>
      <c r="C55" s="67"/>
      <c r="D55" s="67"/>
      <c r="E55" s="67"/>
      <c r="F55" s="67"/>
      <c r="G55" s="67"/>
      <c r="H55" s="67"/>
      <c r="I55" s="67"/>
      <c r="J55" s="67"/>
      <c r="K55" s="66"/>
      <c r="L55" s="66"/>
      <c r="M55" s="66"/>
      <c r="N55" s="66"/>
      <c r="O55" s="66"/>
    </row>
    <row r="56" spans="2:15">
      <c r="B56" s="66"/>
      <c r="C56" s="67"/>
      <c r="D56" s="67"/>
      <c r="E56" s="67"/>
      <c r="F56" s="67"/>
      <c r="G56" s="67"/>
      <c r="H56" s="67"/>
      <c r="I56" s="67"/>
      <c r="J56" s="67"/>
      <c r="K56" s="66"/>
      <c r="L56" s="66"/>
      <c r="M56" s="66"/>
      <c r="N56" s="66"/>
      <c r="O56" s="66"/>
    </row>
    <row r="57" spans="2:15">
      <c r="B57" s="66"/>
      <c r="C57" s="67"/>
      <c r="D57" s="67"/>
      <c r="E57" s="67"/>
      <c r="F57" s="67"/>
      <c r="G57" s="67"/>
      <c r="H57" s="67"/>
      <c r="I57" s="67"/>
      <c r="J57" s="67"/>
      <c r="K57" s="66"/>
      <c r="L57" s="66"/>
      <c r="M57" s="66"/>
      <c r="N57" s="66"/>
      <c r="O57" s="66"/>
    </row>
    <row r="58" spans="2:15">
      <c r="B58" s="66"/>
      <c r="C58" s="67"/>
      <c r="D58" s="67"/>
      <c r="E58" s="67"/>
      <c r="F58" s="67"/>
      <c r="G58" s="67"/>
      <c r="H58" s="67"/>
      <c r="I58" s="67"/>
      <c r="J58" s="67"/>
      <c r="K58" s="66"/>
      <c r="L58" s="66"/>
      <c r="M58" s="66"/>
      <c r="N58" s="66"/>
      <c r="O58" s="66"/>
    </row>
    <row r="59" spans="2:15">
      <c r="B59" s="66"/>
      <c r="C59" s="67"/>
      <c r="D59" s="67"/>
      <c r="E59" s="67"/>
      <c r="F59" s="67"/>
      <c r="G59" s="67"/>
      <c r="H59" s="67"/>
      <c r="I59" s="67"/>
      <c r="J59" s="67"/>
      <c r="K59" s="66"/>
      <c r="L59" s="66"/>
      <c r="M59" s="66"/>
      <c r="N59" s="66"/>
      <c r="O59" s="66"/>
    </row>
    <row r="60" spans="2:15">
      <c r="B60" s="66"/>
      <c r="C60" s="67"/>
      <c r="D60" s="67"/>
      <c r="E60" s="67"/>
      <c r="F60" s="67"/>
      <c r="G60" s="67"/>
      <c r="H60" s="67"/>
      <c r="I60" s="67"/>
      <c r="J60" s="67"/>
      <c r="K60" s="66"/>
      <c r="L60" s="66"/>
      <c r="M60" s="66"/>
      <c r="N60" s="66"/>
      <c r="O60" s="66"/>
    </row>
    <row r="61" spans="2:15">
      <c r="B61" s="66"/>
      <c r="C61" s="67"/>
      <c r="D61" s="67"/>
      <c r="E61" s="67"/>
      <c r="F61" s="67"/>
      <c r="G61" s="67"/>
      <c r="H61" s="67"/>
      <c r="I61" s="67"/>
      <c r="J61" s="67"/>
      <c r="K61" s="66"/>
      <c r="L61" s="66"/>
      <c r="M61" s="66"/>
      <c r="N61" s="66"/>
      <c r="O61" s="66"/>
    </row>
    <row r="62" spans="2:15">
      <c r="B62" s="66"/>
      <c r="C62" s="67"/>
      <c r="D62" s="67"/>
      <c r="E62" s="67"/>
      <c r="F62" s="67"/>
      <c r="G62" s="67"/>
      <c r="H62" s="67"/>
      <c r="I62" s="67"/>
      <c r="J62" s="67"/>
      <c r="K62" s="66"/>
      <c r="L62" s="66"/>
      <c r="M62" s="66"/>
      <c r="N62" s="66"/>
      <c r="O62" s="66"/>
    </row>
    <row r="63" spans="2:15">
      <c r="B63" s="66"/>
      <c r="C63" s="67"/>
      <c r="D63" s="67"/>
      <c r="E63" s="67"/>
      <c r="F63" s="67"/>
      <c r="G63" s="67"/>
      <c r="H63" s="67"/>
      <c r="I63" s="67"/>
      <c r="J63" s="67"/>
      <c r="K63" s="66"/>
      <c r="L63" s="66"/>
      <c r="M63" s="66"/>
      <c r="N63" s="66"/>
      <c r="O63" s="66"/>
    </row>
    <row r="64" spans="2:15">
      <c r="B64" s="66"/>
      <c r="C64" s="67"/>
      <c r="D64" s="67"/>
      <c r="E64" s="67"/>
      <c r="F64" s="67"/>
      <c r="G64" s="67"/>
      <c r="H64" s="67"/>
      <c r="I64" s="67"/>
      <c r="J64" s="67"/>
      <c r="K64" s="66"/>
      <c r="L64" s="66"/>
      <c r="M64" s="66"/>
      <c r="N64" s="66"/>
      <c r="O64" s="66"/>
    </row>
    <row r="65" spans="2:15">
      <c r="B65" s="66"/>
      <c r="C65" s="67"/>
      <c r="D65" s="67"/>
      <c r="E65" s="67"/>
      <c r="F65" s="67"/>
      <c r="G65" s="67"/>
      <c r="H65" s="67"/>
      <c r="I65" s="67"/>
      <c r="J65" s="67"/>
      <c r="K65" s="66"/>
      <c r="L65" s="66"/>
      <c r="M65" s="66"/>
      <c r="N65" s="66"/>
      <c r="O65" s="66"/>
    </row>
    <row r="66" spans="2:15">
      <c r="B66" s="66"/>
      <c r="C66" s="67"/>
      <c r="D66" s="67"/>
      <c r="E66" s="67"/>
      <c r="F66" s="67"/>
      <c r="G66" s="67"/>
      <c r="H66" s="67"/>
      <c r="I66" s="67"/>
      <c r="J66" s="67"/>
      <c r="K66" s="66"/>
      <c r="L66" s="66"/>
      <c r="M66" s="66"/>
      <c r="N66" s="66"/>
      <c r="O66" s="66"/>
    </row>
    <row r="67" spans="2:15">
      <c r="B67" s="66"/>
      <c r="C67" s="67"/>
      <c r="D67" s="67"/>
      <c r="E67" s="67"/>
      <c r="F67" s="67"/>
      <c r="G67" s="67"/>
      <c r="H67" s="67"/>
      <c r="I67" s="67"/>
      <c r="J67" s="67"/>
      <c r="K67" s="66"/>
    </row>
    <row r="68" spans="2:15">
      <c r="B68" s="66"/>
      <c r="C68" s="67"/>
      <c r="D68" s="67"/>
      <c r="E68" s="67"/>
      <c r="F68" s="67"/>
      <c r="G68" s="67"/>
      <c r="H68" s="67"/>
      <c r="I68" s="67"/>
      <c r="J68" s="67"/>
      <c r="K68" s="66"/>
    </row>
    <row r="69" spans="2:15">
      <c r="B69" s="66"/>
      <c r="C69" s="67"/>
      <c r="D69" s="67"/>
      <c r="E69" s="67"/>
      <c r="F69" s="67"/>
      <c r="G69" s="67"/>
      <c r="H69" s="67"/>
      <c r="I69" s="67"/>
      <c r="J69" s="67"/>
      <c r="K69" s="66"/>
    </row>
    <row r="70" spans="2:15">
      <c r="B70" s="66"/>
      <c r="C70" s="67"/>
      <c r="D70" s="67"/>
      <c r="E70" s="67"/>
      <c r="F70" s="67"/>
      <c r="G70" s="67"/>
      <c r="H70" s="67"/>
      <c r="I70" s="67"/>
      <c r="J70" s="67"/>
      <c r="K70" s="66"/>
    </row>
    <row r="71" spans="2:15">
      <c r="B71" s="66"/>
      <c r="C71" s="67"/>
      <c r="D71" s="67"/>
      <c r="E71" s="67"/>
      <c r="F71" s="67"/>
      <c r="G71" s="67"/>
      <c r="H71" s="67"/>
      <c r="I71" s="67"/>
      <c r="J71" s="67"/>
      <c r="K71" s="66"/>
    </row>
    <row r="72" spans="2:15">
      <c r="B72" s="66"/>
      <c r="C72" s="67"/>
      <c r="D72" s="67"/>
      <c r="E72" s="67"/>
      <c r="F72" s="67"/>
      <c r="G72" s="67"/>
      <c r="H72" s="67"/>
      <c r="I72" s="67"/>
      <c r="J72" s="67"/>
      <c r="K72" s="66"/>
    </row>
    <row r="73" spans="2:15">
      <c r="B73" s="66"/>
      <c r="C73" s="67"/>
      <c r="D73" s="67"/>
      <c r="E73" s="67"/>
      <c r="F73" s="67"/>
      <c r="G73" s="67"/>
      <c r="H73" s="67"/>
      <c r="I73" s="67"/>
      <c r="J73" s="67"/>
      <c r="K73" s="66"/>
    </row>
    <row r="74" spans="2:15">
      <c r="B74" s="66"/>
      <c r="C74" s="67"/>
      <c r="D74" s="67"/>
      <c r="E74" s="67"/>
      <c r="F74" s="67"/>
      <c r="G74" s="67"/>
      <c r="H74" s="67"/>
      <c r="I74" s="67"/>
      <c r="J74" s="67"/>
      <c r="K74" s="66"/>
    </row>
  </sheetData>
  <mergeCells count="8">
    <mergeCell ref="A1:B1"/>
    <mergeCell ref="C1:J1"/>
    <mergeCell ref="A2:B2"/>
    <mergeCell ref="C2:J2"/>
    <mergeCell ref="A3:B3"/>
    <mergeCell ref="J3:J5"/>
    <mergeCell ref="A4:B4"/>
    <mergeCell ref="A5:B5"/>
  </mergeCells>
  <phoneticPr fontId="38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7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zoomScale="80" zoomScaleNormal="80" workbookViewId="0">
      <pane xSplit="6" ySplit="2" topLeftCell="G15" activePane="bottomRight" state="frozen"/>
      <selection pane="topRight"/>
      <selection pane="bottomLeft"/>
      <selection pane="bottomRight" activeCell="F15" sqref="F15"/>
    </sheetView>
  </sheetViews>
  <sheetFormatPr defaultColWidth="9" defaultRowHeight="13.5"/>
  <cols>
    <col min="1" max="1" width="20.625" customWidth="1"/>
    <col min="2" max="2" width="14.25" style="26" customWidth="1"/>
    <col min="3" max="3" width="13.375" customWidth="1"/>
    <col min="4" max="6" width="14.5" customWidth="1"/>
    <col min="7" max="7" width="13.375" customWidth="1"/>
    <col min="8" max="8" width="14.875" customWidth="1"/>
    <col min="9" max="9" width="13.75" customWidth="1"/>
    <col min="10" max="11" width="12.25" customWidth="1"/>
    <col min="12" max="12" width="13.125" customWidth="1"/>
    <col min="13" max="13" width="12.125" customWidth="1"/>
  </cols>
  <sheetData>
    <row r="1" spans="1:10" ht="20.25">
      <c r="A1" s="256" t="s">
        <v>148</v>
      </c>
      <c r="B1" s="256"/>
      <c r="C1" s="256"/>
      <c r="E1" s="257" t="s">
        <v>227</v>
      </c>
      <c r="F1" s="258"/>
      <c r="G1" s="258"/>
      <c r="H1" s="259"/>
      <c r="J1" s="182"/>
    </row>
    <row r="2" spans="1:10" ht="23.45" customHeight="1">
      <c r="A2" s="27" t="s">
        <v>1</v>
      </c>
      <c r="B2" s="28" t="s">
        <v>149</v>
      </c>
      <c r="C2" s="29" t="s">
        <v>150</v>
      </c>
      <c r="E2" s="1" t="s">
        <v>151</v>
      </c>
      <c r="F2" s="1" t="s">
        <v>1</v>
      </c>
      <c r="G2" s="30" t="s">
        <v>152</v>
      </c>
      <c r="H2" s="1" t="s">
        <v>150</v>
      </c>
      <c r="J2" s="180"/>
    </row>
    <row r="3" spans="1:10" ht="15.75" customHeight="1">
      <c r="A3" s="31" t="s">
        <v>153</v>
      </c>
      <c r="B3" s="32"/>
      <c r="C3" s="33"/>
      <c r="E3" s="250" t="s">
        <v>154</v>
      </c>
      <c r="F3" s="2" t="s">
        <v>155</v>
      </c>
      <c r="G3" s="217"/>
      <c r="H3" s="218"/>
      <c r="J3" s="195"/>
    </row>
    <row r="4" spans="1:10" ht="15.75" customHeight="1">
      <c r="A4" s="31" t="s">
        <v>156</v>
      </c>
      <c r="B4" s="32"/>
      <c r="C4" s="34"/>
      <c r="E4" s="251"/>
      <c r="F4" s="2" t="s">
        <v>157</v>
      </c>
      <c r="G4" s="217"/>
      <c r="H4" s="218"/>
      <c r="J4" s="195"/>
    </row>
    <row r="5" spans="1:10" ht="15.75" customHeight="1">
      <c r="A5" s="31" t="s">
        <v>158</v>
      </c>
      <c r="B5" s="35">
        <f>SUM(G3:G4)</f>
        <v>0</v>
      </c>
      <c r="C5" s="33"/>
      <c r="E5" s="252" t="s">
        <v>159</v>
      </c>
      <c r="F5" s="36" t="s">
        <v>160</v>
      </c>
      <c r="G5" s="219">
        <v>0</v>
      </c>
      <c r="H5" s="178"/>
      <c r="J5" s="195"/>
    </row>
    <row r="6" spans="1:10" ht="15.75" customHeight="1">
      <c r="A6" s="31" t="s">
        <v>161</v>
      </c>
      <c r="B6" s="32"/>
      <c r="C6" s="33"/>
      <c r="E6" s="253"/>
      <c r="F6" s="36" t="s">
        <v>162</v>
      </c>
      <c r="G6" s="219">
        <v>13</v>
      </c>
      <c r="H6" s="179" t="s">
        <v>261</v>
      </c>
      <c r="J6" s="195"/>
    </row>
    <row r="7" spans="1:10" ht="15.75" customHeight="1">
      <c r="A7" s="37" t="s">
        <v>163</v>
      </c>
      <c r="B7" s="35">
        <f>SUM(B3:B6)</f>
        <v>0</v>
      </c>
      <c r="C7" s="33"/>
      <c r="E7" s="253"/>
      <c r="F7" s="36" t="s">
        <v>164</v>
      </c>
      <c r="G7" s="219">
        <v>0</v>
      </c>
      <c r="H7" s="179"/>
      <c r="J7" s="195"/>
    </row>
    <row r="8" spans="1:10" ht="15.75" customHeight="1">
      <c r="A8" s="38" t="s">
        <v>165</v>
      </c>
      <c r="B8" s="35">
        <f>SUM(G5:G12)</f>
        <v>19</v>
      </c>
      <c r="C8" s="39"/>
      <c r="E8" s="253"/>
      <c r="F8" s="36" t="s">
        <v>166</v>
      </c>
      <c r="G8" s="219">
        <v>0</v>
      </c>
      <c r="H8" s="179"/>
      <c r="J8" s="195"/>
    </row>
    <row r="9" spans="1:10" ht="15.75" customHeight="1">
      <c r="A9" s="31" t="s">
        <v>167</v>
      </c>
      <c r="B9" s="35">
        <f>SUM(G13:G21)</f>
        <v>51.39</v>
      </c>
      <c r="C9" s="33"/>
      <c r="E9" s="253"/>
      <c r="F9" s="2" t="s">
        <v>168</v>
      </c>
      <c r="G9" s="219">
        <v>0</v>
      </c>
      <c r="H9" s="179"/>
      <c r="J9" s="195"/>
    </row>
    <row r="10" spans="1:10" ht="15.75" customHeight="1">
      <c r="A10" s="34" t="s">
        <v>16</v>
      </c>
      <c r="B10" s="35">
        <f>B7+B8+B9</f>
        <v>70.39</v>
      </c>
      <c r="C10" s="33"/>
      <c r="E10" s="253"/>
      <c r="F10" s="2" t="s">
        <v>169</v>
      </c>
      <c r="G10" s="219">
        <v>0</v>
      </c>
      <c r="H10" s="179"/>
      <c r="I10" t="s">
        <v>270</v>
      </c>
      <c r="J10" s="195"/>
    </row>
    <row r="11" spans="1:10" ht="15.75" customHeight="1">
      <c r="E11" s="253"/>
      <c r="F11" s="2" t="s">
        <v>170</v>
      </c>
      <c r="G11" s="219">
        <v>6</v>
      </c>
      <c r="H11" s="179" t="s">
        <v>262</v>
      </c>
      <c r="J11" s="195"/>
    </row>
    <row r="12" spans="1:10" ht="15.75" customHeight="1">
      <c r="E12" s="254"/>
      <c r="F12" s="2" t="s">
        <v>171</v>
      </c>
      <c r="G12" s="219">
        <v>0</v>
      </c>
      <c r="H12" s="179"/>
      <c r="J12" s="195"/>
    </row>
    <row r="13" spans="1:10" ht="15.75" customHeight="1">
      <c r="E13" s="250" t="s">
        <v>48</v>
      </c>
      <c r="F13" s="2" t="s">
        <v>172</v>
      </c>
      <c r="G13" s="219">
        <v>0</v>
      </c>
      <c r="H13" s="179"/>
      <c r="J13" s="195"/>
    </row>
    <row r="14" spans="1:10" ht="15.75" customHeight="1">
      <c r="E14" s="251"/>
      <c r="F14" s="2" t="s">
        <v>173</v>
      </c>
      <c r="G14" s="219">
        <v>0.75</v>
      </c>
      <c r="H14" s="179" t="s">
        <v>263</v>
      </c>
      <c r="I14" t="s">
        <v>271</v>
      </c>
      <c r="J14" s="195"/>
    </row>
    <row r="15" spans="1:10" ht="15.75" customHeight="1">
      <c r="E15" s="251"/>
      <c r="F15" s="2" t="s">
        <v>174</v>
      </c>
      <c r="G15" s="219">
        <v>0.1</v>
      </c>
      <c r="H15" s="179" t="s">
        <v>264</v>
      </c>
      <c r="I15" t="s">
        <v>272</v>
      </c>
      <c r="J15" s="195"/>
    </row>
    <row r="16" spans="1:10" ht="15.75" customHeight="1">
      <c r="E16" s="251"/>
      <c r="F16" s="2" t="s">
        <v>175</v>
      </c>
      <c r="G16" s="219">
        <v>0.15</v>
      </c>
      <c r="H16" s="179" t="s">
        <v>265</v>
      </c>
      <c r="I16" t="s">
        <v>273</v>
      </c>
      <c r="J16" s="195"/>
    </row>
    <row r="17" spans="1:13" ht="15.75" customHeight="1">
      <c r="E17" s="251"/>
      <c r="F17" s="2" t="s">
        <v>176</v>
      </c>
      <c r="G17" s="219">
        <v>19.2</v>
      </c>
      <c r="H17" s="179" t="s">
        <v>266</v>
      </c>
      <c r="I17" t="s">
        <v>274</v>
      </c>
      <c r="J17" s="220"/>
    </row>
    <row r="18" spans="1:13" ht="15.75" customHeight="1">
      <c r="E18" s="251"/>
      <c r="F18" s="2" t="s">
        <v>177</v>
      </c>
      <c r="G18" s="219">
        <v>22.44</v>
      </c>
      <c r="H18" s="179" t="s">
        <v>267</v>
      </c>
      <c r="I18" s="221" t="s">
        <v>275</v>
      </c>
      <c r="J18" s="220"/>
    </row>
    <row r="19" spans="1:13" ht="15.75" customHeight="1">
      <c r="E19" s="251"/>
      <c r="F19" s="2" t="s">
        <v>178</v>
      </c>
      <c r="G19" s="219">
        <v>8.5</v>
      </c>
      <c r="H19" s="186" t="s">
        <v>268</v>
      </c>
      <c r="I19" t="s">
        <v>276</v>
      </c>
      <c r="J19" s="220"/>
    </row>
    <row r="20" spans="1:13" ht="15.75" customHeight="1">
      <c r="E20" s="251"/>
      <c r="F20" s="2" t="s">
        <v>179</v>
      </c>
      <c r="G20" s="219">
        <v>0.25</v>
      </c>
      <c r="H20" s="179" t="s">
        <v>269</v>
      </c>
      <c r="J20" s="220"/>
    </row>
    <row r="21" spans="1:13" ht="15.75" customHeight="1">
      <c r="E21" s="255"/>
      <c r="F21" s="2" t="s">
        <v>126</v>
      </c>
      <c r="G21" s="219"/>
      <c r="H21" s="179"/>
      <c r="J21" s="220"/>
    </row>
    <row r="22" spans="1:13" ht="15.75" customHeight="1">
      <c r="E22" s="1" t="s">
        <v>16</v>
      </c>
      <c r="F22" s="2"/>
      <c r="G22" s="30">
        <f>SUM(G3:G21)</f>
        <v>70.39</v>
      </c>
      <c r="H22" s="2"/>
      <c r="J22" s="220"/>
    </row>
    <row r="23" spans="1:13" ht="30.75" customHeight="1">
      <c r="E23" s="260" t="s">
        <v>180</v>
      </c>
      <c r="F23" s="260"/>
      <c r="G23" s="260"/>
      <c r="H23" s="260"/>
    </row>
    <row r="25" spans="1:13" ht="17.25">
      <c r="A25" s="19" t="s">
        <v>1</v>
      </c>
      <c r="B25" s="19" t="s">
        <v>149</v>
      </c>
      <c r="C25" s="19" t="s">
        <v>181</v>
      </c>
      <c r="D25" s="171" t="s">
        <v>233</v>
      </c>
      <c r="E25" s="196" t="s">
        <v>182</v>
      </c>
      <c r="F25" s="196" t="s">
        <v>226</v>
      </c>
      <c r="G25" s="196" t="s">
        <v>234</v>
      </c>
      <c r="H25" s="196" t="s">
        <v>235</v>
      </c>
      <c r="I25" s="196" t="s">
        <v>236</v>
      </c>
      <c r="J25" s="196" t="s">
        <v>237</v>
      </c>
      <c r="K25" s="196" t="s">
        <v>238</v>
      </c>
      <c r="L25" s="21" t="s">
        <v>16</v>
      </c>
      <c r="M25" s="43" t="s">
        <v>183</v>
      </c>
    </row>
    <row r="26" spans="1:13" ht="16.5">
      <c r="A26" s="40" t="s">
        <v>144</v>
      </c>
      <c r="B26" s="41">
        <f>(B5+B8)*10000</f>
        <v>190000</v>
      </c>
      <c r="C26" s="42">
        <v>0.05</v>
      </c>
      <c r="D26" s="13">
        <f>B26*(1-C26)/8</f>
        <v>22562.5</v>
      </c>
      <c r="E26" s="13">
        <f t="shared" ref="E26" si="0">D26</f>
        <v>22562.5</v>
      </c>
      <c r="F26" s="13">
        <f t="shared" ref="F26:F27" si="1">E26</f>
        <v>22562.5</v>
      </c>
      <c r="G26" s="13">
        <f t="shared" ref="G26:G27" si="2">F26</f>
        <v>22562.5</v>
      </c>
      <c r="H26" s="13">
        <f t="shared" ref="H26:H27" si="3">G26</f>
        <v>22562.5</v>
      </c>
      <c r="I26" s="13">
        <f t="shared" ref="I26:I27" si="4">H26</f>
        <v>22562.5</v>
      </c>
      <c r="J26" s="13">
        <f t="shared" ref="J26:J27" si="5">I26</f>
        <v>22562.5</v>
      </c>
      <c r="K26" s="13">
        <f t="shared" ref="K26:K27" si="6">J26</f>
        <v>22562.5</v>
      </c>
      <c r="L26" s="13">
        <f>SUM(D26:K26)</f>
        <v>180500</v>
      </c>
      <c r="M26" s="13">
        <f>B26*0.05</f>
        <v>9500</v>
      </c>
    </row>
    <row r="27" spans="1:13" ht="16.5">
      <c r="A27" s="40" t="s">
        <v>184</v>
      </c>
      <c r="B27" s="41">
        <f>B9*10000</f>
        <v>513900</v>
      </c>
      <c r="C27" s="13"/>
      <c r="D27" s="13">
        <f>B27/8</f>
        <v>64237.5</v>
      </c>
      <c r="E27" s="13">
        <f>D27</f>
        <v>64237.5</v>
      </c>
      <c r="F27" s="13">
        <f t="shared" si="1"/>
        <v>64237.5</v>
      </c>
      <c r="G27" s="13">
        <f t="shared" si="2"/>
        <v>64237.5</v>
      </c>
      <c r="H27" s="13">
        <f t="shared" si="3"/>
        <v>64237.5</v>
      </c>
      <c r="I27" s="13">
        <f t="shared" si="4"/>
        <v>64237.5</v>
      </c>
      <c r="J27" s="13">
        <f t="shared" si="5"/>
        <v>64237.5</v>
      </c>
      <c r="K27" s="13">
        <f t="shared" si="6"/>
        <v>64237.5</v>
      </c>
      <c r="L27" s="13">
        <f>SUM(D27:K27)</f>
        <v>513900</v>
      </c>
      <c r="M27" s="13"/>
    </row>
    <row r="28" spans="1:13" ht="16.5">
      <c r="A28" s="247" t="s">
        <v>106</v>
      </c>
      <c r="B28" s="248"/>
      <c r="C28" s="249"/>
      <c r="D28" s="13">
        <f>SUM(D26:D27)</f>
        <v>86800</v>
      </c>
      <c r="E28" s="13">
        <f t="shared" ref="E28:K28" si="7">SUM(E26:E27)</f>
        <v>86800</v>
      </c>
      <c r="F28" s="13">
        <f t="shared" si="7"/>
        <v>86800</v>
      </c>
      <c r="G28" s="13">
        <f t="shared" si="7"/>
        <v>86800</v>
      </c>
      <c r="H28" s="13">
        <f t="shared" si="7"/>
        <v>86800</v>
      </c>
      <c r="I28" s="13">
        <f t="shared" si="7"/>
        <v>86800</v>
      </c>
      <c r="J28" s="13">
        <f t="shared" si="7"/>
        <v>86800</v>
      </c>
      <c r="K28" s="13">
        <f t="shared" si="7"/>
        <v>86800</v>
      </c>
      <c r="L28" s="44"/>
      <c r="M28" s="44"/>
    </row>
    <row r="40" spans="9:9">
      <c r="I40" s="183"/>
    </row>
    <row r="41" spans="9:9" ht="37.5" customHeight="1"/>
  </sheetData>
  <mergeCells count="7">
    <mergeCell ref="A28:C28"/>
    <mergeCell ref="E3:E4"/>
    <mergeCell ref="E5:E12"/>
    <mergeCell ref="E13:E21"/>
    <mergeCell ref="A1:C1"/>
    <mergeCell ref="E1:H1"/>
    <mergeCell ref="E23:H23"/>
  </mergeCells>
  <phoneticPr fontId="38" type="noConversion"/>
  <pageMargins left="0.7" right="0.7" top="0.75" bottom="0.75" header="0.3" footer="0.3"/>
  <pageSetup paperSize="9" orientation="portrait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zoomScale="80" zoomScaleNormal="80" workbookViewId="0">
      <selection activeCell="M11" sqref="M11"/>
    </sheetView>
  </sheetViews>
  <sheetFormatPr defaultColWidth="9" defaultRowHeight="16.5"/>
  <cols>
    <col min="1" max="1" width="14" style="6" customWidth="1"/>
    <col min="2" max="9" width="14.125" style="6" customWidth="1"/>
    <col min="10" max="10" width="11.625" style="6" customWidth="1"/>
    <col min="11" max="11" width="9.25" style="6" customWidth="1"/>
    <col min="12" max="12" width="9.125" style="6" customWidth="1"/>
    <col min="13" max="13" width="9" style="6"/>
    <col min="14" max="14" width="12.5" style="6" customWidth="1"/>
    <col min="15" max="16384" width="9" style="6"/>
  </cols>
  <sheetData>
    <row r="1" spans="1:14" ht="29.25" customHeight="1">
      <c r="A1" s="16" t="s">
        <v>185</v>
      </c>
      <c r="E1" s="17"/>
      <c r="F1" s="17"/>
      <c r="G1" s="17"/>
      <c r="H1" s="17"/>
      <c r="I1" s="17"/>
      <c r="J1" s="17"/>
    </row>
    <row r="2" spans="1:14" ht="24" customHeight="1">
      <c r="A2" s="18" t="s">
        <v>186</v>
      </c>
      <c r="E2" s="17"/>
      <c r="F2" s="17"/>
      <c r="G2" s="17"/>
      <c r="H2" s="17"/>
      <c r="I2" s="17"/>
      <c r="J2" s="17"/>
    </row>
    <row r="3" spans="1:14">
      <c r="C3" s="6" t="s">
        <v>187</v>
      </c>
      <c r="D3" s="9" t="s">
        <v>294</v>
      </c>
      <c r="E3" s="162">
        <v>0.03</v>
      </c>
      <c r="F3" s="162"/>
      <c r="G3" s="162"/>
    </row>
    <row r="4" spans="1:14">
      <c r="N4" s="209" t="s">
        <v>246</v>
      </c>
    </row>
    <row r="5" spans="1:14" ht="25.5" customHeight="1">
      <c r="A5" s="262" t="s">
        <v>188</v>
      </c>
      <c r="B5" s="8" t="s">
        <v>140</v>
      </c>
      <c r="C5" s="200" t="s">
        <v>239</v>
      </c>
      <c r="D5" s="200" t="s">
        <v>239</v>
      </c>
      <c r="E5" s="200" t="s">
        <v>239</v>
      </c>
      <c r="F5" s="201" t="s">
        <v>240</v>
      </c>
      <c r="G5" s="187"/>
      <c r="H5" s="187"/>
      <c r="I5" s="187"/>
      <c r="J5" s="263" t="s">
        <v>16</v>
      </c>
      <c r="N5" s="203" t="s">
        <v>240</v>
      </c>
    </row>
    <row r="6" spans="1:14" ht="21.75" customHeight="1">
      <c r="A6" s="262"/>
      <c r="B6" s="8" t="s">
        <v>141</v>
      </c>
      <c r="C6" s="202">
        <v>6000149199</v>
      </c>
      <c r="D6" s="202">
        <v>6000149200</v>
      </c>
      <c r="E6" s="202">
        <v>6000149201</v>
      </c>
      <c r="F6" s="203">
        <v>6000149205</v>
      </c>
      <c r="G6" s="188"/>
      <c r="H6" s="188"/>
      <c r="I6" s="188"/>
      <c r="J6" s="264"/>
      <c r="K6" s="6">
        <v>2024</v>
      </c>
      <c r="L6" s="6">
        <v>100</v>
      </c>
      <c r="N6" s="203">
        <v>6000149202</v>
      </c>
    </row>
    <row r="7" spans="1:14" ht="49.5" customHeight="1">
      <c r="A7" s="262"/>
      <c r="B7" s="20" t="s">
        <v>189</v>
      </c>
      <c r="C7" s="204" t="s">
        <v>241</v>
      </c>
      <c r="D7" s="202" t="s">
        <v>242</v>
      </c>
      <c r="E7" s="202" t="s">
        <v>243</v>
      </c>
      <c r="F7" s="203" t="s">
        <v>245</v>
      </c>
      <c r="G7" s="188"/>
      <c r="H7" s="188"/>
      <c r="I7" s="188"/>
      <c r="J7" s="265"/>
      <c r="K7" s="6">
        <v>2025</v>
      </c>
      <c r="L7" s="24">
        <f>L6*(1-$E$3)</f>
        <v>97</v>
      </c>
      <c r="M7" s="6">
        <f>L7/$L$6</f>
        <v>0.97</v>
      </c>
      <c r="N7" s="203" t="s">
        <v>244</v>
      </c>
    </row>
    <row r="8" spans="1:14" ht="33">
      <c r="A8" s="262"/>
      <c r="B8" s="20" t="s">
        <v>190</v>
      </c>
      <c r="C8" s="207">
        <v>1762.2</v>
      </c>
      <c r="D8" s="207">
        <v>1530</v>
      </c>
      <c r="E8" s="207">
        <v>1196</v>
      </c>
      <c r="F8" s="208">
        <v>396.43</v>
      </c>
      <c r="G8" s="188"/>
      <c r="H8" s="188"/>
      <c r="I8" s="188"/>
      <c r="J8" s="228">
        <f>SUM(C8:I8)+D8*2+F8*3</f>
        <v>9133.92</v>
      </c>
      <c r="K8" s="6">
        <v>2026</v>
      </c>
      <c r="L8" s="24">
        <f>L7*(1-$E$3)</f>
        <v>94.09</v>
      </c>
      <c r="M8" s="6">
        <f t="shared" ref="M8:M10" si="0">L8/$L$6</f>
        <v>0.94090000000000007</v>
      </c>
      <c r="N8" s="208">
        <v>1576</v>
      </c>
    </row>
    <row r="9" spans="1:14" ht="17.25">
      <c r="A9" s="262" t="s">
        <v>191</v>
      </c>
      <c r="B9" s="172" t="s">
        <v>233</v>
      </c>
      <c r="C9" s="205">
        <v>480</v>
      </c>
      <c r="D9" s="205">
        <v>1440</v>
      </c>
      <c r="E9" s="205">
        <v>480</v>
      </c>
      <c r="F9" s="206">
        <v>1920</v>
      </c>
      <c r="G9" s="189"/>
      <c r="H9" s="189"/>
      <c r="I9" s="189"/>
      <c r="J9" s="25">
        <f>SUM(C9:I9)</f>
        <v>4320</v>
      </c>
      <c r="K9" s="6">
        <v>2027</v>
      </c>
      <c r="L9" s="24">
        <f t="shared" ref="L9:L14" si="1">L8*(1-$E$3)</f>
        <v>91.267300000000006</v>
      </c>
      <c r="M9" s="6">
        <f t="shared" si="0"/>
        <v>0.91267300000000007</v>
      </c>
      <c r="N9" s="206">
        <v>480</v>
      </c>
    </row>
    <row r="10" spans="1:14" ht="17.25">
      <c r="A10" s="262"/>
      <c r="B10" s="197" t="s">
        <v>182</v>
      </c>
      <c r="C10" s="205">
        <v>1820</v>
      </c>
      <c r="D10" s="205">
        <v>5460</v>
      </c>
      <c r="E10" s="205">
        <v>1820</v>
      </c>
      <c r="F10" s="206">
        <v>7280</v>
      </c>
      <c r="G10" s="189"/>
      <c r="H10" s="189"/>
      <c r="I10" s="190"/>
      <c r="J10" s="25">
        <f>SUM(C10:I10)</f>
        <v>16380</v>
      </c>
      <c r="K10" s="6">
        <v>2028</v>
      </c>
      <c r="L10" s="24">
        <f t="shared" si="1"/>
        <v>88.529280999999997</v>
      </c>
      <c r="M10" s="6">
        <f t="shared" si="0"/>
        <v>0.88529280999999993</v>
      </c>
      <c r="N10" s="206">
        <v>1820</v>
      </c>
    </row>
    <row r="11" spans="1:14" ht="17.25">
      <c r="A11" s="262"/>
      <c r="B11" s="197" t="s">
        <v>226</v>
      </c>
      <c r="C11" s="205">
        <v>3600</v>
      </c>
      <c r="D11" s="205">
        <v>10800</v>
      </c>
      <c r="E11" s="205">
        <v>3600</v>
      </c>
      <c r="F11" s="206">
        <v>14400</v>
      </c>
      <c r="G11" s="189"/>
      <c r="H11" s="189"/>
      <c r="I11" s="189"/>
      <c r="J11" s="25">
        <f>SUM(C11:I11)</f>
        <v>32400</v>
      </c>
      <c r="K11" s="6">
        <v>2029</v>
      </c>
      <c r="L11" s="24">
        <f t="shared" si="1"/>
        <v>85.873402569999996</v>
      </c>
      <c r="M11" s="6">
        <f t="shared" ref="M11:M14" si="2">L11/$L$6</f>
        <v>0.85873402570000001</v>
      </c>
      <c r="N11" s="206">
        <v>3600</v>
      </c>
    </row>
    <row r="12" spans="1:14" ht="17.25">
      <c r="A12" s="262"/>
      <c r="B12" s="197" t="s">
        <v>234</v>
      </c>
      <c r="C12" s="205">
        <v>6120</v>
      </c>
      <c r="D12" s="205">
        <v>18360</v>
      </c>
      <c r="E12" s="205">
        <v>6120</v>
      </c>
      <c r="F12" s="206">
        <v>24480</v>
      </c>
      <c r="G12" s="174"/>
      <c r="H12" s="191"/>
      <c r="I12" s="191"/>
      <c r="J12" s="25">
        <f>SUM(C12:I12)</f>
        <v>55080</v>
      </c>
      <c r="K12" s="6">
        <v>2030</v>
      </c>
      <c r="L12" s="24">
        <f t="shared" si="1"/>
        <v>83.297200492899989</v>
      </c>
      <c r="M12" s="6">
        <f t="shared" si="2"/>
        <v>0.83297200492899992</v>
      </c>
      <c r="N12" s="206">
        <v>6120</v>
      </c>
    </row>
    <row r="13" spans="1:14" ht="17.25">
      <c r="A13" s="262"/>
      <c r="B13" s="197" t="s">
        <v>235</v>
      </c>
      <c r="C13" s="205">
        <v>8520</v>
      </c>
      <c r="D13" s="205">
        <v>25560</v>
      </c>
      <c r="E13" s="205">
        <v>8520</v>
      </c>
      <c r="F13" s="206">
        <v>34080</v>
      </c>
      <c r="G13" s="174"/>
      <c r="H13" s="191"/>
      <c r="I13" s="191"/>
      <c r="J13" s="25">
        <f t="shared" ref="J13:J14" si="3">SUM(C13:I13)</f>
        <v>76680</v>
      </c>
      <c r="K13" s="6">
        <v>2031</v>
      </c>
      <c r="L13" s="24">
        <f t="shared" si="1"/>
        <v>80.79828447811299</v>
      </c>
      <c r="M13" s="6">
        <f t="shared" si="2"/>
        <v>0.80798284478112992</v>
      </c>
      <c r="N13" s="206">
        <v>8520</v>
      </c>
    </row>
    <row r="14" spans="1:14" ht="17.25">
      <c r="A14" s="262"/>
      <c r="B14" s="197" t="s">
        <v>236</v>
      </c>
      <c r="C14" s="205">
        <v>10080</v>
      </c>
      <c r="D14" s="205">
        <v>30240</v>
      </c>
      <c r="E14" s="205">
        <v>10080</v>
      </c>
      <c r="F14" s="206">
        <v>40320</v>
      </c>
      <c r="G14" s="174"/>
      <c r="H14" s="191"/>
      <c r="I14" s="191"/>
      <c r="J14" s="25">
        <f t="shared" si="3"/>
        <v>90720</v>
      </c>
      <c r="L14" s="24">
        <f t="shared" si="1"/>
        <v>78.374335943769594</v>
      </c>
      <c r="M14" s="6">
        <f t="shared" si="2"/>
        <v>0.78374335943769591</v>
      </c>
      <c r="N14" s="206">
        <v>10080</v>
      </c>
    </row>
    <row r="15" spans="1:14" ht="17.25">
      <c r="A15" s="262"/>
      <c r="B15" s="197" t="s">
        <v>237</v>
      </c>
      <c r="C15" s="205">
        <v>9660</v>
      </c>
      <c r="D15" s="205">
        <v>28980</v>
      </c>
      <c r="E15" s="205">
        <v>9660</v>
      </c>
      <c r="F15" s="206">
        <v>38640</v>
      </c>
      <c r="G15" s="174"/>
      <c r="H15" s="191"/>
      <c r="I15" s="191"/>
      <c r="J15" s="25">
        <f>SUM(C15:I15)</f>
        <v>86940</v>
      </c>
      <c r="N15" s="206">
        <v>9660</v>
      </c>
    </row>
    <row r="16" spans="1:14" ht="17.25">
      <c r="A16" s="262"/>
      <c r="B16" s="197" t="s">
        <v>238</v>
      </c>
      <c r="C16" s="205">
        <v>9620</v>
      </c>
      <c r="D16" s="205">
        <v>28860</v>
      </c>
      <c r="E16" s="205">
        <v>9620</v>
      </c>
      <c r="F16" s="206">
        <v>38480</v>
      </c>
      <c r="G16" s="191"/>
      <c r="H16" s="191"/>
      <c r="I16" s="191"/>
      <c r="J16" s="25">
        <f>SUM(C16:I16)</f>
        <v>86580</v>
      </c>
      <c r="N16" s="206">
        <v>9620</v>
      </c>
    </row>
    <row r="17" spans="1:14" ht="21" customHeight="1">
      <c r="A17" s="261" t="s">
        <v>16</v>
      </c>
      <c r="B17" s="261"/>
      <c r="C17" s="23">
        <f t="shared" ref="C17:J17" si="4">SUM(C9:C16)</f>
        <v>49900</v>
      </c>
      <c r="D17" s="23">
        <f t="shared" si="4"/>
        <v>149700</v>
      </c>
      <c r="E17" s="23">
        <f t="shared" si="4"/>
        <v>49900</v>
      </c>
      <c r="F17" s="23">
        <f t="shared" si="4"/>
        <v>199600</v>
      </c>
      <c r="G17" s="23">
        <f t="shared" si="4"/>
        <v>0</v>
      </c>
      <c r="H17" s="23">
        <f t="shared" si="4"/>
        <v>0</v>
      </c>
      <c r="I17" s="23">
        <f t="shared" si="4"/>
        <v>0</v>
      </c>
      <c r="J17" s="23">
        <f t="shared" si="4"/>
        <v>449100</v>
      </c>
      <c r="N17" s="23">
        <f t="shared" ref="N17" si="5">SUM(N9:N16)</f>
        <v>49900</v>
      </c>
    </row>
    <row r="18" spans="1:14" ht="17.25">
      <c r="A18" s="24"/>
      <c r="B18" s="6" t="s">
        <v>297</v>
      </c>
      <c r="C18" s="24">
        <f>材料成本!D12</f>
        <v>1298.2241463793091</v>
      </c>
      <c r="D18" s="163">
        <f>材料成本!E12</f>
        <v>1169.4887002793089</v>
      </c>
      <c r="E18" s="163">
        <f>材料成本!F12</f>
        <v>998.39250351022429</v>
      </c>
      <c r="F18" s="163">
        <f>材料成本!G12</f>
        <v>294.32221761408726</v>
      </c>
      <c r="G18" s="163">
        <f>材料成本!H12</f>
        <v>0</v>
      </c>
      <c r="H18" s="163">
        <f>材料成本!I12</f>
        <v>0</v>
      </c>
      <c r="I18" s="163">
        <f>材料成本!J12</f>
        <v>0</v>
      </c>
      <c r="J18" s="228">
        <f>SUM(C18:I18)+D18*2+F18*3</f>
        <v>6982.3716211838091</v>
      </c>
    </row>
    <row r="19" spans="1:14">
      <c r="B19" s="6" t="s">
        <v>295</v>
      </c>
      <c r="C19" s="163">
        <f>C8-C18</f>
        <v>463.97585362069094</v>
      </c>
      <c r="D19" s="163">
        <f t="shared" ref="D19:J19" si="6">D8-D18</f>
        <v>360.51129972069111</v>
      </c>
      <c r="E19" s="163">
        <f t="shared" si="6"/>
        <v>197.60749648977571</v>
      </c>
      <c r="F19" s="163">
        <f t="shared" si="6"/>
        <v>102.10778238591274</v>
      </c>
      <c r="G19" s="163">
        <f t="shared" si="6"/>
        <v>0</v>
      </c>
      <c r="H19" s="163">
        <f t="shared" si="6"/>
        <v>0</v>
      </c>
      <c r="I19" s="163">
        <f t="shared" si="6"/>
        <v>0</v>
      </c>
      <c r="J19" s="163">
        <f t="shared" si="6"/>
        <v>2151.548378816191</v>
      </c>
    </row>
    <row r="20" spans="1:14">
      <c r="B20" s="6" t="s">
        <v>296</v>
      </c>
      <c r="C20" s="229">
        <f>C19/C8</f>
        <v>0.26329352719367322</v>
      </c>
      <c r="D20" s="229">
        <f t="shared" ref="D20:J20" si="7">D19/D8</f>
        <v>0.23562830047103994</v>
      </c>
      <c r="E20" s="229">
        <f t="shared" si="7"/>
        <v>0.16522365927238772</v>
      </c>
      <c r="F20" s="229">
        <f t="shared" si="7"/>
        <v>0.25756825261941008</v>
      </c>
      <c r="G20" s="229" t="e">
        <f t="shared" si="7"/>
        <v>#DIV/0!</v>
      </c>
      <c r="H20" s="229" t="e">
        <f t="shared" si="7"/>
        <v>#DIV/0!</v>
      </c>
      <c r="I20" s="229" t="e">
        <f t="shared" si="7"/>
        <v>#DIV/0!</v>
      </c>
      <c r="J20" s="229">
        <f t="shared" si="7"/>
        <v>0.23555585978596166</v>
      </c>
    </row>
  </sheetData>
  <mergeCells count="4">
    <mergeCell ref="A17:B17"/>
    <mergeCell ref="A5:A8"/>
    <mergeCell ref="A9:A16"/>
    <mergeCell ref="J5:J7"/>
  </mergeCells>
  <phoneticPr fontId="38" type="noConversion"/>
  <printOptions horizontalCentered="1"/>
  <pageMargins left="0.118110236220472" right="0.118110236220472" top="0.35433070866141703" bottom="0.35433070866141703" header="0.31496062992126" footer="0.31496062992126"/>
  <pageSetup paperSize="9" scale="71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19"/>
  <sheetViews>
    <sheetView zoomScale="80" zoomScaleNormal="80" workbookViewId="0">
      <pane xSplit="3" ySplit="5" topLeftCell="D6" activePane="bottomRight" state="frozen"/>
      <selection pane="topRight"/>
      <selection pane="bottomLeft"/>
      <selection pane="bottomRight" activeCell="E6" sqref="E6"/>
    </sheetView>
  </sheetViews>
  <sheetFormatPr defaultColWidth="9" defaultRowHeight="16.5"/>
  <cols>
    <col min="1" max="1" width="8.375" style="6" customWidth="1"/>
    <col min="2" max="2" width="8.875" style="6" customWidth="1"/>
    <col min="3" max="3" width="14" style="6" customWidth="1"/>
    <col min="4" max="4" width="16.625" style="6" customWidth="1"/>
    <col min="5" max="5" width="13.875" style="6" bestFit="1" customWidth="1"/>
    <col min="6" max="6" width="12.125" style="6" customWidth="1"/>
    <col min="7" max="10" width="14.375" style="6" customWidth="1"/>
    <col min="11" max="11" width="17.375" style="6" customWidth="1"/>
    <col min="12" max="12" width="16" style="6" customWidth="1"/>
    <col min="13" max="16384" width="9" style="6"/>
  </cols>
  <sheetData>
    <row r="1" spans="1:13" s="5" customFormat="1" ht="28.5" customHeight="1">
      <c r="A1" s="268" t="s">
        <v>7</v>
      </c>
      <c r="B1" s="268"/>
      <c r="C1" s="7"/>
      <c r="L1" s="14"/>
    </row>
    <row r="2" spans="1:13">
      <c r="A2" s="269" t="s">
        <v>192</v>
      </c>
      <c r="B2" s="269"/>
      <c r="C2" s="270"/>
      <c r="D2" s="270"/>
      <c r="E2" s="271" t="s">
        <v>293</v>
      </c>
      <c r="F2" s="272"/>
      <c r="G2" s="272"/>
      <c r="H2" s="272"/>
      <c r="I2" s="272"/>
      <c r="J2" s="272"/>
      <c r="K2" s="273"/>
    </row>
    <row r="3" spans="1:13">
      <c r="A3" s="283" t="s">
        <v>15</v>
      </c>
      <c r="B3" s="283" t="s">
        <v>193</v>
      </c>
      <c r="C3" s="8" t="s">
        <v>194</v>
      </c>
      <c r="D3" s="274" t="str">
        <f>损益表!A1</f>
        <v>上汽红岩系列座椅开发项目项目</v>
      </c>
      <c r="E3" s="274"/>
      <c r="F3" s="8" t="s">
        <v>195</v>
      </c>
      <c r="G3" s="266" t="s">
        <v>298</v>
      </c>
      <c r="H3" s="267"/>
      <c r="I3" s="184"/>
      <c r="J3" s="184"/>
      <c r="K3" s="275" t="s">
        <v>150</v>
      </c>
    </row>
    <row r="4" spans="1:13">
      <c r="A4" s="283"/>
      <c r="B4" s="283"/>
      <c r="C4" s="8" t="s">
        <v>140</v>
      </c>
      <c r="D4" s="176" t="str">
        <f>销量!C5</f>
        <v>正司机</v>
      </c>
      <c r="E4" s="176" t="str">
        <f>销量!D5</f>
        <v>正司机</v>
      </c>
      <c r="F4" s="176" t="str">
        <f>销量!E5</f>
        <v>正司机</v>
      </c>
      <c r="G4" s="176" t="str">
        <f>销量!F5</f>
        <v>副司机</v>
      </c>
      <c r="H4" s="176">
        <f>销量!G5</f>
        <v>0</v>
      </c>
      <c r="I4" s="176">
        <f>销量!H5</f>
        <v>0</v>
      </c>
      <c r="J4" s="176">
        <f>销量!I5</f>
        <v>0</v>
      </c>
      <c r="K4" s="276"/>
    </row>
    <row r="5" spans="1:13">
      <c r="A5" s="283"/>
      <c r="B5" s="283"/>
      <c r="C5" s="8" t="s">
        <v>141</v>
      </c>
      <c r="D5" s="177">
        <f>销量!C6</f>
        <v>6000149199</v>
      </c>
      <c r="E5" s="177">
        <f>销量!D6</f>
        <v>6000149200</v>
      </c>
      <c r="F5" s="177">
        <f>销量!E6</f>
        <v>6000149201</v>
      </c>
      <c r="G5" s="177">
        <f>销量!F6</f>
        <v>6000149205</v>
      </c>
      <c r="H5" s="177">
        <f>销量!G6</f>
        <v>0</v>
      </c>
      <c r="I5" s="177">
        <f>销量!H6</f>
        <v>0</v>
      </c>
      <c r="J5" s="177">
        <f>销量!I6</f>
        <v>0</v>
      </c>
      <c r="K5" s="277"/>
    </row>
    <row r="6" spans="1:13" ht="16.5" customHeight="1">
      <c r="A6" s="11">
        <v>1</v>
      </c>
      <c r="B6" s="278"/>
      <c r="C6" s="279"/>
      <c r="D6" s="12">
        <v>1298.2241463793091</v>
      </c>
      <c r="E6" s="12">
        <v>1169.4887002793089</v>
      </c>
      <c r="F6" s="12">
        <v>998.39250351022429</v>
      </c>
      <c r="G6" s="12">
        <v>294.32221761408726</v>
      </c>
      <c r="H6" s="12"/>
      <c r="I6" s="12"/>
      <c r="J6" s="12"/>
      <c r="K6" s="192"/>
    </row>
    <row r="7" spans="1:13" ht="16.5" customHeight="1">
      <c r="A7" s="11">
        <v>2</v>
      </c>
      <c r="B7" s="278"/>
      <c r="C7" s="279"/>
      <c r="D7" s="10"/>
      <c r="E7" s="10"/>
      <c r="F7" s="10"/>
      <c r="G7" s="10"/>
      <c r="H7" s="10"/>
      <c r="I7" s="10"/>
      <c r="J7" s="10"/>
      <c r="K7" s="15"/>
    </row>
    <row r="8" spans="1:13" ht="16.5" customHeight="1">
      <c r="A8" s="11">
        <v>3</v>
      </c>
      <c r="B8" s="278"/>
      <c r="C8" s="279"/>
      <c r="D8" s="12"/>
      <c r="E8" s="10"/>
      <c r="F8" s="12"/>
      <c r="G8" s="12"/>
      <c r="H8" s="12"/>
      <c r="I8" s="12"/>
      <c r="J8" s="12"/>
      <c r="K8" s="15"/>
    </row>
    <row r="9" spans="1:13">
      <c r="A9" s="11">
        <v>4</v>
      </c>
      <c r="B9" s="278"/>
      <c r="C9" s="279"/>
      <c r="D9" s="12"/>
      <c r="E9" s="10"/>
      <c r="F9" s="12"/>
      <c r="G9" s="10"/>
      <c r="H9" s="10"/>
      <c r="I9" s="10"/>
      <c r="J9" s="10"/>
      <c r="K9" s="15"/>
    </row>
    <row r="10" spans="1:13" ht="16.5" customHeight="1">
      <c r="A10" s="11">
        <v>5</v>
      </c>
      <c r="B10" s="278"/>
      <c r="C10" s="279"/>
      <c r="D10" s="12"/>
      <c r="E10" s="10"/>
      <c r="F10" s="12"/>
      <c r="G10" s="10"/>
      <c r="H10" s="10"/>
      <c r="I10" s="10"/>
      <c r="J10" s="10"/>
      <c r="K10" s="15"/>
      <c r="L10" s="284"/>
      <c r="M10" s="285"/>
    </row>
    <row r="11" spans="1:13" ht="16.5" customHeight="1">
      <c r="A11" s="11">
        <v>6</v>
      </c>
      <c r="B11" s="278"/>
      <c r="C11" s="279"/>
      <c r="D11" s="12"/>
      <c r="E11" s="10"/>
      <c r="F11" s="12"/>
      <c r="G11" s="10"/>
      <c r="H11" s="10"/>
      <c r="I11" s="10"/>
      <c r="J11" s="10"/>
      <c r="K11" s="15"/>
      <c r="L11" s="284"/>
      <c r="M11" s="285"/>
    </row>
    <row r="12" spans="1:13" ht="31.5" customHeight="1">
      <c r="A12" s="280" t="s">
        <v>196</v>
      </c>
      <c r="B12" s="281"/>
      <c r="C12" s="282"/>
      <c r="D12" s="13">
        <f>SUM(D6:D11)</f>
        <v>1298.2241463793091</v>
      </c>
      <c r="E12" s="13">
        <f>SUM(E6:E11)</f>
        <v>1169.4887002793089</v>
      </c>
      <c r="F12" s="13">
        <f>SUM(F6:F11)</f>
        <v>998.39250351022429</v>
      </c>
      <c r="G12" s="13">
        <f>SUM(G6:G11)</f>
        <v>294.32221761408726</v>
      </c>
      <c r="H12" s="13">
        <f>SUM(H6:H11)</f>
        <v>0</v>
      </c>
      <c r="I12" s="13">
        <f t="shared" ref="I12:J12" si="0">SUM(I6:I11)</f>
        <v>0</v>
      </c>
      <c r="J12" s="13">
        <f t="shared" si="0"/>
        <v>0</v>
      </c>
      <c r="K12" s="15"/>
    </row>
    <row r="13" spans="1:13">
      <c r="C13" s="6" t="s">
        <v>292</v>
      </c>
      <c r="D13" s="227">
        <f>D12*0.97</f>
        <v>1259.2774219879298</v>
      </c>
      <c r="E13" s="227">
        <f t="shared" ref="E13:G13" si="1">E12*0.97</f>
        <v>1134.4040392709296</v>
      </c>
      <c r="F13" s="227">
        <f t="shared" si="1"/>
        <v>968.44072840491754</v>
      </c>
      <c r="G13" s="227">
        <f t="shared" si="1"/>
        <v>285.49255108566462</v>
      </c>
      <c r="H13" s="227">
        <f>H12*0.97</f>
        <v>0</v>
      </c>
      <c r="I13" s="227">
        <f t="shared" ref="I13" si="2">I12*0.97</f>
        <v>0</v>
      </c>
      <c r="J13" s="227">
        <f t="shared" ref="J13" si="3">J12*0.97</f>
        <v>0</v>
      </c>
    </row>
    <row r="14" spans="1:13">
      <c r="C14" s="6" t="s">
        <v>226</v>
      </c>
      <c r="D14" s="227">
        <f t="shared" ref="D14:D19" si="4">D13*0.97</f>
        <v>1221.4990993282918</v>
      </c>
      <c r="E14" s="227">
        <f t="shared" ref="E14:E19" si="5">E13*0.97</f>
        <v>1100.3719180928017</v>
      </c>
      <c r="F14" s="227">
        <f t="shared" ref="F14:F19" si="6">F13*0.97</f>
        <v>939.38750655276999</v>
      </c>
      <c r="G14" s="227">
        <f t="shared" ref="G14:G19" si="7">G13*0.97</f>
        <v>276.92777455309465</v>
      </c>
      <c r="H14" s="227">
        <f t="shared" ref="H14:H19" si="8">H13*0.97</f>
        <v>0</v>
      </c>
      <c r="I14" s="227">
        <f t="shared" ref="I14:I19" si="9">I13*0.97</f>
        <v>0</v>
      </c>
      <c r="J14" s="227">
        <f t="shared" ref="J14:J19" si="10">J13*0.97</f>
        <v>0</v>
      </c>
    </row>
    <row r="15" spans="1:13">
      <c r="C15" s="6" t="s">
        <v>234</v>
      </c>
      <c r="D15" s="227">
        <f t="shared" si="4"/>
        <v>1184.8541263484431</v>
      </c>
      <c r="E15" s="227">
        <f t="shared" si="5"/>
        <v>1067.3607605500176</v>
      </c>
      <c r="F15" s="227">
        <f t="shared" si="6"/>
        <v>911.20588135618686</v>
      </c>
      <c r="G15" s="227">
        <f t="shared" si="7"/>
        <v>268.61994131650181</v>
      </c>
      <c r="H15" s="227">
        <f t="shared" si="8"/>
        <v>0</v>
      </c>
      <c r="I15" s="227">
        <f t="shared" si="9"/>
        <v>0</v>
      </c>
      <c r="J15" s="227">
        <f t="shared" si="10"/>
        <v>0</v>
      </c>
    </row>
    <row r="16" spans="1:13">
      <c r="C16" s="6" t="s">
        <v>235</v>
      </c>
      <c r="D16" s="227">
        <f t="shared" si="4"/>
        <v>1149.3085025579896</v>
      </c>
      <c r="E16" s="227">
        <f t="shared" si="5"/>
        <v>1035.339937733517</v>
      </c>
      <c r="F16" s="227">
        <f t="shared" si="6"/>
        <v>883.86970491550119</v>
      </c>
      <c r="G16" s="227">
        <f t="shared" si="7"/>
        <v>260.56134307700677</v>
      </c>
      <c r="H16" s="227">
        <f t="shared" si="8"/>
        <v>0</v>
      </c>
      <c r="I16" s="227">
        <f t="shared" si="9"/>
        <v>0</v>
      </c>
      <c r="J16" s="227">
        <f t="shared" si="10"/>
        <v>0</v>
      </c>
    </row>
    <row r="17" spans="3:10">
      <c r="C17" s="6" t="s">
        <v>236</v>
      </c>
      <c r="D17" s="227">
        <f t="shared" si="4"/>
        <v>1114.8292474812499</v>
      </c>
      <c r="E17" s="227">
        <f t="shared" si="5"/>
        <v>1004.2797396015114</v>
      </c>
      <c r="F17" s="227">
        <f t="shared" si="6"/>
        <v>857.3536137680361</v>
      </c>
      <c r="G17" s="227">
        <f t="shared" si="7"/>
        <v>252.74450278469655</v>
      </c>
      <c r="H17" s="227">
        <f t="shared" si="8"/>
        <v>0</v>
      </c>
      <c r="I17" s="227">
        <f t="shared" si="9"/>
        <v>0</v>
      </c>
      <c r="J17" s="227">
        <f t="shared" si="10"/>
        <v>0</v>
      </c>
    </row>
    <row r="18" spans="3:10">
      <c r="C18" s="6" t="s">
        <v>237</v>
      </c>
      <c r="D18" s="227">
        <f t="shared" si="4"/>
        <v>1081.3843700568125</v>
      </c>
      <c r="E18" s="227">
        <f t="shared" si="5"/>
        <v>974.15134741346606</v>
      </c>
      <c r="F18" s="227">
        <f t="shared" si="6"/>
        <v>831.63300535499502</v>
      </c>
      <c r="G18" s="227">
        <f t="shared" si="7"/>
        <v>245.16216770115565</v>
      </c>
      <c r="H18" s="227">
        <f t="shared" si="8"/>
        <v>0</v>
      </c>
      <c r="I18" s="227">
        <f t="shared" si="9"/>
        <v>0</v>
      </c>
      <c r="J18" s="227">
        <f t="shared" si="10"/>
        <v>0</v>
      </c>
    </row>
    <row r="19" spans="3:10">
      <c r="C19" s="6" t="s">
        <v>238</v>
      </c>
      <c r="D19" s="227">
        <f t="shared" si="4"/>
        <v>1048.9428389551081</v>
      </c>
      <c r="E19" s="227">
        <f t="shared" si="5"/>
        <v>944.92680699106199</v>
      </c>
      <c r="F19" s="227">
        <f t="shared" si="6"/>
        <v>806.68401519434519</v>
      </c>
      <c r="G19" s="227">
        <f t="shared" si="7"/>
        <v>237.80730267012098</v>
      </c>
      <c r="H19" s="227">
        <f t="shared" si="8"/>
        <v>0</v>
      </c>
      <c r="I19" s="227">
        <f t="shared" si="9"/>
        <v>0</v>
      </c>
      <c r="J19" s="227">
        <f t="shared" si="10"/>
        <v>0</v>
      </c>
    </row>
  </sheetData>
  <mergeCells count="17">
    <mergeCell ref="B11:C11"/>
    <mergeCell ref="A12:C12"/>
    <mergeCell ref="A3:A5"/>
    <mergeCell ref="B3:B5"/>
    <mergeCell ref="L10:M10"/>
    <mergeCell ref="L11:M11"/>
    <mergeCell ref="B6:C6"/>
    <mergeCell ref="B7:C7"/>
    <mergeCell ref="B8:C8"/>
    <mergeCell ref="B9:C9"/>
    <mergeCell ref="B10:C10"/>
    <mergeCell ref="G3:H3"/>
    <mergeCell ref="A1:B1"/>
    <mergeCell ref="A2:D2"/>
    <mergeCell ref="E2:K2"/>
    <mergeCell ref="D3:E3"/>
    <mergeCell ref="K3:K5"/>
  </mergeCells>
  <phoneticPr fontId="38" type="noConversion"/>
  <pageMargins left="0.70866141732283505" right="0.118110236220472" top="0.35433070866141703" bottom="0.35433070866141703" header="0.31496062992126" footer="0.31496062992126"/>
  <pageSetup paperSize="9" orientation="portrait"/>
  <legacy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workbookViewId="0">
      <pane xSplit="2" ySplit="1" topLeftCell="C2" activePane="bottomRight" state="frozen"/>
      <selection pane="topRight"/>
      <selection pane="bottomLeft"/>
      <selection pane="bottomRight" activeCell="C20" sqref="C20"/>
    </sheetView>
  </sheetViews>
  <sheetFormatPr defaultColWidth="9" defaultRowHeight="13.5"/>
  <cols>
    <col min="1" max="1" width="4.625" style="4" customWidth="1"/>
    <col min="2" max="2" width="29.625" style="4" customWidth="1"/>
    <col min="3" max="3" width="25.5" style="4" customWidth="1"/>
    <col min="4" max="4" width="18.625" style="4" customWidth="1"/>
    <col min="5" max="16384" width="9" style="4"/>
  </cols>
  <sheetData>
    <row r="1" spans="1:4" ht="27" customHeight="1">
      <c r="A1" s="210" t="s">
        <v>15</v>
      </c>
      <c r="B1" s="210" t="s">
        <v>197</v>
      </c>
      <c r="C1" s="210" t="s">
        <v>198</v>
      </c>
      <c r="D1" s="210" t="s">
        <v>199</v>
      </c>
    </row>
    <row r="2" spans="1:4">
      <c r="A2" s="210">
        <v>1</v>
      </c>
      <c r="B2" s="211" t="s">
        <v>200</v>
      </c>
      <c r="C2" s="212" t="s">
        <v>247</v>
      </c>
      <c r="D2" s="210"/>
    </row>
    <row r="3" spans="1:4">
      <c r="A3" s="210">
        <v>2</v>
      </c>
      <c r="B3" s="211" t="s">
        <v>201</v>
      </c>
      <c r="C3" s="213" t="s">
        <v>248</v>
      </c>
      <c r="D3" s="210" t="s">
        <v>249</v>
      </c>
    </row>
    <row r="4" spans="1:4">
      <c r="A4" s="210">
        <v>3</v>
      </c>
      <c r="B4" s="211" t="s">
        <v>202</v>
      </c>
      <c r="C4" s="212"/>
      <c r="D4" s="210" t="s">
        <v>250</v>
      </c>
    </row>
    <row r="5" spans="1:4">
      <c r="A5" s="210">
        <v>4</v>
      </c>
      <c r="B5" s="211" t="s">
        <v>203</v>
      </c>
      <c r="C5" s="212" t="s">
        <v>251</v>
      </c>
      <c r="D5" s="210"/>
    </row>
    <row r="6" spans="1:4">
      <c r="A6" s="210">
        <v>5</v>
      </c>
      <c r="B6" s="211" t="s">
        <v>204</v>
      </c>
      <c r="C6" s="212" t="s">
        <v>251</v>
      </c>
      <c r="D6" s="210"/>
    </row>
    <row r="7" spans="1:4">
      <c r="A7" s="210">
        <v>6</v>
      </c>
      <c r="B7" s="210" t="s">
        <v>205</v>
      </c>
      <c r="C7" s="213"/>
      <c r="D7" s="210"/>
    </row>
    <row r="8" spans="1:4">
      <c r="A8" s="210">
        <v>7</v>
      </c>
      <c r="B8" s="211" t="s">
        <v>206</v>
      </c>
      <c r="C8" s="215" t="s">
        <v>252</v>
      </c>
      <c r="D8" s="210"/>
    </row>
    <row r="9" spans="1:4">
      <c r="A9" s="210">
        <v>8</v>
      </c>
      <c r="B9" s="210" t="s">
        <v>207</v>
      </c>
      <c r="C9" s="215"/>
      <c r="D9" s="210"/>
    </row>
    <row r="10" spans="1:4">
      <c r="A10" s="210">
        <v>9</v>
      </c>
      <c r="B10" s="210" t="s">
        <v>208</v>
      </c>
      <c r="C10" s="215"/>
      <c r="D10" s="210"/>
    </row>
    <row r="11" spans="1:4">
      <c r="A11" s="210">
        <v>10</v>
      </c>
      <c r="B11" s="210" t="s">
        <v>209</v>
      </c>
      <c r="C11" s="215"/>
      <c r="D11" s="210" t="s">
        <v>253</v>
      </c>
    </row>
    <row r="12" spans="1:4">
      <c r="A12" s="210">
        <v>11</v>
      </c>
      <c r="B12" s="210" t="s">
        <v>210</v>
      </c>
      <c r="C12" s="215"/>
      <c r="D12" s="210"/>
    </row>
    <row r="13" spans="1:4">
      <c r="A13" s="210">
        <v>12</v>
      </c>
      <c r="B13" s="211" t="s">
        <v>254</v>
      </c>
      <c r="C13" s="215" t="s">
        <v>255</v>
      </c>
      <c r="D13" s="210"/>
    </row>
    <row r="14" spans="1:4">
      <c r="A14" s="210">
        <v>13</v>
      </c>
      <c r="B14" s="211" t="s">
        <v>256</v>
      </c>
      <c r="C14" s="215" t="s">
        <v>257</v>
      </c>
      <c r="D14" s="210"/>
    </row>
    <row r="15" spans="1:4">
      <c r="A15" s="210">
        <v>14</v>
      </c>
      <c r="B15" s="211" t="s">
        <v>258</v>
      </c>
      <c r="C15" s="215" t="s">
        <v>259</v>
      </c>
      <c r="D15" s="210"/>
    </row>
    <row r="16" spans="1:4">
      <c r="A16" s="210">
        <v>15</v>
      </c>
      <c r="B16" s="210" t="s">
        <v>126</v>
      </c>
      <c r="C16" s="210"/>
      <c r="D16" s="210"/>
    </row>
    <row r="17" spans="1:4" ht="16.5">
      <c r="A17" s="214"/>
      <c r="B17" s="216" t="s">
        <v>260</v>
      </c>
      <c r="C17" s="214"/>
      <c r="D17" s="214"/>
    </row>
  </sheetData>
  <phoneticPr fontId="38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91"/>
  <sheetViews>
    <sheetView workbookViewId="0">
      <selection activeCell="F14" sqref="F14"/>
    </sheetView>
  </sheetViews>
  <sheetFormatPr defaultColWidth="9" defaultRowHeight="13.5"/>
  <cols>
    <col min="1" max="2" width="9" style="66"/>
    <col min="3" max="3" width="13.875" style="66" customWidth="1"/>
    <col min="4" max="4" width="14.625" style="66" customWidth="1"/>
    <col min="5" max="5" width="13.375" style="66" customWidth="1"/>
    <col min="6" max="6" width="11.125" style="226" customWidth="1"/>
    <col min="7" max="8" width="11.125" style="66" customWidth="1"/>
    <col min="9" max="9" width="12.875" style="149" customWidth="1"/>
    <col min="10" max="16384" width="9" style="66"/>
  </cols>
  <sheetData>
    <row r="1" spans="1:12" s="146" customFormat="1" ht="18.75" customHeight="1">
      <c r="F1" s="224"/>
      <c r="G1" s="291" t="s">
        <v>211</v>
      </c>
      <c r="H1" s="291"/>
      <c r="I1" s="147"/>
    </row>
    <row r="2" spans="1:12" ht="19.5" customHeight="1">
      <c r="A2" s="292" t="s">
        <v>212</v>
      </c>
      <c r="B2" s="292"/>
      <c r="C2" s="286" t="s">
        <v>277</v>
      </c>
      <c r="D2" s="293"/>
      <c r="E2" s="293"/>
      <c r="F2" s="293"/>
      <c r="G2" s="293"/>
      <c r="H2" s="287"/>
      <c r="I2" s="148" t="s">
        <v>219</v>
      </c>
      <c r="K2" s="166"/>
      <c r="L2" s="166"/>
    </row>
    <row r="3" spans="1:12" ht="32.25" customHeight="1">
      <c r="A3" s="292"/>
      <c r="B3" s="292"/>
      <c r="C3" s="157" t="s">
        <v>221</v>
      </c>
      <c r="D3" s="157" t="s">
        <v>222</v>
      </c>
      <c r="E3" s="157" t="s">
        <v>220</v>
      </c>
      <c r="F3" s="225" t="s">
        <v>225</v>
      </c>
      <c r="G3" s="158" t="s">
        <v>224</v>
      </c>
      <c r="H3" s="158" t="s">
        <v>223</v>
      </c>
      <c r="I3" s="161">
        <f>销量!C8</f>
        <v>1762.2</v>
      </c>
    </row>
    <row r="4" spans="1:12" ht="16.5" customHeight="1">
      <c r="A4" s="288" t="s">
        <v>213</v>
      </c>
      <c r="B4" s="288"/>
      <c r="C4" s="3"/>
      <c r="D4" s="150"/>
      <c r="E4" s="151">
        <f>$I$3*F4</f>
        <v>62.029440000000008</v>
      </c>
      <c r="F4" s="156">
        <v>3.5200000000000002E-2</v>
      </c>
      <c r="G4" s="151"/>
      <c r="H4" s="152"/>
      <c r="J4" s="164"/>
      <c r="K4" s="67"/>
      <c r="L4" s="67"/>
    </row>
    <row r="5" spans="1:12" ht="16.5" customHeight="1">
      <c r="A5" s="288" t="s">
        <v>214</v>
      </c>
      <c r="B5" s="153" t="s">
        <v>215</v>
      </c>
      <c r="C5" s="3"/>
      <c r="D5" s="150"/>
      <c r="E5" s="151">
        <f>$I$3*F5</f>
        <v>34.186680000000003</v>
      </c>
      <c r="F5" s="156">
        <v>1.9400000000000001E-2</v>
      </c>
      <c r="G5" s="152"/>
      <c r="H5" s="152"/>
      <c r="J5" s="165"/>
      <c r="K5" s="67"/>
      <c r="L5" s="67"/>
    </row>
    <row r="6" spans="1:12" ht="16.5" customHeight="1">
      <c r="A6" s="288"/>
      <c r="B6" s="153" t="s">
        <v>216</v>
      </c>
      <c r="C6" s="3"/>
      <c r="D6" s="150"/>
      <c r="E6" s="151">
        <f t="shared" ref="E6" si="0">$I$3*F6</f>
        <v>18.679320000000001</v>
      </c>
      <c r="F6" s="156">
        <v>1.06E-2</v>
      </c>
      <c r="G6" s="151"/>
      <c r="H6" s="152"/>
      <c r="J6" s="164"/>
      <c r="K6" s="67"/>
      <c r="L6" s="67"/>
    </row>
    <row r="7" spans="1:12" ht="16.5" customHeight="1">
      <c r="A7" s="286" t="s">
        <v>217</v>
      </c>
      <c r="B7" s="287"/>
      <c r="C7" s="154"/>
      <c r="D7" s="155"/>
      <c r="E7" s="151">
        <f>$I$3*F7</f>
        <v>114.89544000000002</v>
      </c>
      <c r="F7" s="156">
        <f>SUM(F4:F6)</f>
        <v>6.5200000000000008E-2</v>
      </c>
      <c r="G7" s="151"/>
      <c r="H7" s="156"/>
      <c r="J7" s="164"/>
      <c r="K7" s="67"/>
      <c r="L7" s="67"/>
    </row>
    <row r="8" spans="1:12" ht="16.5" customHeight="1">
      <c r="A8" s="288" t="s">
        <v>46</v>
      </c>
      <c r="B8" s="288"/>
      <c r="C8" s="3"/>
      <c r="D8" s="150"/>
      <c r="E8" s="151">
        <f>$I$3*F8</f>
        <v>57.447719999999997</v>
      </c>
      <c r="F8" s="156">
        <v>3.2599999999999997E-2</v>
      </c>
      <c r="G8" s="151"/>
      <c r="H8" s="152"/>
      <c r="J8" s="165"/>
      <c r="K8" s="67"/>
      <c r="L8" s="67"/>
    </row>
    <row r="9" spans="1:12" ht="16.5" customHeight="1">
      <c r="A9" s="289" t="s">
        <v>218</v>
      </c>
      <c r="B9" s="153" t="s">
        <v>215</v>
      </c>
      <c r="C9" s="3"/>
      <c r="D9" s="150"/>
      <c r="E9" s="151">
        <f>$I$3*F9</f>
        <v>16.564680000000003</v>
      </c>
      <c r="F9" s="156">
        <v>9.4000000000000004E-3</v>
      </c>
      <c r="G9" s="151"/>
      <c r="H9" s="152"/>
      <c r="J9" s="149"/>
      <c r="K9" s="67"/>
      <c r="L9" s="67"/>
    </row>
    <row r="10" spans="1:12" ht="16.5" customHeight="1">
      <c r="A10" s="290"/>
      <c r="B10" s="153" t="s">
        <v>216</v>
      </c>
      <c r="C10" s="3"/>
      <c r="D10" s="150"/>
      <c r="E10" s="151">
        <f>$I$3*F10</f>
        <v>13.921380000000001</v>
      </c>
      <c r="F10" s="222">
        <v>7.9000000000000008E-3</v>
      </c>
      <c r="G10" s="151"/>
      <c r="H10" s="152"/>
      <c r="I10" s="148" t="s">
        <v>278</v>
      </c>
      <c r="J10" s="149"/>
      <c r="K10" s="67"/>
      <c r="L10" s="67"/>
    </row>
    <row r="11" spans="1:12" ht="16.5" customHeight="1">
      <c r="A11" s="288" t="s">
        <v>49</v>
      </c>
      <c r="B11" s="288"/>
      <c r="C11" s="3"/>
      <c r="D11" s="150"/>
      <c r="E11" s="151">
        <f t="shared" ref="E11" si="1">$I$3*F11</f>
        <v>88.110000000000014</v>
      </c>
      <c r="F11" s="223">
        <v>0.05</v>
      </c>
      <c r="G11" s="151"/>
      <c r="H11" s="152"/>
      <c r="J11" s="149"/>
      <c r="K11" s="67"/>
      <c r="L11" s="67"/>
    </row>
    <row r="15" spans="1:12">
      <c r="A15" s="146"/>
      <c r="B15" s="146"/>
      <c r="C15" s="146"/>
      <c r="D15" s="146"/>
      <c r="E15" s="146"/>
      <c r="F15" s="224"/>
      <c r="G15" s="291" t="s">
        <v>211</v>
      </c>
      <c r="H15" s="291"/>
      <c r="I15" s="147"/>
    </row>
    <row r="16" spans="1:12">
      <c r="A16" s="292" t="s">
        <v>212</v>
      </c>
      <c r="B16" s="292"/>
      <c r="C16" s="286" t="str">
        <f>C2</f>
        <v>成都工厂2023.7</v>
      </c>
      <c r="D16" s="293"/>
      <c r="E16" s="293"/>
      <c r="F16" s="293"/>
      <c r="G16" s="293"/>
      <c r="H16" s="287"/>
      <c r="I16" s="148" t="s">
        <v>219</v>
      </c>
    </row>
    <row r="17" spans="1:9" ht="27">
      <c r="A17" s="292"/>
      <c r="B17" s="292"/>
      <c r="C17" s="157" t="s">
        <v>221</v>
      </c>
      <c r="D17" s="157" t="s">
        <v>222</v>
      </c>
      <c r="E17" s="157" t="s">
        <v>220</v>
      </c>
      <c r="F17" s="225" t="s">
        <v>225</v>
      </c>
      <c r="G17" s="158" t="s">
        <v>224</v>
      </c>
      <c r="H17" s="158" t="s">
        <v>223</v>
      </c>
      <c r="I17" s="161">
        <f>销量!D8</f>
        <v>1530</v>
      </c>
    </row>
    <row r="18" spans="1:9">
      <c r="A18" s="288" t="s">
        <v>213</v>
      </c>
      <c r="B18" s="288"/>
      <c r="C18" s="3"/>
      <c r="D18" s="150"/>
      <c r="E18" s="151">
        <f>$I$17*F18</f>
        <v>53.856000000000002</v>
      </c>
      <c r="F18" s="156">
        <f t="shared" ref="F18:F25" si="2">F4</f>
        <v>3.5200000000000002E-2</v>
      </c>
      <c r="G18" s="151"/>
      <c r="H18" s="152">
        <v>4.48E-2</v>
      </c>
      <c r="I18" s="149">
        <v>4.3099999999999999E-2</v>
      </c>
    </row>
    <row r="19" spans="1:9">
      <c r="A19" s="288" t="s">
        <v>214</v>
      </c>
      <c r="B19" s="173" t="s">
        <v>215</v>
      </c>
      <c r="C19" s="3"/>
      <c r="D19" s="150"/>
      <c r="E19" s="151">
        <f t="shared" ref="E19:E23" si="3">$I$17*F19</f>
        <v>29.682000000000002</v>
      </c>
      <c r="F19" s="156">
        <f t="shared" si="2"/>
        <v>1.9400000000000001E-2</v>
      </c>
      <c r="G19" s="151"/>
      <c r="H19" s="152">
        <v>4.0399999999999998E-2</v>
      </c>
    </row>
    <row r="20" spans="1:9">
      <c r="A20" s="288"/>
      <c r="B20" s="173" t="s">
        <v>216</v>
      </c>
      <c r="C20" s="3"/>
      <c r="D20" s="150"/>
      <c r="E20" s="151">
        <f t="shared" si="3"/>
        <v>16.218</v>
      </c>
      <c r="F20" s="156">
        <f t="shared" si="2"/>
        <v>1.06E-2</v>
      </c>
      <c r="G20" s="151"/>
      <c r="H20" s="152">
        <v>1.66E-2</v>
      </c>
      <c r="I20" s="149">
        <v>2.1700000000000001E-2</v>
      </c>
    </row>
    <row r="21" spans="1:9">
      <c r="A21" s="286" t="s">
        <v>217</v>
      </c>
      <c r="B21" s="287"/>
      <c r="C21" s="154"/>
      <c r="D21" s="155"/>
      <c r="E21" s="151">
        <f t="shared" si="3"/>
        <v>99.756000000000014</v>
      </c>
      <c r="F21" s="156">
        <f t="shared" si="2"/>
        <v>6.5200000000000008E-2</v>
      </c>
      <c r="G21" s="151"/>
      <c r="H21" s="156">
        <f>SUM(H18:H20)</f>
        <v>0.1018</v>
      </c>
      <c r="I21" s="149">
        <f>SUM(I18:I20)</f>
        <v>6.4799999999999996E-2</v>
      </c>
    </row>
    <row r="22" spans="1:9">
      <c r="A22" s="288" t="s">
        <v>46</v>
      </c>
      <c r="B22" s="288"/>
      <c r="C22" s="3"/>
      <c r="D22" s="150"/>
      <c r="E22" s="151">
        <f t="shared" si="3"/>
        <v>49.877999999999993</v>
      </c>
      <c r="F22" s="156">
        <f t="shared" si="2"/>
        <v>3.2599999999999997E-2</v>
      </c>
      <c r="G22" s="151"/>
      <c r="H22" s="152">
        <f>1.97%+0.75%</f>
        <v>2.7199999999999998E-2</v>
      </c>
    </row>
    <row r="23" spans="1:9">
      <c r="A23" s="289" t="s">
        <v>218</v>
      </c>
      <c r="B23" s="173" t="s">
        <v>215</v>
      </c>
      <c r="C23" s="3"/>
      <c r="D23" s="150"/>
      <c r="E23" s="151">
        <f t="shared" si="3"/>
        <v>14.382000000000001</v>
      </c>
      <c r="F23" s="156">
        <f t="shared" si="2"/>
        <v>9.4000000000000004E-3</v>
      </c>
      <c r="G23" s="151"/>
      <c r="H23" s="152">
        <v>5.3E-3</v>
      </c>
    </row>
    <row r="24" spans="1:9">
      <c r="A24" s="290"/>
      <c r="B24" s="173" t="s">
        <v>216</v>
      </c>
      <c r="C24" s="3"/>
      <c r="D24" s="150"/>
      <c r="E24" s="151">
        <f>$I$17*F24</f>
        <v>12.087000000000002</v>
      </c>
      <c r="F24" s="193">
        <f t="shared" si="2"/>
        <v>7.9000000000000008E-3</v>
      </c>
      <c r="G24" s="151"/>
      <c r="H24" s="152">
        <v>3.4099999999999998E-2</v>
      </c>
      <c r="I24" s="149">
        <v>0.03</v>
      </c>
    </row>
    <row r="25" spans="1:9">
      <c r="A25" s="288" t="s">
        <v>49</v>
      </c>
      <c r="B25" s="288"/>
      <c r="C25" s="3"/>
      <c r="D25" s="150"/>
      <c r="E25" s="151">
        <f t="shared" ref="E25" si="4">$I$17*F25</f>
        <v>76.5</v>
      </c>
      <c r="F25" s="223">
        <f t="shared" si="2"/>
        <v>0.05</v>
      </c>
      <c r="G25" s="151"/>
      <c r="H25" s="152">
        <v>1.0999999999999999E-2</v>
      </c>
      <c r="I25" s="149">
        <v>0.03</v>
      </c>
    </row>
    <row r="29" spans="1:9">
      <c r="A29" s="146"/>
      <c r="B29" s="146"/>
      <c r="C29" s="146"/>
      <c r="D29" s="146"/>
      <c r="E29" s="146"/>
      <c r="F29" s="224"/>
      <c r="G29" s="291" t="s">
        <v>211</v>
      </c>
      <c r="H29" s="291"/>
      <c r="I29" s="147"/>
    </row>
    <row r="30" spans="1:9">
      <c r="A30" s="292" t="s">
        <v>212</v>
      </c>
      <c r="B30" s="292"/>
      <c r="C30" s="286" t="str">
        <f>C2</f>
        <v>成都工厂2023.7</v>
      </c>
      <c r="D30" s="293"/>
      <c r="E30" s="293"/>
      <c r="F30" s="293"/>
      <c r="G30" s="293"/>
      <c r="H30" s="287"/>
      <c r="I30" s="148" t="s">
        <v>219</v>
      </c>
    </row>
    <row r="31" spans="1:9" ht="27">
      <c r="A31" s="292"/>
      <c r="B31" s="292"/>
      <c r="C31" s="157" t="s">
        <v>221</v>
      </c>
      <c r="D31" s="157" t="s">
        <v>222</v>
      </c>
      <c r="E31" s="157" t="s">
        <v>220</v>
      </c>
      <c r="F31" s="225" t="s">
        <v>225</v>
      </c>
      <c r="G31" s="158" t="s">
        <v>224</v>
      </c>
      <c r="H31" s="158" t="s">
        <v>223</v>
      </c>
      <c r="I31" s="161">
        <f>销量!E8</f>
        <v>1196</v>
      </c>
    </row>
    <row r="32" spans="1:9">
      <c r="A32" s="288" t="s">
        <v>213</v>
      </c>
      <c r="B32" s="288"/>
      <c r="C32" s="3"/>
      <c r="D32" s="150"/>
      <c r="E32" s="151">
        <f>$I$31*F32</f>
        <v>42.099200000000003</v>
      </c>
      <c r="F32" s="156">
        <f t="shared" ref="F32:F39" si="5">F4</f>
        <v>3.5200000000000002E-2</v>
      </c>
      <c r="G32" s="151"/>
      <c r="H32" s="152">
        <v>4.48E-2</v>
      </c>
      <c r="I32" s="149">
        <v>4.3099999999999999E-2</v>
      </c>
    </row>
    <row r="33" spans="1:9">
      <c r="A33" s="288" t="s">
        <v>214</v>
      </c>
      <c r="B33" s="173" t="s">
        <v>215</v>
      </c>
      <c r="C33" s="3"/>
      <c r="D33" s="150"/>
      <c r="E33" s="151">
        <f t="shared" ref="E33:E37" si="6">$I$31*F33</f>
        <v>23.202400000000001</v>
      </c>
      <c r="F33" s="156">
        <f t="shared" si="5"/>
        <v>1.9400000000000001E-2</v>
      </c>
      <c r="G33" s="151"/>
      <c r="H33" s="152">
        <v>4.0399999999999998E-2</v>
      </c>
    </row>
    <row r="34" spans="1:9">
      <c r="A34" s="288"/>
      <c r="B34" s="173" t="s">
        <v>216</v>
      </c>
      <c r="C34" s="3"/>
      <c r="D34" s="150"/>
      <c r="E34" s="151">
        <f t="shared" si="6"/>
        <v>12.6776</v>
      </c>
      <c r="F34" s="156">
        <f t="shared" si="5"/>
        <v>1.06E-2</v>
      </c>
      <c r="G34" s="151"/>
      <c r="H34" s="152">
        <v>1.66E-2</v>
      </c>
      <c r="I34" s="149">
        <v>2.1700000000000001E-2</v>
      </c>
    </row>
    <row r="35" spans="1:9">
      <c r="A35" s="286" t="s">
        <v>217</v>
      </c>
      <c r="B35" s="287"/>
      <c r="C35" s="154"/>
      <c r="D35" s="155"/>
      <c r="E35" s="151">
        <f t="shared" si="6"/>
        <v>77.979200000000006</v>
      </c>
      <c r="F35" s="156">
        <f t="shared" si="5"/>
        <v>6.5200000000000008E-2</v>
      </c>
      <c r="G35" s="156"/>
      <c r="H35" s="156">
        <f>SUM(H32:H34)</f>
        <v>0.1018</v>
      </c>
      <c r="I35" s="149">
        <f>SUM(I32:I34)</f>
        <v>6.4799999999999996E-2</v>
      </c>
    </row>
    <row r="36" spans="1:9">
      <c r="A36" s="288" t="s">
        <v>46</v>
      </c>
      <c r="B36" s="288"/>
      <c r="C36" s="3"/>
      <c r="D36" s="150"/>
      <c r="E36" s="151">
        <f t="shared" si="6"/>
        <v>38.989599999999996</v>
      </c>
      <c r="F36" s="156">
        <f t="shared" si="5"/>
        <v>3.2599999999999997E-2</v>
      </c>
      <c r="G36" s="151"/>
      <c r="H36" s="152">
        <f>1.97%+0.75%</f>
        <v>2.7199999999999998E-2</v>
      </c>
    </row>
    <row r="37" spans="1:9">
      <c r="A37" s="289" t="s">
        <v>218</v>
      </c>
      <c r="B37" s="173" t="s">
        <v>215</v>
      </c>
      <c r="C37" s="3"/>
      <c r="D37" s="150"/>
      <c r="E37" s="151">
        <f t="shared" si="6"/>
        <v>11.2424</v>
      </c>
      <c r="F37" s="156">
        <f t="shared" si="5"/>
        <v>9.4000000000000004E-3</v>
      </c>
      <c r="G37" s="151"/>
      <c r="H37" s="152">
        <v>5.3E-3</v>
      </c>
    </row>
    <row r="38" spans="1:9">
      <c r="A38" s="290"/>
      <c r="B38" s="173" t="s">
        <v>216</v>
      </c>
      <c r="C38" s="3"/>
      <c r="D38" s="150"/>
      <c r="E38" s="151">
        <f>$I$31*F38</f>
        <v>9.4484000000000012</v>
      </c>
      <c r="F38" s="193">
        <f t="shared" si="5"/>
        <v>7.9000000000000008E-3</v>
      </c>
      <c r="G38" s="151"/>
      <c r="H38" s="152">
        <v>3.4099999999999998E-2</v>
      </c>
      <c r="I38" s="149">
        <v>0.03</v>
      </c>
    </row>
    <row r="39" spans="1:9">
      <c r="A39" s="288" t="s">
        <v>49</v>
      </c>
      <c r="B39" s="288"/>
      <c r="C39" s="3"/>
      <c r="D39" s="150"/>
      <c r="E39" s="151">
        <f t="shared" ref="E39" si="7">$I$31*F39</f>
        <v>59.800000000000004</v>
      </c>
      <c r="F39" s="223">
        <f t="shared" si="5"/>
        <v>0.05</v>
      </c>
      <c r="G39" s="151"/>
      <c r="H39" s="152">
        <v>1.0999999999999999E-2</v>
      </c>
      <c r="I39" s="149">
        <v>0.03</v>
      </c>
    </row>
    <row r="42" spans="1:9">
      <c r="A42" s="146"/>
      <c r="B42" s="146"/>
      <c r="C42" s="146"/>
      <c r="D42" s="146"/>
      <c r="E42" s="146"/>
      <c r="F42" s="224"/>
      <c r="G42" s="291" t="s">
        <v>211</v>
      </c>
      <c r="H42" s="291"/>
      <c r="I42" s="147"/>
    </row>
    <row r="43" spans="1:9">
      <c r="A43" s="292" t="s">
        <v>212</v>
      </c>
      <c r="B43" s="292"/>
      <c r="C43" s="286" t="str">
        <f>C2</f>
        <v>成都工厂2023.7</v>
      </c>
      <c r="D43" s="293"/>
      <c r="E43" s="293"/>
      <c r="F43" s="293"/>
      <c r="G43" s="293"/>
      <c r="H43" s="287"/>
      <c r="I43" s="148" t="s">
        <v>219</v>
      </c>
    </row>
    <row r="44" spans="1:9" ht="27">
      <c r="A44" s="292"/>
      <c r="B44" s="292"/>
      <c r="C44" s="157" t="s">
        <v>221</v>
      </c>
      <c r="D44" s="157" t="s">
        <v>222</v>
      </c>
      <c r="E44" s="157" t="s">
        <v>220</v>
      </c>
      <c r="F44" s="225" t="s">
        <v>225</v>
      </c>
      <c r="G44" s="158" t="s">
        <v>224</v>
      </c>
      <c r="H44" s="158" t="s">
        <v>223</v>
      </c>
      <c r="I44" s="161">
        <f>销量!F8</f>
        <v>396.43</v>
      </c>
    </row>
    <row r="45" spans="1:9">
      <c r="A45" s="288" t="s">
        <v>213</v>
      </c>
      <c r="B45" s="288"/>
      <c r="C45" s="3"/>
      <c r="D45" s="150"/>
      <c r="E45" s="151">
        <f>$I$44*F45</f>
        <v>13.954336000000001</v>
      </c>
      <c r="F45" s="156">
        <f t="shared" ref="F45:F52" si="8">F4</f>
        <v>3.5200000000000002E-2</v>
      </c>
      <c r="G45" s="151"/>
      <c r="H45" s="152">
        <v>4.48E-2</v>
      </c>
      <c r="I45" s="149">
        <v>4.3099999999999999E-2</v>
      </c>
    </row>
    <row r="46" spans="1:9">
      <c r="A46" s="288" t="s">
        <v>214</v>
      </c>
      <c r="B46" s="173" t="s">
        <v>215</v>
      </c>
      <c r="C46" s="3"/>
      <c r="D46" s="150"/>
      <c r="E46" s="151">
        <f t="shared" ref="E46:E50" si="9">$I$44*F46</f>
        <v>7.6907420000000002</v>
      </c>
      <c r="F46" s="156">
        <f t="shared" si="8"/>
        <v>1.9400000000000001E-2</v>
      </c>
      <c r="G46" s="151"/>
      <c r="H46" s="152">
        <v>4.0399999999999998E-2</v>
      </c>
    </row>
    <row r="47" spans="1:9">
      <c r="A47" s="288"/>
      <c r="B47" s="173" t="s">
        <v>216</v>
      </c>
      <c r="C47" s="3"/>
      <c r="D47" s="150"/>
      <c r="E47" s="151">
        <f t="shared" si="9"/>
        <v>4.2021579999999998</v>
      </c>
      <c r="F47" s="156">
        <f t="shared" si="8"/>
        <v>1.06E-2</v>
      </c>
      <c r="G47" s="151"/>
      <c r="H47" s="152">
        <v>1.66E-2</v>
      </c>
      <c r="I47" s="149">
        <v>2.1700000000000001E-2</v>
      </c>
    </row>
    <row r="48" spans="1:9">
      <c r="A48" s="286" t="s">
        <v>217</v>
      </c>
      <c r="B48" s="287"/>
      <c r="C48" s="154"/>
      <c r="D48" s="155"/>
      <c r="E48" s="151">
        <f t="shared" si="9"/>
        <v>25.847236000000002</v>
      </c>
      <c r="F48" s="156">
        <f t="shared" si="8"/>
        <v>6.5200000000000008E-2</v>
      </c>
      <c r="G48" s="156"/>
      <c r="H48" s="156">
        <f>SUM(H45:H47)</f>
        <v>0.1018</v>
      </c>
      <c r="I48" s="149">
        <f>SUM(I45:I47)</f>
        <v>6.4799999999999996E-2</v>
      </c>
    </row>
    <row r="49" spans="1:9">
      <c r="A49" s="288" t="s">
        <v>46</v>
      </c>
      <c r="B49" s="288"/>
      <c r="C49" s="3"/>
      <c r="D49" s="150"/>
      <c r="E49" s="151">
        <f t="shared" si="9"/>
        <v>12.923617999999999</v>
      </c>
      <c r="F49" s="156">
        <f t="shared" si="8"/>
        <v>3.2599999999999997E-2</v>
      </c>
      <c r="G49" s="151"/>
      <c r="H49" s="152">
        <f>1.97%+0.75%</f>
        <v>2.7199999999999998E-2</v>
      </c>
    </row>
    <row r="50" spans="1:9">
      <c r="A50" s="289" t="s">
        <v>218</v>
      </c>
      <c r="B50" s="173" t="s">
        <v>215</v>
      </c>
      <c r="C50" s="3"/>
      <c r="D50" s="150"/>
      <c r="E50" s="151">
        <f t="shared" si="9"/>
        <v>3.726442</v>
      </c>
      <c r="F50" s="156">
        <f t="shared" si="8"/>
        <v>9.4000000000000004E-3</v>
      </c>
      <c r="G50" s="151"/>
      <c r="H50" s="152">
        <v>5.3E-3</v>
      </c>
    </row>
    <row r="51" spans="1:9">
      <c r="A51" s="290"/>
      <c r="B51" s="173" t="s">
        <v>216</v>
      </c>
      <c r="C51" s="3"/>
      <c r="D51" s="150"/>
      <c r="E51" s="151">
        <f>$I$44*F51</f>
        <v>3.1317970000000002</v>
      </c>
      <c r="F51" s="193">
        <f t="shared" si="8"/>
        <v>7.9000000000000008E-3</v>
      </c>
      <c r="G51" s="151"/>
      <c r="H51" s="152">
        <v>3.4099999999999998E-2</v>
      </c>
      <c r="I51" s="149">
        <v>0.03</v>
      </c>
    </row>
    <row r="52" spans="1:9">
      <c r="A52" s="288" t="s">
        <v>49</v>
      </c>
      <c r="B52" s="288"/>
      <c r="C52" s="3"/>
      <c r="D52" s="150"/>
      <c r="E52" s="151">
        <f t="shared" ref="E52" si="10">$I$44*F52</f>
        <v>19.8215</v>
      </c>
      <c r="F52" s="223">
        <f t="shared" si="8"/>
        <v>0.05</v>
      </c>
      <c r="G52" s="151"/>
      <c r="H52" s="152">
        <v>1.0999999999999999E-2</v>
      </c>
      <c r="I52" s="149">
        <v>0.03</v>
      </c>
    </row>
    <row r="55" spans="1:9">
      <c r="A55" s="146"/>
      <c r="B55" s="146"/>
      <c r="C55" s="146"/>
      <c r="D55" s="146"/>
      <c r="E55" s="146"/>
      <c r="F55" s="224"/>
      <c r="G55" s="291" t="s">
        <v>211</v>
      </c>
      <c r="H55" s="291"/>
      <c r="I55" s="147"/>
    </row>
    <row r="56" spans="1:9">
      <c r="A56" s="292" t="s">
        <v>212</v>
      </c>
      <c r="B56" s="292"/>
      <c r="C56" s="286" t="str">
        <f>C2</f>
        <v>成都工厂2023.7</v>
      </c>
      <c r="D56" s="293"/>
      <c r="E56" s="293"/>
      <c r="F56" s="293"/>
      <c r="G56" s="293"/>
      <c r="H56" s="287"/>
      <c r="I56" s="148" t="s">
        <v>219</v>
      </c>
    </row>
    <row r="57" spans="1:9" ht="27">
      <c r="A57" s="292"/>
      <c r="B57" s="292"/>
      <c r="C57" s="157" t="s">
        <v>221</v>
      </c>
      <c r="D57" s="157" t="s">
        <v>222</v>
      </c>
      <c r="E57" s="157" t="s">
        <v>220</v>
      </c>
      <c r="F57" s="225" t="s">
        <v>225</v>
      </c>
      <c r="G57" s="158" t="s">
        <v>224</v>
      </c>
      <c r="H57" s="158" t="s">
        <v>223</v>
      </c>
      <c r="I57" s="161">
        <f>销量!G8</f>
        <v>0</v>
      </c>
    </row>
    <row r="58" spans="1:9">
      <c r="A58" s="288" t="s">
        <v>213</v>
      </c>
      <c r="B58" s="288"/>
      <c r="C58" s="3"/>
      <c r="D58" s="150"/>
      <c r="E58" s="151">
        <f>$I$57*F58</f>
        <v>0</v>
      </c>
      <c r="F58" s="156">
        <f t="shared" ref="F58:F65" si="11">F4</f>
        <v>3.5200000000000002E-2</v>
      </c>
      <c r="G58" s="151"/>
      <c r="H58" s="152">
        <v>4.48E-2</v>
      </c>
      <c r="I58" s="149">
        <v>4.3099999999999999E-2</v>
      </c>
    </row>
    <row r="59" spans="1:9">
      <c r="A59" s="288" t="s">
        <v>214</v>
      </c>
      <c r="B59" s="173" t="s">
        <v>215</v>
      </c>
      <c r="C59" s="3"/>
      <c r="D59" s="150"/>
      <c r="E59" s="151">
        <f t="shared" ref="E59:E63" si="12">$I$57*F59</f>
        <v>0</v>
      </c>
      <c r="F59" s="156">
        <f t="shared" si="11"/>
        <v>1.9400000000000001E-2</v>
      </c>
      <c r="G59" s="151"/>
      <c r="H59" s="152">
        <v>4.0399999999999998E-2</v>
      </c>
    </row>
    <row r="60" spans="1:9">
      <c r="A60" s="288"/>
      <c r="B60" s="173" t="s">
        <v>216</v>
      </c>
      <c r="C60" s="3"/>
      <c r="D60" s="150"/>
      <c r="E60" s="151">
        <f t="shared" si="12"/>
        <v>0</v>
      </c>
      <c r="F60" s="156">
        <f t="shared" si="11"/>
        <v>1.06E-2</v>
      </c>
      <c r="G60" s="151"/>
      <c r="H60" s="152">
        <v>1.66E-2</v>
      </c>
      <c r="I60" s="149">
        <v>2.1700000000000001E-2</v>
      </c>
    </row>
    <row r="61" spans="1:9">
      <c r="A61" s="286" t="s">
        <v>217</v>
      </c>
      <c r="B61" s="287"/>
      <c r="C61" s="154"/>
      <c r="D61" s="155"/>
      <c r="E61" s="151">
        <f t="shared" si="12"/>
        <v>0</v>
      </c>
      <c r="F61" s="156">
        <f t="shared" si="11"/>
        <v>6.5200000000000008E-2</v>
      </c>
      <c r="G61" s="156"/>
      <c r="H61" s="156">
        <f>SUM(H58:H60)</f>
        <v>0.1018</v>
      </c>
      <c r="I61" s="149">
        <f>SUM(I58:I60)</f>
        <v>6.4799999999999996E-2</v>
      </c>
    </row>
    <row r="62" spans="1:9">
      <c r="A62" s="288" t="s">
        <v>46</v>
      </c>
      <c r="B62" s="288"/>
      <c r="C62" s="3"/>
      <c r="D62" s="150"/>
      <c r="E62" s="151">
        <f t="shared" si="12"/>
        <v>0</v>
      </c>
      <c r="F62" s="156">
        <f t="shared" si="11"/>
        <v>3.2599999999999997E-2</v>
      </c>
      <c r="G62" s="151"/>
      <c r="H62" s="152">
        <f>1.97%+0.75%</f>
        <v>2.7199999999999998E-2</v>
      </c>
    </row>
    <row r="63" spans="1:9">
      <c r="A63" s="289" t="s">
        <v>218</v>
      </c>
      <c r="B63" s="173" t="s">
        <v>215</v>
      </c>
      <c r="C63" s="3"/>
      <c r="D63" s="150"/>
      <c r="E63" s="151">
        <f t="shared" si="12"/>
        <v>0</v>
      </c>
      <c r="F63" s="156">
        <f t="shared" si="11"/>
        <v>9.4000000000000004E-3</v>
      </c>
      <c r="G63" s="151"/>
      <c r="H63" s="152">
        <v>5.3E-3</v>
      </c>
    </row>
    <row r="64" spans="1:9">
      <c r="A64" s="290"/>
      <c r="B64" s="173" t="s">
        <v>216</v>
      </c>
      <c r="C64" s="3"/>
      <c r="D64" s="150"/>
      <c r="E64" s="151">
        <f>$I$57*F64</f>
        <v>0</v>
      </c>
      <c r="F64" s="193">
        <f t="shared" si="11"/>
        <v>7.9000000000000008E-3</v>
      </c>
      <c r="G64" s="151"/>
      <c r="H64" s="152">
        <v>3.4099999999999998E-2</v>
      </c>
      <c r="I64" s="149">
        <v>0.03</v>
      </c>
    </row>
    <row r="65" spans="1:9">
      <c r="A65" s="288" t="s">
        <v>49</v>
      </c>
      <c r="B65" s="288"/>
      <c r="C65" s="3"/>
      <c r="D65" s="150"/>
      <c r="E65" s="151">
        <f t="shared" ref="E65" si="13">$I$57*F65</f>
        <v>0</v>
      </c>
      <c r="F65" s="223">
        <f t="shared" si="11"/>
        <v>0.05</v>
      </c>
      <c r="G65" s="151"/>
      <c r="H65" s="152">
        <v>1.0999999999999999E-2</v>
      </c>
      <c r="I65" s="149">
        <v>0.03</v>
      </c>
    </row>
    <row r="68" spans="1:9">
      <c r="A68" s="146"/>
      <c r="B68" s="146"/>
      <c r="C68" s="146"/>
      <c r="D68" s="146"/>
      <c r="E68" s="146"/>
      <c r="F68" s="224"/>
      <c r="G68" s="291" t="s">
        <v>211</v>
      </c>
      <c r="H68" s="291"/>
      <c r="I68" s="147"/>
    </row>
    <row r="69" spans="1:9">
      <c r="A69" s="292" t="s">
        <v>212</v>
      </c>
      <c r="B69" s="292"/>
      <c r="C69" s="286" t="str">
        <f>C2</f>
        <v>成都工厂2023.7</v>
      </c>
      <c r="D69" s="293"/>
      <c r="E69" s="293"/>
      <c r="F69" s="293"/>
      <c r="G69" s="293"/>
      <c r="H69" s="287"/>
      <c r="I69" s="148" t="s">
        <v>219</v>
      </c>
    </row>
    <row r="70" spans="1:9" ht="27">
      <c r="A70" s="292"/>
      <c r="B70" s="292"/>
      <c r="C70" s="157" t="s">
        <v>221</v>
      </c>
      <c r="D70" s="157" t="s">
        <v>222</v>
      </c>
      <c r="E70" s="157" t="s">
        <v>220</v>
      </c>
      <c r="F70" s="225" t="s">
        <v>225</v>
      </c>
      <c r="G70" s="158" t="s">
        <v>224</v>
      </c>
      <c r="H70" s="158" t="s">
        <v>223</v>
      </c>
      <c r="I70" s="161">
        <f>销量!H8</f>
        <v>0</v>
      </c>
    </row>
    <row r="71" spans="1:9">
      <c r="A71" s="288" t="s">
        <v>213</v>
      </c>
      <c r="B71" s="288"/>
      <c r="C71" s="3"/>
      <c r="D71" s="150"/>
      <c r="E71" s="151">
        <f>$I$70*F71</f>
        <v>0</v>
      </c>
      <c r="F71" s="156">
        <v>2.8000000000000001E-2</v>
      </c>
      <c r="G71" s="151"/>
      <c r="H71" s="152">
        <v>4.48E-2</v>
      </c>
      <c r="I71" s="149">
        <v>4.3099999999999999E-2</v>
      </c>
    </row>
    <row r="72" spans="1:9">
      <c r="A72" s="288" t="s">
        <v>214</v>
      </c>
      <c r="B72" s="173" t="s">
        <v>215</v>
      </c>
      <c r="C72" s="3"/>
      <c r="D72" s="150"/>
      <c r="E72" s="151">
        <f t="shared" ref="E72:E76" si="14">$I$70*F72</f>
        <v>0</v>
      </c>
      <c r="F72" s="156">
        <v>0.03</v>
      </c>
      <c r="G72" s="151"/>
      <c r="H72" s="152">
        <v>4.0399999999999998E-2</v>
      </c>
    </row>
    <row r="73" spans="1:9">
      <c r="A73" s="288"/>
      <c r="B73" s="173" t="s">
        <v>216</v>
      </c>
      <c r="C73" s="3"/>
      <c r="D73" s="150"/>
      <c r="E73" s="151">
        <f t="shared" si="14"/>
        <v>0</v>
      </c>
      <c r="F73" s="156">
        <v>1.0999999999999999E-2</v>
      </c>
      <c r="G73" s="151"/>
      <c r="H73" s="152">
        <v>1.66E-2</v>
      </c>
      <c r="I73" s="149">
        <v>2.1700000000000001E-2</v>
      </c>
    </row>
    <row r="74" spans="1:9">
      <c r="A74" s="286" t="s">
        <v>217</v>
      </c>
      <c r="B74" s="287"/>
      <c r="C74" s="154"/>
      <c r="D74" s="155"/>
      <c r="E74" s="151">
        <f t="shared" si="14"/>
        <v>0</v>
      </c>
      <c r="F74" s="156">
        <f>SUM(F71:F73)</f>
        <v>6.8999999999999992E-2</v>
      </c>
      <c r="G74" s="156"/>
      <c r="H74" s="156">
        <f>SUM(H71:H73)</f>
        <v>0.1018</v>
      </c>
      <c r="I74" s="149">
        <f>SUM(I71:I73)</f>
        <v>6.4799999999999996E-2</v>
      </c>
    </row>
    <row r="75" spans="1:9">
      <c r="A75" s="288" t="s">
        <v>46</v>
      </c>
      <c r="B75" s="288"/>
      <c r="C75" s="3"/>
      <c r="D75" s="150"/>
      <c r="E75" s="151">
        <f t="shared" si="14"/>
        <v>0</v>
      </c>
      <c r="F75" s="156">
        <v>1.6E-2</v>
      </c>
      <c r="G75" s="151"/>
      <c r="H75" s="152">
        <f>1.97%+0.75%</f>
        <v>2.7199999999999998E-2</v>
      </c>
    </row>
    <row r="76" spans="1:9">
      <c r="A76" s="289" t="s">
        <v>218</v>
      </c>
      <c r="B76" s="173" t="s">
        <v>215</v>
      </c>
      <c r="C76" s="3"/>
      <c r="D76" s="150"/>
      <c r="E76" s="151">
        <f t="shared" si="14"/>
        <v>0</v>
      </c>
      <c r="F76" s="156">
        <v>8.0000000000000002E-3</v>
      </c>
      <c r="G76" s="151"/>
      <c r="H76" s="152">
        <v>5.3E-3</v>
      </c>
    </row>
    <row r="77" spans="1:9">
      <c r="A77" s="290"/>
      <c r="B77" s="173" t="s">
        <v>216</v>
      </c>
      <c r="C77" s="3"/>
      <c r="D77" s="150"/>
      <c r="E77" s="151">
        <f>$I$70*F77</f>
        <v>0</v>
      </c>
      <c r="F77" s="193">
        <v>0.03</v>
      </c>
      <c r="G77" s="151"/>
      <c r="H77" s="152">
        <v>3.4099999999999998E-2</v>
      </c>
      <c r="I77" s="149">
        <v>0.03</v>
      </c>
    </row>
    <row r="78" spans="1:9">
      <c r="A78" s="288" t="s">
        <v>49</v>
      </c>
      <c r="B78" s="288"/>
      <c r="C78" s="3"/>
      <c r="D78" s="150"/>
      <c r="E78" s="151">
        <f t="shared" ref="E78" si="15">$I$70*F78</f>
        <v>0</v>
      </c>
      <c r="F78" s="223">
        <v>0.02</v>
      </c>
      <c r="G78" s="151"/>
      <c r="H78" s="152">
        <v>1.0999999999999999E-2</v>
      </c>
      <c r="I78" s="149">
        <v>0.03</v>
      </c>
    </row>
    <row r="81" spans="1:9">
      <c r="A81" s="146"/>
      <c r="B81" s="146"/>
      <c r="C81" s="146"/>
      <c r="D81" s="146"/>
      <c r="E81" s="146"/>
      <c r="F81" s="224"/>
      <c r="G81" s="291" t="s">
        <v>211</v>
      </c>
      <c r="H81" s="291"/>
      <c r="I81" s="147"/>
    </row>
    <row r="82" spans="1:9">
      <c r="A82" s="292" t="s">
        <v>212</v>
      </c>
      <c r="B82" s="292"/>
      <c r="C82" s="286" t="str">
        <f>C2</f>
        <v>成都工厂2023.7</v>
      </c>
      <c r="D82" s="293"/>
      <c r="E82" s="293"/>
      <c r="F82" s="293"/>
      <c r="G82" s="293"/>
      <c r="H82" s="287"/>
      <c r="I82" s="148" t="s">
        <v>219</v>
      </c>
    </row>
    <row r="83" spans="1:9" ht="27">
      <c r="A83" s="292"/>
      <c r="B83" s="292"/>
      <c r="C83" s="157" t="s">
        <v>221</v>
      </c>
      <c r="D83" s="157" t="s">
        <v>222</v>
      </c>
      <c r="E83" s="157" t="s">
        <v>220</v>
      </c>
      <c r="F83" s="225" t="s">
        <v>225</v>
      </c>
      <c r="G83" s="158" t="s">
        <v>224</v>
      </c>
      <c r="H83" s="158" t="s">
        <v>223</v>
      </c>
      <c r="I83" s="161">
        <f>销量!I8</f>
        <v>0</v>
      </c>
    </row>
    <row r="84" spans="1:9">
      <c r="A84" s="288" t="s">
        <v>213</v>
      </c>
      <c r="B84" s="288"/>
      <c r="C84" s="3"/>
      <c r="D84" s="150"/>
      <c r="E84" s="151">
        <f>$I$83*F84</f>
        <v>0</v>
      </c>
      <c r="F84" s="156">
        <f t="shared" ref="F84:F91" si="16">F4</f>
        <v>3.5200000000000002E-2</v>
      </c>
      <c r="G84" s="151"/>
      <c r="H84" s="152">
        <v>4.48E-2</v>
      </c>
      <c r="I84" s="149">
        <v>4.3099999999999999E-2</v>
      </c>
    </row>
    <row r="85" spans="1:9">
      <c r="A85" s="288" t="s">
        <v>214</v>
      </c>
      <c r="B85" s="185" t="s">
        <v>215</v>
      </c>
      <c r="C85" s="3"/>
      <c r="D85" s="150"/>
      <c r="E85" s="151">
        <f t="shared" ref="E85:E89" si="17">$I$83*F85</f>
        <v>0</v>
      </c>
      <c r="F85" s="156">
        <f t="shared" si="16"/>
        <v>1.9400000000000001E-2</v>
      </c>
      <c r="G85" s="151"/>
      <c r="H85" s="152">
        <v>4.0399999999999998E-2</v>
      </c>
    </row>
    <row r="86" spans="1:9">
      <c r="A86" s="288"/>
      <c r="B86" s="185" t="s">
        <v>216</v>
      </c>
      <c r="C86" s="3"/>
      <c r="D86" s="150"/>
      <c r="E86" s="151">
        <f t="shared" si="17"/>
        <v>0</v>
      </c>
      <c r="F86" s="156">
        <f t="shared" si="16"/>
        <v>1.06E-2</v>
      </c>
      <c r="G86" s="151"/>
      <c r="H86" s="152">
        <v>1.66E-2</v>
      </c>
      <c r="I86" s="149">
        <v>2.1700000000000001E-2</v>
      </c>
    </row>
    <row r="87" spans="1:9">
      <c r="A87" s="286" t="s">
        <v>217</v>
      </c>
      <c r="B87" s="287"/>
      <c r="C87" s="154"/>
      <c r="D87" s="155"/>
      <c r="E87" s="151">
        <f t="shared" si="17"/>
        <v>0</v>
      </c>
      <c r="F87" s="156">
        <f t="shared" si="16"/>
        <v>6.5200000000000008E-2</v>
      </c>
      <c r="G87" s="156"/>
      <c r="H87" s="156">
        <f>SUM(H84:H86)</f>
        <v>0.1018</v>
      </c>
      <c r="I87" s="149">
        <f>SUM(I84:I86)</f>
        <v>6.4799999999999996E-2</v>
      </c>
    </row>
    <row r="88" spans="1:9">
      <c r="A88" s="288" t="s">
        <v>46</v>
      </c>
      <c r="B88" s="288"/>
      <c r="C88" s="3"/>
      <c r="D88" s="150"/>
      <c r="E88" s="151">
        <f t="shared" si="17"/>
        <v>0</v>
      </c>
      <c r="F88" s="156">
        <f t="shared" si="16"/>
        <v>3.2599999999999997E-2</v>
      </c>
      <c r="G88" s="151"/>
      <c r="H88" s="152">
        <f>1.97%+0.75%</f>
        <v>2.7199999999999998E-2</v>
      </c>
    </row>
    <row r="89" spans="1:9">
      <c r="A89" s="289" t="s">
        <v>218</v>
      </c>
      <c r="B89" s="185" t="s">
        <v>215</v>
      </c>
      <c r="C89" s="3"/>
      <c r="D89" s="150"/>
      <c r="E89" s="151">
        <f t="shared" si="17"/>
        <v>0</v>
      </c>
      <c r="F89" s="156">
        <f t="shared" si="16"/>
        <v>9.4000000000000004E-3</v>
      </c>
      <c r="G89" s="151"/>
      <c r="H89" s="152">
        <v>5.3E-3</v>
      </c>
    </row>
    <row r="90" spans="1:9">
      <c r="A90" s="290"/>
      <c r="B90" s="185" t="s">
        <v>216</v>
      </c>
      <c r="C90" s="3"/>
      <c r="D90" s="150"/>
      <c r="E90" s="151">
        <f t="shared" ref="E90:E91" si="18">$I$83*F90</f>
        <v>0</v>
      </c>
      <c r="F90" s="193">
        <f t="shared" si="16"/>
        <v>7.9000000000000008E-3</v>
      </c>
      <c r="G90" s="151"/>
      <c r="H90" s="152">
        <v>3.4099999999999998E-2</v>
      </c>
      <c r="I90" s="149">
        <v>0.03</v>
      </c>
    </row>
    <row r="91" spans="1:9">
      <c r="A91" s="288" t="s">
        <v>49</v>
      </c>
      <c r="B91" s="288"/>
      <c r="C91" s="3"/>
      <c r="D91" s="150"/>
      <c r="E91" s="151">
        <f t="shared" si="18"/>
        <v>0</v>
      </c>
      <c r="F91" s="223">
        <f t="shared" si="16"/>
        <v>0.05</v>
      </c>
      <c r="G91" s="151"/>
      <c r="H91" s="152">
        <v>1.0999999999999999E-2</v>
      </c>
      <c r="I91" s="149">
        <v>0.03</v>
      </c>
    </row>
  </sheetData>
  <mergeCells count="63">
    <mergeCell ref="G1:H1"/>
    <mergeCell ref="A4:B4"/>
    <mergeCell ref="A7:B7"/>
    <mergeCell ref="A8:B8"/>
    <mergeCell ref="A11:B11"/>
    <mergeCell ref="A5:A6"/>
    <mergeCell ref="A9:A10"/>
    <mergeCell ref="A2:B3"/>
    <mergeCell ref="C2:H2"/>
    <mergeCell ref="G15:H15"/>
    <mergeCell ref="A16:B17"/>
    <mergeCell ref="C16:H16"/>
    <mergeCell ref="A18:B18"/>
    <mergeCell ref="A19:A20"/>
    <mergeCell ref="A21:B21"/>
    <mergeCell ref="A22:B22"/>
    <mergeCell ref="A23:A24"/>
    <mergeCell ref="A25:B25"/>
    <mergeCell ref="G29:H29"/>
    <mergeCell ref="A30:B31"/>
    <mergeCell ref="C30:H30"/>
    <mergeCell ref="A32:B32"/>
    <mergeCell ref="A33:A34"/>
    <mergeCell ref="A35:B35"/>
    <mergeCell ref="A36:B36"/>
    <mergeCell ref="A37:A38"/>
    <mergeCell ref="A39:B39"/>
    <mergeCell ref="G42:H42"/>
    <mergeCell ref="A43:B44"/>
    <mergeCell ref="C43:H43"/>
    <mergeCell ref="A45:B45"/>
    <mergeCell ref="A46:A47"/>
    <mergeCell ref="A48:B48"/>
    <mergeCell ref="A49:B49"/>
    <mergeCell ref="A50:A51"/>
    <mergeCell ref="A52:B52"/>
    <mergeCell ref="G55:H55"/>
    <mergeCell ref="A56:B57"/>
    <mergeCell ref="C56:H56"/>
    <mergeCell ref="A58:B58"/>
    <mergeCell ref="A59:A60"/>
    <mergeCell ref="A61:B61"/>
    <mergeCell ref="A62:B62"/>
    <mergeCell ref="A63:A64"/>
    <mergeCell ref="A65:B65"/>
    <mergeCell ref="A74:B74"/>
    <mergeCell ref="A75:B75"/>
    <mergeCell ref="A76:A77"/>
    <mergeCell ref="A78:B78"/>
    <mergeCell ref="G68:H68"/>
    <mergeCell ref="A69:B70"/>
    <mergeCell ref="C69:H69"/>
    <mergeCell ref="A71:B71"/>
    <mergeCell ref="A72:A73"/>
    <mergeCell ref="A87:B87"/>
    <mergeCell ref="A88:B88"/>
    <mergeCell ref="A89:A90"/>
    <mergeCell ref="A91:B91"/>
    <mergeCell ref="G81:H81"/>
    <mergeCell ref="A82:B83"/>
    <mergeCell ref="C82:H82"/>
    <mergeCell ref="A84:B84"/>
    <mergeCell ref="A85:A86"/>
  </mergeCells>
  <phoneticPr fontId="38" type="noConversion"/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64"/>
  <sheetViews>
    <sheetView tabSelected="1" zoomScale="90" zoomScaleNormal="90" workbookViewId="0">
      <pane xSplit="3" ySplit="7" topLeftCell="D17" activePane="bottomRight" state="frozen"/>
      <selection pane="topRight"/>
      <selection pane="bottomLeft"/>
      <selection pane="bottomRight" activeCell="J23" sqref="J23"/>
    </sheetView>
  </sheetViews>
  <sheetFormatPr defaultColWidth="9" defaultRowHeight="16.5"/>
  <cols>
    <col min="1" max="1" width="5.125" style="109" customWidth="1"/>
    <col min="2" max="2" width="35.75" style="109" customWidth="1"/>
    <col min="3" max="3" width="14.5" style="110" customWidth="1"/>
    <col min="4" max="10" width="13" style="110" customWidth="1"/>
    <col min="11" max="11" width="16.5" style="110" customWidth="1"/>
    <col min="12" max="12" width="15.5" style="109" customWidth="1"/>
    <col min="13" max="38" width="9" style="109"/>
    <col min="39" max="39" width="4.375" style="109" customWidth="1"/>
    <col min="40" max="40" width="13.875" style="109" customWidth="1"/>
    <col min="41" max="16384" width="9" style="109"/>
  </cols>
  <sheetData>
    <row r="1" spans="1:41" ht="27" customHeight="1">
      <c r="A1" s="234" t="s">
        <v>229</v>
      </c>
      <c r="B1" s="234"/>
      <c r="C1" s="234"/>
      <c r="D1" s="234"/>
      <c r="E1" s="234"/>
      <c r="F1" s="234"/>
      <c r="G1" s="234"/>
      <c r="H1" s="234"/>
      <c r="I1" s="234"/>
      <c r="J1" s="234"/>
      <c r="K1" s="234"/>
    </row>
    <row r="2" spans="1:41" ht="27" customHeight="1">
      <c r="B2" s="198"/>
      <c r="D2" s="198"/>
      <c r="E2" s="198" t="s">
        <v>230</v>
      </c>
      <c r="F2" s="198"/>
      <c r="G2" s="198"/>
      <c r="H2" s="198"/>
      <c r="I2" s="198"/>
      <c r="J2" s="198"/>
      <c r="K2" s="199" t="s">
        <v>231</v>
      </c>
    </row>
    <row r="3" spans="1:41" ht="15.75" customHeight="1">
      <c r="A3" s="232" t="s">
        <v>15</v>
      </c>
      <c r="B3" s="111" t="s">
        <v>1</v>
      </c>
      <c r="C3" s="111" t="s">
        <v>284</v>
      </c>
      <c r="D3" s="111" t="s">
        <v>285</v>
      </c>
      <c r="E3" s="111" t="s">
        <v>286</v>
      </c>
      <c r="F3" s="111" t="s">
        <v>287</v>
      </c>
      <c r="G3" s="111" t="s">
        <v>288</v>
      </c>
      <c r="H3" s="111" t="s">
        <v>289</v>
      </c>
      <c r="I3" s="111" t="s">
        <v>290</v>
      </c>
      <c r="J3" s="111" t="s">
        <v>291</v>
      </c>
      <c r="K3" s="50" t="s">
        <v>16</v>
      </c>
      <c r="AO3" s="109" t="s">
        <v>17</v>
      </c>
    </row>
    <row r="4" spans="1:41" s="47" customFormat="1" ht="15.75" customHeight="1">
      <c r="A4" s="233"/>
      <c r="B4" s="52" t="s">
        <v>3</v>
      </c>
      <c r="C4" s="112">
        <f>'2024年'!J6</f>
        <v>4320</v>
      </c>
      <c r="D4" s="112">
        <f>'2025年'!J6</f>
        <v>16380</v>
      </c>
      <c r="E4" s="112">
        <f>'2026年'!J6</f>
        <v>32400</v>
      </c>
      <c r="F4" s="112">
        <f>'2027年'!J6</f>
        <v>55080</v>
      </c>
      <c r="G4" s="112">
        <f>'2028年'!J6</f>
        <v>76680</v>
      </c>
      <c r="H4" s="112">
        <f>'2029年'!J6</f>
        <v>90720</v>
      </c>
      <c r="I4" s="112">
        <f>'2030年'!J6</f>
        <v>86940</v>
      </c>
      <c r="J4" s="112">
        <f>'2031年'!J6</f>
        <v>86580</v>
      </c>
      <c r="K4" s="112">
        <f t="shared" ref="K4:K12" si="0">SUM(C4:J4)</f>
        <v>449100</v>
      </c>
      <c r="L4" s="68"/>
      <c r="AM4" s="51" t="s">
        <v>15</v>
      </c>
      <c r="AN4" s="52" t="s">
        <v>3</v>
      </c>
      <c r="AO4" s="47" t="s">
        <v>18</v>
      </c>
    </row>
    <row r="5" spans="1:41" s="47" customFormat="1" ht="15.75" customHeight="1">
      <c r="A5" s="61">
        <v>1</v>
      </c>
      <c r="B5" s="52" t="s">
        <v>19</v>
      </c>
      <c r="C5" s="112">
        <f>'2024年'!J7</f>
        <v>4384281.5999999996</v>
      </c>
      <c r="D5" s="112">
        <f>'2025年'!J7</f>
        <v>16623734.4</v>
      </c>
      <c r="E5" s="112">
        <f>'2026年'!J7</f>
        <v>32882112</v>
      </c>
      <c r="F5" s="112">
        <f>'2027年'!J7</f>
        <v>55899590.399999999</v>
      </c>
      <c r="G5" s="112">
        <f>'2028年'!J7</f>
        <v>77820998.400000006</v>
      </c>
      <c r="H5" s="112">
        <f>'2029年'!J7</f>
        <v>92069913.599999994</v>
      </c>
      <c r="I5" s="112">
        <f>'2030年'!J7</f>
        <v>88233667.200000003</v>
      </c>
      <c r="J5" s="112">
        <f>'2031年'!J7</f>
        <v>87868310.400000006</v>
      </c>
      <c r="K5" s="112">
        <f t="shared" si="0"/>
        <v>455782608</v>
      </c>
      <c r="L5" s="68"/>
      <c r="AM5" s="51" t="s">
        <v>20</v>
      </c>
      <c r="AN5" s="52" t="s">
        <v>19</v>
      </c>
      <c r="AO5" s="47" t="s">
        <v>18</v>
      </c>
    </row>
    <row r="6" spans="1:41" s="47" customFormat="1" ht="15.75" customHeight="1">
      <c r="A6" s="61">
        <v>2</v>
      </c>
      <c r="B6" s="49" t="s">
        <v>21</v>
      </c>
      <c r="C6" s="112">
        <f>'2024年'!J8</f>
        <v>0</v>
      </c>
      <c r="D6" s="112">
        <f>'2025年'!J8</f>
        <v>498712.03200000047</v>
      </c>
      <c r="E6" s="112">
        <f>'2026年'!J8</f>
        <v>1943332.8191999977</v>
      </c>
      <c r="F6" s="112">
        <f>'2027年'!J8</f>
        <v>4881543.5308607966</v>
      </c>
      <c r="G6" s="112">
        <f>'2028年'!J8</f>
        <v>8926628.0494585019</v>
      </c>
      <c r="H6" s="112">
        <f>'2029年'!J8</f>
        <v>13006346.048420819</v>
      </c>
      <c r="I6" s="112">
        <f>'2030年'!J8</f>
        <v>14737492.530177863</v>
      </c>
      <c r="J6" s="112">
        <f>'2031年'!J8</f>
        <v>16872222.996896658</v>
      </c>
      <c r="K6" s="112">
        <f t="shared" si="0"/>
        <v>60866278.007014632</v>
      </c>
      <c r="L6" s="68"/>
      <c r="AM6" s="51" t="s">
        <v>22</v>
      </c>
      <c r="AN6" s="49" t="s">
        <v>23</v>
      </c>
      <c r="AO6" s="47" t="s">
        <v>18</v>
      </c>
    </row>
    <row r="7" spans="1:41" s="47" customFormat="1" ht="15.75" customHeight="1">
      <c r="A7" s="61">
        <v>3</v>
      </c>
      <c r="B7" s="52" t="s">
        <v>24</v>
      </c>
      <c r="C7" s="113">
        <f>+C5-C6</f>
        <v>4384281.5999999996</v>
      </c>
      <c r="D7" s="113">
        <f>'2025年'!J9</f>
        <v>16125022.367999999</v>
      </c>
      <c r="E7" s="113">
        <f>'2026年'!J9</f>
        <v>30938779.180800002</v>
      </c>
      <c r="F7" s="113">
        <f>'2027年'!J9</f>
        <v>51018046.869139202</v>
      </c>
      <c r="G7" s="113">
        <f>'2028年'!J9</f>
        <v>68894370.350541502</v>
      </c>
      <c r="H7" s="113">
        <f>'2029年'!J9</f>
        <v>79063567.551579192</v>
      </c>
      <c r="I7" s="113">
        <f>'2030年'!J9</f>
        <v>73496174.669822142</v>
      </c>
      <c r="J7" s="113">
        <f>'2031年'!J9</f>
        <v>70996087.403103352</v>
      </c>
      <c r="K7" s="112">
        <f t="shared" si="0"/>
        <v>394916329.99298543</v>
      </c>
      <c r="L7" s="68"/>
      <c r="AM7" s="51" t="s">
        <v>25</v>
      </c>
      <c r="AN7" s="52" t="s">
        <v>24</v>
      </c>
      <c r="AO7" s="47" t="s">
        <v>26</v>
      </c>
    </row>
    <row r="8" spans="1:41" s="47" customFormat="1" ht="15.75" customHeight="1">
      <c r="A8" s="61">
        <v>4</v>
      </c>
      <c r="B8" s="51" t="s">
        <v>27</v>
      </c>
      <c r="C8" s="112">
        <f>'2024年'!J10</f>
        <v>3351538.3781682285</v>
      </c>
      <c r="D8" s="112">
        <f>'2025年'!J10</f>
        <v>12326678.860037895</v>
      </c>
      <c r="E8" s="112">
        <f>'2026年'!J10</f>
        <v>23650968.450138643</v>
      </c>
      <c r="F8" s="112">
        <f>'2027年'!J10</f>
        <v>39000446.974278629</v>
      </c>
      <c r="G8" s="112">
        <f>'2028年'!J10</f>
        <v>52665897.708207227</v>
      </c>
      <c r="H8" s="112">
        <f>'2029年'!J10</f>
        <v>60439680.919221476</v>
      </c>
      <c r="I8" s="112">
        <f>'2030年'!J10</f>
        <v>56183720.05449295</v>
      </c>
      <c r="J8" s="112">
        <f>'2031年'!J10</f>
        <v>54272542.993426047</v>
      </c>
      <c r="K8" s="112">
        <f t="shared" si="0"/>
        <v>301891474.33797109</v>
      </c>
      <c r="L8" s="68"/>
      <c r="AM8" s="51" t="s">
        <v>28</v>
      </c>
      <c r="AN8" s="51" t="s">
        <v>27</v>
      </c>
      <c r="AO8" s="47" t="s">
        <v>29</v>
      </c>
    </row>
    <row r="9" spans="1:41" s="47" customFormat="1" ht="15.75" customHeight="1">
      <c r="A9" s="61">
        <v>5</v>
      </c>
      <c r="B9" s="51" t="s">
        <v>30</v>
      </c>
      <c r="C9" s="112">
        <f>'2024年'!J11</f>
        <v>154326.71231999999</v>
      </c>
      <c r="D9" s="112">
        <f>'2025年'!J11</f>
        <v>585155.45088000002</v>
      </c>
      <c r="E9" s="112">
        <f>'2026年'!J11</f>
        <v>1157450.3424000002</v>
      </c>
      <c r="F9" s="112">
        <f>'2027年'!J11</f>
        <v>1967665.5820800001</v>
      </c>
      <c r="G9" s="112">
        <f>'2028年'!J11</f>
        <v>2739299.1436800002</v>
      </c>
      <c r="H9" s="112">
        <f>'2029年'!J11</f>
        <v>3240860.9587200005</v>
      </c>
      <c r="I9" s="112">
        <f>'2030年'!J11</f>
        <v>3105825.0854400001</v>
      </c>
      <c r="J9" s="112">
        <f>'2031年'!J11</f>
        <v>3092964.5260800002</v>
      </c>
      <c r="K9" s="112">
        <f t="shared" si="0"/>
        <v>16043547.801600002</v>
      </c>
      <c r="L9" s="68"/>
      <c r="AM9" s="51" t="s">
        <v>31</v>
      </c>
      <c r="AN9" s="51" t="s">
        <v>30</v>
      </c>
    </row>
    <row r="10" spans="1:41" s="47" customFormat="1" ht="15.75" customHeight="1">
      <c r="A10" s="61">
        <v>6</v>
      </c>
      <c r="B10" s="51" t="s">
        <v>32</v>
      </c>
      <c r="C10" s="112">
        <f>'2024年'!J12</f>
        <v>46473.384959999996</v>
      </c>
      <c r="D10" s="112">
        <f>'2025年'!J12</f>
        <v>176211.58464000002</v>
      </c>
      <c r="E10" s="112">
        <f>'2026年'!J12</f>
        <v>348550.3872</v>
      </c>
      <c r="F10" s="112">
        <f>'2027年'!J12</f>
        <v>592535.65824000002</v>
      </c>
      <c r="G10" s="112">
        <f>'2028年'!J12</f>
        <v>824902.58303999994</v>
      </c>
      <c r="H10" s="112">
        <f>'2029年'!J12</f>
        <v>975941.08415999997</v>
      </c>
      <c r="I10" s="112">
        <f>'2030年'!J12</f>
        <v>935276.87232000008</v>
      </c>
      <c r="J10" s="112">
        <f>'2031年'!J12</f>
        <v>931404.09023999993</v>
      </c>
      <c r="K10" s="112">
        <f t="shared" si="0"/>
        <v>4831295.6447999999</v>
      </c>
      <c r="L10" s="68"/>
      <c r="AM10" s="51" t="s">
        <v>33</v>
      </c>
      <c r="AN10" s="51" t="s">
        <v>32</v>
      </c>
    </row>
    <row r="11" spans="1:41" s="47" customFormat="1" ht="15.75" customHeight="1">
      <c r="A11" s="61">
        <v>7</v>
      </c>
      <c r="B11" s="114" t="s">
        <v>34</v>
      </c>
      <c r="C11" s="112">
        <f>'2024年'!J13</f>
        <v>34635.824640000006</v>
      </c>
      <c r="D11" s="112">
        <f>'2025年'!J13</f>
        <v>131327.50176000001</v>
      </c>
      <c r="E11" s="112">
        <f>'2026年'!J13</f>
        <v>259768.68480000002</v>
      </c>
      <c r="F11" s="112">
        <f>'2027年'!J13</f>
        <v>441606.76416000002</v>
      </c>
      <c r="G11" s="112">
        <f>'2028年'!J13</f>
        <v>614785.88736000005</v>
      </c>
      <c r="H11" s="112">
        <f>'2029年'!J13</f>
        <v>727352.31744000001</v>
      </c>
      <c r="I11" s="112">
        <f>'2030年'!J13</f>
        <v>697045.97088000004</v>
      </c>
      <c r="J11" s="112">
        <f>'2031年'!J13</f>
        <v>694159.65216000006</v>
      </c>
      <c r="K11" s="112">
        <f t="shared" si="0"/>
        <v>3600682.6032000002</v>
      </c>
      <c r="L11" s="68"/>
      <c r="AM11" s="51" t="s">
        <v>35</v>
      </c>
      <c r="AN11" s="51" t="s">
        <v>34</v>
      </c>
      <c r="AO11" s="47" t="s">
        <v>18</v>
      </c>
    </row>
    <row r="12" spans="1:41" s="47" customFormat="1" ht="15.75" customHeight="1">
      <c r="A12" s="61">
        <v>8</v>
      </c>
      <c r="B12" s="115" t="s">
        <v>36</v>
      </c>
      <c r="C12" s="116">
        <f>'2024年'!J14</f>
        <v>235435.92191999999</v>
      </c>
      <c r="D12" s="116">
        <f>'2025年'!J14</f>
        <v>892694.53728000005</v>
      </c>
      <c r="E12" s="116">
        <f>'2026年'!J14</f>
        <v>1765769.4144000001</v>
      </c>
      <c r="F12" s="116">
        <f>'2027年'!J14</f>
        <v>3001808.0044800001</v>
      </c>
      <c r="G12" s="116">
        <f>'2028年'!J14</f>
        <v>4178987.6140800002</v>
      </c>
      <c r="H12" s="116">
        <f>'2029年'!J14</f>
        <v>4944154.36032</v>
      </c>
      <c r="I12" s="116">
        <f>'2030年'!J14</f>
        <v>4738147.9286400005</v>
      </c>
      <c r="J12" s="116">
        <f>'2031年'!J14</f>
        <v>4718528.2684800001</v>
      </c>
      <c r="K12" s="116">
        <f t="shared" si="0"/>
        <v>24475526.049600001</v>
      </c>
      <c r="L12" s="68"/>
      <c r="AM12" s="51" t="s">
        <v>37</v>
      </c>
      <c r="AN12" s="54" t="s">
        <v>36</v>
      </c>
    </row>
    <row r="13" spans="1:41" s="47" customFormat="1" ht="15.75" customHeight="1">
      <c r="A13" s="61">
        <v>9</v>
      </c>
      <c r="B13" s="117" t="s">
        <v>38</v>
      </c>
      <c r="C13" s="112">
        <f>'2024年'!J15</f>
        <v>797307.29991177167</v>
      </c>
      <c r="D13" s="112">
        <f>'2025年'!J15</f>
        <v>2905648.9706821041</v>
      </c>
      <c r="E13" s="112">
        <f>'2026年'!J15</f>
        <v>5522041.3162613604</v>
      </c>
      <c r="F13" s="112">
        <f>'2027年'!J15</f>
        <v>9015791.8903805818</v>
      </c>
      <c r="G13" s="112">
        <f>'2028年'!J15</f>
        <v>12049485.028254274</v>
      </c>
      <c r="H13" s="112">
        <f>'2029年'!J15</f>
        <v>13679732.272037705</v>
      </c>
      <c r="I13" s="112">
        <f>'2030年'!J15</f>
        <v>12574306.686689183</v>
      </c>
      <c r="J13" s="112">
        <f>'2031年'!J15</f>
        <v>12005016.141197294</v>
      </c>
      <c r="K13" s="112">
        <f>K7-K8-K12</f>
        <v>68549329.605414331</v>
      </c>
      <c r="L13" s="68"/>
      <c r="N13" s="109"/>
      <c r="O13" s="109"/>
      <c r="P13" s="109"/>
      <c r="Q13" s="109"/>
      <c r="R13" s="109"/>
      <c r="S13" s="109"/>
      <c r="AM13" s="51" t="s">
        <v>39</v>
      </c>
      <c r="AN13" s="54" t="s">
        <v>38</v>
      </c>
    </row>
    <row r="14" spans="1:41" ht="15.75" customHeight="1">
      <c r="A14" s="61">
        <v>10</v>
      </c>
      <c r="B14" s="118" t="s">
        <v>40</v>
      </c>
      <c r="C14" s="119">
        <f>+C13/C7</f>
        <v>0.18185585978596169</v>
      </c>
      <c r="D14" s="119">
        <f>'2025年'!J16</f>
        <v>0.18019503504369366</v>
      </c>
      <c r="E14" s="119">
        <f>'2026年'!J16</f>
        <v>0.17848284458774735</v>
      </c>
      <c r="F14" s="119">
        <f>'2027年'!J16</f>
        <v>0.17671769978780255</v>
      </c>
      <c r="G14" s="119">
        <f>'2028年'!J16</f>
        <v>0.17489796288064294</v>
      </c>
      <c r="H14" s="119">
        <f>'2029年'!J16</f>
        <v>0.17302194545058155</v>
      </c>
      <c r="I14" s="119">
        <f>'2030年'!J16</f>
        <v>0.17108790686288941</v>
      </c>
      <c r="J14" s="119">
        <f>'2031年'!J16</f>
        <v>0.16909405264877364</v>
      </c>
      <c r="K14" s="119">
        <f>+K13/K7</f>
        <v>0.17357937466559542</v>
      </c>
      <c r="L14" s="68"/>
      <c r="AM14" s="118" t="s">
        <v>41</v>
      </c>
      <c r="AN14" s="118" t="s">
        <v>40</v>
      </c>
    </row>
    <row r="15" spans="1:41" ht="15.75" customHeight="1">
      <c r="A15" s="61">
        <v>11</v>
      </c>
      <c r="B15" s="118" t="s">
        <v>42</v>
      </c>
      <c r="C15" s="112">
        <f>'2024年'!J17</f>
        <v>107617.56304000001</v>
      </c>
      <c r="D15" s="112">
        <f>'2025年'!J17</f>
        <v>345062.94736000005</v>
      </c>
      <c r="E15" s="112">
        <f>'2026年'!J17</f>
        <v>660475.47279999999</v>
      </c>
      <c r="F15" s="112">
        <f>'2027年'!J17</f>
        <v>1107014.55376</v>
      </c>
      <c r="G15" s="112">
        <f>'2028年'!J17</f>
        <v>1532289.8689600001</v>
      </c>
      <c r="H15" s="112">
        <f>'2029年'!J17</f>
        <v>1808718.8238400002</v>
      </c>
      <c r="I15" s="112">
        <f>'2030年'!J17</f>
        <v>1734295.64368</v>
      </c>
      <c r="J15" s="112">
        <f>'2031年'!J17</f>
        <v>1727207.7217600001</v>
      </c>
      <c r="K15" s="112">
        <f>SUM(C15:J15)</f>
        <v>9022682.5952000003</v>
      </c>
      <c r="L15" s="68"/>
      <c r="AM15" s="118" t="s">
        <v>43</v>
      </c>
      <c r="AN15" s="118" t="s">
        <v>42</v>
      </c>
    </row>
    <row r="16" spans="1:41" ht="15.75" hidden="1" customHeight="1">
      <c r="A16" s="159"/>
      <c r="B16" s="118"/>
      <c r="C16" s="112"/>
      <c r="D16" s="112"/>
      <c r="E16" s="112">
        <f>'2026年'!J18</f>
        <v>22562.5</v>
      </c>
      <c r="F16" s="112">
        <f>'2027年'!J18</f>
        <v>22562.5</v>
      </c>
      <c r="G16" s="112">
        <f>'2028年'!J18</f>
        <v>22562.5</v>
      </c>
      <c r="H16" s="112">
        <f>'2029年'!J18</f>
        <v>22562.5</v>
      </c>
      <c r="I16" s="112">
        <f>'2030年'!J18</f>
        <v>22562.5</v>
      </c>
      <c r="J16" s="112">
        <f>'2031年'!J18</f>
        <v>22562.5</v>
      </c>
      <c r="K16" s="112"/>
      <c r="L16" s="68"/>
      <c r="AM16" s="118"/>
      <c r="AN16" s="118"/>
    </row>
    <row r="17" spans="1:41" ht="15.75" customHeight="1">
      <c r="A17" s="61">
        <v>12</v>
      </c>
      <c r="B17" s="118" t="s">
        <v>44</v>
      </c>
      <c r="C17" s="120">
        <f>'2024年'!J19</f>
        <v>41212.247040000002</v>
      </c>
      <c r="D17" s="120">
        <f>'2025年'!J19</f>
        <v>156263.10336000001</v>
      </c>
      <c r="E17" s="120">
        <f>'2026年'!J19</f>
        <v>309091.85280000005</v>
      </c>
      <c r="F17" s="120">
        <f>'2027年'!J19</f>
        <v>525456.14976000006</v>
      </c>
      <c r="G17" s="120">
        <f>'2028年'!J19</f>
        <v>731517.38496000005</v>
      </c>
      <c r="H17" s="120">
        <f>'2029年'!J19</f>
        <v>865457.18784000014</v>
      </c>
      <c r="I17" s="120">
        <f>'2030年'!J19</f>
        <v>829396.47168000019</v>
      </c>
      <c r="J17" s="120">
        <f>'2031年'!J19</f>
        <v>825962.11776000005</v>
      </c>
      <c r="K17" s="112">
        <f>SUM(C17:J17)</f>
        <v>4284356.5152000003</v>
      </c>
      <c r="L17" s="68"/>
      <c r="T17" s="68"/>
      <c r="AM17" s="118" t="s">
        <v>45</v>
      </c>
      <c r="AN17" s="118" t="s">
        <v>44</v>
      </c>
      <c r="AO17" s="109" t="s">
        <v>18</v>
      </c>
    </row>
    <row r="18" spans="1:41" ht="15.75" customHeight="1">
      <c r="A18" s="61">
        <v>13</v>
      </c>
      <c r="B18" s="118" t="s">
        <v>46</v>
      </c>
      <c r="C18" s="120">
        <f>'2024年'!J20</f>
        <v>142927.58015999998</v>
      </c>
      <c r="D18" s="120">
        <f>'2025年'!J20</f>
        <v>541933.7414399999</v>
      </c>
      <c r="E18" s="120">
        <f>'2026年'!J20</f>
        <v>1071956.8511999999</v>
      </c>
      <c r="F18" s="120">
        <f>'2027年'!J20</f>
        <v>1822326.64704</v>
      </c>
      <c r="G18" s="120">
        <f>'2028年'!J20</f>
        <v>2536964.5478400001</v>
      </c>
      <c r="H18" s="120">
        <f>'2029年'!J20</f>
        <v>3001479.1833599997</v>
      </c>
      <c r="I18" s="120">
        <f>'2030年'!J20</f>
        <v>2876417.5507199997</v>
      </c>
      <c r="J18" s="120">
        <f>'2031年'!J20</f>
        <v>2864506.9190400001</v>
      </c>
      <c r="K18" s="112">
        <f>SUM(C18:J18)</f>
        <v>14858513.0208</v>
      </c>
      <c r="L18" s="68"/>
      <c r="AM18" s="118" t="s">
        <v>47</v>
      </c>
      <c r="AN18" s="118" t="s">
        <v>46</v>
      </c>
    </row>
    <row r="19" spans="1:41" s="46" customFormat="1" ht="15.75" customHeight="1">
      <c r="A19" s="61">
        <v>14</v>
      </c>
      <c r="B19" s="59" t="s">
        <v>48</v>
      </c>
      <c r="C19" s="121">
        <f>'2024年'!J21</f>
        <v>64237.5</v>
      </c>
      <c r="D19" s="121">
        <f>'2025年'!J21</f>
        <v>64237.5</v>
      </c>
      <c r="E19" s="121">
        <f>'2026年'!J21</f>
        <v>64237.5</v>
      </c>
      <c r="F19" s="121">
        <f>'2027年'!J21</f>
        <v>64237.5</v>
      </c>
      <c r="G19" s="121">
        <f>'2028年'!J21</f>
        <v>64237.5</v>
      </c>
      <c r="H19" s="121">
        <f>'2029年'!J21</f>
        <v>64237.5</v>
      </c>
      <c r="I19" s="121">
        <f>'2030年'!J21</f>
        <v>64237.5</v>
      </c>
      <c r="J19" s="121">
        <f>'2031年'!J21</f>
        <v>64237.5</v>
      </c>
      <c r="K19" s="112">
        <f>SUM(C19:J19)</f>
        <v>513900</v>
      </c>
      <c r="L19" s="68"/>
      <c r="AM19" s="59"/>
      <c r="AN19" s="59"/>
    </row>
    <row r="20" spans="1:41" s="47" customFormat="1" ht="15.75" customHeight="1">
      <c r="A20" s="61">
        <v>15</v>
      </c>
      <c r="B20" s="51" t="s">
        <v>49</v>
      </c>
      <c r="C20" s="120">
        <f>'2024年'!J22</f>
        <v>219214.07999999999</v>
      </c>
      <c r="D20" s="120">
        <f>'2025年'!J22</f>
        <v>831186.72</v>
      </c>
      <c r="E20" s="120">
        <f>'2026年'!J22</f>
        <v>1644105.6</v>
      </c>
      <c r="F20" s="120">
        <f>'2027年'!J22</f>
        <v>2794979.52</v>
      </c>
      <c r="G20" s="120">
        <f>'2028年'!J22</f>
        <v>3891049.92</v>
      </c>
      <c r="H20" s="120">
        <f>'2029年'!J22</f>
        <v>4603495.6800000006</v>
      </c>
      <c r="I20" s="120">
        <f>'2030年'!J22</f>
        <v>4411683.3600000003</v>
      </c>
      <c r="J20" s="120">
        <f>'2031年'!J22</f>
        <v>4393415.5200000005</v>
      </c>
      <c r="K20" s="112">
        <f>SUM(C20:J20)</f>
        <v>22789130.399999999</v>
      </c>
      <c r="L20" s="68"/>
      <c r="AM20" s="51" t="s">
        <v>50</v>
      </c>
      <c r="AN20" s="51" t="s">
        <v>49</v>
      </c>
    </row>
    <row r="21" spans="1:41" s="107" customFormat="1" ht="15.75" customHeight="1">
      <c r="A21" s="61">
        <v>16</v>
      </c>
      <c r="B21" s="122" t="s">
        <v>51</v>
      </c>
      <c r="C21" s="116">
        <f t="shared" ref="C21" si="1">+C20+C19+C18+C17+C15</f>
        <v>575208.97023999994</v>
      </c>
      <c r="D21" s="116">
        <f>'2025年'!J23</f>
        <v>1938684.0121599999</v>
      </c>
      <c r="E21" s="116">
        <f>'2026年'!J23</f>
        <v>3749867.2768000001</v>
      </c>
      <c r="F21" s="116">
        <f>'2027年'!J23</f>
        <v>6314014.3705599997</v>
      </c>
      <c r="G21" s="116">
        <f>'2028年'!J23</f>
        <v>8756059.221760001</v>
      </c>
      <c r="H21" s="116">
        <f>'2029年'!J23</f>
        <v>10343388.37504</v>
      </c>
      <c r="I21" s="116">
        <f>'2030年'!J23</f>
        <v>9916030.5260800011</v>
      </c>
      <c r="J21" s="116">
        <f>'2031年'!J23</f>
        <v>9875329.7785600014</v>
      </c>
      <c r="K21" s="116">
        <f>SUM(C21:J21)</f>
        <v>51468582.531200007</v>
      </c>
      <c r="L21" s="68"/>
      <c r="AM21" s="135" t="s">
        <v>52</v>
      </c>
      <c r="AN21" s="136" t="s">
        <v>51</v>
      </c>
    </row>
    <row r="22" spans="1:41" ht="15.75" customHeight="1">
      <c r="A22" s="61">
        <v>17</v>
      </c>
      <c r="B22" s="118" t="s">
        <v>53</v>
      </c>
      <c r="C22" s="123">
        <f>+C13-C21</f>
        <v>222098.32967177173</v>
      </c>
      <c r="D22" s="123">
        <f>'2025年'!J24</f>
        <v>966964.95852210419</v>
      </c>
      <c r="E22" s="123">
        <f>'2026年'!J24</f>
        <v>1772174.0394613603</v>
      </c>
      <c r="F22" s="123">
        <f>'2027年'!J24</f>
        <v>2701777.5198205821</v>
      </c>
      <c r="G22" s="123">
        <f>'2028年'!J24</f>
        <v>3293425.8064942732</v>
      </c>
      <c r="H22" s="123">
        <f>'2029年'!J24</f>
        <v>3336343.8969977051</v>
      </c>
      <c r="I22" s="123">
        <f>'2030年'!J24</f>
        <v>2658276.160609182</v>
      </c>
      <c r="J22" s="123">
        <f>'2031年'!J24</f>
        <v>2129686.3626372926</v>
      </c>
      <c r="K22" s="123">
        <f>+K13-K21</f>
        <v>17080747.074214324</v>
      </c>
      <c r="L22" s="68"/>
      <c r="AM22" s="118" t="s">
        <v>54</v>
      </c>
      <c r="AN22" s="118" t="s">
        <v>53</v>
      </c>
    </row>
    <row r="23" spans="1:41" ht="15.75" customHeight="1">
      <c r="A23" s="61">
        <v>18</v>
      </c>
      <c r="B23" s="118" t="s">
        <v>55</v>
      </c>
      <c r="C23" s="123">
        <f>IF(C22&lt;0,0,C22*0.15)</f>
        <v>33314.749450765761</v>
      </c>
      <c r="D23" s="123">
        <f>'2025年'!J25</f>
        <v>241741.23963052605</v>
      </c>
      <c r="E23" s="123">
        <f>'2026年'!J25</f>
        <v>443043.50986534008</v>
      </c>
      <c r="F23" s="123">
        <f>'2027年'!J25</f>
        <v>675444.37995514553</v>
      </c>
      <c r="G23" s="123">
        <f>'2028年'!J25</f>
        <v>823356.45162356831</v>
      </c>
      <c r="H23" s="123">
        <f>'2029年'!J25</f>
        <v>834085.97424942628</v>
      </c>
      <c r="I23" s="123">
        <f>'2030年'!J25</f>
        <v>664569.04015229549</v>
      </c>
      <c r="J23" s="123">
        <f>'2031年'!J25</f>
        <v>532421.59065932315</v>
      </c>
      <c r="K23" s="123">
        <f>IF(K22&lt;0,0,K22*0.15)</f>
        <v>2562112.0611321484</v>
      </c>
      <c r="L23" s="68"/>
      <c r="AM23" s="118" t="s">
        <v>56</v>
      </c>
      <c r="AN23" s="118" t="s">
        <v>55</v>
      </c>
    </row>
    <row r="24" spans="1:41" ht="15.75" customHeight="1">
      <c r="A24" s="61">
        <v>19</v>
      </c>
      <c r="B24" s="118" t="s">
        <v>57</v>
      </c>
      <c r="C24" s="123">
        <f>C22-C23</f>
        <v>188783.58022100598</v>
      </c>
      <c r="D24" s="123">
        <f>'2025年'!J26</f>
        <v>725223.71889157814</v>
      </c>
      <c r="E24" s="123">
        <f>'2026年'!J26</f>
        <v>1329130.5295960202</v>
      </c>
      <c r="F24" s="123">
        <f>'2027年'!J26</f>
        <v>2026333.1398654366</v>
      </c>
      <c r="G24" s="123">
        <f>'2028年'!J26</f>
        <v>2470069.3548707049</v>
      </c>
      <c r="H24" s="123">
        <f>'2029年'!J26</f>
        <v>2502257.9227482788</v>
      </c>
      <c r="I24" s="123">
        <f>'2030年'!J26</f>
        <v>1993707.1204568865</v>
      </c>
      <c r="J24" s="123">
        <f>'2031年'!J26</f>
        <v>1597264.7719779694</v>
      </c>
      <c r="K24" s="123">
        <f>K22-K23</f>
        <v>14518635.013082176</v>
      </c>
      <c r="L24" s="68"/>
      <c r="AM24" s="118" t="s">
        <v>58</v>
      </c>
      <c r="AN24" s="118" t="s">
        <v>57</v>
      </c>
    </row>
    <row r="25" spans="1:41" ht="15.75" customHeight="1">
      <c r="A25" s="61">
        <v>20</v>
      </c>
      <c r="B25" s="118" t="s">
        <v>59</v>
      </c>
      <c r="C25" s="124">
        <f>(C24/C5)*100%</f>
        <v>4.3059182197832821E-2</v>
      </c>
      <c r="D25" s="124">
        <f>'2025年'!J27</f>
        <v>4.3625800403282317E-2</v>
      </c>
      <c r="E25" s="124">
        <f>'2026年'!J27</f>
        <v>4.0421081516783967E-2</v>
      </c>
      <c r="F25" s="124">
        <f>'2027年'!J27</f>
        <v>3.6249516774016229E-2</v>
      </c>
      <c r="G25" s="124">
        <f>'2028年'!J27</f>
        <v>3.1740396623730606E-2</v>
      </c>
      <c r="H25" s="124">
        <f>'2029年'!J27</f>
        <v>2.7177802442819702E-2</v>
      </c>
      <c r="I25" s="124">
        <f>'2030年'!J27</f>
        <v>2.259576399491289E-2</v>
      </c>
      <c r="J25" s="124">
        <f>'2031年'!J27</f>
        <v>1.8177938834908671E-2</v>
      </c>
      <c r="K25" s="124">
        <f>(K24/K5)*100%</f>
        <v>3.1854297988224631E-2</v>
      </c>
      <c r="L25" s="68"/>
      <c r="AM25" s="137" t="s">
        <v>60</v>
      </c>
      <c r="AN25" s="137" t="s">
        <v>61</v>
      </c>
    </row>
    <row r="26" spans="1:41" s="108" customFormat="1" ht="15.75" customHeight="1">
      <c r="C26" s="125"/>
      <c r="D26" s="125"/>
      <c r="E26" s="125"/>
      <c r="F26" s="125"/>
      <c r="G26" s="125"/>
      <c r="H26" s="125"/>
      <c r="I26" s="125"/>
      <c r="J26" s="125"/>
      <c r="K26" s="125"/>
      <c r="L26" s="134"/>
    </row>
    <row r="27" spans="1:41" s="108" customFormat="1" ht="15.75" customHeight="1">
      <c r="A27" s="108" t="s">
        <v>62</v>
      </c>
      <c r="C27" s="126"/>
      <c r="D27" s="126"/>
      <c r="E27" s="126"/>
      <c r="F27" s="126"/>
      <c r="G27" s="126"/>
      <c r="H27" s="126"/>
      <c r="I27" s="126"/>
      <c r="J27" s="126"/>
      <c r="K27" s="126"/>
      <c r="L27" s="134"/>
      <c r="AM27" s="108" t="s">
        <v>62</v>
      </c>
    </row>
    <row r="28" spans="1:41" ht="15.75" customHeight="1">
      <c r="A28" s="118" t="s">
        <v>15</v>
      </c>
      <c r="B28" s="127" t="s">
        <v>1</v>
      </c>
      <c r="C28" s="111" t="s">
        <v>284</v>
      </c>
      <c r="D28" s="111" t="s">
        <v>285</v>
      </c>
      <c r="E28" s="111" t="s">
        <v>286</v>
      </c>
      <c r="F28" s="111" t="s">
        <v>287</v>
      </c>
      <c r="G28" s="111" t="s">
        <v>288</v>
      </c>
      <c r="H28" s="111" t="s">
        <v>289</v>
      </c>
      <c r="I28" s="111" t="s">
        <v>290</v>
      </c>
      <c r="J28" s="111" t="s">
        <v>291</v>
      </c>
      <c r="K28" s="50" t="s">
        <v>16</v>
      </c>
      <c r="AO28" s="109" t="s">
        <v>17</v>
      </c>
    </row>
    <row r="29" spans="1:41" s="47" customFormat="1" ht="15.75" customHeight="1">
      <c r="A29" s="51" t="s">
        <v>63</v>
      </c>
      <c r="B29" s="54" t="s">
        <v>64</v>
      </c>
      <c r="C29" s="58"/>
      <c r="D29" s="58"/>
      <c r="E29" s="58"/>
      <c r="F29" s="58"/>
      <c r="G29" s="58"/>
      <c r="H29" s="58"/>
      <c r="I29" s="58"/>
      <c r="J29" s="58"/>
      <c r="K29" s="58"/>
      <c r="L29" s="68"/>
      <c r="AM29" s="51" t="s">
        <v>65</v>
      </c>
      <c r="AN29" s="54" t="s">
        <v>64</v>
      </c>
    </row>
    <row r="30" spans="1:41" s="47" customFormat="1" ht="15.75" customHeight="1">
      <c r="A30" s="51" t="s">
        <v>20</v>
      </c>
      <c r="B30" s="51" t="s">
        <v>66</v>
      </c>
      <c r="C30" s="53">
        <f>+C7/C4</f>
        <v>1014.8799999999999</v>
      </c>
      <c r="D30" s="53">
        <f t="shared" ref="D30:J30" si="2">+D7/D4</f>
        <v>984.43359999999996</v>
      </c>
      <c r="E30" s="53">
        <f t="shared" si="2"/>
        <v>954.90059200000007</v>
      </c>
      <c r="F30" s="53">
        <f t="shared" si="2"/>
        <v>926.25357424000003</v>
      </c>
      <c r="G30" s="53">
        <f t="shared" si="2"/>
        <v>898.46596701279998</v>
      </c>
      <c r="H30" s="53">
        <f t="shared" si="2"/>
        <v>871.51198800241616</v>
      </c>
      <c r="I30" s="53">
        <f t="shared" si="2"/>
        <v>845.36662836234348</v>
      </c>
      <c r="J30" s="53">
        <f t="shared" si="2"/>
        <v>820.00562951147322</v>
      </c>
      <c r="K30" s="53">
        <f>+K7/K4</f>
        <v>879.35054551989629</v>
      </c>
      <c r="L30" s="68"/>
      <c r="AM30" s="51" t="s">
        <v>20</v>
      </c>
      <c r="AN30" s="51" t="s">
        <v>66</v>
      </c>
    </row>
    <row r="31" spans="1:41" s="47" customFormat="1" ht="15.75" customHeight="1">
      <c r="A31" s="51" t="s">
        <v>22</v>
      </c>
      <c r="B31" s="51" t="s">
        <v>67</v>
      </c>
      <c r="C31" s="53">
        <f>+C8/C4</f>
        <v>775.81906902042329</v>
      </c>
      <c r="D31" s="53">
        <f t="shared" ref="D31:J31" si="3">+D8/D4</f>
        <v>752.54449694981042</v>
      </c>
      <c r="E31" s="53">
        <f t="shared" si="3"/>
        <v>729.96816204131619</v>
      </c>
      <c r="F31" s="53">
        <f t="shared" si="3"/>
        <v>708.06911718007677</v>
      </c>
      <c r="G31" s="53">
        <f t="shared" si="3"/>
        <v>686.82704366467431</v>
      </c>
      <c r="H31" s="53">
        <f t="shared" si="3"/>
        <v>666.22223235473405</v>
      </c>
      <c r="I31" s="53">
        <f t="shared" si="3"/>
        <v>646.23556538409196</v>
      </c>
      <c r="J31" s="53">
        <f t="shared" si="3"/>
        <v>626.84849842256926</v>
      </c>
      <c r="K31" s="53">
        <f>+K8/K4</f>
        <v>672.21437171670254</v>
      </c>
      <c r="L31" s="68"/>
      <c r="AM31" s="51" t="s">
        <v>22</v>
      </c>
      <c r="AN31" s="51" t="s">
        <v>67</v>
      </c>
    </row>
    <row r="32" spans="1:41" s="47" customFormat="1" ht="15.75" customHeight="1">
      <c r="A32" s="51" t="s">
        <v>68</v>
      </c>
      <c r="B32" s="51" t="s">
        <v>69</v>
      </c>
      <c r="C32" s="58">
        <f t="shared" ref="C32:K32" si="4">C30-C31</f>
        <v>239.0609309795766</v>
      </c>
      <c r="D32" s="58">
        <f t="shared" ref="D32:J32" si="5">D30-D31</f>
        <v>231.88910305018953</v>
      </c>
      <c r="E32" s="58">
        <f t="shared" si="5"/>
        <v>224.93242995868388</v>
      </c>
      <c r="F32" s="58">
        <f t="shared" si="5"/>
        <v>218.18445705992326</v>
      </c>
      <c r="G32" s="58">
        <f t="shared" si="5"/>
        <v>211.63892334812567</v>
      </c>
      <c r="H32" s="58">
        <f t="shared" si="5"/>
        <v>205.28975564768211</v>
      </c>
      <c r="I32" s="58">
        <f t="shared" si="5"/>
        <v>199.13106297825152</v>
      </c>
      <c r="J32" s="58">
        <f t="shared" si="5"/>
        <v>193.15713108890395</v>
      </c>
      <c r="K32" s="58">
        <f t="shared" si="4"/>
        <v>207.13617380319374</v>
      </c>
      <c r="L32" s="68"/>
      <c r="AM32" s="51" t="s">
        <v>68</v>
      </c>
      <c r="AN32" s="51" t="s">
        <v>69</v>
      </c>
    </row>
    <row r="33" spans="1:40" s="47" customFormat="1" ht="15.75" customHeight="1">
      <c r="A33" s="51">
        <v>3.1</v>
      </c>
      <c r="B33" s="51" t="s">
        <v>70</v>
      </c>
      <c r="C33" s="128">
        <f t="shared" ref="C33:K33" si="6">C32/C30</f>
        <v>0.23555585978596152</v>
      </c>
      <c r="D33" s="128">
        <f t="shared" ref="D33:J33" si="7">D32/D30</f>
        <v>0.23555585978596175</v>
      </c>
      <c r="E33" s="128">
        <f t="shared" si="7"/>
        <v>0.23555585978596175</v>
      </c>
      <c r="F33" s="128">
        <f t="shared" si="7"/>
        <v>0.23555585978596164</v>
      </c>
      <c r="G33" s="128">
        <f t="shared" si="7"/>
        <v>0.23555585978596177</v>
      </c>
      <c r="H33" s="128">
        <f t="shared" si="7"/>
        <v>0.23555585978596197</v>
      </c>
      <c r="I33" s="128">
        <f t="shared" si="7"/>
        <v>0.23555585978596189</v>
      </c>
      <c r="J33" s="128">
        <f t="shared" si="7"/>
        <v>0.23555585978596183</v>
      </c>
      <c r="K33" s="128">
        <f t="shared" si="6"/>
        <v>0.23555585978596183</v>
      </c>
      <c r="L33" s="68"/>
      <c r="AM33" s="51"/>
      <c r="AN33" s="51"/>
    </row>
    <row r="34" spans="1:40" s="47" customFormat="1" ht="15.75" customHeight="1">
      <c r="A34" s="51" t="s">
        <v>65</v>
      </c>
      <c r="B34" s="54" t="s">
        <v>9</v>
      </c>
      <c r="C34" s="58"/>
      <c r="D34" s="58"/>
      <c r="E34" s="58"/>
      <c r="F34" s="58"/>
      <c r="G34" s="58"/>
      <c r="H34" s="58"/>
      <c r="I34" s="58"/>
      <c r="J34" s="58"/>
      <c r="K34" s="58"/>
      <c r="L34" s="68"/>
      <c r="AM34" s="51" t="s">
        <v>71</v>
      </c>
      <c r="AN34" s="54" t="s">
        <v>9</v>
      </c>
    </row>
    <row r="35" spans="1:40" s="47" customFormat="1" ht="15.75" customHeight="1">
      <c r="A35" s="51" t="s">
        <v>20</v>
      </c>
      <c r="B35" s="59" t="s">
        <v>72</v>
      </c>
      <c r="C35" s="53">
        <f>+C9/C4</f>
        <v>35.723776000000001</v>
      </c>
      <c r="D35" s="53">
        <f t="shared" ref="D35:J35" si="8">+D9/D4</f>
        <v>35.723776000000001</v>
      </c>
      <c r="E35" s="53">
        <f t="shared" si="8"/>
        <v>35.723776000000008</v>
      </c>
      <c r="F35" s="53">
        <f t="shared" si="8"/>
        <v>35.723776000000001</v>
      </c>
      <c r="G35" s="53">
        <f t="shared" si="8"/>
        <v>35.723776000000001</v>
      </c>
      <c r="H35" s="53">
        <f t="shared" si="8"/>
        <v>35.723776000000008</v>
      </c>
      <c r="I35" s="53">
        <f t="shared" si="8"/>
        <v>35.723776000000001</v>
      </c>
      <c r="J35" s="53">
        <f t="shared" si="8"/>
        <v>35.723776000000001</v>
      </c>
      <c r="K35" s="53">
        <f>+K9/K4</f>
        <v>35.723776000000001</v>
      </c>
      <c r="L35" s="68"/>
      <c r="AM35" s="51" t="s">
        <v>68</v>
      </c>
      <c r="AN35" s="51" t="s">
        <v>72</v>
      </c>
    </row>
    <row r="36" spans="1:40" s="47" customFormat="1" ht="15.75" customHeight="1">
      <c r="A36" s="51" t="s">
        <v>22</v>
      </c>
      <c r="B36" s="59" t="s">
        <v>73</v>
      </c>
      <c r="C36" s="53">
        <f>+C10/C4</f>
        <v>10.757727999999998</v>
      </c>
      <c r="D36" s="53">
        <f t="shared" ref="D36:J36" si="9">+D10/D4</f>
        <v>10.757728</v>
      </c>
      <c r="E36" s="53">
        <f t="shared" si="9"/>
        <v>10.757728</v>
      </c>
      <c r="F36" s="53">
        <f t="shared" si="9"/>
        <v>10.757728</v>
      </c>
      <c r="G36" s="53">
        <f t="shared" si="9"/>
        <v>10.757727999999998</v>
      </c>
      <c r="H36" s="53">
        <f t="shared" si="9"/>
        <v>10.757728</v>
      </c>
      <c r="I36" s="53">
        <f t="shared" si="9"/>
        <v>10.757728</v>
      </c>
      <c r="J36" s="53">
        <f t="shared" si="9"/>
        <v>10.757727999999998</v>
      </c>
      <c r="K36" s="53">
        <f>+K10/K4</f>
        <v>10.757728</v>
      </c>
      <c r="L36" s="68"/>
      <c r="AM36" s="51" t="s">
        <v>25</v>
      </c>
      <c r="AN36" s="51" t="s">
        <v>73</v>
      </c>
    </row>
    <row r="37" spans="1:40" s="47" customFormat="1" ht="15.75" customHeight="1">
      <c r="A37" s="51" t="s">
        <v>68</v>
      </c>
      <c r="B37" s="59" t="s">
        <v>74</v>
      </c>
      <c r="C37" s="53">
        <f>+C11/C4</f>
        <v>8.017552000000002</v>
      </c>
      <c r="D37" s="53">
        <f t="shared" ref="D37:J37" si="10">+D11/D4</f>
        <v>8.0175520000000002</v>
      </c>
      <c r="E37" s="53">
        <f t="shared" si="10"/>
        <v>8.0175520000000002</v>
      </c>
      <c r="F37" s="53">
        <f t="shared" si="10"/>
        <v>8.0175520000000002</v>
      </c>
      <c r="G37" s="53">
        <f t="shared" si="10"/>
        <v>8.0175520000000002</v>
      </c>
      <c r="H37" s="53">
        <f t="shared" si="10"/>
        <v>8.0175520000000002</v>
      </c>
      <c r="I37" s="53">
        <f t="shared" si="10"/>
        <v>8.0175520000000002</v>
      </c>
      <c r="J37" s="53">
        <f t="shared" si="10"/>
        <v>8.0175520000000002</v>
      </c>
      <c r="K37" s="53">
        <f>+K11/K4</f>
        <v>8.0175520000000002</v>
      </c>
      <c r="L37" s="68"/>
      <c r="AM37" s="51" t="s">
        <v>31</v>
      </c>
      <c r="AN37" s="51" t="s">
        <v>74</v>
      </c>
    </row>
    <row r="38" spans="1:40" s="47" customFormat="1" ht="15.75" customHeight="1">
      <c r="A38" s="51" t="s">
        <v>75</v>
      </c>
      <c r="B38" s="117" t="s">
        <v>76</v>
      </c>
      <c r="C38" s="53"/>
      <c r="D38" s="53"/>
      <c r="E38" s="53"/>
      <c r="F38" s="53"/>
      <c r="G38" s="53"/>
      <c r="H38" s="53"/>
      <c r="I38" s="53"/>
      <c r="J38" s="53"/>
      <c r="K38" s="53"/>
      <c r="L38" s="68"/>
      <c r="AM38" s="51" t="s">
        <v>75</v>
      </c>
      <c r="AN38" s="54" t="s">
        <v>76</v>
      </c>
    </row>
    <row r="39" spans="1:40" s="47" customFormat="1">
      <c r="A39" s="51" t="s">
        <v>20</v>
      </c>
      <c r="B39" s="59" t="s">
        <v>77</v>
      </c>
      <c r="C39" s="53">
        <f>+C13/C4</f>
        <v>184.56187497957677</v>
      </c>
      <c r="D39" s="53">
        <f t="shared" ref="D39:J39" si="11">+D13/D4</f>
        <v>177.39004705018951</v>
      </c>
      <c r="E39" s="53">
        <f t="shared" si="11"/>
        <v>170.43337395868397</v>
      </c>
      <c r="F39" s="53">
        <f t="shared" si="11"/>
        <v>163.68540105992341</v>
      </c>
      <c r="G39" s="53">
        <f t="shared" si="11"/>
        <v>157.13986734812565</v>
      </c>
      <c r="H39" s="53">
        <f t="shared" si="11"/>
        <v>150.79069964768195</v>
      </c>
      <c r="I39" s="53">
        <f t="shared" si="11"/>
        <v>144.63200697825147</v>
      </c>
      <c r="J39" s="53">
        <f t="shared" si="11"/>
        <v>138.65807508890384</v>
      </c>
      <c r="K39" s="53">
        <f>+K13/K4</f>
        <v>152.6371178031938</v>
      </c>
      <c r="L39" s="68"/>
      <c r="AM39" s="51" t="s">
        <v>20</v>
      </c>
      <c r="AN39" s="51" t="s">
        <v>78</v>
      </c>
    </row>
    <row r="40" spans="1:40" s="47" customFormat="1" ht="15.75" customHeight="1">
      <c r="A40" s="51" t="s">
        <v>22</v>
      </c>
      <c r="B40" s="59" t="s">
        <v>79</v>
      </c>
      <c r="C40" s="175">
        <f t="shared" ref="C40" si="12">+C21/C39</f>
        <v>3116.6185882303771</v>
      </c>
      <c r="D40" s="175">
        <f t="shared" ref="D40:J40" si="13">+D21/D39</f>
        <v>10928.933411982704</v>
      </c>
      <c r="E40" s="175">
        <f t="shared" si="13"/>
        <v>22001.954134341278</v>
      </c>
      <c r="F40" s="175">
        <f t="shared" si="13"/>
        <v>38574.083758688466</v>
      </c>
      <c r="G40" s="175">
        <f t="shared" si="13"/>
        <v>55721.437019938036</v>
      </c>
      <c r="H40" s="175">
        <f t="shared" si="13"/>
        <v>68594.339035544137</v>
      </c>
      <c r="I40" s="175">
        <f t="shared" si="13"/>
        <v>68560.415728526044</v>
      </c>
      <c r="J40" s="175">
        <f t="shared" si="13"/>
        <v>71220.733247798256</v>
      </c>
      <c r="K40" s="175">
        <f t="shared" ref="K40" si="14">+K21/K39</f>
        <v>337195.7180006649</v>
      </c>
      <c r="L40" s="68"/>
      <c r="AM40" s="51" t="s">
        <v>22</v>
      </c>
      <c r="AN40" s="51" t="s">
        <v>79</v>
      </c>
    </row>
    <row r="41" spans="1:40" s="47" customFormat="1" ht="15.75" customHeight="1">
      <c r="A41" s="51" t="s">
        <v>80</v>
      </c>
      <c r="B41" s="54" t="s">
        <v>81</v>
      </c>
      <c r="C41" s="58"/>
      <c r="D41" s="58"/>
      <c r="E41" s="58"/>
      <c r="F41" s="58"/>
      <c r="G41" s="58"/>
      <c r="H41" s="58"/>
      <c r="I41" s="58"/>
      <c r="J41" s="58"/>
      <c r="K41" s="58"/>
      <c r="L41" s="68"/>
      <c r="AM41" s="51" t="s">
        <v>80</v>
      </c>
      <c r="AN41" s="54" t="s">
        <v>81</v>
      </c>
    </row>
    <row r="42" spans="1:40" s="47" customFormat="1" ht="15.75" customHeight="1">
      <c r="A42" s="51" t="s">
        <v>20</v>
      </c>
      <c r="B42" s="51" t="s">
        <v>82</v>
      </c>
      <c r="C42" s="58">
        <f>+C15/C4</f>
        <v>24.911472925925928</v>
      </c>
      <c r="D42" s="58">
        <f t="shared" ref="D42:J42" si="15">+D15/D4</f>
        <v>21.066114002442006</v>
      </c>
      <c r="E42" s="58">
        <f t="shared" si="15"/>
        <v>20.385045456790124</v>
      </c>
      <c r="F42" s="58">
        <f t="shared" si="15"/>
        <v>20.098303445170661</v>
      </c>
      <c r="G42" s="58">
        <f t="shared" si="15"/>
        <v>19.98291430568597</v>
      </c>
      <c r="H42" s="58">
        <f t="shared" si="15"/>
        <v>19.937376805996475</v>
      </c>
      <c r="I42" s="58">
        <f t="shared" si="15"/>
        <v>19.948190058431102</v>
      </c>
      <c r="J42" s="58">
        <f t="shared" si="15"/>
        <v>19.949269135597138</v>
      </c>
      <c r="K42" s="58">
        <f>+K15/K4</f>
        <v>20.090586940993099</v>
      </c>
      <c r="L42" s="68"/>
      <c r="AM42" s="51" t="s">
        <v>20</v>
      </c>
      <c r="AN42" s="51" t="s">
        <v>82</v>
      </c>
    </row>
    <row r="43" spans="1:40" s="47" customFormat="1" ht="15.75" customHeight="1">
      <c r="A43" s="51" t="s">
        <v>22</v>
      </c>
      <c r="B43" s="51" t="s">
        <v>83</v>
      </c>
      <c r="C43" s="58">
        <f>+C17/C4</f>
        <v>9.5398720000000008</v>
      </c>
      <c r="D43" s="58">
        <f t="shared" ref="D43:J43" si="16">+D17/D4</f>
        <v>9.5398720000000008</v>
      </c>
      <c r="E43" s="58">
        <f t="shared" si="16"/>
        <v>9.5398720000000008</v>
      </c>
      <c r="F43" s="58">
        <f t="shared" si="16"/>
        <v>9.5398720000000008</v>
      </c>
      <c r="G43" s="58">
        <f t="shared" si="16"/>
        <v>9.5398720000000008</v>
      </c>
      <c r="H43" s="58">
        <f t="shared" si="16"/>
        <v>9.5398720000000008</v>
      </c>
      <c r="I43" s="58">
        <f t="shared" si="16"/>
        <v>9.5398720000000026</v>
      </c>
      <c r="J43" s="58">
        <f t="shared" si="16"/>
        <v>9.5398720000000008</v>
      </c>
      <c r="K43" s="58">
        <f>+K17/K4</f>
        <v>9.5398720000000008</v>
      </c>
      <c r="L43" s="68"/>
      <c r="AM43" s="51" t="s">
        <v>22</v>
      </c>
      <c r="AN43" s="51" t="s">
        <v>83</v>
      </c>
    </row>
    <row r="44" spans="1:40" s="47" customFormat="1" ht="15.75" customHeight="1">
      <c r="A44" s="51" t="s">
        <v>68</v>
      </c>
      <c r="B44" s="51" t="s">
        <v>84</v>
      </c>
      <c r="C44" s="58">
        <f>+C18/C4</f>
        <v>33.085087999999999</v>
      </c>
      <c r="D44" s="58">
        <f t="shared" ref="D44:J44" si="17">+D18/D4</f>
        <v>33.085087999999992</v>
      </c>
      <c r="E44" s="58">
        <f t="shared" si="17"/>
        <v>33.085087999999999</v>
      </c>
      <c r="F44" s="58">
        <f t="shared" si="17"/>
        <v>33.085087999999999</v>
      </c>
      <c r="G44" s="58">
        <f t="shared" si="17"/>
        <v>33.085087999999999</v>
      </c>
      <c r="H44" s="58">
        <f t="shared" si="17"/>
        <v>33.085087999999999</v>
      </c>
      <c r="I44" s="58">
        <f t="shared" si="17"/>
        <v>33.085087999999999</v>
      </c>
      <c r="J44" s="58">
        <f t="shared" si="17"/>
        <v>33.085087999999999</v>
      </c>
      <c r="K44" s="58">
        <f>+K18/K4</f>
        <v>33.085087999999999</v>
      </c>
      <c r="L44" s="68"/>
      <c r="AM44" s="51" t="s">
        <v>68</v>
      </c>
      <c r="AN44" s="51" t="s">
        <v>84</v>
      </c>
    </row>
    <row r="45" spans="1:40" s="47" customFormat="1" ht="15.75" customHeight="1">
      <c r="A45" s="51" t="s">
        <v>25</v>
      </c>
      <c r="B45" s="51" t="s">
        <v>85</v>
      </c>
      <c r="C45" s="58"/>
      <c r="D45" s="58"/>
      <c r="E45" s="58"/>
      <c r="F45" s="58"/>
      <c r="G45" s="58"/>
      <c r="H45" s="58"/>
      <c r="I45" s="58"/>
      <c r="J45" s="58"/>
      <c r="K45" s="58"/>
      <c r="L45" s="68"/>
      <c r="AM45" s="51" t="s">
        <v>25</v>
      </c>
      <c r="AN45" s="51" t="s">
        <v>86</v>
      </c>
    </row>
    <row r="46" spans="1:40" s="47" customFormat="1" ht="15.75" customHeight="1">
      <c r="A46" s="51" t="s">
        <v>28</v>
      </c>
      <c r="B46" s="51" t="s">
        <v>87</v>
      </c>
      <c r="C46" s="58"/>
      <c r="D46" s="58"/>
      <c r="E46" s="58"/>
      <c r="F46" s="58"/>
      <c r="G46" s="58"/>
      <c r="H46" s="58"/>
      <c r="I46" s="58"/>
      <c r="J46" s="58"/>
      <c r="K46" s="58"/>
      <c r="L46" s="68"/>
      <c r="AM46" s="51" t="s">
        <v>28</v>
      </c>
      <c r="AN46" s="51" t="s">
        <v>87</v>
      </c>
    </row>
    <row r="47" spans="1:40" s="47" customFormat="1" ht="15.75" customHeight="1">
      <c r="A47" s="51" t="s">
        <v>88</v>
      </c>
      <c r="B47" s="54" t="s">
        <v>89</v>
      </c>
      <c r="C47" s="58"/>
      <c r="D47" s="58"/>
      <c r="E47" s="58"/>
      <c r="F47" s="58"/>
      <c r="G47" s="58"/>
      <c r="H47" s="58"/>
      <c r="I47" s="58"/>
      <c r="J47" s="58"/>
      <c r="K47" s="58"/>
      <c r="L47" s="68"/>
      <c r="AM47" s="51" t="s">
        <v>88</v>
      </c>
      <c r="AN47" s="54" t="s">
        <v>89</v>
      </c>
    </row>
    <row r="48" spans="1:40" s="47" customFormat="1" ht="15.75" customHeight="1">
      <c r="A48" s="51" t="s">
        <v>20</v>
      </c>
      <c r="B48" s="51" t="s">
        <v>90</v>
      </c>
      <c r="C48" s="129">
        <f>+(C11+C17)/C7</f>
        <v>1.7300000000000003E-2</v>
      </c>
      <c r="D48" s="129">
        <f t="shared" ref="D48:J48" si="18">+(D11+D17)/D7</f>
        <v>1.7835051546391756E-2</v>
      </c>
      <c r="E48" s="129">
        <f t="shared" si="18"/>
        <v>1.8386651078754385E-2</v>
      </c>
      <c r="F48" s="129">
        <f t="shared" si="18"/>
        <v>1.8955310390468438E-2</v>
      </c>
      <c r="G48" s="129">
        <f t="shared" si="18"/>
        <v>1.9541557103575708E-2</v>
      </c>
      <c r="H48" s="129">
        <f t="shared" si="18"/>
        <v>2.0145935158325471E-2</v>
      </c>
      <c r="I48" s="129">
        <f t="shared" si="18"/>
        <v>2.0769005317861317E-2</v>
      </c>
      <c r="J48" s="129">
        <f t="shared" si="18"/>
        <v>2.1411345688516818E-2</v>
      </c>
      <c r="K48" s="129">
        <f>+(K11+K17)/K7</f>
        <v>1.9966353679373185E-2</v>
      </c>
      <c r="L48" s="68"/>
      <c r="AM48" s="51" t="s">
        <v>20</v>
      </c>
      <c r="AN48" s="51" t="s">
        <v>90</v>
      </c>
    </row>
    <row r="49" spans="1:40" s="47" customFormat="1" ht="15.75" customHeight="1">
      <c r="A49" s="51" t="s">
        <v>22</v>
      </c>
      <c r="B49" s="51" t="s">
        <v>91</v>
      </c>
      <c r="C49" s="129">
        <f>+(C9+C10+C15)/C7</f>
        <v>7.0346225096490161E-2</v>
      </c>
      <c r="D49" s="129">
        <f t="shared" ref="D49:J49" si="19">+(D9+D10+D15)/D7</f>
        <v>6.8615717710612492E-2</v>
      </c>
      <c r="E49" s="129">
        <f t="shared" si="19"/>
        <v>7.0024618286957899E-2</v>
      </c>
      <c r="F49" s="129">
        <f t="shared" si="19"/>
        <v>7.1880756303477733E-2</v>
      </c>
      <c r="G49" s="129">
        <f t="shared" si="19"/>
        <v>7.3975443417924239E-2</v>
      </c>
      <c r="H49" s="129">
        <f t="shared" si="19"/>
        <v>7.621109258431949E-2</v>
      </c>
      <c r="I49" s="129">
        <f t="shared" si="19"/>
        <v>7.8580927883467169E-2</v>
      </c>
      <c r="J49" s="129">
        <f t="shared" si="19"/>
        <v>8.1012581797973701E-2</v>
      </c>
      <c r="K49" s="129">
        <f>+(K9+K10+K15)/K7</f>
        <v>7.5705975597745098E-2</v>
      </c>
      <c r="L49" s="68"/>
      <c r="AM49" s="51" t="s">
        <v>22</v>
      </c>
      <c r="AN49" s="51" t="s">
        <v>91</v>
      </c>
    </row>
    <row r="50" spans="1:40" s="47" customFormat="1" ht="15.75" customHeight="1">
      <c r="A50" s="51" t="s">
        <v>68</v>
      </c>
      <c r="B50" s="51" t="s">
        <v>92</v>
      </c>
      <c r="C50" s="129">
        <f>+C18/C7</f>
        <v>3.2599999999999997E-2</v>
      </c>
      <c r="D50" s="129">
        <f t="shared" ref="D50:J50" si="20">+D18/D7</f>
        <v>3.3608247422680405E-2</v>
      </c>
      <c r="E50" s="129">
        <f t="shared" si="20"/>
        <v>3.4647677755340625E-2</v>
      </c>
      <c r="F50" s="129">
        <f t="shared" si="20"/>
        <v>3.571925541787694E-2</v>
      </c>
      <c r="G50" s="129">
        <f t="shared" si="20"/>
        <v>3.6823974657605098E-2</v>
      </c>
      <c r="H50" s="129">
        <f t="shared" si="20"/>
        <v>3.7962860471757814E-2</v>
      </c>
      <c r="I50" s="129">
        <f t="shared" si="20"/>
        <v>3.9136969558513222E-2</v>
      </c>
      <c r="J50" s="129">
        <f t="shared" si="20"/>
        <v>4.0347391297436315E-2</v>
      </c>
      <c r="K50" s="129">
        <f>+K18/K7</f>
        <v>3.7624458378472017E-2</v>
      </c>
      <c r="L50" s="68"/>
      <c r="AM50" s="51" t="s">
        <v>68</v>
      </c>
      <c r="AN50" s="51" t="s">
        <v>92</v>
      </c>
    </row>
    <row r="51" spans="1:40" s="47" customFormat="1" ht="15.75" customHeight="1">
      <c r="A51" s="51" t="s">
        <v>25</v>
      </c>
      <c r="B51" s="51" t="s">
        <v>93</v>
      </c>
      <c r="C51" s="129">
        <f>+C19/C7</f>
        <v>1.4651773280256452E-2</v>
      </c>
      <c r="D51" s="129">
        <f t="shared" ref="D51:J51" si="21">+D19/D7</f>
        <v>3.9837154041707807E-3</v>
      </c>
      <c r="E51" s="129">
        <f t="shared" si="21"/>
        <v>2.07627778796988E-3</v>
      </c>
      <c r="F51" s="129">
        <f t="shared" si="21"/>
        <v>1.2591132734808246E-3</v>
      </c>
      <c r="G51" s="129">
        <f t="shared" si="21"/>
        <v>9.324056475609418E-4</v>
      </c>
      <c r="H51" s="129">
        <f t="shared" si="21"/>
        <v>8.1247914797283826E-4</v>
      </c>
      <c r="I51" s="129">
        <f t="shared" si="21"/>
        <v>8.7402508074173563E-4</v>
      </c>
      <c r="J51" s="129">
        <f t="shared" si="21"/>
        <v>9.0480338212542226E-4</v>
      </c>
      <c r="K51" s="129">
        <f>+K19/K7</f>
        <v>1.3012883007626653E-3</v>
      </c>
      <c r="L51" s="68"/>
      <c r="AM51" s="51" t="s">
        <v>25</v>
      </c>
      <c r="AN51" s="51" t="s">
        <v>93</v>
      </c>
    </row>
    <row r="52" spans="1:40" s="47" customFormat="1" ht="15.75" customHeight="1">
      <c r="A52" s="51" t="s">
        <v>28</v>
      </c>
      <c r="B52" s="51" t="s">
        <v>94</v>
      </c>
      <c r="C52" s="129">
        <f>+C20/C7</f>
        <v>0.05</v>
      </c>
      <c r="D52" s="129">
        <f t="shared" ref="D52:J52" si="22">+D20/D7</f>
        <v>5.1546391752577324E-2</v>
      </c>
      <c r="E52" s="129">
        <f t="shared" si="22"/>
        <v>5.3140610054203424E-2</v>
      </c>
      <c r="F52" s="129">
        <f t="shared" si="22"/>
        <v>5.4784134076498368E-2</v>
      </c>
      <c r="G52" s="129">
        <f t="shared" si="22"/>
        <v>5.6478488738658114E-2</v>
      </c>
      <c r="H52" s="129">
        <f t="shared" si="22"/>
        <v>5.8225246122327955E-2</v>
      </c>
      <c r="I52" s="129">
        <f t="shared" si="22"/>
        <v>6.0026026930235017E-2</v>
      </c>
      <c r="J52" s="129">
        <f t="shared" si="22"/>
        <v>6.1882501989933003E-2</v>
      </c>
      <c r="K52" s="129">
        <f>+K20/K7</f>
        <v>5.7706224506858916E-2</v>
      </c>
      <c r="L52" s="68"/>
      <c r="AM52" s="51" t="s">
        <v>28</v>
      </c>
      <c r="AN52" s="51" t="s">
        <v>94</v>
      </c>
    </row>
    <row r="53" spans="1:40" s="47" customFormat="1" ht="15.75" customHeight="1">
      <c r="A53" s="51" t="s">
        <v>31</v>
      </c>
      <c r="B53" s="51" t="s">
        <v>95</v>
      </c>
      <c r="C53" s="129">
        <f>+C24/C7</f>
        <v>4.3059182197832821E-2</v>
      </c>
      <c r="D53" s="129">
        <f t="shared" ref="D53:J53" si="23">+D24/D7</f>
        <v>4.4975051962146725E-2</v>
      </c>
      <c r="E53" s="129">
        <f t="shared" si="23"/>
        <v>4.2960018617051718E-2</v>
      </c>
      <c r="F53" s="129">
        <f t="shared" si="23"/>
        <v>3.9717967743119635E-2</v>
      </c>
      <c r="G53" s="129">
        <f t="shared" si="23"/>
        <v>3.5852992665478221E-2</v>
      </c>
      <c r="H53" s="129">
        <f t="shared" si="23"/>
        <v>3.1648684725943656E-2</v>
      </c>
      <c r="I53" s="129">
        <f t="shared" si="23"/>
        <v>2.7126678761357517E-2</v>
      </c>
      <c r="J53" s="129">
        <f t="shared" si="23"/>
        <v>2.2497926722482322E-2</v>
      </c>
      <c r="K53" s="129">
        <f>+K24/K7</f>
        <v>3.6763825424337503E-2</v>
      </c>
      <c r="L53" s="68"/>
      <c r="AM53" s="51" t="s">
        <v>31</v>
      </c>
      <c r="AN53" s="51" t="s">
        <v>96</v>
      </c>
    </row>
    <row r="54" spans="1:40" s="47" customFormat="1" ht="15.75" customHeight="1">
      <c r="A54" s="51" t="s">
        <v>97</v>
      </c>
      <c r="B54" s="54" t="s">
        <v>98</v>
      </c>
      <c r="C54" s="58">
        <f>+C22/C4</f>
        <v>51.411650386984199</v>
      </c>
      <c r="D54" s="58">
        <f t="shared" ref="D54:J54" si="24">+D22/D4</f>
        <v>59.033269751044209</v>
      </c>
      <c r="E54" s="58">
        <f t="shared" si="24"/>
        <v>54.696729613004948</v>
      </c>
      <c r="F54" s="58">
        <f t="shared" si="24"/>
        <v>49.05187944481812</v>
      </c>
      <c r="G54" s="58">
        <f t="shared" si="24"/>
        <v>42.950258300655626</v>
      </c>
      <c r="H54" s="58">
        <f t="shared" si="24"/>
        <v>36.776277524225144</v>
      </c>
      <c r="I54" s="58">
        <f t="shared" si="24"/>
        <v>30.575985284209594</v>
      </c>
      <c r="J54" s="58">
        <f t="shared" si="24"/>
        <v>24.597902086362815</v>
      </c>
      <c r="K54" s="58">
        <f>+K22/K4</f>
        <v>38.033282285046369</v>
      </c>
      <c r="L54" s="68"/>
      <c r="AM54" s="51" t="s">
        <v>97</v>
      </c>
      <c r="AN54" s="54" t="s">
        <v>98</v>
      </c>
    </row>
    <row r="55" spans="1:40" s="47" customFormat="1" ht="15.75" customHeight="1">
      <c r="A55" s="51" t="s">
        <v>99</v>
      </c>
      <c r="B55" s="130" t="s">
        <v>100</v>
      </c>
      <c r="C55" s="58"/>
      <c r="D55" s="58"/>
      <c r="E55" s="58"/>
      <c r="F55" s="58"/>
      <c r="G55" s="58"/>
      <c r="H55" s="58"/>
      <c r="I55" s="58"/>
      <c r="J55" s="58"/>
      <c r="K55" s="58"/>
      <c r="L55" s="68"/>
      <c r="AM55" s="51"/>
      <c r="AN55" s="54"/>
    </row>
    <row r="56" spans="1:40" s="47" customFormat="1" ht="15.75" customHeight="1">
      <c r="A56" s="51" t="s">
        <v>20</v>
      </c>
      <c r="B56" s="51" t="s">
        <v>101</v>
      </c>
      <c r="C56" s="58">
        <f>C57+C58</f>
        <v>703900</v>
      </c>
      <c r="D56" s="58">
        <f t="shared" ref="D56:J56" si="25">D57+D58</f>
        <v>0</v>
      </c>
      <c r="E56" s="58">
        <f t="shared" si="25"/>
        <v>0</v>
      </c>
      <c r="F56" s="58">
        <f t="shared" si="25"/>
        <v>0</v>
      </c>
      <c r="G56" s="58">
        <f t="shared" si="25"/>
        <v>0</v>
      </c>
      <c r="H56" s="58">
        <f t="shared" si="25"/>
        <v>0</v>
      </c>
      <c r="I56" s="58">
        <f t="shared" si="25"/>
        <v>0</v>
      </c>
      <c r="J56" s="58">
        <f t="shared" si="25"/>
        <v>0</v>
      </c>
      <c r="K56" s="58"/>
      <c r="L56" s="68"/>
    </row>
    <row r="57" spans="1:40" s="47" customFormat="1" ht="15.75" customHeight="1">
      <c r="A57" s="51">
        <v>1.1000000000000001</v>
      </c>
      <c r="B57" s="131" t="s">
        <v>102</v>
      </c>
      <c r="C57" s="58">
        <f>项目投资!B27</f>
        <v>513900</v>
      </c>
      <c r="D57" s="58"/>
      <c r="E57" s="58"/>
      <c r="F57" s="58"/>
      <c r="G57" s="58"/>
      <c r="H57" s="58"/>
      <c r="I57" s="58"/>
      <c r="J57" s="58"/>
      <c r="K57" s="58"/>
      <c r="L57" s="68"/>
    </row>
    <row r="58" spans="1:40" s="47" customFormat="1" ht="15.75" customHeight="1">
      <c r="A58" s="51">
        <v>1.2</v>
      </c>
      <c r="B58" s="51" t="s">
        <v>103</v>
      </c>
      <c r="C58" s="58">
        <f>项目投资!B26</f>
        <v>190000</v>
      </c>
      <c r="D58" s="58"/>
      <c r="E58" s="58"/>
      <c r="F58" s="58"/>
      <c r="G58" s="58"/>
      <c r="H58" s="58"/>
      <c r="I58" s="58"/>
      <c r="J58" s="58"/>
      <c r="K58" s="58"/>
      <c r="L58" s="68"/>
    </row>
    <row r="59" spans="1:40" ht="15.75" customHeight="1">
      <c r="A59" s="118" t="s">
        <v>22</v>
      </c>
      <c r="B59" s="118" t="s">
        <v>104</v>
      </c>
      <c r="C59" s="132">
        <f t="shared" ref="C59" si="26">C60+C61</f>
        <v>211346.08022100598</v>
      </c>
      <c r="D59" s="132">
        <f t="shared" ref="D59:J59" si="27">D60+D61</f>
        <v>747786.21889157814</v>
      </c>
      <c r="E59" s="132">
        <f t="shared" si="27"/>
        <v>1351693.0295960202</v>
      </c>
      <c r="F59" s="132">
        <f t="shared" si="27"/>
        <v>2048895.6398654366</v>
      </c>
      <c r="G59" s="132">
        <f t="shared" si="27"/>
        <v>2492631.8548707049</v>
      </c>
      <c r="H59" s="132">
        <f t="shared" si="27"/>
        <v>2524820.4227482788</v>
      </c>
      <c r="I59" s="132">
        <f t="shared" si="27"/>
        <v>2016269.6204568865</v>
      </c>
      <c r="J59" s="132">
        <f t="shared" si="27"/>
        <v>1619827.2719779694</v>
      </c>
      <c r="K59" s="132">
        <f t="shared" ref="K59" si="28">K60+K61</f>
        <v>14699135.013082176</v>
      </c>
      <c r="L59" s="68"/>
    </row>
    <row r="60" spans="1:40" ht="15.75" customHeight="1">
      <c r="A60" s="118" t="s">
        <v>68</v>
      </c>
      <c r="B60" s="118" t="s">
        <v>105</v>
      </c>
      <c r="C60" s="132">
        <f t="shared" ref="C60" si="29">C24</f>
        <v>188783.58022100598</v>
      </c>
      <c r="D60" s="132">
        <f t="shared" ref="D60:J60" si="30">D24</f>
        <v>725223.71889157814</v>
      </c>
      <c r="E60" s="132">
        <f t="shared" si="30"/>
        <v>1329130.5295960202</v>
      </c>
      <c r="F60" s="132">
        <f t="shared" si="30"/>
        <v>2026333.1398654366</v>
      </c>
      <c r="G60" s="132">
        <f t="shared" si="30"/>
        <v>2470069.3548707049</v>
      </c>
      <c r="H60" s="132">
        <f t="shared" si="30"/>
        <v>2502257.9227482788</v>
      </c>
      <c r="I60" s="132">
        <f t="shared" si="30"/>
        <v>1993707.1204568865</v>
      </c>
      <c r="J60" s="132">
        <f t="shared" si="30"/>
        <v>1597264.7719779694</v>
      </c>
      <c r="K60" s="132">
        <f t="shared" ref="K60" si="31">K24</f>
        <v>14518635.013082176</v>
      </c>
      <c r="L60" s="68"/>
    </row>
    <row r="61" spans="1:40" ht="15.75" customHeight="1">
      <c r="A61" s="118" t="s">
        <v>25</v>
      </c>
      <c r="B61" s="118" t="s">
        <v>106</v>
      </c>
      <c r="C61" s="132">
        <f>'2024年'!J18</f>
        <v>22562.5</v>
      </c>
      <c r="D61" s="132">
        <f>C61</f>
        <v>22562.5</v>
      </c>
      <c r="E61" s="132">
        <f t="shared" ref="E61:J61" si="32">D61</f>
        <v>22562.5</v>
      </c>
      <c r="F61" s="132">
        <f t="shared" si="32"/>
        <v>22562.5</v>
      </c>
      <c r="G61" s="132">
        <f t="shared" si="32"/>
        <v>22562.5</v>
      </c>
      <c r="H61" s="132">
        <f t="shared" si="32"/>
        <v>22562.5</v>
      </c>
      <c r="I61" s="132">
        <f t="shared" si="32"/>
        <v>22562.5</v>
      </c>
      <c r="J61" s="132">
        <f t="shared" si="32"/>
        <v>22562.5</v>
      </c>
      <c r="K61" s="132">
        <f>项目投资!L26</f>
        <v>180500</v>
      </c>
      <c r="L61" s="68"/>
    </row>
    <row r="62" spans="1:40" ht="15.75" customHeight="1">
      <c r="A62" s="118" t="s">
        <v>28</v>
      </c>
      <c r="B62" s="118" t="s">
        <v>107</v>
      </c>
      <c r="C62" s="133"/>
      <c r="D62" s="133"/>
      <c r="E62" s="133"/>
      <c r="F62" s="133"/>
      <c r="G62" s="133"/>
      <c r="H62" s="133"/>
      <c r="I62" s="133"/>
      <c r="J62" s="133"/>
      <c r="K62" s="132"/>
      <c r="L62" s="68"/>
    </row>
    <row r="64" spans="1:40">
      <c r="B64"/>
    </row>
  </sheetData>
  <mergeCells count="2">
    <mergeCell ref="A3:A4"/>
    <mergeCell ref="A1:K1"/>
  </mergeCells>
  <phoneticPr fontId="38" type="noConversion"/>
  <pageMargins left="0.31496062992126" right="0.31496062992126" top="0.15748031496063" bottom="0.15748031496063" header="0" footer="0"/>
  <pageSetup paperSize="9" orientation="portrait" horizontalDpi="200" verticalDpi="300" r:id="rId1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"/>
  <sheetViews>
    <sheetView workbookViewId="0">
      <selection activeCell="B11" sqref="B11:B15"/>
    </sheetView>
  </sheetViews>
  <sheetFormatPr defaultColWidth="9.125" defaultRowHeight="19.899999999999999" customHeight="1"/>
  <cols>
    <col min="1" max="1" width="8" style="72" customWidth="1"/>
    <col min="2" max="2" width="28.5" style="72" customWidth="1"/>
    <col min="3" max="4" width="9.125" style="72"/>
    <col min="5" max="5" width="13.875" style="72" customWidth="1"/>
    <col min="6" max="12" width="16.125" style="72" customWidth="1"/>
    <col min="13" max="13" width="10.625" style="72" customWidth="1"/>
    <col min="14" max="254" width="9.125" style="72"/>
    <col min="255" max="255" width="8" style="72" customWidth="1"/>
    <col min="256" max="256" width="28.5" style="72" customWidth="1"/>
    <col min="257" max="268" width="9.125" style="72"/>
    <col min="269" max="269" width="10.625" style="72" customWidth="1"/>
    <col min="270" max="510" width="9.125" style="72"/>
    <col min="511" max="511" width="8" style="72" customWidth="1"/>
    <col min="512" max="512" width="28.5" style="72" customWidth="1"/>
    <col min="513" max="524" width="9.125" style="72"/>
    <col min="525" max="525" width="10.625" style="72" customWidth="1"/>
    <col min="526" max="766" width="9.125" style="72"/>
    <col min="767" max="767" width="8" style="72" customWidth="1"/>
    <col min="768" max="768" width="28.5" style="72" customWidth="1"/>
    <col min="769" max="780" width="9.125" style="72"/>
    <col min="781" max="781" width="10.625" style="72" customWidth="1"/>
    <col min="782" max="1022" width="9.125" style="72"/>
    <col min="1023" max="1023" width="8" style="72" customWidth="1"/>
    <col min="1024" max="1024" width="28.5" style="72" customWidth="1"/>
    <col min="1025" max="1036" width="9.125" style="72"/>
    <col min="1037" max="1037" width="10.625" style="72" customWidth="1"/>
    <col min="1038" max="1278" width="9.125" style="72"/>
    <col min="1279" max="1279" width="8" style="72" customWidth="1"/>
    <col min="1280" max="1280" width="28.5" style="72" customWidth="1"/>
    <col min="1281" max="1292" width="9.125" style="72"/>
    <col min="1293" max="1293" width="10.625" style="72" customWidth="1"/>
    <col min="1294" max="1534" width="9.125" style="72"/>
    <col min="1535" max="1535" width="8" style="72" customWidth="1"/>
    <col min="1536" max="1536" width="28.5" style="72" customWidth="1"/>
    <col min="1537" max="1548" width="9.125" style="72"/>
    <col min="1549" max="1549" width="10.625" style="72" customWidth="1"/>
    <col min="1550" max="1790" width="9.125" style="72"/>
    <col min="1791" max="1791" width="8" style="72" customWidth="1"/>
    <col min="1792" max="1792" width="28.5" style="72" customWidth="1"/>
    <col min="1793" max="1804" width="9.125" style="72"/>
    <col min="1805" max="1805" width="10.625" style="72" customWidth="1"/>
    <col min="1806" max="2046" width="9.125" style="72"/>
    <col min="2047" max="2047" width="8" style="72" customWidth="1"/>
    <col min="2048" max="2048" width="28.5" style="72" customWidth="1"/>
    <col min="2049" max="2060" width="9.125" style="72"/>
    <col min="2061" max="2061" width="10.625" style="72" customWidth="1"/>
    <col min="2062" max="2302" width="9.125" style="72"/>
    <col min="2303" max="2303" width="8" style="72" customWidth="1"/>
    <col min="2304" max="2304" width="28.5" style="72" customWidth="1"/>
    <col min="2305" max="2316" width="9.125" style="72"/>
    <col min="2317" max="2317" width="10.625" style="72" customWidth="1"/>
    <col min="2318" max="2558" width="9.125" style="72"/>
    <col min="2559" max="2559" width="8" style="72" customWidth="1"/>
    <col min="2560" max="2560" width="28.5" style="72" customWidth="1"/>
    <col min="2561" max="2572" width="9.125" style="72"/>
    <col min="2573" max="2573" width="10.625" style="72" customWidth="1"/>
    <col min="2574" max="2814" width="9.125" style="72"/>
    <col min="2815" max="2815" width="8" style="72" customWidth="1"/>
    <col min="2816" max="2816" width="28.5" style="72" customWidth="1"/>
    <col min="2817" max="2828" width="9.125" style="72"/>
    <col min="2829" max="2829" width="10.625" style="72" customWidth="1"/>
    <col min="2830" max="3070" width="9.125" style="72"/>
    <col min="3071" max="3071" width="8" style="72" customWidth="1"/>
    <col min="3072" max="3072" width="28.5" style="72" customWidth="1"/>
    <col min="3073" max="3084" width="9.125" style="72"/>
    <col min="3085" max="3085" width="10.625" style="72" customWidth="1"/>
    <col min="3086" max="3326" width="9.125" style="72"/>
    <col min="3327" max="3327" width="8" style="72" customWidth="1"/>
    <col min="3328" max="3328" width="28.5" style="72" customWidth="1"/>
    <col min="3329" max="3340" width="9.125" style="72"/>
    <col min="3341" max="3341" width="10.625" style="72" customWidth="1"/>
    <col min="3342" max="3582" width="9.125" style="72"/>
    <col min="3583" max="3583" width="8" style="72" customWidth="1"/>
    <col min="3584" max="3584" width="28.5" style="72" customWidth="1"/>
    <col min="3585" max="3596" width="9.125" style="72"/>
    <col min="3597" max="3597" width="10.625" style="72" customWidth="1"/>
    <col min="3598" max="3838" width="9.125" style="72"/>
    <col min="3839" max="3839" width="8" style="72" customWidth="1"/>
    <col min="3840" max="3840" width="28.5" style="72" customWidth="1"/>
    <col min="3841" max="3852" width="9.125" style="72"/>
    <col min="3853" max="3853" width="10.625" style="72" customWidth="1"/>
    <col min="3854" max="4094" width="9.125" style="72"/>
    <col min="4095" max="4095" width="8" style="72" customWidth="1"/>
    <col min="4096" max="4096" width="28.5" style="72" customWidth="1"/>
    <col min="4097" max="4108" width="9.125" style="72"/>
    <col min="4109" max="4109" width="10.625" style="72" customWidth="1"/>
    <col min="4110" max="4350" width="9.125" style="72"/>
    <col min="4351" max="4351" width="8" style="72" customWidth="1"/>
    <col min="4352" max="4352" width="28.5" style="72" customWidth="1"/>
    <col min="4353" max="4364" width="9.125" style="72"/>
    <col min="4365" max="4365" width="10.625" style="72" customWidth="1"/>
    <col min="4366" max="4606" width="9.125" style="72"/>
    <col min="4607" max="4607" width="8" style="72" customWidth="1"/>
    <col min="4608" max="4608" width="28.5" style="72" customWidth="1"/>
    <col min="4609" max="4620" width="9.125" style="72"/>
    <col min="4621" max="4621" width="10.625" style="72" customWidth="1"/>
    <col min="4622" max="4862" width="9.125" style="72"/>
    <col min="4863" max="4863" width="8" style="72" customWidth="1"/>
    <col min="4864" max="4864" width="28.5" style="72" customWidth="1"/>
    <col min="4865" max="4876" width="9.125" style="72"/>
    <col min="4877" max="4877" width="10.625" style="72" customWidth="1"/>
    <col min="4878" max="5118" width="9.125" style="72"/>
    <col min="5119" max="5119" width="8" style="72" customWidth="1"/>
    <col min="5120" max="5120" width="28.5" style="72" customWidth="1"/>
    <col min="5121" max="5132" width="9.125" style="72"/>
    <col min="5133" max="5133" width="10.625" style="72" customWidth="1"/>
    <col min="5134" max="5374" width="9.125" style="72"/>
    <col min="5375" max="5375" width="8" style="72" customWidth="1"/>
    <col min="5376" max="5376" width="28.5" style="72" customWidth="1"/>
    <col min="5377" max="5388" width="9.125" style="72"/>
    <col min="5389" max="5389" width="10.625" style="72" customWidth="1"/>
    <col min="5390" max="5630" width="9.125" style="72"/>
    <col min="5631" max="5631" width="8" style="72" customWidth="1"/>
    <col min="5632" max="5632" width="28.5" style="72" customWidth="1"/>
    <col min="5633" max="5644" width="9.125" style="72"/>
    <col min="5645" max="5645" width="10.625" style="72" customWidth="1"/>
    <col min="5646" max="5886" width="9.125" style="72"/>
    <col min="5887" max="5887" width="8" style="72" customWidth="1"/>
    <col min="5888" max="5888" width="28.5" style="72" customWidth="1"/>
    <col min="5889" max="5900" width="9.125" style="72"/>
    <col min="5901" max="5901" width="10.625" style="72" customWidth="1"/>
    <col min="5902" max="6142" width="9.125" style="72"/>
    <col min="6143" max="6143" width="8" style="72" customWidth="1"/>
    <col min="6144" max="6144" width="28.5" style="72" customWidth="1"/>
    <col min="6145" max="6156" width="9.125" style="72"/>
    <col min="6157" max="6157" width="10.625" style="72" customWidth="1"/>
    <col min="6158" max="6398" width="9.125" style="72"/>
    <col min="6399" max="6399" width="8" style="72" customWidth="1"/>
    <col min="6400" max="6400" width="28.5" style="72" customWidth="1"/>
    <col min="6401" max="6412" width="9.125" style="72"/>
    <col min="6413" max="6413" width="10.625" style="72" customWidth="1"/>
    <col min="6414" max="6654" width="9.125" style="72"/>
    <col min="6655" max="6655" width="8" style="72" customWidth="1"/>
    <col min="6656" max="6656" width="28.5" style="72" customWidth="1"/>
    <col min="6657" max="6668" width="9.125" style="72"/>
    <col min="6669" max="6669" width="10.625" style="72" customWidth="1"/>
    <col min="6670" max="6910" width="9.125" style="72"/>
    <col min="6911" max="6911" width="8" style="72" customWidth="1"/>
    <col min="6912" max="6912" width="28.5" style="72" customWidth="1"/>
    <col min="6913" max="6924" width="9.125" style="72"/>
    <col min="6925" max="6925" width="10.625" style="72" customWidth="1"/>
    <col min="6926" max="7166" width="9.125" style="72"/>
    <col min="7167" max="7167" width="8" style="72" customWidth="1"/>
    <col min="7168" max="7168" width="28.5" style="72" customWidth="1"/>
    <col min="7169" max="7180" width="9.125" style="72"/>
    <col min="7181" max="7181" width="10.625" style="72" customWidth="1"/>
    <col min="7182" max="7422" width="9.125" style="72"/>
    <col min="7423" max="7423" width="8" style="72" customWidth="1"/>
    <col min="7424" max="7424" width="28.5" style="72" customWidth="1"/>
    <col min="7425" max="7436" width="9.125" style="72"/>
    <col min="7437" max="7437" width="10.625" style="72" customWidth="1"/>
    <col min="7438" max="7678" width="9.125" style="72"/>
    <col min="7679" max="7679" width="8" style="72" customWidth="1"/>
    <col min="7680" max="7680" width="28.5" style="72" customWidth="1"/>
    <col min="7681" max="7692" width="9.125" style="72"/>
    <col min="7693" max="7693" width="10.625" style="72" customWidth="1"/>
    <col min="7694" max="7934" width="9.125" style="72"/>
    <col min="7935" max="7935" width="8" style="72" customWidth="1"/>
    <col min="7936" max="7936" width="28.5" style="72" customWidth="1"/>
    <col min="7937" max="7948" width="9.125" style="72"/>
    <col min="7949" max="7949" width="10.625" style="72" customWidth="1"/>
    <col min="7950" max="8190" width="9.125" style="72"/>
    <col min="8191" max="8191" width="8" style="72" customWidth="1"/>
    <col min="8192" max="8192" width="28.5" style="72" customWidth="1"/>
    <col min="8193" max="8204" width="9.125" style="72"/>
    <col min="8205" max="8205" width="10.625" style="72" customWidth="1"/>
    <col min="8206" max="8446" width="9.125" style="72"/>
    <col min="8447" max="8447" width="8" style="72" customWidth="1"/>
    <col min="8448" max="8448" width="28.5" style="72" customWidth="1"/>
    <col min="8449" max="8460" width="9.125" style="72"/>
    <col min="8461" max="8461" width="10.625" style="72" customWidth="1"/>
    <col min="8462" max="8702" width="9.125" style="72"/>
    <col min="8703" max="8703" width="8" style="72" customWidth="1"/>
    <col min="8704" max="8704" width="28.5" style="72" customWidth="1"/>
    <col min="8705" max="8716" width="9.125" style="72"/>
    <col min="8717" max="8717" width="10.625" style="72" customWidth="1"/>
    <col min="8718" max="8958" width="9.125" style="72"/>
    <col min="8959" max="8959" width="8" style="72" customWidth="1"/>
    <col min="8960" max="8960" width="28.5" style="72" customWidth="1"/>
    <col min="8961" max="8972" width="9.125" style="72"/>
    <col min="8973" max="8973" width="10.625" style="72" customWidth="1"/>
    <col min="8974" max="9214" width="9.125" style="72"/>
    <col min="9215" max="9215" width="8" style="72" customWidth="1"/>
    <col min="9216" max="9216" width="28.5" style="72" customWidth="1"/>
    <col min="9217" max="9228" width="9.125" style="72"/>
    <col min="9229" max="9229" width="10.625" style="72" customWidth="1"/>
    <col min="9230" max="9470" width="9.125" style="72"/>
    <col min="9471" max="9471" width="8" style="72" customWidth="1"/>
    <col min="9472" max="9472" width="28.5" style="72" customWidth="1"/>
    <col min="9473" max="9484" width="9.125" style="72"/>
    <col min="9485" max="9485" width="10.625" style="72" customWidth="1"/>
    <col min="9486" max="9726" width="9.125" style="72"/>
    <col min="9727" max="9727" width="8" style="72" customWidth="1"/>
    <col min="9728" max="9728" width="28.5" style="72" customWidth="1"/>
    <col min="9729" max="9740" width="9.125" style="72"/>
    <col min="9741" max="9741" width="10.625" style="72" customWidth="1"/>
    <col min="9742" max="9982" width="9.125" style="72"/>
    <col min="9983" max="9983" width="8" style="72" customWidth="1"/>
    <col min="9984" max="9984" width="28.5" style="72" customWidth="1"/>
    <col min="9985" max="9996" width="9.125" style="72"/>
    <col min="9997" max="9997" width="10.625" style="72" customWidth="1"/>
    <col min="9998" max="10238" width="9.125" style="72"/>
    <col min="10239" max="10239" width="8" style="72" customWidth="1"/>
    <col min="10240" max="10240" width="28.5" style="72" customWidth="1"/>
    <col min="10241" max="10252" width="9.125" style="72"/>
    <col min="10253" max="10253" width="10.625" style="72" customWidth="1"/>
    <col min="10254" max="10494" width="9.125" style="72"/>
    <col min="10495" max="10495" width="8" style="72" customWidth="1"/>
    <col min="10496" max="10496" width="28.5" style="72" customWidth="1"/>
    <col min="10497" max="10508" width="9.125" style="72"/>
    <col min="10509" max="10509" width="10.625" style="72" customWidth="1"/>
    <col min="10510" max="10750" width="9.125" style="72"/>
    <col min="10751" max="10751" width="8" style="72" customWidth="1"/>
    <col min="10752" max="10752" width="28.5" style="72" customWidth="1"/>
    <col min="10753" max="10764" width="9.125" style="72"/>
    <col min="10765" max="10765" width="10.625" style="72" customWidth="1"/>
    <col min="10766" max="11006" width="9.125" style="72"/>
    <col min="11007" max="11007" width="8" style="72" customWidth="1"/>
    <col min="11008" max="11008" width="28.5" style="72" customWidth="1"/>
    <col min="11009" max="11020" width="9.125" style="72"/>
    <col min="11021" max="11021" width="10.625" style="72" customWidth="1"/>
    <col min="11022" max="11262" width="9.125" style="72"/>
    <col min="11263" max="11263" width="8" style="72" customWidth="1"/>
    <col min="11264" max="11264" width="28.5" style="72" customWidth="1"/>
    <col min="11265" max="11276" width="9.125" style="72"/>
    <col min="11277" max="11277" width="10.625" style="72" customWidth="1"/>
    <col min="11278" max="11518" width="9.125" style="72"/>
    <col min="11519" max="11519" width="8" style="72" customWidth="1"/>
    <col min="11520" max="11520" width="28.5" style="72" customWidth="1"/>
    <col min="11521" max="11532" width="9.125" style="72"/>
    <col min="11533" max="11533" width="10.625" style="72" customWidth="1"/>
    <col min="11534" max="11774" width="9.125" style="72"/>
    <col min="11775" max="11775" width="8" style="72" customWidth="1"/>
    <col min="11776" max="11776" width="28.5" style="72" customWidth="1"/>
    <col min="11777" max="11788" width="9.125" style="72"/>
    <col min="11789" max="11789" width="10.625" style="72" customWidth="1"/>
    <col min="11790" max="12030" width="9.125" style="72"/>
    <col min="12031" max="12031" width="8" style="72" customWidth="1"/>
    <col min="12032" max="12032" width="28.5" style="72" customWidth="1"/>
    <col min="12033" max="12044" width="9.125" style="72"/>
    <col min="12045" max="12045" width="10.625" style="72" customWidth="1"/>
    <col min="12046" max="12286" width="9.125" style="72"/>
    <col min="12287" max="12287" width="8" style="72" customWidth="1"/>
    <col min="12288" max="12288" width="28.5" style="72" customWidth="1"/>
    <col min="12289" max="12300" width="9.125" style="72"/>
    <col min="12301" max="12301" width="10.625" style="72" customWidth="1"/>
    <col min="12302" max="12542" width="9.125" style="72"/>
    <col min="12543" max="12543" width="8" style="72" customWidth="1"/>
    <col min="12544" max="12544" width="28.5" style="72" customWidth="1"/>
    <col min="12545" max="12556" width="9.125" style="72"/>
    <col min="12557" max="12557" width="10.625" style="72" customWidth="1"/>
    <col min="12558" max="12798" width="9.125" style="72"/>
    <col min="12799" max="12799" width="8" style="72" customWidth="1"/>
    <col min="12800" max="12800" width="28.5" style="72" customWidth="1"/>
    <col min="12801" max="12812" width="9.125" style="72"/>
    <col min="12813" max="12813" width="10.625" style="72" customWidth="1"/>
    <col min="12814" max="13054" width="9.125" style="72"/>
    <col min="13055" max="13055" width="8" style="72" customWidth="1"/>
    <col min="13056" max="13056" width="28.5" style="72" customWidth="1"/>
    <col min="13057" max="13068" width="9.125" style="72"/>
    <col min="13069" max="13069" width="10.625" style="72" customWidth="1"/>
    <col min="13070" max="13310" width="9.125" style="72"/>
    <col min="13311" max="13311" width="8" style="72" customWidth="1"/>
    <col min="13312" max="13312" width="28.5" style="72" customWidth="1"/>
    <col min="13313" max="13324" width="9.125" style="72"/>
    <col min="13325" max="13325" width="10.625" style="72" customWidth="1"/>
    <col min="13326" max="13566" width="9.125" style="72"/>
    <col min="13567" max="13567" width="8" style="72" customWidth="1"/>
    <col min="13568" max="13568" width="28.5" style="72" customWidth="1"/>
    <col min="13569" max="13580" width="9.125" style="72"/>
    <col min="13581" max="13581" width="10.625" style="72" customWidth="1"/>
    <col min="13582" max="13822" width="9.125" style="72"/>
    <col min="13823" max="13823" width="8" style="72" customWidth="1"/>
    <col min="13824" max="13824" width="28.5" style="72" customWidth="1"/>
    <col min="13825" max="13836" width="9.125" style="72"/>
    <col min="13837" max="13837" width="10.625" style="72" customWidth="1"/>
    <col min="13838" max="14078" width="9.125" style="72"/>
    <col min="14079" max="14079" width="8" style="72" customWidth="1"/>
    <col min="14080" max="14080" width="28.5" style="72" customWidth="1"/>
    <col min="14081" max="14092" width="9.125" style="72"/>
    <col min="14093" max="14093" width="10.625" style="72" customWidth="1"/>
    <col min="14094" max="14334" width="9.125" style="72"/>
    <col min="14335" max="14335" width="8" style="72" customWidth="1"/>
    <col min="14336" max="14336" width="28.5" style="72" customWidth="1"/>
    <col min="14337" max="14348" width="9.125" style="72"/>
    <col min="14349" max="14349" width="10.625" style="72" customWidth="1"/>
    <col min="14350" max="14590" width="9.125" style="72"/>
    <col min="14591" max="14591" width="8" style="72" customWidth="1"/>
    <col min="14592" max="14592" width="28.5" style="72" customWidth="1"/>
    <col min="14593" max="14604" width="9.125" style="72"/>
    <col min="14605" max="14605" width="10.625" style="72" customWidth="1"/>
    <col min="14606" max="14846" width="9.125" style="72"/>
    <col min="14847" max="14847" width="8" style="72" customWidth="1"/>
    <col min="14848" max="14848" width="28.5" style="72" customWidth="1"/>
    <col min="14849" max="14860" width="9.125" style="72"/>
    <col min="14861" max="14861" width="10.625" style="72" customWidth="1"/>
    <col min="14862" max="15102" width="9.125" style="72"/>
    <col min="15103" max="15103" width="8" style="72" customWidth="1"/>
    <col min="15104" max="15104" width="28.5" style="72" customWidth="1"/>
    <col min="15105" max="15116" width="9.125" style="72"/>
    <col min="15117" max="15117" width="10.625" style="72" customWidth="1"/>
    <col min="15118" max="15358" width="9.125" style="72"/>
    <col min="15359" max="15359" width="8" style="72" customWidth="1"/>
    <col min="15360" max="15360" width="28.5" style="72" customWidth="1"/>
    <col min="15361" max="15372" width="9.125" style="72"/>
    <col min="15373" max="15373" width="10.625" style="72" customWidth="1"/>
    <col min="15374" max="15614" width="9.125" style="72"/>
    <col min="15615" max="15615" width="8" style="72" customWidth="1"/>
    <col min="15616" max="15616" width="28.5" style="72" customWidth="1"/>
    <col min="15617" max="15628" width="9.125" style="72"/>
    <col min="15629" max="15629" width="10.625" style="72" customWidth="1"/>
    <col min="15630" max="15870" width="9.125" style="72"/>
    <col min="15871" max="15871" width="8" style="72" customWidth="1"/>
    <col min="15872" max="15872" width="28.5" style="72" customWidth="1"/>
    <col min="15873" max="15884" width="9.125" style="72"/>
    <col min="15885" max="15885" width="10.625" style="72" customWidth="1"/>
    <col min="15886" max="16126" width="9.125" style="72"/>
    <col min="16127" max="16127" width="8" style="72" customWidth="1"/>
    <col min="16128" max="16128" width="28.5" style="72" customWidth="1"/>
    <col min="16129" max="16140" width="9.125" style="72"/>
    <col min="16141" max="16141" width="10.625" style="72" customWidth="1"/>
    <col min="16142" max="16384" width="9.125" style="72"/>
  </cols>
  <sheetData>
    <row r="1" spans="1:13" ht="18.75">
      <c r="A1" s="73" t="s">
        <v>108</v>
      </c>
      <c r="B1" s="74"/>
      <c r="C1" s="75"/>
      <c r="D1" s="75"/>
      <c r="E1" s="74"/>
      <c r="F1" s="75"/>
      <c r="G1" s="75"/>
      <c r="H1" s="74"/>
      <c r="I1" s="75"/>
      <c r="J1" s="75"/>
      <c r="K1" s="75"/>
      <c r="L1" s="75"/>
      <c r="M1" s="75"/>
    </row>
    <row r="2" spans="1:13" ht="12">
      <c r="A2" s="72" t="s">
        <v>109</v>
      </c>
      <c r="B2" s="76"/>
    </row>
    <row r="3" spans="1:13" ht="16.899999999999999" customHeight="1">
      <c r="A3" s="77" t="s">
        <v>15</v>
      </c>
      <c r="B3" s="77" t="s">
        <v>110</v>
      </c>
      <c r="C3" s="235" t="s">
        <v>111</v>
      </c>
      <c r="D3" s="235"/>
      <c r="E3" s="235"/>
      <c r="F3" s="79"/>
      <c r="G3" s="80"/>
      <c r="H3" s="81"/>
      <c r="I3" s="81"/>
      <c r="J3" s="81" t="s">
        <v>112</v>
      </c>
      <c r="K3" s="81"/>
      <c r="L3" s="81"/>
      <c r="M3" s="102"/>
    </row>
    <row r="4" spans="1:13" ht="16.149999999999999" customHeight="1">
      <c r="A4" s="82"/>
      <c r="B4" s="82" t="s">
        <v>113</v>
      </c>
      <c r="C4" s="78">
        <v>2017</v>
      </c>
      <c r="D4" s="78">
        <f t="shared" ref="D4:L4" si="0">C4+1</f>
        <v>2018</v>
      </c>
      <c r="E4" s="78">
        <f t="shared" si="0"/>
        <v>2019</v>
      </c>
      <c r="F4" s="78">
        <f t="shared" si="0"/>
        <v>2020</v>
      </c>
      <c r="G4" s="78">
        <f t="shared" si="0"/>
        <v>2021</v>
      </c>
      <c r="H4" s="83">
        <f t="shared" si="0"/>
        <v>2022</v>
      </c>
      <c r="I4" s="83">
        <f t="shared" si="0"/>
        <v>2023</v>
      </c>
      <c r="J4" s="83">
        <f t="shared" si="0"/>
        <v>2024</v>
      </c>
      <c r="K4" s="83">
        <f t="shared" si="0"/>
        <v>2025</v>
      </c>
      <c r="L4" s="83">
        <f t="shared" si="0"/>
        <v>2026</v>
      </c>
      <c r="M4" s="103" t="s">
        <v>114</v>
      </c>
    </row>
    <row r="5" spans="1:13" ht="15.6" customHeight="1">
      <c r="A5" s="84">
        <v>1</v>
      </c>
      <c r="B5" s="85" t="s">
        <v>115</v>
      </c>
      <c r="C5" s="86">
        <f>SUM(C6:C9)</f>
        <v>0</v>
      </c>
      <c r="D5" s="86">
        <f t="shared" ref="D5:L5" si="1">SUM(D6:D9)</f>
        <v>0</v>
      </c>
      <c r="E5" s="86" t="e">
        <f t="shared" si="1"/>
        <v>#REF!</v>
      </c>
      <c r="F5" s="86">
        <f t="shared" si="1"/>
        <v>4384281.5999999996</v>
      </c>
      <c r="G5" s="86">
        <f t="shared" si="1"/>
        <v>16623734.4</v>
      </c>
      <c r="H5" s="86">
        <f t="shared" si="1"/>
        <v>87868310.400000006</v>
      </c>
      <c r="I5" s="86" t="e">
        <f t="shared" si="1"/>
        <v>#REF!</v>
      </c>
      <c r="J5" s="86" t="e">
        <f t="shared" si="1"/>
        <v>#REF!</v>
      </c>
      <c r="K5" s="86" t="e">
        <f t="shared" si="1"/>
        <v>#REF!</v>
      </c>
      <c r="L5" s="86">
        <f t="shared" si="1"/>
        <v>455782608</v>
      </c>
      <c r="M5" s="90" t="e">
        <f t="shared" ref="M5:M17" si="2">SUM(C5:L5)</f>
        <v>#REF!</v>
      </c>
    </row>
    <row r="6" spans="1:13" ht="15.6" customHeight="1">
      <c r="A6" s="84">
        <v>1.1000000000000001</v>
      </c>
      <c r="B6" s="87" t="s">
        <v>116</v>
      </c>
      <c r="C6" s="88"/>
      <c r="D6" s="88"/>
      <c r="E6" s="88" t="e">
        <f>损益表!#REF!</f>
        <v>#REF!</v>
      </c>
      <c r="F6" s="88">
        <f>损益表!C5</f>
        <v>4384281.5999999996</v>
      </c>
      <c r="G6" s="88">
        <f>损益表!D5</f>
        <v>16623734.4</v>
      </c>
      <c r="H6" s="88">
        <f>损益表!J5</f>
        <v>87868310.400000006</v>
      </c>
      <c r="I6" s="88" t="e">
        <f>损益表!#REF!</f>
        <v>#REF!</v>
      </c>
      <c r="J6" s="88" t="e">
        <f>损益表!#REF!</f>
        <v>#REF!</v>
      </c>
      <c r="K6" s="88" t="e">
        <f>损益表!#REF!</f>
        <v>#REF!</v>
      </c>
      <c r="L6" s="88">
        <f>损益表!K5</f>
        <v>455782608</v>
      </c>
      <c r="M6" s="90" t="e">
        <f t="shared" si="2"/>
        <v>#REF!</v>
      </c>
    </row>
    <row r="7" spans="1:13" ht="15.6" customHeight="1">
      <c r="A7" s="84">
        <v>1.2</v>
      </c>
      <c r="B7" s="87" t="s">
        <v>117</v>
      </c>
      <c r="C7" s="88"/>
      <c r="D7" s="88"/>
      <c r="E7" s="88">
        <f>[1]折、摊!G18</f>
        <v>0</v>
      </c>
      <c r="F7" s="88">
        <f>[1]折、摊!H18</f>
        <v>0</v>
      </c>
      <c r="G7" s="88">
        <f>[1]折、摊!I18</f>
        <v>0</v>
      </c>
      <c r="H7" s="88">
        <f>[1]折、摊!J18</f>
        <v>0</v>
      </c>
      <c r="I7" s="88">
        <f>[1]折、摊!K18</f>
        <v>0</v>
      </c>
      <c r="J7" s="88">
        <f>[1]折、摊!L18</f>
        <v>0</v>
      </c>
      <c r="K7" s="88">
        <f>[1]折、摊!M18</f>
        <v>0</v>
      </c>
      <c r="L7" s="88">
        <f>[1]折、摊!N18</f>
        <v>0</v>
      </c>
      <c r="M7" s="90">
        <f t="shared" si="2"/>
        <v>0</v>
      </c>
    </row>
    <row r="8" spans="1:13" ht="15.6" customHeight="1">
      <c r="A8" s="84">
        <v>1.3</v>
      </c>
      <c r="B8" s="87" t="s">
        <v>118</v>
      </c>
      <c r="C8" s="88" t="s">
        <v>119</v>
      </c>
      <c r="D8" s="88" t="s">
        <v>119</v>
      </c>
      <c r="E8" s="88" t="s">
        <v>119</v>
      </c>
      <c r="F8" s="88" t="s">
        <v>119</v>
      </c>
      <c r="G8" s="88" t="s">
        <v>119</v>
      </c>
      <c r="H8" s="88" t="s">
        <v>119</v>
      </c>
      <c r="I8" s="88" t="s">
        <v>119</v>
      </c>
      <c r="J8" s="88" t="s">
        <v>119</v>
      </c>
      <c r="K8" s="88" t="s">
        <v>119</v>
      </c>
      <c r="L8" s="88"/>
      <c r="M8" s="90">
        <f t="shared" si="2"/>
        <v>0</v>
      </c>
    </row>
    <row r="9" spans="1:13" s="71" customFormat="1" ht="15.6" customHeight="1">
      <c r="A9" s="89">
        <v>1.4</v>
      </c>
      <c r="B9" s="90" t="s">
        <v>120</v>
      </c>
      <c r="C9" s="88" t="s">
        <v>119</v>
      </c>
      <c r="D9" s="88" t="s">
        <v>119</v>
      </c>
      <c r="E9" s="88" t="s">
        <v>119</v>
      </c>
      <c r="F9" s="88" t="s">
        <v>119</v>
      </c>
      <c r="G9" s="88" t="s">
        <v>119</v>
      </c>
      <c r="H9" s="88" t="s">
        <v>119</v>
      </c>
      <c r="I9" s="88" t="s">
        <v>119</v>
      </c>
      <c r="J9" s="88" t="s">
        <v>119</v>
      </c>
      <c r="K9" s="88" t="s">
        <v>119</v>
      </c>
      <c r="L9" s="88" t="s">
        <v>119</v>
      </c>
      <c r="M9" s="90">
        <f t="shared" si="2"/>
        <v>0</v>
      </c>
    </row>
    <row r="10" spans="1:13" ht="15.6" customHeight="1">
      <c r="A10" s="89">
        <v>2</v>
      </c>
      <c r="B10" s="85" t="s">
        <v>121</v>
      </c>
      <c r="C10" s="86">
        <f t="shared" ref="C10:L10" si="3">SUM(C11:C16)</f>
        <v>0</v>
      </c>
      <c r="D10" s="86">
        <f t="shared" si="3"/>
        <v>0</v>
      </c>
      <c r="E10" s="86">
        <f t="shared" si="3"/>
        <v>0</v>
      </c>
      <c r="F10" s="86">
        <f t="shared" si="3"/>
        <v>0</v>
      </c>
      <c r="G10" s="86">
        <f t="shared" si="3"/>
        <v>0</v>
      </c>
      <c r="H10" s="86">
        <f t="shared" si="3"/>
        <v>0</v>
      </c>
      <c r="I10" s="86">
        <f t="shared" si="3"/>
        <v>0</v>
      </c>
      <c r="J10" s="86">
        <f t="shared" si="3"/>
        <v>0</v>
      </c>
      <c r="K10" s="86">
        <f t="shared" si="3"/>
        <v>0</v>
      </c>
      <c r="L10" s="86">
        <f t="shared" si="3"/>
        <v>0</v>
      </c>
      <c r="M10" s="90">
        <f t="shared" si="2"/>
        <v>0</v>
      </c>
    </row>
    <row r="11" spans="1:13" ht="15" customHeight="1">
      <c r="A11" s="84">
        <v>2.1</v>
      </c>
      <c r="B11" s="84" t="s">
        <v>122</v>
      </c>
      <c r="C11" s="88">
        <f>([1]计划!C6-[1]计划!C7)</f>
        <v>0</v>
      </c>
      <c r="D11" s="88">
        <f>([1]计划!D6-[1]计划!D7)</f>
        <v>0</v>
      </c>
      <c r="E11" s="88">
        <f>([1]计划!E6-[1]计划!E7)</f>
        <v>0</v>
      </c>
      <c r="F11" s="88">
        <f>([1]计划!F6-[1]计划!F7)</f>
        <v>0</v>
      </c>
      <c r="G11" s="88">
        <f>([1]计划!G6-[1]计划!G7)</f>
        <v>0</v>
      </c>
      <c r="H11" s="88">
        <f>([1]计划!H6-[1]计划!H7)</f>
        <v>0</v>
      </c>
      <c r="I11" s="88">
        <f>([1]计划!I6-[1]计划!I7)</f>
        <v>0</v>
      </c>
      <c r="J11" s="88">
        <f>([1]计划!J6-[1]计划!J7)</f>
        <v>0</v>
      </c>
      <c r="K11" s="88">
        <f>([1]计划!K6-[1]计划!K7)</f>
        <v>0</v>
      </c>
      <c r="L11" s="88">
        <f>([1]计划!L6-[1]计划!L7)</f>
        <v>0</v>
      </c>
      <c r="M11" s="90">
        <f t="shared" si="2"/>
        <v>0</v>
      </c>
    </row>
    <row r="12" spans="1:13" s="71" customFormat="1" ht="15" customHeight="1">
      <c r="A12" s="84">
        <v>2.2000000000000002</v>
      </c>
      <c r="B12" s="90" t="s">
        <v>123</v>
      </c>
      <c r="C12" s="88">
        <f>[1]计划!C8</f>
        <v>0</v>
      </c>
      <c r="D12" s="88">
        <f>[1]计划!D8</f>
        <v>0</v>
      </c>
      <c r="E12" s="88">
        <f>[1]计划!E8</f>
        <v>0</v>
      </c>
      <c r="F12" s="88">
        <f>[1]计划!F8</f>
        <v>0</v>
      </c>
      <c r="G12" s="88">
        <f>[1]计划!G8</f>
        <v>0</v>
      </c>
      <c r="H12" s="88">
        <f>[1]计划!H8</f>
        <v>0</v>
      </c>
      <c r="I12" s="88">
        <f>[1]计划!I8</f>
        <v>0</v>
      </c>
      <c r="J12" s="88">
        <f>[1]计划!J8</f>
        <v>0</v>
      </c>
      <c r="K12" s="88">
        <f>[1]计划!K8</f>
        <v>0</v>
      </c>
      <c r="L12" s="88">
        <f>[1]计划!L8</f>
        <v>0</v>
      </c>
      <c r="M12" s="90">
        <f t="shared" si="2"/>
        <v>0</v>
      </c>
    </row>
    <row r="13" spans="1:13" ht="15" customHeight="1">
      <c r="A13" s="84">
        <v>2.2999999999999998</v>
      </c>
      <c r="B13" s="87" t="s">
        <v>124</v>
      </c>
      <c r="C13" s="88">
        <f>[1]总成本!C22</f>
        <v>0</v>
      </c>
      <c r="D13" s="88">
        <f>[1]总成本!D22</f>
        <v>0</v>
      </c>
      <c r="E13" s="88">
        <f>[1]总成本!E22</f>
        <v>0</v>
      </c>
      <c r="F13" s="88">
        <f>[1]总成本!F22</f>
        <v>0</v>
      </c>
      <c r="G13" s="88">
        <f>[1]总成本!G22</f>
        <v>0</v>
      </c>
      <c r="H13" s="88">
        <f>[1]总成本!H22</f>
        <v>0</v>
      </c>
      <c r="I13" s="88">
        <f>[1]总成本!I22</f>
        <v>0</v>
      </c>
      <c r="J13" s="88">
        <f>[1]总成本!J22</f>
        <v>0</v>
      </c>
      <c r="K13" s="88">
        <f>[1]总成本!K22</f>
        <v>0</v>
      </c>
      <c r="L13" s="88">
        <f>[1]总成本!L22</f>
        <v>0</v>
      </c>
      <c r="M13" s="90">
        <f t="shared" si="2"/>
        <v>0</v>
      </c>
    </row>
    <row r="14" spans="1:13" ht="15" customHeight="1">
      <c r="A14" s="84">
        <v>2.4</v>
      </c>
      <c r="B14" s="87" t="s">
        <v>125</v>
      </c>
      <c r="C14" s="88">
        <f>[1]价格!D15</f>
        <v>0</v>
      </c>
      <c r="D14" s="88">
        <f>[1]价格!E15</f>
        <v>0</v>
      </c>
      <c r="E14" s="88">
        <f>[1]价格!F15</f>
        <v>0</v>
      </c>
      <c r="F14" s="88">
        <f>[1]价格!G15</f>
        <v>0</v>
      </c>
      <c r="G14" s="88">
        <f>[1]价格!H15</f>
        <v>0</v>
      </c>
      <c r="H14" s="88">
        <f>[1]价格!I15</f>
        <v>0</v>
      </c>
      <c r="I14" s="88">
        <f>[1]价格!J15</f>
        <v>0</v>
      </c>
      <c r="J14" s="88">
        <f>[1]价格!K15</f>
        <v>0</v>
      </c>
      <c r="K14" s="88">
        <f>[1]价格!L15</f>
        <v>0</v>
      </c>
      <c r="L14" s="88">
        <f>[1]价格!M15</f>
        <v>0</v>
      </c>
      <c r="M14" s="90">
        <f t="shared" si="2"/>
        <v>0</v>
      </c>
    </row>
    <row r="15" spans="1:13" ht="15" customHeight="1">
      <c r="A15" s="84">
        <v>2.5</v>
      </c>
      <c r="B15" s="87" t="s">
        <v>55</v>
      </c>
      <c r="C15" s="88">
        <f>[1]利润!C13</f>
        <v>0</v>
      </c>
      <c r="D15" s="88">
        <f>[1]利润!D13</f>
        <v>0</v>
      </c>
      <c r="E15" s="88">
        <f>[1]利润!E13</f>
        <v>0</v>
      </c>
      <c r="F15" s="88">
        <f>[1]利润!F13</f>
        <v>0</v>
      </c>
      <c r="G15" s="88">
        <f>[1]利润!G13</f>
        <v>0</v>
      </c>
      <c r="H15" s="88">
        <f>[1]利润!H13</f>
        <v>0</v>
      </c>
      <c r="I15" s="88">
        <f>[1]利润!I13</f>
        <v>0</v>
      </c>
      <c r="J15" s="88">
        <f>[1]利润!J13</f>
        <v>0</v>
      </c>
      <c r="K15" s="88">
        <f>[1]利润!K13</f>
        <v>0</v>
      </c>
      <c r="L15" s="88">
        <f>[1]利润!L13</f>
        <v>0</v>
      </c>
      <c r="M15" s="90">
        <f t="shared" si="2"/>
        <v>0</v>
      </c>
    </row>
    <row r="16" spans="1:13" ht="15" customHeight="1">
      <c r="A16" s="84">
        <v>2.6</v>
      </c>
      <c r="B16" s="87" t="s">
        <v>126</v>
      </c>
      <c r="C16" s="88"/>
      <c r="D16" s="88"/>
      <c r="E16" s="88"/>
      <c r="F16" s="88"/>
      <c r="G16" s="88"/>
      <c r="H16" s="88"/>
      <c r="I16" s="88"/>
      <c r="J16" s="88"/>
      <c r="K16" s="88"/>
      <c r="L16" s="88"/>
      <c r="M16" s="90">
        <f t="shared" si="2"/>
        <v>0</v>
      </c>
    </row>
    <row r="17" spans="1:18" ht="12">
      <c r="A17" s="84">
        <v>3</v>
      </c>
      <c r="B17" s="85" t="s">
        <v>127</v>
      </c>
      <c r="C17" s="86">
        <f t="shared" ref="C17:L17" si="4">C5-C10</f>
        <v>0</v>
      </c>
      <c r="D17" s="86">
        <f t="shared" si="4"/>
        <v>0</v>
      </c>
      <c r="E17" s="86" t="e">
        <f t="shared" si="4"/>
        <v>#REF!</v>
      </c>
      <c r="F17" s="86">
        <f t="shared" si="4"/>
        <v>4384281.5999999996</v>
      </c>
      <c r="G17" s="86">
        <f t="shared" si="4"/>
        <v>16623734.4</v>
      </c>
      <c r="H17" s="86">
        <f t="shared" si="4"/>
        <v>87868310.400000006</v>
      </c>
      <c r="I17" s="86" t="e">
        <f t="shared" si="4"/>
        <v>#REF!</v>
      </c>
      <c r="J17" s="86" t="e">
        <f t="shared" si="4"/>
        <v>#REF!</v>
      </c>
      <c r="K17" s="86" t="e">
        <f t="shared" si="4"/>
        <v>#REF!</v>
      </c>
      <c r="L17" s="86">
        <f t="shared" si="4"/>
        <v>455782608</v>
      </c>
      <c r="M17" s="90" t="e">
        <f t="shared" si="2"/>
        <v>#REF!</v>
      </c>
    </row>
    <row r="18" spans="1:18" ht="12">
      <c r="A18" s="91">
        <v>4</v>
      </c>
      <c r="B18" s="87" t="s">
        <v>128</v>
      </c>
      <c r="C18" s="88">
        <f>C17</f>
        <v>0</v>
      </c>
      <c r="D18" s="88">
        <f t="shared" ref="D18:L18" si="5">C18+D17</f>
        <v>0</v>
      </c>
      <c r="E18" s="88" t="e">
        <f t="shared" si="5"/>
        <v>#REF!</v>
      </c>
      <c r="F18" s="88" t="e">
        <f t="shared" si="5"/>
        <v>#REF!</v>
      </c>
      <c r="G18" s="88" t="e">
        <f t="shared" si="5"/>
        <v>#REF!</v>
      </c>
      <c r="H18" s="88" t="e">
        <f t="shared" si="5"/>
        <v>#REF!</v>
      </c>
      <c r="I18" s="88" t="e">
        <f t="shared" si="5"/>
        <v>#REF!</v>
      </c>
      <c r="J18" s="88" t="e">
        <f t="shared" si="5"/>
        <v>#REF!</v>
      </c>
      <c r="K18" s="88" t="e">
        <f t="shared" si="5"/>
        <v>#REF!</v>
      </c>
      <c r="L18" s="88" t="e">
        <f t="shared" si="5"/>
        <v>#REF!</v>
      </c>
      <c r="M18" s="87" t="s">
        <v>119</v>
      </c>
    </row>
    <row r="19" spans="1:18" s="71" customFormat="1" ht="12">
      <c r="A19" s="91">
        <v>5</v>
      </c>
      <c r="B19" s="87" t="s">
        <v>129</v>
      </c>
      <c r="C19" s="88">
        <f t="shared" ref="C19:L19" si="6">C17+C15</f>
        <v>0</v>
      </c>
      <c r="D19" s="88">
        <f t="shared" si="6"/>
        <v>0</v>
      </c>
      <c r="E19" s="88" t="e">
        <f t="shared" si="6"/>
        <v>#REF!</v>
      </c>
      <c r="F19" s="88">
        <f t="shared" si="6"/>
        <v>4384281.5999999996</v>
      </c>
      <c r="G19" s="88">
        <f t="shared" si="6"/>
        <v>16623734.4</v>
      </c>
      <c r="H19" s="88">
        <f t="shared" si="6"/>
        <v>87868310.400000006</v>
      </c>
      <c r="I19" s="88" t="e">
        <f t="shared" si="6"/>
        <v>#REF!</v>
      </c>
      <c r="J19" s="88" t="e">
        <f t="shared" si="6"/>
        <v>#REF!</v>
      </c>
      <c r="K19" s="88" t="e">
        <f t="shared" si="6"/>
        <v>#REF!</v>
      </c>
      <c r="L19" s="88">
        <f t="shared" si="6"/>
        <v>455782608</v>
      </c>
      <c r="M19" s="90" t="e">
        <f>SUM(C19:L19)</f>
        <v>#REF!</v>
      </c>
    </row>
    <row r="20" spans="1:18" s="71" customFormat="1" ht="12">
      <c r="A20" s="84">
        <v>6</v>
      </c>
      <c r="B20" s="87" t="s">
        <v>130</v>
      </c>
      <c r="C20" s="88">
        <f>C19</f>
        <v>0</v>
      </c>
      <c r="D20" s="88">
        <f t="shared" ref="D20:L20" si="7">C20+D19</f>
        <v>0</v>
      </c>
      <c r="E20" s="88" t="e">
        <f t="shared" si="7"/>
        <v>#REF!</v>
      </c>
      <c r="F20" s="88" t="e">
        <f t="shared" si="7"/>
        <v>#REF!</v>
      </c>
      <c r="G20" s="88" t="e">
        <f t="shared" si="7"/>
        <v>#REF!</v>
      </c>
      <c r="H20" s="88" t="e">
        <f t="shared" si="7"/>
        <v>#REF!</v>
      </c>
      <c r="I20" s="88" t="e">
        <f t="shared" si="7"/>
        <v>#REF!</v>
      </c>
      <c r="J20" s="88" t="e">
        <f t="shared" si="7"/>
        <v>#REF!</v>
      </c>
      <c r="K20" s="88" t="e">
        <f t="shared" si="7"/>
        <v>#REF!</v>
      </c>
      <c r="L20" s="88" t="e">
        <f t="shared" si="7"/>
        <v>#REF!</v>
      </c>
      <c r="M20" s="87" t="s">
        <v>119</v>
      </c>
    </row>
    <row r="21" spans="1:18" ht="12">
      <c r="A21" s="92"/>
      <c r="B21" s="93" t="s">
        <v>131</v>
      </c>
      <c r="C21" s="93"/>
      <c r="D21" s="93"/>
      <c r="E21" s="93" t="s">
        <v>132</v>
      </c>
      <c r="F21" s="93"/>
      <c r="G21" s="93"/>
      <c r="H21" s="93"/>
      <c r="I21" s="93" t="s">
        <v>133</v>
      </c>
      <c r="J21" s="93"/>
      <c r="K21" s="93"/>
      <c r="L21" s="93"/>
      <c r="M21" s="104"/>
    </row>
    <row r="22" spans="1:18" ht="12">
      <c r="A22" s="94"/>
      <c r="B22" s="95" t="s">
        <v>134</v>
      </c>
      <c r="C22" s="95"/>
      <c r="D22" s="96" t="s">
        <v>135</v>
      </c>
      <c r="E22" s="97" t="e">
        <f>IRR(C17:L17,0.15)</f>
        <v>#VALUE!</v>
      </c>
      <c r="F22" s="95"/>
      <c r="G22" s="95"/>
      <c r="H22" s="95"/>
      <c r="I22" s="97" t="e">
        <f>IRR(C19:L19,0.15)</f>
        <v>#VALUE!</v>
      </c>
      <c r="J22" s="95"/>
      <c r="K22" s="95"/>
      <c r="L22" s="95"/>
      <c r="M22" s="105"/>
    </row>
    <row r="23" spans="1:18" ht="12">
      <c r="A23" s="94"/>
      <c r="B23" s="95" t="s">
        <v>136</v>
      </c>
      <c r="C23" s="95"/>
      <c r="D23" s="95"/>
      <c r="E23" s="98" t="e">
        <f>NPV(0.12,C17:L17)</f>
        <v>#REF!</v>
      </c>
      <c r="F23" s="95"/>
      <c r="G23" s="95"/>
      <c r="H23" s="95"/>
      <c r="I23" s="98" t="e">
        <f>NPV(0.12,C19:L19)</f>
        <v>#REF!</v>
      </c>
      <c r="J23" s="95"/>
      <c r="K23" s="95"/>
      <c r="L23" s="95"/>
      <c r="M23" s="105"/>
      <c r="R23" s="72">
        <f>30.9-29.82</f>
        <v>1.0799999999999983</v>
      </c>
    </row>
    <row r="24" spans="1:18" ht="12">
      <c r="A24" s="99"/>
      <c r="B24" s="100" t="s">
        <v>137</v>
      </c>
      <c r="C24" s="100"/>
      <c r="D24" s="100"/>
      <c r="E24" s="101" t="e">
        <f>6-H18/I17</f>
        <v>#REF!</v>
      </c>
      <c r="F24" s="100"/>
      <c r="G24" s="100"/>
      <c r="H24" s="100"/>
      <c r="I24" s="101" t="e">
        <f>6-H20/I19</f>
        <v>#REF!</v>
      </c>
      <c r="J24" s="100"/>
      <c r="K24" s="100"/>
      <c r="L24" s="100"/>
      <c r="M24" s="106"/>
    </row>
  </sheetData>
  <mergeCells count="1">
    <mergeCell ref="C3:E3"/>
  </mergeCells>
  <phoneticPr fontId="38" type="noConversion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74"/>
  <sheetViews>
    <sheetView workbookViewId="0">
      <pane xSplit="2" ySplit="7" topLeftCell="C17" activePane="bottomRight" state="frozen"/>
      <selection pane="topRight"/>
      <selection pane="bottomLeft"/>
      <selection pane="bottomRight" activeCell="J26" sqref="J26"/>
    </sheetView>
  </sheetViews>
  <sheetFormatPr defaultColWidth="9" defaultRowHeight="16.5"/>
  <cols>
    <col min="1" max="1" width="5.125" style="47" customWidth="1"/>
    <col min="2" max="2" width="17.5" style="47" customWidth="1"/>
    <col min="3" max="9" width="13.25" style="48" customWidth="1"/>
    <col min="10" max="10" width="18.75" style="48" customWidth="1"/>
    <col min="11" max="11" width="12.375" style="47" customWidth="1"/>
    <col min="12" max="12" width="10.125" style="47" customWidth="1"/>
    <col min="13" max="19" width="9" style="47" customWidth="1"/>
    <col min="20" max="33" width="9" style="47"/>
    <col min="34" max="34" width="4.375" style="47" customWidth="1"/>
    <col min="35" max="35" width="13.875" style="47" customWidth="1"/>
    <col min="36" max="16384" width="9" style="47"/>
  </cols>
  <sheetData>
    <row r="1" spans="1:36">
      <c r="A1" s="236" t="s">
        <v>138</v>
      </c>
      <c r="B1" s="236"/>
      <c r="C1" s="240" t="s">
        <v>283</v>
      </c>
      <c r="D1" s="241"/>
      <c r="E1" s="241"/>
      <c r="F1" s="241"/>
      <c r="G1" s="241"/>
      <c r="H1" s="241"/>
      <c r="I1" s="241"/>
      <c r="J1" s="242"/>
    </row>
    <row r="2" spans="1:36">
      <c r="A2" s="236" t="s">
        <v>139</v>
      </c>
      <c r="B2" s="236"/>
      <c r="C2" s="243" t="s">
        <v>232</v>
      </c>
      <c r="D2" s="243"/>
      <c r="E2" s="243"/>
      <c r="F2" s="243"/>
      <c r="G2" s="243"/>
      <c r="H2" s="243"/>
      <c r="I2" s="243"/>
      <c r="J2" s="243"/>
    </row>
    <row r="3" spans="1:36">
      <c r="A3" s="236" t="s">
        <v>140</v>
      </c>
      <c r="B3" s="236"/>
      <c r="C3" s="160" t="str">
        <f>销量!C5</f>
        <v>正司机</v>
      </c>
      <c r="D3" s="160" t="str">
        <f>销量!D5</f>
        <v>正司机</v>
      </c>
      <c r="E3" s="160" t="str">
        <f>销量!E5</f>
        <v>正司机</v>
      </c>
      <c r="F3" s="160" t="str">
        <f>销量!F5</f>
        <v>副司机</v>
      </c>
      <c r="G3" s="160">
        <f>销量!G5</f>
        <v>0</v>
      </c>
      <c r="H3" s="160">
        <f>销量!H5</f>
        <v>0</v>
      </c>
      <c r="I3" s="160">
        <f>销量!I5</f>
        <v>0</v>
      </c>
      <c r="J3" s="237" t="s">
        <v>16</v>
      </c>
    </row>
    <row r="4" spans="1:36">
      <c r="A4" s="236" t="s">
        <v>141</v>
      </c>
      <c r="B4" s="236"/>
      <c r="C4" s="160">
        <f>销量!C6</f>
        <v>6000149199</v>
      </c>
      <c r="D4" s="160">
        <f>销量!D6</f>
        <v>6000149200</v>
      </c>
      <c r="E4" s="160">
        <f>销量!E6</f>
        <v>6000149201</v>
      </c>
      <c r="F4" s="160">
        <f>销量!F6</f>
        <v>6000149205</v>
      </c>
      <c r="G4" s="160">
        <f>销量!G6</f>
        <v>0</v>
      </c>
      <c r="H4" s="160">
        <f>销量!H6</f>
        <v>0</v>
      </c>
      <c r="I4" s="160">
        <f>销量!I6</f>
        <v>0</v>
      </c>
      <c r="J4" s="238"/>
    </row>
    <row r="5" spans="1:36">
      <c r="A5" s="236" t="s">
        <v>142</v>
      </c>
      <c r="B5" s="236"/>
      <c r="C5" s="50"/>
      <c r="D5" s="50"/>
      <c r="E5" s="50"/>
      <c r="F5" s="50"/>
      <c r="G5" s="50"/>
      <c r="H5" s="181"/>
      <c r="I5" s="181"/>
      <c r="J5" s="239"/>
      <c r="AJ5" s="47" t="s">
        <v>17</v>
      </c>
    </row>
    <row r="6" spans="1:36" ht="17.25">
      <c r="A6" s="51" t="s">
        <v>15</v>
      </c>
      <c r="B6" s="52" t="s">
        <v>143</v>
      </c>
      <c r="C6" s="22">
        <f>销量!C9</f>
        <v>480</v>
      </c>
      <c r="D6" s="22">
        <f>销量!D9</f>
        <v>1440</v>
      </c>
      <c r="E6" s="22">
        <f>销量!E9</f>
        <v>480</v>
      </c>
      <c r="F6" s="22">
        <f>销量!F9</f>
        <v>1920</v>
      </c>
      <c r="G6" s="22">
        <f>销量!G9</f>
        <v>0</v>
      </c>
      <c r="H6" s="22">
        <f>销量!H9</f>
        <v>0</v>
      </c>
      <c r="I6" s="22">
        <f>销量!I9</f>
        <v>0</v>
      </c>
      <c r="J6" s="53">
        <f t="shared" ref="J6:J15" si="0">SUM(C6:I6)</f>
        <v>4320</v>
      </c>
      <c r="AH6" s="51" t="s">
        <v>15</v>
      </c>
      <c r="AI6" s="52" t="s">
        <v>3</v>
      </c>
      <c r="AJ6" s="47" t="s">
        <v>18</v>
      </c>
    </row>
    <row r="7" spans="1:36">
      <c r="A7" s="49">
        <v>1</v>
      </c>
      <c r="B7" s="52" t="s">
        <v>19</v>
      </c>
      <c r="C7" s="53">
        <f>C6*销量!C8</f>
        <v>845856</v>
      </c>
      <c r="D7" s="53">
        <f>D6*销量!D8</f>
        <v>2203200</v>
      </c>
      <c r="E7" s="53">
        <f>E6*销量!E8</f>
        <v>574080</v>
      </c>
      <c r="F7" s="53">
        <f>F6*销量!F8</f>
        <v>761145.6</v>
      </c>
      <c r="G7" s="53">
        <f>G6*销量!G8</f>
        <v>0</v>
      </c>
      <c r="H7" s="53">
        <f>H6*销量!H8</f>
        <v>0</v>
      </c>
      <c r="I7" s="53">
        <f>I6*销量!I8</f>
        <v>0</v>
      </c>
      <c r="J7" s="53">
        <f t="shared" si="0"/>
        <v>4384281.5999999996</v>
      </c>
      <c r="K7" s="48"/>
      <c r="AH7" s="51" t="s">
        <v>20</v>
      </c>
      <c r="AI7" s="52" t="s">
        <v>19</v>
      </c>
      <c r="AJ7" s="47" t="s">
        <v>18</v>
      </c>
    </row>
    <row r="8" spans="1:36">
      <c r="A8" s="49">
        <v>2</v>
      </c>
      <c r="B8" s="49" t="s">
        <v>21</v>
      </c>
      <c r="C8" s="53"/>
      <c r="D8" s="53"/>
      <c r="E8" s="53"/>
      <c r="F8" s="53"/>
      <c r="G8" s="53"/>
      <c r="H8" s="53"/>
      <c r="I8" s="53"/>
      <c r="J8" s="53">
        <f t="shared" si="0"/>
        <v>0</v>
      </c>
      <c r="K8" s="68"/>
      <c r="AH8" s="51" t="s">
        <v>22</v>
      </c>
      <c r="AI8" s="49" t="s">
        <v>23</v>
      </c>
      <c r="AJ8" s="47" t="s">
        <v>18</v>
      </c>
    </row>
    <row r="9" spans="1:36">
      <c r="A9" s="49">
        <v>3</v>
      </c>
      <c r="B9" s="52" t="s">
        <v>24</v>
      </c>
      <c r="C9" s="53">
        <f>+C7-C8</f>
        <v>845856</v>
      </c>
      <c r="D9" s="53">
        <f t="shared" ref="D9:I9" si="1">+D7-D8</f>
        <v>2203200</v>
      </c>
      <c r="E9" s="53">
        <f t="shared" si="1"/>
        <v>574080</v>
      </c>
      <c r="F9" s="53">
        <f t="shared" si="1"/>
        <v>761145.6</v>
      </c>
      <c r="G9" s="53">
        <f t="shared" si="1"/>
        <v>0</v>
      </c>
      <c r="H9" s="53">
        <f t="shared" si="1"/>
        <v>0</v>
      </c>
      <c r="I9" s="53">
        <f t="shared" si="1"/>
        <v>0</v>
      </c>
      <c r="J9" s="53">
        <f t="shared" si="0"/>
        <v>4384281.5999999996</v>
      </c>
      <c r="AH9" s="51" t="s">
        <v>25</v>
      </c>
      <c r="AI9" s="52" t="s">
        <v>24</v>
      </c>
      <c r="AJ9" s="47" t="s">
        <v>26</v>
      </c>
    </row>
    <row r="10" spans="1:36">
      <c r="A10" s="49">
        <v>4</v>
      </c>
      <c r="B10" s="51" t="s">
        <v>27</v>
      </c>
      <c r="C10" s="53">
        <f>C6*C33</f>
        <v>623147.59026206832</v>
      </c>
      <c r="D10" s="53">
        <f t="shared" ref="D10:I10" si="2">D6*D33</f>
        <v>1684063.7284022048</v>
      </c>
      <c r="E10" s="53">
        <f t="shared" si="2"/>
        <v>479228.40168490767</v>
      </c>
      <c r="F10" s="53">
        <f t="shared" si="2"/>
        <v>565098.65781904757</v>
      </c>
      <c r="G10" s="53">
        <f t="shared" si="2"/>
        <v>0</v>
      </c>
      <c r="H10" s="53">
        <f t="shared" si="2"/>
        <v>0</v>
      </c>
      <c r="I10" s="53">
        <f t="shared" si="2"/>
        <v>0</v>
      </c>
      <c r="J10" s="53">
        <f t="shared" si="0"/>
        <v>3351538.3781682285</v>
      </c>
      <c r="AH10" s="51" t="s">
        <v>28</v>
      </c>
      <c r="AI10" s="51" t="s">
        <v>27</v>
      </c>
      <c r="AJ10" s="47" t="s">
        <v>29</v>
      </c>
    </row>
    <row r="11" spans="1:36">
      <c r="A11" s="49">
        <v>5</v>
      </c>
      <c r="B11" s="51" t="s">
        <v>30</v>
      </c>
      <c r="C11" s="53">
        <f>+C6*C36</f>
        <v>29774.131200000003</v>
      </c>
      <c r="D11" s="53">
        <f t="shared" ref="D11:G11" si="3">+D6*D36</f>
        <v>77552.639999999999</v>
      </c>
      <c r="E11" s="53">
        <f t="shared" si="3"/>
        <v>20207.616000000002</v>
      </c>
      <c r="F11" s="53">
        <f t="shared" si="3"/>
        <v>26792.325120000001</v>
      </c>
      <c r="G11" s="53">
        <f t="shared" si="3"/>
        <v>0</v>
      </c>
      <c r="H11" s="53">
        <f t="shared" ref="H11:I11" si="4">+H6*H36</f>
        <v>0</v>
      </c>
      <c r="I11" s="53">
        <f t="shared" si="4"/>
        <v>0</v>
      </c>
      <c r="J11" s="53">
        <f t="shared" si="0"/>
        <v>154326.71231999999</v>
      </c>
      <c r="AH11" s="51" t="s">
        <v>31</v>
      </c>
      <c r="AI11" s="51" t="s">
        <v>30</v>
      </c>
    </row>
    <row r="12" spans="1:36">
      <c r="A12" s="49">
        <v>6</v>
      </c>
      <c r="B12" s="51" t="s">
        <v>32</v>
      </c>
      <c r="C12" s="53">
        <f>+C6*C37</f>
        <v>8966.0735999999997</v>
      </c>
      <c r="D12" s="53">
        <f t="shared" ref="D12:G12" si="5">+D6*D37</f>
        <v>23353.919999999998</v>
      </c>
      <c r="E12" s="53">
        <f t="shared" si="5"/>
        <v>6085.2479999999996</v>
      </c>
      <c r="F12" s="53">
        <f t="shared" si="5"/>
        <v>8068.14336</v>
      </c>
      <c r="G12" s="53">
        <f t="shared" si="5"/>
        <v>0</v>
      </c>
      <c r="H12" s="53">
        <f t="shared" ref="H12:I12" si="6">+H6*H37</f>
        <v>0</v>
      </c>
      <c r="I12" s="53">
        <f t="shared" si="6"/>
        <v>0</v>
      </c>
      <c r="J12" s="53">
        <f t="shared" si="0"/>
        <v>46473.384959999996</v>
      </c>
      <c r="AH12" s="51" t="s">
        <v>33</v>
      </c>
      <c r="AI12" s="51" t="s">
        <v>32</v>
      </c>
    </row>
    <row r="13" spans="1:36">
      <c r="A13" s="49">
        <v>7</v>
      </c>
      <c r="B13" s="51" t="s">
        <v>34</v>
      </c>
      <c r="C13" s="53">
        <f>+C6*C38</f>
        <v>6682.2624000000005</v>
      </c>
      <c r="D13" s="53">
        <f t="shared" ref="D13:G13" si="7">+D6*D38</f>
        <v>17405.280000000002</v>
      </c>
      <c r="E13" s="53">
        <f t="shared" si="7"/>
        <v>4535.2320000000009</v>
      </c>
      <c r="F13" s="53">
        <f t="shared" si="7"/>
        <v>6013.0502400000005</v>
      </c>
      <c r="G13" s="53">
        <f t="shared" si="7"/>
        <v>0</v>
      </c>
      <c r="H13" s="53">
        <f t="shared" ref="H13:I13" si="8">+H6*H38</f>
        <v>0</v>
      </c>
      <c r="I13" s="53">
        <f t="shared" si="8"/>
        <v>0</v>
      </c>
      <c r="J13" s="53">
        <f t="shared" si="0"/>
        <v>34635.824640000006</v>
      </c>
      <c r="AH13" s="51" t="s">
        <v>35</v>
      </c>
      <c r="AI13" s="51" t="s">
        <v>34</v>
      </c>
      <c r="AJ13" s="47" t="s">
        <v>18</v>
      </c>
    </row>
    <row r="14" spans="1:36">
      <c r="A14" s="49">
        <v>8</v>
      </c>
      <c r="B14" s="54" t="s">
        <v>36</v>
      </c>
      <c r="C14" s="53">
        <f>SUM(C11:C13)</f>
        <v>45422.467200000006</v>
      </c>
      <c r="D14" s="53">
        <f t="shared" ref="D14:I14" si="9">SUM(D11:D13)</f>
        <v>118311.84</v>
      </c>
      <c r="E14" s="53">
        <f t="shared" si="9"/>
        <v>30828.096000000001</v>
      </c>
      <c r="F14" s="53">
        <f t="shared" si="9"/>
        <v>40873.518720000007</v>
      </c>
      <c r="G14" s="53">
        <f t="shared" si="9"/>
        <v>0</v>
      </c>
      <c r="H14" s="53">
        <f t="shared" si="9"/>
        <v>0</v>
      </c>
      <c r="I14" s="53">
        <f t="shared" si="9"/>
        <v>0</v>
      </c>
      <c r="J14" s="53">
        <f t="shared" si="0"/>
        <v>235435.92191999999</v>
      </c>
      <c r="AH14" s="51" t="s">
        <v>37</v>
      </c>
      <c r="AI14" s="54" t="s">
        <v>36</v>
      </c>
    </row>
    <row r="15" spans="1:36">
      <c r="A15" s="49">
        <v>9</v>
      </c>
      <c r="B15" s="54" t="s">
        <v>38</v>
      </c>
      <c r="C15" s="53">
        <f>+C9-C10-C14</f>
        <v>177285.94253793167</v>
      </c>
      <c r="D15" s="53">
        <f t="shared" ref="D15:I15" si="10">+D9-D10-D14</f>
        <v>400824.43159779522</v>
      </c>
      <c r="E15" s="53">
        <f t="shared" si="10"/>
        <v>64023.502315092323</v>
      </c>
      <c r="F15" s="53">
        <f t="shared" si="10"/>
        <v>155173.42346095241</v>
      </c>
      <c r="G15" s="53">
        <f t="shared" si="10"/>
        <v>0</v>
      </c>
      <c r="H15" s="53">
        <f t="shared" si="10"/>
        <v>0</v>
      </c>
      <c r="I15" s="53">
        <f t="shared" si="10"/>
        <v>0</v>
      </c>
      <c r="J15" s="53">
        <f t="shared" si="0"/>
        <v>797307.29991177167</v>
      </c>
      <c r="AH15" s="51" t="s">
        <v>39</v>
      </c>
      <c r="AI15" s="54" t="s">
        <v>38</v>
      </c>
    </row>
    <row r="16" spans="1:36">
      <c r="A16" s="49">
        <v>10</v>
      </c>
      <c r="B16" s="51" t="s">
        <v>40</v>
      </c>
      <c r="C16" s="55">
        <f>+C15/C9</f>
        <v>0.20959352719367325</v>
      </c>
      <c r="D16" s="55">
        <f t="shared" ref="D16:I16" si="11">+D15/D9</f>
        <v>0.18192830047103994</v>
      </c>
      <c r="E16" s="55">
        <f t="shared" si="11"/>
        <v>0.11152365927238768</v>
      </c>
      <c r="F16" s="55">
        <f t="shared" si="11"/>
        <v>0.20386825261941002</v>
      </c>
      <c r="G16" s="55" t="e">
        <f t="shared" si="11"/>
        <v>#DIV/0!</v>
      </c>
      <c r="H16" s="55" t="e">
        <f t="shared" si="11"/>
        <v>#DIV/0!</v>
      </c>
      <c r="I16" s="55" t="e">
        <f t="shared" si="11"/>
        <v>#DIV/0!</v>
      </c>
      <c r="J16" s="55">
        <f t="shared" ref="J16" si="12">+J15/J9</f>
        <v>0.18185585978596169</v>
      </c>
      <c r="AH16" s="51" t="s">
        <v>41</v>
      </c>
      <c r="AI16" s="51" t="s">
        <v>40</v>
      </c>
    </row>
    <row r="17" spans="1:36">
      <c r="A17" s="49">
        <v>11</v>
      </c>
      <c r="B17" s="51" t="s">
        <v>42</v>
      </c>
      <c r="C17" s="53">
        <f>C6*C43+C18</f>
        <v>18916.550844444446</v>
      </c>
      <c r="D17" s="53">
        <f t="shared" ref="D17:G17" si="13">D6*D43+D18</f>
        <v>50262.913333333338</v>
      </c>
      <c r="E17" s="53">
        <f t="shared" si="13"/>
        <v>13644.096444444443</v>
      </c>
      <c r="F17" s="53">
        <f t="shared" si="13"/>
        <v>24794.002417777778</v>
      </c>
      <c r="G17" s="53">
        <f t="shared" si="13"/>
        <v>0</v>
      </c>
      <c r="H17" s="53">
        <f t="shared" ref="H17:I17" si="14">H6*H43+H18</f>
        <v>0</v>
      </c>
      <c r="I17" s="53">
        <f t="shared" si="14"/>
        <v>0</v>
      </c>
      <c r="J17" s="53">
        <f>SUM(C17:I17)</f>
        <v>107617.56304000001</v>
      </c>
      <c r="K17" s="167"/>
      <c r="L17" s="168"/>
      <c r="M17" s="168"/>
      <c r="AH17" s="51" t="s">
        <v>43</v>
      </c>
      <c r="AI17" s="51" t="s">
        <v>42</v>
      </c>
    </row>
    <row r="18" spans="1:36" s="45" customFormat="1">
      <c r="A18" s="49">
        <v>12</v>
      </c>
      <c r="B18" s="56" t="s">
        <v>144</v>
      </c>
      <c r="C18" s="57">
        <f t="shared" ref="C18:I18" si="15">$J$18/$J$6*C6</f>
        <v>2506.9444444444443</v>
      </c>
      <c r="D18" s="57">
        <f t="shared" si="15"/>
        <v>7520.833333333333</v>
      </c>
      <c r="E18" s="57">
        <f t="shared" si="15"/>
        <v>2506.9444444444443</v>
      </c>
      <c r="F18" s="57">
        <f t="shared" si="15"/>
        <v>10027.777777777777</v>
      </c>
      <c r="G18" s="57">
        <f t="shared" si="15"/>
        <v>0</v>
      </c>
      <c r="H18" s="57">
        <f t="shared" si="15"/>
        <v>0</v>
      </c>
      <c r="I18" s="57">
        <f t="shared" si="15"/>
        <v>0</v>
      </c>
      <c r="J18" s="57">
        <f>项目投资!D26</f>
        <v>22562.5</v>
      </c>
      <c r="K18" s="169" t="s">
        <v>145</v>
      </c>
      <c r="L18" s="169"/>
      <c r="M18" s="169"/>
    </row>
    <row r="19" spans="1:36">
      <c r="A19" s="49">
        <v>13</v>
      </c>
      <c r="B19" s="51" t="s">
        <v>44</v>
      </c>
      <c r="C19" s="53">
        <f>C6*C44</f>
        <v>7951.0464000000011</v>
      </c>
      <c r="D19" s="53">
        <f t="shared" ref="D19:G19" si="16">D6*D44</f>
        <v>20710.080000000002</v>
      </c>
      <c r="E19" s="53">
        <f t="shared" si="16"/>
        <v>5396.3519999999999</v>
      </c>
      <c r="F19" s="53">
        <f t="shared" si="16"/>
        <v>7154.7686400000002</v>
      </c>
      <c r="G19" s="53">
        <f t="shared" si="16"/>
        <v>0</v>
      </c>
      <c r="H19" s="53">
        <f t="shared" ref="H19:I19" si="17">H6*H44</f>
        <v>0</v>
      </c>
      <c r="I19" s="53">
        <f t="shared" si="17"/>
        <v>0</v>
      </c>
      <c r="J19" s="53">
        <f>SUM(C19:I19)</f>
        <v>41212.247040000002</v>
      </c>
      <c r="K19" s="170"/>
      <c r="L19" s="168"/>
      <c r="M19" s="168"/>
      <c r="AH19" s="51" t="s">
        <v>45</v>
      </c>
      <c r="AI19" s="51" t="s">
        <v>44</v>
      </c>
      <c r="AJ19" s="47" t="s">
        <v>18</v>
      </c>
    </row>
    <row r="20" spans="1:36">
      <c r="A20" s="49">
        <v>14</v>
      </c>
      <c r="B20" s="51" t="s">
        <v>46</v>
      </c>
      <c r="C20" s="53">
        <f>C6*C45</f>
        <v>27574.905599999998</v>
      </c>
      <c r="D20" s="53">
        <f t="shared" ref="D20:G20" si="18">D6*D45</f>
        <v>71824.319999999992</v>
      </c>
      <c r="E20" s="53">
        <f t="shared" si="18"/>
        <v>18715.007999999998</v>
      </c>
      <c r="F20" s="53">
        <f t="shared" si="18"/>
        <v>24813.346559999998</v>
      </c>
      <c r="G20" s="53">
        <f t="shared" si="18"/>
        <v>0</v>
      </c>
      <c r="H20" s="53">
        <f t="shared" ref="H20:I20" si="19">H6*H45</f>
        <v>0</v>
      </c>
      <c r="I20" s="53">
        <f t="shared" si="19"/>
        <v>0</v>
      </c>
      <c r="J20" s="53">
        <f>SUM(C20:I20)</f>
        <v>142927.58015999998</v>
      </c>
      <c r="AH20" s="51" t="s">
        <v>47</v>
      </c>
      <c r="AI20" s="51" t="s">
        <v>46</v>
      </c>
    </row>
    <row r="21" spans="1:36">
      <c r="A21" s="49">
        <v>15</v>
      </c>
      <c r="B21" s="51" t="s">
        <v>48</v>
      </c>
      <c r="C21" s="58">
        <f t="shared" ref="C21:I21" si="20">$J$21/$J$6*C6</f>
        <v>7137.5</v>
      </c>
      <c r="D21" s="58">
        <f t="shared" si="20"/>
        <v>21412.5</v>
      </c>
      <c r="E21" s="58">
        <f t="shared" si="20"/>
        <v>7137.5</v>
      </c>
      <c r="F21" s="58">
        <f t="shared" si="20"/>
        <v>28550</v>
      </c>
      <c r="G21" s="58">
        <f t="shared" si="20"/>
        <v>0</v>
      </c>
      <c r="H21" s="58">
        <f t="shared" si="20"/>
        <v>0</v>
      </c>
      <c r="I21" s="58">
        <f t="shared" si="20"/>
        <v>0</v>
      </c>
      <c r="J21" s="53">
        <f>项目投资!D27</f>
        <v>64237.5</v>
      </c>
      <c r="AH21" s="51"/>
      <c r="AI21" s="51"/>
    </row>
    <row r="22" spans="1:36">
      <c r="A22" s="49">
        <v>16</v>
      </c>
      <c r="B22" s="51" t="s">
        <v>49</v>
      </c>
      <c r="C22" s="53">
        <f>C6*C47</f>
        <v>42292.800000000003</v>
      </c>
      <c r="D22" s="53">
        <f t="shared" ref="D22:G22" si="21">D6*D47</f>
        <v>110160</v>
      </c>
      <c r="E22" s="53">
        <f t="shared" si="21"/>
        <v>28704.000000000004</v>
      </c>
      <c r="F22" s="53">
        <f t="shared" si="21"/>
        <v>38057.279999999999</v>
      </c>
      <c r="G22" s="53">
        <f t="shared" si="21"/>
        <v>0</v>
      </c>
      <c r="H22" s="53">
        <f t="shared" ref="H22:I22" si="22">H6*H47</f>
        <v>0</v>
      </c>
      <c r="I22" s="53">
        <f t="shared" si="22"/>
        <v>0</v>
      </c>
      <c r="J22" s="53">
        <f>SUM(C22:I22)</f>
        <v>219214.07999999999</v>
      </c>
      <c r="AH22" s="51" t="s">
        <v>50</v>
      </c>
      <c r="AI22" s="51" t="s">
        <v>49</v>
      </c>
    </row>
    <row r="23" spans="1:36">
      <c r="A23" s="49">
        <v>17</v>
      </c>
      <c r="B23" s="54" t="s">
        <v>51</v>
      </c>
      <c r="C23" s="58">
        <f>+C22+C21+C20+C19+C17</f>
        <v>103872.80284444445</v>
      </c>
      <c r="D23" s="58">
        <f t="shared" ref="D23:I23" si="23">+D22+D21+D20+D19+D17</f>
        <v>274369.81333333335</v>
      </c>
      <c r="E23" s="58">
        <f t="shared" si="23"/>
        <v>73596.95644444444</v>
      </c>
      <c r="F23" s="58">
        <f t="shared" si="23"/>
        <v>123369.39761777778</v>
      </c>
      <c r="G23" s="58">
        <f t="shared" si="23"/>
        <v>0</v>
      </c>
      <c r="H23" s="58">
        <f t="shared" si="23"/>
        <v>0</v>
      </c>
      <c r="I23" s="58">
        <f t="shared" si="23"/>
        <v>0</v>
      </c>
      <c r="J23" s="58">
        <f t="shared" ref="J23" si="24">+J22+J21+J20+J19+J17</f>
        <v>575208.97023999994</v>
      </c>
      <c r="AH23" s="51" t="s">
        <v>52</v>
      </c>
      <c r="AI23" s="54" t="s">
        <v>51</v>
      </c>
    </row>
    <row r="24" spans="1:36">
      <c r="A24" s="49">
        <v>18</v>
      </c>
      <c r="B24" s="59" t="s">
        <v>53</v>
      </c>
      <c r="C24" s="58">
        <f>+C15-C23</f>
        <v>73413.139693487217</v>
      </c>
      <c r="D24" s="58">
        <f t="shared" ref="D24:G24" si="25">+D15-D23</f>
        <v>126454.61826446187</v>
      </c>
      <c r="E24" s="58">
        <f t="shared" si="25"/>
        <v>-9573.4541293521179</v>
      </c>
      <c r="F24" s="58">
        <f t="shared" si="25"/>
        <v>31804.025843174633</v>
      </c>
      <c r="G24" s="58">
        <f t="shared" si="25"/>
        <v>0</v>
      </c>
      <c r="H24" s="58">
        <f t="shared" ref="H24:I24" si="26">+H15-H23</f>
        <v>0</v>
      </c>
      <c r="I24" s="58">
        <f t="shared" si="26"/>
        <v>0</v>
      </c>
      <c r="J24" s="58">
        <f t="shared" ref="J24" si="27">+J15-J23</f>
        <v>222098.32967177173</v>
      </c>
      <c r="L24" s="70"/>
      <c r="AH24" s="51" t="s">
        <v>54</v>
      </c>
      <c r="AI24" s="51" t="s">
        <v>53</v>
      </c>
    </row>
    <row r="25" spans="1:36">
      <c r="A25" s="49">
        <v>19</v>
      </c>
      <c r="B25" s="51" t="s">
        <v>228</v>
      </c>
      <c r="C25" s="58">
        <f>IF(C24&lt;0,0,C24*0.25)</f>
        <v>18353.284923371804</v>
      </c>
      <c r="D25" s="58">
        <f>IF(D24&lt;0,0,D24*0.25)</f>
        <v>31613.654566115467</v>
      </c>
      <c r="E25" s="58">
        <f t="shared" ref="E25:G25" si="28">IF(E24&lt;0,0,E24*0.25)</f>
        <v>0</v>
      </c>
      <c r="F25" s="58">
        <f t="shared" si="28"/>
        <v>7951.0064607936583</v>
      </c>
      <c r="G25" s="58">
        <f t="shared" si="28"/>
        <v>0</v>
      </c>
      <c r="H25" s="58">
        <f t="shared" ref="H25:I25" si="29">IF(H24&lt;0,0,H24*0.25)</f>
        <v>0</v>
      </c>
      <c r="I25" s="58">
        <f t="shared" si="29"/>
        <v>0</v>
      </c>
      <c r="J25" s="58">
        <f>IF(J24&lt;0,0,J24*0.25)</f>
        <v>55524.582417942933</v>
      </c>
      <c r="K25" s="66"/>
      <c r="L25" s="66"/>
      <c r="M25" s="66"/>
      <c r="AH25" s="51" t="s">
        <v>56</v>
      </c>
      <c r="AI25" s="51" t="s">
        <v>55</v>
      </c>
    </row>
    <row r="26" spans="1:36">
      <c r="A26" s="49">
        <v>20</v>
      </c>
      <c r="B26" s="51" t="s">
        <v>57</v>
      </c>
      <c r="C26" s="58">
        <f t="shared" ref="C26:G26" si="30">C24-C25</f>
        <v>55059.854770115417</v>
      </c>
      <c r="D26" s="58">
        <f t="shared" si="30"/>
        <v>94840.963698346401</v>
      </c>
      <c r="E26" s="58">
        <f t="shared" si="30"/>
        <v>-9573.4541293521179</v>
      </c>
      <c r="F26" s="58">
        <f t="shared" si="30"/>
        <v>23853.019382380975</v>
      </c>
      <c r="G26" s="58">
        <f t="shared" si="30"/>
        <v>0</v>
      </c>
      <c r="H26" s="58">
        <f t="shared" ref="H26:I26" si="31">H24-H25</f>
        <v>0</v>
      </c>
      <c r="I26" s="58">
        <f t="shared" si="31"/>
        <v>0</v>
      </c>
      <c r="J26" s="53">
        <f>J24-J25</f>
        <v>166573.7472538288</v>
      </c>
      <c r="K26" s="66"/>
      <c r="L26" s="66"/>
      <c r="M26" s="66"/>
      <c r="AH26" s="51" t="s">
        <v>58</v>
      </c>
      <c r="AI26" s="51" t="s">
        <v>57</v>
      </c>
    </row>
    <row r="27" spans="1:36">
      <c r="A27" s="49">
        <v>21</v>
      </c>
      <c r="B27" s="51" t="s">
        <v>61</v>
      </c>
      <c r="C27" s="60">
        <f t="shared" ref="C27:J27" si="32">C26/C7</f>
        <v>6.5093650420538982E-2</v>
      </c>
      <c r="D27" s="60">
        <f t="shared" ref="D27:I27" si="33">D26/D7</f>
        <v>4.3046915258871825E-2</v>
      </c>
      <c r="E27" s="60">
        <f t="shared" si="33"/>
        <v>-1.6676167310047587E-2</v>
      </c>
      <c r="F27" s="60">
        <f t="shared" si="33"/>
        <v>3.1338313434881547E-2</v>
      </c>
      <c r="G27" s="60" t="e">
        <f t="shared" si="33"/>
        <v>#DIV/0!</v>
      </c>
      <c r="H27" s="60" t="e">
        <f t="shared" si="33"/>
        <v>#DIV/0!</v>
      </c>
      <c r="I27" s="60" t="e">
        <f t="shared" si="33"/>
        <v>#DIV/0!</v>
      </c>
      <c r="J27" s="60">
        <f t="shared" si="32"/>
        <v>3.7993396056911308E-2</v>
      </c>
      <c r="K27" s="66"/>
      <c r="L27" s="66"/>
      <c r="M27" s="66"/>
      <c r="AH27" s="51" t="s">
        <v>60</v>
      </c>
      <c r="AI27" s="51" t="s">
        <v>61</v>
      </c>
    </row>
    <row r="28" spans="1:36">
      <c r="K28" s="66"/>
      <c r="L28" s="66"/>
      <c r="M28" s="66"/>
    </row>
    <row r="29" spans="1:36">
      <c r="A29" s="47" t="s">
        <v>62</v>
      </c>
      <c r="J29" s="48" t="s">
        <v>146</v>
      </c>
      <c r="K29" s="66"/>
      <c r="L29" s="66"/>
      <c r="M29" s="66"/>
      <c r="AH29" s="47" t="s">
        <v>62</v>
      </c>
    </row>
    <row r="30" spans="1:36">
      <c r="A30" s="51" t="s">
        <v>63</v>
      </c>
      <c r="B30" s="54" t="s">
        <v>64</v>
      </c>
      <c r="C30" s="58"/>
      <c r="D30" s="58"/>
      <c r="E30" s="58"/>
      <c r="F30" s="58"/>
      <c r="G30" s="58"/>
      <c r="H30" s="58"/>
      <c r="I30" s="58"/>
      <c r="J30" s="58"/>
      <c r="K30" s="66"/>
      <c r="L30" s="66"/>
      <c r="M30" s="66"/>
      <c r="O30" s="66"/>
      <c r="AH30" s="51" t="s">
        <v>65</v>
      </c>
      <c r="AI30" s="54" t="s">
        <v>64</v>
      </c>
    </row>
    <row r="31" spans="1:36">
      <c r="A31" s="61">
        <v>1</v>
      </c>
      <c r="B31" s="56" t="s">
        <v>66</v>
      </c>
      <c r="C31" s="62">
        <f>销量!C8</f>
        <v>1762.2</v>
      </c>
      <c r="D31" s="62">
        <f>销量!D8</f>
        <v>1530</v>
      </c>
      <c r="E31" s="62">
        <f>销量!E8</f>
        <v>1196</v>
      </c>
      <c r="F31" s="62">
        <f>销量!F8</f>
        <v>396.43</v>
      </c>
      <c r="G31" s="62">
        <f>销量!G8</f>
        <v>0</v>
      </c>
      <c r="H31" s="62">
        <f>销量!H8</f>
        <v>0</v>
      </c>
      <c r="I31" s="62">
        <f>销量!I8</f>
        <v>0</v>
      </c>
      <c r="J31" s="58"/>
      <c r="K31" s="66"/>
      <c r="L31" s="66"/>
      <c r="M31" s="66"/>
      <c r="O31" s="66"/>
      <c r="AH31" s="51" t="s">
        <v>20</v>
      </c>
      <c r="AI31" s="51" t="s">
        <v>66</v>
      </c>
    </row>
    <row r="32" spans="1:36">
      <c r="A32" s="61">
        <v>2</v>
      </c>
      <c r="B32" s="51" t="s">
        <v>147</v>
      </c>
      <c r="C32" s="53">
        <f>C31*1</f>
        <v>1762.2</v>
      </c>
      <c r="D32" s="53">
        <f t="shared" ref="D32:I32" si="34">D31*1</f>
        <v>1530</v>
      </c>
      <c r="E32" s="53">
        <f t="shared" si="34"/>
        <v>1196</v>
      </c>
      <c r="F32" s="53">
        <f t="shared" si="34"/>
        <v>396.43</v>
      </c>
      <c r="G32" s="53">
        <f t="shared" si="34"/>
        <v>0</v>
      </c>
      <c r="H32" s="53">
        <f t="shared" si="34"/>
        <v>0</v>
      </c>
      <c r="I32" s="53">
        <f t="shared" si="34"/>
        <v>0</v>
      </c>
      <c r="J32" s="58"/>
      <c r="K32" s="66"/>
      <c r="L32" s="66"/>
      <c r="M32" s="66"/>
      <c r="N32" s="66"/>
      <c r="O32" s="66"/>
      <c r="P32" s="66"/>
      <c r="Q32" s="66"/>
      <c r="AH32" s="51"/>
      <c r="AI32" s="51"/>
    </row>
    <row r="33" spans="1:35">
      <c r="A33" s="61">
        <v>3</v>
      </c>
      <c r="B33" s="56" t="s">
        <v>67</v>
      </c>
      <c r="C33" s="53">
        <f>材料成本!D12</f>
        <v>1298.2241463793091</v>
      </c>
      <c r="D33" s="53">
        <f>材料成本!E12</f>
        <v>1169.4887002793089</v>
      </c>
      <c r="E33" s="53">
        <f>材料成本!F12</f>
        <v>998.39250351022429</v>
      </c>
      <c r="F33" s="53">
        <f>材料成本!G12</f>
        <v>294.32221761408726</v>
      </c>
      <c r="G33" s="53">
        <f>材料成本!H12</f>
        <v>0</v>
      </c>
      <c r="H33" s="53">
        <f>材料成本!I12</f>
        <v>0</v>
      </c>
      <c r="I33" s="53">
        <f>材料成本!J12</f>
        <v>0</v>
      </c>
      <c r="J33" s="58"/>
      <c r="L33" s="66"/>
      <c r="M33" s="66"/>
      <c r="N33" s="66"/>
      <c r="O33" s="66"/>
      <c r="P33" s="66"/>
      <c r="Q33" s="66"/>
      <c r="AH33" s="51" t="s">
        <v>22</v>
      </c>
      <c r="AI33" s="51" t="s">
        <v>67</v>
      </c>
    </row>
    <row r="34" spans="1:35" ht="17.25" customHeight="1">
      <c r="A34" s="61">
        <v>4</v>
      </c>
      <c r="B34" s="51" t="s">
        <v>69</v>
      </c>
      <c r="C34" s="63">
        <f>C32-C33</f>
        <v>463.97585362069094</v>
      </c>
      <c r="D34" s="63">
        <f t="shared" ref="D34:I34" si="35">D32-D33</f>
        <v>360.51129972069111</v>
      </c>
      <c r="E34" s="63">
        <f t="shared" si="35"/>
        <v>197.60749648977571</v>
      </c>
      <c r="F34" s="63">
        <f t="shared" si="35"/>
        <v>102.10778238591274</v>
      </c>
      <c r="G34" s="63">
        <f t="shared" si="35"/>
        <v>0</v>
      </c>
      <c r="H34" s="63">
        <f t="shared" si="35"/>
        <v>0</v>
      </c>
      <c r="I34" s="63">
        <f t="shared" si="35"/>
        <v>0</v>
      </c>
      <c r="J34" s="58"/>
      <c r="L34" s="66"/>
      <c r="M34" s="66"/>
      <c r="N34" s="66"/>
      <c r="O34" s="66"/>
      <c r="P34" s="66"/>
      <c r="Q34" s="66"/>
      <c r="AH34" s="51" t="s">
        <v>68</v>
      </c>
      <c r="AI34" s="51" t="s">
        <v>69</v>
      </c>
    </row>
    <row r="35" spans="1:35">
      <c r="A35" s="51" t="s">
        <v>65</v>
      </c>
      <c r="B35" s="54" t="s">
        <v>9</v>
      </c>
      <c r="C35" s="58"/>
      <c r="D35" s="58"/>
      <c r="E35" s="58"/>
      <c r="F35" s="58"/>
      <c r="G35" s="58"/>
      <c r="H35" s="58"/>
      <c r="I35" s="58"/>
      <c r="J35" s="58"/>
      <c r="K35" s="66"/>
      <c r="L35" s="66"/>
      <c r="M35" s="66"/>
      <c r="N35" s="66"/>
      <c r="O35" s="66"/>
      <c r="P35" s="66"/>
      <c r="Q35" s="66"/>
      <c r="R35" s="66"/>
      <c r="S35" s="66"/>
      <c r="AH35" s="51" t="s">
        <v>71</v>
      </c>
      <c r="AI35" s="54" t="s">
        <v>9</v>
      </c>
    </row>
    <row r="36" spans="1:35">
      <c r="A36" s="61">
        <v>1</v>
      </c>
      <c r="B36" s="51" t="s">
        <v>72</v>
      </c>
      <c r="C36" s="57">
        <f>标准成本!E4</f>
        <v>62.029440000000008</v>
      </c>
      <c r="D36" s="57">
        <f>标准成本!E18</f>
        <v>53.856000000000002</v>
      </c>
      <c r="E36" s="57">
        <f>标准成本!E32</f>
        <v>42.099200000000003</v>
      </c>
      <c r="F36" s="57">
        <f>标准成本!E45</f>
        <v>13.954336000000001</v>
      </c>
      <c r="G36" s="57">
        <f>标准成本!E58</f>
        <v>0</v>
      </c>
      <c r="H36" s="57">
        <f>标准成本!E71</f>
        <v>0</v>
      </c>
      <c r="I36" s="57">
        <f>标准成本!E84</f>
        <v>0</v>
      </c>
      <c r="J36" s="62"/>
      <c r="K36" s="66"/>
      <c r="L36" s="66"/>
      <c r="M36" s="66"/>
      <c r="N36" s="66"/>
      <c r="O36" s="66"/>
      <c r="P36" s="66"/>
      <c r="Q36" s="66"/>
      <c r="R36" s="66"/>
      <c r="S36" s="66"/>
      <c r="AH36" s="51" t="s">
        <v>68</v>
      </c>
      <c r="AI36" s="51" t="s">
        <v>72</v>
      </c>
    </row>
    <row r="37" spans="1:35">
      <c r="A37" s="61">
        <v>2</v>
      </c>
      <c r="B37" s="51" t="s">
        <v>73</v>
      </c>
      <c r="C37" s="57">
        <f>标准成本!E6</f>
        <v>18.679320000000001</v>
      </c>
      <c r="D37" s="57">
        <f>标准成本!E20</f>
        <v>16.218</v>
      </c>
      <c r="E37" s="57">
        <f>标准成本!E34</f>
        <v>12.6776</v>
      </c>
      <c r="F37" s="57">
        <f>标准成本!E47</f>
        <v>4.2021579999999998</v>
      </c>
      <c r="G37" s="57">
        <f>标准成本!E60</f>
        <v>0</v>
      </c>
      <c r="H37" s="57">
        <f>标准成本!E73</f>
        <v>0</v>
      </c>
      <c r="I37" s="57">
        <f>标准成本!E86</f>
        <v>0</v>
      </c>
      <c r="J37" s="62"/>
      <c r="K37" s="66"/>
      <c r="L37" s="66"/>
      <c r="M37" s="66"/>
      <c r="N37" s="66"/>
      <c r="O37" s="66"/>
      <c r="P37" s="66"/>
      <c r="Q37" s="66"/>
      <c r="R37" s="66"/>
      <c r="S37" s="66"/>
      <c r="AH37" s="51" t="s">
        <v>25</v>
      </c>
      <c r="AI37" s="51" t="s">
        <v>73</v>
      </c>
    </row>
    <row r="38" spans="1:35">
      <c r="A38" s="61">
        <v>3</v>
      </c>
      <c r="B38" s="51" t="s">
        <v>74</v>
      </c>
      <c r="C38" s="57">
        <f>标准成本!E10</f>
        <v>13.921380000000001</v>
      </c>
      <c r="D38" s="57">
        <f>标准成本!E24</f>
        <v>12.087000000000002</v>
      </c>
      <c r="E38" s="57">
        <f>标准成本!E38</f>
        <v>9.4484000000000012</v>
      </c>
      <c r="F38" s="57">
        <f>标准成本!E51</f>
        <v>3.1317970000000002</v>
      </c>
      <c r="G38" s="57">
        <f>标准成本!E64</f>
        <v>0</v>
      </c>
      <c r="H38" s="57">
        <f>标准成本!E77</f>
        <v>0</v>
      </c>
      <c r="I38" s="57">
        <f>标准成本!E90</f>
        <v>0</v>
      </c>
      <c r="J38" s="62"/>
      <c r="K38" s="66"/>
      <c r="L38" s="66"/>
      <c r="M38" s="66"/>
      <c r="N38" s="66"/>
      <c r="O38" s="66"/>
      <c r="P38" s="66"/>
      <c r="Q38" s="66"/>
      <c r="R38" s="66"/>
      <c r="S38" s="66"/>
      <c r="AH38" s="51" t="s">
        <v>31</v>
      </c>
      <c r="AI38" s="51" t="s">
        <v>74</v>
      </c>
    </row>
    <row r="39" spans="1:35">
      <c r="A39" s="51" t="s">
        <v>71</v>
      </c>
      <c r="B39" s="54" t="s">
        <v>76</v>
      </c>
      <c r="C39" s="58"/>
      <c r="D39" s="58"/>
      <c r="E39" s="58"/>
      <c r="F39" s="58"/>
      <c r="G39" s="58"/>
      <c r="H39" s="58"/>
      <c r="I39" s="58"/>
      <c r="J39" s="58"/>
      <c r="AH39" s="51" t="s">
        <v>75</v>
      </c>
      <c r="AI39" s="54" t="s">
        <v>76</v>
      </c>
    </row>
    <row r="40" spans="1:35">
      <c r="A40" s="61">
        <v>1</v>
      </c>
      <c r="B40" s="51" t="s">
        <v>78</v>
      </c>
      <c r="C40" s="58">
        <f>C34-C36-C37-C38</f>
        <v>369.3457136206909</v>
      </c>
      <c r="D40" s="58">
        <f t="shared" ref="D40:I40" si="36">D34-D36-D37-D38</f>
        <v>278.35029972069111</v>
      </c>
      <c r="E40" s="58">
        <f t="shared" si="36"/>
        <v>133.38229648977571</v>
      </c>
      <c r="F40" s="58">
        <f t="shared" si="36"/>
        <v>80.819491385912741</v>
      </c>
      <c r="G40" s="58">
        <f t="shared" si="36"/>
        <v>0</v>
      </c>
      <c r="H40" s="58">
        <f t="shared" si="36"/>
        <v>0</v>
      </c>
      <c r="I40" s="58">
        <f t="shared" si="36"/>
        <v>0</v>
      </c>
      <c r="J40" s="58"/>
      <c r="AH40" s="51" t="s">
        <v>20</v>
      </c>
      <c r="AI40" s="51" t="s">
        <v>78</v>
      </c>
    </row>
    <row r="41" spans="1:35">
      <c r="A41" s="61">
        <v>2</v>
      </c>
      <c r="B41" s="51" t="s">
        <v>79</v>
      </c>
      <c r="C41" s="58"/>
      <c r="D41" s="58"/>
      <c r="E41" s="58"/>
      <c r="F41" s="58"/>
      <c r="G41" s="58"/>
      <c r="H41" s="58"/>
      <c r="I41" s="58"/>
      <c r="J41" s="58"/>
      <c r="AH41" s="51" t="s">
        <v>22</v>
      </c>
      <c r="AI41" s="51" t="s">
        <v>79</v>
      </c>
    </row>
    <row r="42" spans="1:35">
      <c r="A42" s="51" t="s">
        <v>75</v>
      </c>
      <c r="B42" s="54" t="s">
        <v>81</v>
      </c>
      <c r="C42" s="58"/>
      <c r="D42" s="58"/>
      <c r="E42" s="58"/>
      <c r="F42" s="58"/>
      <c r="G42" s="58"/>
      <c r="H42" s="58"/>
      <c r="I42" s="58"/>
      <c r="J42" s="58"/>
      <c r="AH42" s="51" t="s">
        <v>80</v>
      </c>
      <c r="AI42" s="54" t="s">
        <v>81</v>
      </c>
    </row>
    <row r="43" spans="1:35">
      <c r="A43" s="61">
        <v>1</v>
      </c>
      <c r="B43" s="59" t="s">
        <v>82</v>
      </c>
      <c r="C43" s="57">
        <f>标准成本!E5</f>
        <v>34.186680000000003</v>
      </c>
      <c r="D43" s="57">
        <f>标准成本!E19</f>
        <v>29.682000000000002</v>
      </c>
      <c r="E43" s="57">
        <f>标准成本!E33</f>
        <v>23.202400000000001</v>
      </c>
      <c r="F43" s="57">
        <f>标准成本!E46</f>
        <v>7.6907420000000002</v>
      </c>
      <c r="G43" s="57">
        <f>标准成本!E59</f>
        <v>0</v>
      </c>
      <c r="H43" s="57">
        <f>标准成本!E72</f>
        <v>0</v>
      </c>
      <c r="I43" s="57">
        <f>标准成本!E85</f>
        <v>0</v>
      </c>
      <c r="J43" s="58"/>
      <c r="AH43" s="51" t="s">
        <v>20</v>
      </c>
      <c r="AI43" s="51" t="s">
        <v>82</v>
      </c>
    </row>
    <row r="44" spans="1:35">
      <c r="A44" s="61">
        <v>2</v>
      </c>
      <c r="B44" s="59" t="s">
        <v>83</v>
      </c>
      <c r="C44" s="57">
        <f>标准成本!E9</f>
        <v>16.564680000000003</v>
      </c>
      <c r="D44" s="57">
        <f>标准成本!E23</f>
        <v>14.382000000000001</v>
      </c>
      <c r="E44" s="57">
        <f>标准成本!E37</f>
        <v>11.2424</v>
      </c>
      <c r="F44" s="57">
        <f>标准成本!E50</f>
        <v>3.726442</v>
      </c>
      <c r="G44" s="57">
        <f>标准成本!E63</f>
        <v>0</v>
      </c>
      <c r="H44" s="57">
        <f>标准成本!E76</f>
        <v>0</v>
      </c>
      <c r="I44" s="57">
        <f>标准成本!E89</f>
        <v>0</v>
      </c>
      <c r="J44" s="58"/>
      <c r="AH44" s="51" t="s">
        <v>22</v>
      </c>
      <c r="AI44" s="51" t="s">
        <v>83</v>
      </c>
    </row>
    <row r="45" spans="1:35">
      <c r="A45" s="61">
        <v>3</v>
      </c>
      <c r="B45" s="59" t="s">
        <v>84</v>
      </c>
      <c r="C45" s="64">
        <f>标准成本!E8</f>
        <v>57.447719999999997</v>
      </c>
      <c r="D45" s="64">
        <f>标准成本!E22</f>
        <v>49.877999999999993</v>
      </c>
      <c r="E45" s="64">
        <f>标准成本!E36</f>
        <v>38.989599999999996</v>
      </c>
      <c r="F45" s="64">
        <f>标准成本!E49</f>
        <v>12.923617999999999</v>
      </c>
      <c r="G45" s="64">
        <f>标准成本!E62</f>
        <v>0</v>
      </c>
      <c r="H45" s="64">
        <f>标准成本!E75</f>
        <v>0</v>
      </c>
      <c r="I45" s="64">
        <f>标准成本!E88</f>
        <v>0</v>
      </c>
      <c r="J45" s="58"/>
      <c r="AH45" s="51" t="s">
        <v>68</v>
      </c>
      <c r="AI45" s="51" t="s">
        <v>84</v>
      </c>
    </row>
    <row r="46" spans="1:35" s="46" customFormat="1">
      <c r="A46" s="61">
        <v>4</v>
      </c>
      <c r="B46" s="59" t="s">
        <v>85</v>
      </c>
      <c r="C46" s="64">
        <f>C21/C6</f>
        <v>14.869791666666666</v>
      </c>
      <c r="D46" s="64">
        <f t="shared" ref="D46:I46" si="37">D21/D6</f>
        <v>14.869791666666666</v>
      </c>
      <c r="E46" s="64">
        <f t="shared" si="37"/>
        <v>14.869791666666666</v>
      </c>
      <c r="F46" s="64">
        <f t="shared" si="37"/>
        <v>14.869791666666666</v>
      </c>
      <c r="G46" s="64" t="e">
        <f t="shared" si="37"/>
        <v>#DIV/0!</v>
      </c>
      <c r="H46" s="64" t="e">
        <f t="shared" si="37"/>
        <v>#DIV/0!</v>
      </c>
      <c r="I46" s="64" t="e">
        <f t="shared" si="37"/>
        <v>#DIV/0!</v>
      </c>
      <c r="J46" s="64"/>
      <c r="AH46" s="59" t="s">
        <v>28</v>
      </c>
      <c r="AI46" s="59" t="s">
        <v>87</v>
      </c>
    </row>
    <row r="47" spans="1:35" s="46" customFormat="1">
      <c r="A47" s="61">
        <v>5</v>
      </c>
      <c r="B47" s="59" t="s">
        <v>87</v>
      </c>
      <c r="C47" s="64">
        <f>标准成本!E11</f>
        <v>88.110000000000014</v>
      </c>
      <c r="D47" s="64">
        <f>标准成本!E25</f>
        <v>76.5</v>
      </c>
      <c r="E47" s="64">
        <f>标准成本!E39</f>
        <v>59.800000000000004</v>
      </c>
      <c r="F47" s="64">
        <f>标准成本!E52</f>
        <v>19.8215</v>
      </c>
      <c r="G47" s="64">
        <f>标准成本!E65</f>
        <v>0</v>
      </c>
      <c r="H47" s="64">
        <f>标准成本!E78</f>
        <v>0</v>
      </c>
      <c r="I47" s="64">
        <f>标准成本!E91</f>
        <v>0</v>
      </c>
      <c r="J47" s="64"/>
      <c r="AH47" s="59" t="s">
        <v>28</v>
      </c>
      <c r="AI47" s="59" t="s">
        <v>87</v>
      </c>
    </row>
    <row r="48" spans="1:35">
      <c r="A48" s="51" t="s">
        <v>80</v>
      </c>
      <c r="B48" s="54" t="s">
        <v>98</v>
      </c>
      <c r="C48" s="58">
        <f>C40-C43-C44-C45-C47-C46</f>
        <v>158.16684195402419</v>
      </c>
      <c r="D48" s="58">
        <f t="shared" ref="D48:I48" si="38">D40-D43-D44-D45-D47-D46</f>
        <v>93.038508054024433</v>
      </c>
      <c r="E48" s="58">
        <f t="shared" si="38"/>
        <v>-14.721895176890955</v>
      </c>
      <c r="F48" s="58">
        <f t="shared" si="38"/>
        <v>21.787397719246073</v>
      </c>
      <c r="G48" s="58" t="e">
        <f t="shared" si="38"/>
        <v>#DIV/0!</v>
      </c>
      <c r="H48" s="58" t="e">
        <f t="shared" si="38"/>
        <v>#DIV/0!</v>
      </c>
      <c r="I48" s="58" t="e">
        <f t="shared" si="38"/>
        <v>#DIV/0!</v>
      </c>
      <c r="J48" s="58"/>
      <c r="AH48" s="51" t="s">
        <v>97</v>
      </c>
      <c r="AI48" s="54" t="s">
        <v>98</v>
      </c>
    </row>
    <row r="51" spans="2:15">
      <c r="C51" s="65"/>
      <c r="D51" s="65"/>
      <c r="E51" s="65"/>
      <c r="F51" s="65"/>
      <c r="G51" s="65"/>
      <c r="H51" s="65"/>
      <c r="I51" s="65"/>
    </row>
    <row r="54" spans="2:15">
      <c r="B54" s="66"/>
      <c r="C54" s="67"/>
      <c r="D54" s="67"/>
      <c r="E54" s="67"/>
      <c r="F54" s="67"/>
      <c r="G54" s="67"/>
      <c r="H54" s="67"/>
      <c r="I54" s="67"/>
      <c r="J54" s="67"/>
      <c r="K54" s="66"/>
      <c r="L54" s="66"/>
      <c r="M54" s="66"/>
      <c r="N54" s="66"/>
      <c r="O54" s="66"/>
    </row>
    <row r="55" spans="2:15">
      <c r="B55" s="66"/>
      <c r="C55" s="67"/>
      <c r="D55" s="67"/>
      <c r="E55" s="67"/>
      <c r="F55" s="67"/>
      <c r="G55" s="67"/>
      <c r="H55" s="67"/>
      <c r="I55" s="67"/>
      <c r="J55" s="67"/>
      <c r="K55" s="66"/>
      <c r="L55" s="66"/>
      <c r="M55" s="66"/>
      <c r="N55" s="66"/>
      <c r="O55" s="66"/>
    </row>
    <row r="56" spans="2:15">
      <c r="B56" s="66"/>
      <c r="C56" s="67"/>
      <c r="D56" s="67"/>
      <c r="E56" s="67"/>
      <c r="F56" s="67"/>
      <c r="G56" s="67"/>
      <c r="H56" s="67"/>
      <c r="I56" s="67"/>
      <c r="J56" s="67"/>
      <c r="K56" s="66"/>
      <c r="L56" s="66"/>
      <c r="M56" s="66"/>
      <c r="N56" s="66"/>
      <c r="O56" s="66"/>
    </row>
    <row r="57" spans="2:15">
      <c r="B57" s="66"/>
      <c r="C57" s="67"/>
      <c r="D57" s="67"/>
      <c r="E57" s="67"/>
      <c r="F57" s="67"/>
      <c r="G57" s="67"/>
      <c r="H57" s="67"/>
      <c r="I57" s="67"/>
      <c r="J57" s="67"/>
      <c r="K57" s="66"/>
      <c r="L57" s="66"/>
      <c r="M57" s="66"/>
      <c r="N57" s="66"/>
      <c r="O57" s="66"/>
    </row>
    <row r="58" spans="2:15">
      <c r="B58" s="66"/>
      <c r="C58" s="67"/>
      <c r="D58" s="67"/>
      <c r="E58" s="67"/>
      <c r="F58" s="67"/>
      <c r="G58" s="67"/>
      <c r="H58" s="67"/>
      <c r="I58" s="67"/>
      <c r="J58" s="67"/>
      <c r="K58" s="66"/>
      <c r="L58" s="66"/>
      <c r="M58" s="66"/>
      <c r="N58" s="66"/>
      <c r="O58" s="66"/>
    </row>
    <row r="59" spans="2:15">
      <c r="B59" s="66"/>
      <c r="C59" s="67"/>
      <c r="D59" s="67"/>
      <c r="E59" s="67"/>
      <c r="F59" s="67"/>
      <c r="G59" s="67"/>
      <c r="H59" s="67"/>
      <c r="I59" s="67"/>
      <c r="J59" s="67"/>
      <c r="K59" s="66"/>
      <c r="L59" s="66"/>
      <c r="M59" s="66"/>
      <c r="N59" s="66"/>
      <c r="O59" s="66"/>
    </row>
    <row r="60" spans="2:15">
      <c r="B60" s="66"/>
      <c r="C60" s="67"/>
      <c r="D60" s="67"/>
      <c r="E60" s="67"/>
      <c r="F60" s="67"/>
      <c r="G60" s="67"/>
      <c r="H60" s="67"/>
      <c r="I60" s="67"/>
      <c r="J60" s="67"/>
      <c r="K60" s="66"/>
      <c r="L60" s="66"/>
      <c r="M60" s="66"/>
      <c r="N60" s="66"/>
      <c r="O60" s="66"/>
    </row>
    <row r="61" spans="2:15">
      <c r="B61" s="66"/>
      <c r="C61" s="67"/>
      <c r="D61" s="67"/>
      <c r="E61" s="67"/>
      <c r="F61" s="67"/>
      <c r="G61" s="67"/>
      <c r="H61" s="67"/>
      <c r="I61" s="67"/>
      <c r="J61" s="67"/>
      <c r="K61" s="66"/>
      <c r="L61" s="66"/>
      <c r="M61" s="66"/>
      <c r="N61" s="66"/>
      <c r="O61" s="66"/>
    </row>
    <row r="62" spans="2:15">
      <c r="B62" s="66"/>
      <c r="C62" s="67"/>
      <c r="D62" s="67"/>
      <c r="E62" s="67"/>
      <c r="F62" s="67"/>
      <c r="G62" s="67"/>
      <c r="H62" s="67"/>
      <c r="I62" s="67"/>
      <c r="J62" s="67"/>
      <c r="K62" s="66"/>
      <c r="L62" s="66"/>
      <c r="M62" s="66"/>
      <c r="N62" s="66"/>
      <c r="O62" s="66"/>
    </row>
    <row r="63" spans="2:15">
      <c r="B63" s="66"/>
      <c r="C63" s="67"/>
      <c r="D63" s="67"/>
      <c r="E63" s="67"/>
      <c r="F63" s="67"/>
      <c r="G63" s="67"/>
      <c r="H63" s="67"/>
      <c r="I63" s="67"/>
      <c r="J63" s="67"/>
      <c r="K63" s="66"/>
      <c r="L63" s="66"/>
      <c r="M63" s="66"/>
      <c r="N63" s="66"/>
      <c r="O63" s="66"/>
    </row>
    <row r="64" spans="2:15">
      <c r="B64" s="66"/>
      <c r="C64" s="67"/>
      <c r="D64" s="67"/>
      <c r="E64" s="67"/>
      <c r="F64" s="67"/>
      <c r="G64" s="67"/>
      <c r="H64" s="67"/>
      <c r="I64" s="67"/>
      <c r="J64" s="67"/>
      <c r="K64" s="66"/>
      <c r="L64" s="66"/>
      <c r="M64" s="66"/>
      <c r="N64" s="66"/>
      <c r="O64" s="66"/>
    </row>
    <row r="65" spans="2:15">
      <c r="B65" s="66"/>
      <c r="C65" s="67"/>
      <c r="D65" s="67"/>
      <c r="E65" s="67"/>
      <c r="F65" s="67"/>
      <c r="G65" s="67"/>
      <c r="H65" s="67"/>
      <c r="I65" s="67"/>
      <c r="J65" s="67"/>
      <c r="K65" s="66"/>
      <c r="L65" s="66"/>
      <c r="M65" s="66"/>
      <c r="N65" s="66"/>
      <c r="O65" s="66"/>
    </row>
    <row r="66" spans="2:15">
      <c r="B66" s="66"/>
      <c r="C66" s="67"/>
      <c r="D66" s="67"/>
      <c r="E66" s="67"/>
      <c r="F66" s="67"/>
      <c r="G66" s="67"/>
      <c r="H66" s="67"/>
      <c r="I66" s="67"/>
      <c r="J66" s="67"/>
      <c r="K66" s="66"/>
      <c r="L66" s="66"/>
      <c r="M66" s="66"/>
      <c r="N66" s="66"/>
      <c r="O66" s="66"/>
    </row>
    <row r="67" spans="2:15">
      <c r="B67" s="66"/>
      <c r="C67" s="67"/>
      <c r="D67" s="67"/>
      <c r="E67" s="67"/>
      <c r="F67" s="67"/>
      <c r="G67" s="67"/>
      <c r="H67" s="67"/>
      <c r="I67" s="67"/>
      <c r="J67" s="67"/>
      <c r="K67" s="66"/>
    </row>
    <row r="68" spans="2:15">
      <c r="B68" s="66"/>
      <c r="C68" s="67"/>
      <c r="D68" s="67"/>
      <c r="E68" s="67"/>
      <c r="F68" s="67"/>
      <c r="G68" s="67"/>
      <c r="H68" s="67"/>
      <c r="I68" s="67"/>
      <c r="J68" s="67"/>
      <c r="K68" s="66"/>
    </row>
    <row r="69" spans="2:15">
      <c r="B69" s="66"/>
      <c r="C69" s="67"/>
      <c r="D69" s="67"/>
      <c r="E69" s="67"/>
      <c r="F69" s="67"/>
      <c r="G69" s="67"/>
      <c r="H69" s="67"/>
      <c r="I69" s="67"/>
      <c r="J69" s="67"/>
      <c r="K69" s="66"/>
    </row>
    <row r="70" spans="2:15">
      <c r="B70" s="66"/>
      <c r="C70" s="67"/>
      <c r="D70" s="67"/>
      <c r="E70" s="67"/>
      <c r="F70" s="67"/>
      <c r="G70" s="67"/>
      <c r="H70" s="67"/>
      <c r="I70" s="67"/>
      <c r="J70" s="67"/>
      <c r="K70" s="66"/>
    </row>
    <row r="71" spans="2:15">
      <c r="B71" s="66"/>
      <c r="C71" s="67"/>
      <c r="D71" s="67"/>
      <c r="E71" s="67"/>
      <c r="F71" s="67"/>
      <c r="G71" s="67"/>
      <c r="H71" s="67"/>
      <c r="I71" s="67"/>
      <c r="J71" s="67"/>
      <c r="K71" s="66"/>
    </row>
    <row r="72" spans="2:15">
      <c r="B72" s="66"/>
      <c r="C72" s="67"/>
      <c r="D72" s="67"/>
      <c r="E72" s="67"/>
      <c r="F72" s="67"/>
      <c r="G72" s="67"/>
      <c r="H72" s="67"/>
      <c r="I72" s="67"/>
      <c r="J72" s="67"/>
      <c r="K72" s="66"/>
    </row>
    <row r="73" spans="2:15">
      <c r="B73" s="66"/>
      <c r="C73" s="67"/>
      <c r="D73" s="67"/>
      <c r="E73" s="67"/>
      <c r="F73" s="67"/>
      <c r="G73" s="67"/>
      <c r="H73" s="67"/>
      <c r="I73" s="67"/>
      <c r="J73" s="67"/>
      <c r="K73" s="66"/>
    </row>
    <row r="74" spans="2:15">
      <c r="B74" s="66"/>
      <c r="C74" s="67"/>
      <c r="D74" s="67"/>
      <c r="E74" s="67"/>
      <c r="F74" s="67"/>
      <c r="G74" s="67"/>
      <c r="H74" s="67"/>
      <c r="I74" s="67"/>
      <c r="J74" s="67"/>
      <c r="K74" s="66"/>
    </row>
  </sheetData>
  <mergeCells count="8">
    <mergeCell ref="A4:B4"/>
    <mergeCell ref="A5:B5"/>
    <mergeCell ref="J3:J5"/>
    <mergeCell ref="A1:B1"/>
    <mergeCell ref="C1:J1"/>
    <mergeCell ref="A2:B2"/>
    <mergeCell ref="C2:J2"/>
    <mergeCell ref="A3:B3"/>
  </mergeCells>
  <phoneticPr fontId="38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7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74"/>
  <sheetViews>
    <sheetView workbookViewId="0">
      <pane xSplit="2" ySplit="7" topLeftCell="C26" activePane="bottomRight" state="frozen"/>
      <selection pane="topRight"/>
      <selection pane="bottomLeft"/>
      <selection pane="bottomRight" activeCell="J26" sqref="J26"/>
    </sheetView>
  </sheetViews>
  <sheetFormatPr defaultColWidth="9" defaultRowHeight="16.5"/>
  <cols>
    <col min="1" max="1" width="5.125" style="47" customWidth="1"/>
    <col min="2" max="2" width="17.5" style="47" customWidth="1"/>
    <col min="3" max="9" width="13.25" style="48" customWidth="1"/>
    <col min="10" max="10" width="18.75" style="48" customWidth="1"/>
    <col min="11" max="11" width="12.375" style="47" customWidth="1"/>
    <col min="12" max="12" width="10.125" style="47" customWidth="1"/>
    <col min="13" max="19" width="9" style="47" customWidth="1"/>
    <col min="20" max="36" width="9" style="47"/>
    <col min="37" max="37" width="4.375" style="47" customWidth="1"/>
    <col min="38" max="38" width="13.875" style="47" customWidth="1"/>
    <col min="39" max="16384" width="9" style="47"/>
  </cols>
  <sheetData>
    <row r="1" spans="1:39">
      <c r="A1" s="236" t="s">
        <v>138</v>
      </c>
      <c r="B1" s="236"/>
      <c r="C1" s="240" t="s">
        <v>282</v>
      </c>
      <c r="D1" s="241"/>
      <c r="E1" s="241"/>
      <c r="F1" s="241"/>
      <c r="G1" s="241"/>
      <c r="H1" s="241"/>
      <c r="I1" s="241"/>
      <c r="J1" s="242"/>
    </row>
    <row r="2" spans="1:39">
      <c r="A2" s="236" t="s">
        <v>139</v>
      </c>
      <c r="B2" s="236"/>
      <c r="C2" s="243" t="str">
        <f>'2024年'!C2:J2</f>
        <v>上汽红岩</v>
      </c>
      <c r="D2" s="243"/>
      <c r="E2" s="243"/>
      <c r="F2" s="243"/>
      <c r="G2" s="243"/>
      <c r="H2" s="243"/>
      <c r="I2" s="243"/>
      <c r="J2" s="243"/>
    </row>
    <row r="3" spans="1:39">
      <c r="A3" s="236" t="s">
        <v>140</v>
      </c>
      <c r="B3" s="236"/>
      <c r="C3" s="160" t="str">
        <f>销量!C5</f>
        <v>正司机</v>
      </c>
      <c r="D3" s="160" t="str">
        <f>销量!D5</f>
        <v>正司机</v>
      </c>
      <c r="E3" s="160" t="str">
        <f>销量!E5</f>
        <v>正司机</v>
      </c>
      <c r="F3" s="160" t="str">
        <f>销量!F5</f>
        <v>副司机</v>
      </c>
      <c r="G3" s="160">
        <f>销量!G5</f>
        <v>0</v>
      </c>
      <c r="H3" s="160">
        <f>销量!H5</f>
        <v>0</v>
      </c>
      <c r="I3" s="160">
        <f>销量!I5</f>
        <v>0</v>
      </c>
      <c r="J3" s="237" t="s">
        <v>16</v>
      </c>
    </row>
    <row r="4" spans="1:39">
      <c r="A4" s="236" t="s">
        <v>141</v>
      </c>
      <c r="B4" s="236"/>
      <c r="C4" s="160">
        <f>销量!C6</f>
        <v>6000149199</v>
      </c>
      <c r="D4" s="160">
        <f>销量!D6</f>
        <v>6000149200</v>
      </c>
      <c r="E4" s="160">
        <f>销量!E6</f>
        <v>6000149201</v>
      </c>
      <c r="F4" s="160">
        <f>销量!F6</f>
        <v>6000149205</v>
      </c>
      <c r="G4" s="160">
        <f>销量!G6</f>
        <v>0</v>
      </c>
      <c r="H4" s="160">
        <f>销量!H6</f>
        <v>0</v>
      </c>
      <c r="I4" s="160">
        <f>销量!I6</f>
        <v>0</v>
      </c>
      <c r="J4" s="238"/>
    </row>
    <row r="5" spans="1:39">
      <c r="A5" s="236" t="s">
        <v>142</v>
      </c>
      <c r="B5" s="236"/>
      <c r="C5" s="50"/>
      <c r="D5" s="50"/>
      <c r="E5" s="50"/>
      <c r="F5" s="50"/>
      <c r="G5" s="50"/>
      <c r="H5" s="50"/>
      <c r="I5" s="50"/>
      <c r="J5" s="239"/>
      <c r="AM5" s="47" t="s">
        <v>17</v>
      </c>
    </row>
    <row r="6" spans="1:39" ht="17.25">
      <c r="A6" s="51" t="s">
        <v>15</v>
      </c>
      <c r="B6" s="52" t="s">
        <v>143</v>
      </c>
      <c r="C6" s="22">
        <f>销量!C10</f>
        <v>1820</v>
      </c>
      <c r="D6" s="22">
        <f>销量!D10</f>
        <v>5460</v>
      </c>
      <c r="E6" s="22">
        <f>销量!E10</f>
        <v>1820</v>
      </c>
      <c r="F6" s="22">
        <f>销量!F10</f>
        <v>7280</v>
      </c>
      <c r="G6" s="22">
        <f>销量!G10</f>
        <v>0</v>
      </c>
      <c r="H6" s="22">
        <f>销量!H10</f>
        <v>0</v>
      </c>
      <c r="I6" s="22">
        <f>销量!I10</f>
        <v>0</v>
      </c>
      <c r="J6" s="53">
        <f t="shared" ref="J6:J15" si="0">SUM(C6:I6)</f>
        <v>16380</v>
      </c>
      <c r="U6" s="52" t="s">
        <v>3</v>
      </c>
      <c r="AK6" s="51" t="s">
        <v>15</v>
      </c>
      <c r="AL6" s="52" t="s">
        <v>3</v>
      </c>
      <c r="AM6" s="47" t="s">
        <v>18</v>
      </c>
    </row>
    <row r="7" spans="1:39">
      <c r="A7" s="159">
        <v>1</v>
      </c>
      <c r="B7" s="52" t="s">
        <v>19</v>
      </c>
      <c r="C7" s="53">
        <f>C6*销量!C8</f>
        <v>3207204</v>
      </c>
      <c r="D7" s="53">
        <f>D6*销量!D8</f>
        <v>8353800</v>
      </c>
      <c r="E7" s="53">
        <f>E6*销量!E8</f>
        <v>2176720</v>
      </c>
      <c r="F7" s="53">
        <f>F6*销量!F8</f>
        <v>2886010.4</v>
      </c>
      <c r="G7" s="53">
        <f>G6*销量!G8</f>
        <v>0</v>
      </c>
      <c r="H7" s="53">
        <f>H6*销量!H8</f>
        <v>0</v>
      </c>
      <c r="I7" s="53">
        <f>I6*销量!I8</f>
        <v>0</v>
      </c>
      <c r="J7" s="53">
        <f t="shared" si="0"/>
        <v>16623734.4</v>
      </c>
      <c r="K7" s="48"/>
      <c r="U7" s="52" t="s">
        <v>19</v>
      </c>
      <c r="AK7" s="51" t="s">
        <v>20</v>
      </c>
      <c r="AL7" s="52" t="s">
        <v>19</v>
      </c>
      <c r="AM7" s="47" t="s">
        <v>18</v>
      </c>
    </row>
    <row r="8" spans="1:39">
      <c r="A8" s="159">
        <v>2</v>
      </c>
      <c r="B8" s="159" t="s">
        <v>21</v>
      </c>
      <c r="C8" s="53">
        <f>C7*(1-销量!$M$7)</f>
        <v>96216.120000000083</v>
      </c>
      <c r="D8" s="53">
        <f>D7*(1-销量!$M$7)</f>
        <v>250614.00000000023</v>
      </c>
      <c r="E8" s="53">
        <f>E7*(1-销量!$M$7)</f>
        <v>65301.600000000057</v>
      </c>
      <c r="F8" s="53">
        <f>F7*(1-销量!$M$7)</f>
        <v>86580.312000000078</v>
      </c>
      <c r="G8" s="53">
        <f>G7*(1-销量!$M$7)</f>
        <v>0</v>
      </c>
      <c r="H8" s="53">
        <f>H7*(1-销量!$M$7)</f>
        <v>0</v>
      </c>
      <c r="I8" s="53">
        <f>I7*(1-销量!$M$7)</f>
        <v>0</v>
      </c>
      <c r="J8" s="53">
        <f t="shared" si="0"/>
        <v>498712.03200000047</v>
      </c>
      <c r="K8" s="68"/>
      <c r="U8" s="159" t="s">
        <v>23</v>
      </c>
      <c r="AK8" s="51" t="s">
        <v>22</v>
      </c>
      <c r="AL8" s="159" t="s">
        <v>23</v>
      </c>
      <c r="AM8" s="47" t="s">
        <v>18</v>
      </c>
    </row>
    <row r="9" spans="1:39">
      <c r="A9" s="159">
        <v>3</v>
      </c>
      <c r="B9" s="52" t="s">
        <v>24</v>
      </c>
      <c r="C9" s="53">
        <f>+C7-C8</f>
        <v>3110987.88</v>
      </c>
      <c r="D9" s="53">
        <f t="shared" ref="D9:I9" si="1">+D7-D8</f>
        <v>8103186</v>
      </c>
      <c r="E9" s="53">
        <f t="shared" si="1"/>
        <v>2111418.4</v>
      </c>
      <c r="F9" s="53">
        <f t="shared" si="1"/>
        <v>2799430.088</v>
      </c>
      <c r="G9" s="53">
        <f t="shared" si="1"/>
        <v>0</v>
      </c>
      <c r="H9" s="53">
        <f t="shared" si="1"/>
        <v>0</v>
      </c>
      <c r="I9" s="53">
        <f t="shared" si="1"/>
        <v>0</v>
      </c>
      <c r="J9" s="53">
        <f t="shared" si="0"/>
        <v>16125022.367999999</v>
      </c>
      <c r="U9" s="52" t="s">
        <v>24</v>
      </c>
      <c r="AK9" s="51" t="s">
        <v>25</v>
      </c>
      <c r="AL9" s="52" t="s">
        <v>24</v>
      </c>
      <c r="AM9" s="47" t="s">
        <v>26</v>
      </c>
    </row>
    <row r="10" spans="1:39">
      <c r="A10" s="159">
        <v>4</v>
      </c>
      <c r="B10" s="51" t="s">
        <v>27</v>
      </c>
      <c r="C10" s="53">
        <f>C6*C33</f>
        <v>2291884.9080180321</v>
      </c>
      <c r="D10" s="53">
        <f t="shared" ref="D10:I10" si="2">D6*D33</f>
        <v>6193846.0544192754</v>
      </c>
      <c r="E10" s="53">
        <f t="shared" si="2"/>
        <v>1762562.1256969499</v>
      </c>
      <c r="F10" s="53">
        <f t="shared" si="2"/>
        <v>2078385.7719036385</v>
      </c>
      <c r="G10" s="53">
        <f t="shared" si="2"/>
        <v>0</v>
      </c>
      <c r="H10" s="53">
        <f t="shared" si="2"/>
        <v>0</v>
      </c>
      <c r="I10" s="53">
        <f t="shared" si="2"/>
        <v>0</v>
      </c>
      <c r="J10" s="53">
        <f t="shared" si="0"/>
        <v>12326678.860037895</v>
      </c>
      <c r="U10" s="51" t="s">
        <v>27</v>
      </c>
      <c r="AK10" s="51" t="s">
        <v>28</v>
      </c>
      <c r="AL10" s="51" t="s">
        <v>27</v>
      </c>
      <c r="AM10" s="47" t="s">
        <v>29</v>
      </c>
    </row>
    <row r="11" spans="1:39">
      <c r="A11" s="159">
        <v>5</v>
      </c>
      <c r="B11" s="51" t="s">
        <v>30</v>
      </c>
      <c r="C11" s="53">
        <f>+C6*C36</f>
        <v>112893.58080000001</v>
      </c>
      <c r="D11" s="53">
        <f>+D6*D36</f>
        <v>294053.76000000001</v>
      </c>
      <c r="E11" s="53">
        <f t="shared" ref="E11:G11" si="3">+E6*E36</f>
        <v>76620.544000000009</v>
      </c>
      <c r="F11" s="53">
        <f t="shared" si="3"/>
        <v>101587.56608</v>
      </c>
      <c r="G11" s="53">
        <f t="shared" si="3"/>
        <v>0</v>
      </c>
      <c r="H11" s="53">
        <f t="shared" ref="H11:I11" si="4">+H6*H36</f>
        <v>0</v>
      </c>
      <c r="I11" s="53">
        <f t="shared" si="4"/>
        <v>0</v>
      </c>
      <c r="J11" s="53">
        <f t="shared" si="0"/>
        <v>585155.45088000002</v>
      </c>
      <c r="U11" s="51" t="s">
        <v>30</v>
      </c>
      <c r="AK11" s="51" t="s">
        <v>31</v>
      </c>
      <c r="AL11" s="51" t="s">
        <v>30</v>
      </c>
    </row>
    <row r="12" spans="1:39">
      <c r="A12" s="159">
        <v>6</v>
      </c>
      <c r="B12" s="51" t="s">
        <v>32</v>
      </c>
      <c r="C12" s="53">
        <f>+C6*C37</f>
        <v>33996.362399999998</v>
      </c>
      <c r="D12" s="53">
        <f t="shared" ref="D12:G12" si="5">+D6*D37</f>
        <v>88550.28</v>
      </c>
      <c r="E12" s="53">
        <f t="shared" si="5"/>
        <v>23073.232</v>
      </c>
      <c r="F12" s="53">
        <f t="shared" si="5"/>
        <v>30591.71024</v>
      </c>
      <c r="G12" s="53">
        <f t="shared" si="5"/>
        <v>0</v>
      </c>
      <c r="H12" s="53">
        <f t="shared" ref="H12:I12" si="6">+H6*H37</f>
        <v>0</v>
      </c>
      <c r="I12" s="53">
        <f t="shared" si="6"/>
        <v>0</v>
      </c>
      <c r="J12" s="53">
        <f t="shared" si="0"/>
        <v>176211.58464000002</v>
      </c>
      <c r="U12" s="51" t="s">
        <v>32</v>
      </c>
      <c r="AK12" s="51" t="s">
        <v>33</v>
      </c>
      <c r="AL12" s="51" t="s">
        <v>32</v>
      </c>
    </row>
    <row r="13" spans="1:39">
      <c r="A13" s="159">
        <v>7</v>
      </c>
      <c r="B13" s="51" t="s">
        <v>34</v>
      </c>
      <c r="C13" s="53">
        <f>+C6*C38</f>
        <v>25336.911600000003</v>
      </c>
      <c r="D13" s="53">
        <f t="shared" ref="D13:G13" si="7">+D6*D38</f>
        <v>65995.02</v>
      </c>
      <c r="E13" s="53">
        <f t="shared" si="7"/>
        <v>17196.088000000003</v>
      </c>
      <c r="F13" s="53">
        <f t="shared" si="7"/>
        <v>22799.48216</v>
      </c>
      <c r="G13" s="53">
        <f t="shared" si="7"/>
        <v>0</v>
      </c>
      <c r="H13" s="53">
        <f t="shared" ref="H13:I13" si="8">+H6*H38</f>
        <v>0</v>
      </c>
      <c r="I13" s="53">
        <f t="shared" si="8"/>
        <v>0</v>
      </c>
      <c r="J13" s="53">
        <f t="shared" si="0"/>
        <v>131327.50176000001</v>
      </c>
      <c r="U13" s="51" t="s">
        <v>34</v>
      </c>
      <c r="AK13" s="51" t="s">
        <v>35</v>
      </c>
      <c r="AL13" s="51" t="s">
        <v>34</v>
      </c>
      <c r="AM13" s="47" t="s">
        <v>18</v>
      </c>
    </row>
    <row r="14" spans="1:39">
      <c r="A14" s="159">
        <v>8</v>
      </c>
      <c r="B14" s="54" t="s">
        <v>36</v>
      </c>
      <c r="C14" s="53">
        <f>SUM(C11:C13)</f>
        <v>172226.8548</v>
      </c>
      <c r="D14" s="53">
        <f t="shared" ref="D14:G14" si="9">SUM(D11:D13)</f>
        <v>448599.06000000006</v>
      </c>
      <c r="E14" s="53">
        <f t="shared" si="9"/>
        <v>116889.86400000002</v>
      </c>
      <c r="F14" s="53">
        <f t="shared" si="9"/>
        <v>154978.75848000002</v>
      </c>
      <c r="G14" s="53">
        <f t="shared" si="9"/>
        <v>0</v>
      </c>
      <c r="H14" s="53">
        <f t="shared" ref="H14:I14" si="10">SUM(H11:H13)</f>
        <v>0</v>
      </c>
      <c r="I14" s="53">
        <f t="shared" si="10"/>
        <v>0</v>
      </c>
      <c r="J14" s="53">
        <f t="shared" si="0"/>
        <v>892694.53728000005</v>
      </c>
      <c r="U14" s="54" t="s">
        <v>36</v>
      </c>
      <c r="AK14" s="51" t="s">
        <v>37</v>
      </c>
      <c r="AL14" s="54" t="s">
        <v>36</v>
      </c>
    </row>
    <row r="15" spans="1:39">
      <c r="A15" s="159">
        <v>9</v>
      </c>
      <c r="B15" s="54" t="s">
        <v>38</v>
      </c>
      <c r="C15" s="53">
        <f>+C9-C10-C14</f>
        <v>646876.11718196783</v>
      </c>
      <c r="D15" s="53">
        <f t="shared" ref="D15:G15" si="11">+D9-D10-D14</f>
        <v>1460740.8855807246</v>
      </c>
      <c r="E15" s="53">
        <f t="shared" si="11"/>
        <v>231966.41030305001</v>
      </c>
      <c r="F15" s="53">
        <f t="shared" si="11"/>
        <v>566065.55761636142</v>
      </c>
      <c r="G15" s="53">
        <f t="shared" si="11"/>
        <v>0</v>
      </c>
      <c r="H15" s="53">
        <f t="shared" ref="H15:I15" si="12">+H9-H10-H14</f>
        <v>0</v>
      </c>
      <c r="I15" s="53">
        <f t="shared" si="12"/>
        <v>0</v>
      </c>
      <c r="J15" s="53">
        <f t="shared" si="0"/>
        <v>2905648.9706821041</v>
      </c>
      <c r="U15" s="54" t="s">
        <v>38</v>
      </c>
      <c r="AK15" s="51" t="s">
        <v>39</v>
      </c>
      <c r="AL15" s="54" t="s">
        <v>38</v>
      </c>
    </row>
    <row r="16" spans="1:39">
      <c r="A16" s="159">
        <v>10</v>
      </c>
      <c r="B16" s="51" t="s">
        <v>40</v>
      </c>
      <c r="C16" s="55">
        <f>+C15/C9</f>
        <v>0.20793270245140519</v>
      </c>
      <c r="D16" s="55">
        <f t="shared" ref="D16:I16" si="13">+D15/D9</f>
        <v>0.18026747572877194</v>
      </c>
      <c r="E16" s="55">
        <f t="shared" si="13"/>
        <v>0.10986283453011966</v>
      </c>
      <c r="F16" s="55">
        <f t="shared" si="13"/>
        <v>0.20220742787714205</v>
      </c>
      <c r="G16" s="55" t="e">
        <f t="shared" si="13"/>
        <v>#DIV/0!</v>
      </c>
      <c r="H16" s="55" t="e">
        <f t="shared" si="13"/>
        <v>#DIV/0!</v>
      </c>
      <c r="I16" s="55" t="e">
        <f t="shared" si="13"/>
        <v>#DIV/0!</v>
      </c>
      <c r="J16" s="55">
        <f t="shared" ref="J16" si="14">+J15/J9</f>
        <v>0.18019503504369366</v>
      </c>
      <c r="U16" s="51" t="s">
        <v>40</v>
      </c>
      <c r="AK16" s="51" t="s">
        <v>41</v>
      </c>
      <c r="AL16" s="51" t="s">
        <v>40</v>
      </c>
    </row>
    <row r="17" spans="1:39">
      <c r="A17" s="159">
        <v>11</v>
      </c>
      <c r="B17" s="51" t="s">
        <v>42</v>
      </c>
      <c r="C17" s="53">
        <f>C6*C43+C18</f>
        <v>64726.70204444445</v>
      </c>
      <c r="D17" s="53">
        <f t="shared" ref="D17:G17" si="15">D6*D43+D18</f>
        <v>169584.55333333334</v>
      </c>
      <c r="E17" s="53">
        <f t="shared" si="15"/>
        <v>44735.312444444447</v>
      </c>
      <c r="F17" s="53">
        <f t="shared" si="15"/>
        <v>66016.379537777786</v>
      </c>
      <c r="G17" s="53">
        <f t="shared" si="15"/>
        <v>0</v>
      </c>
      <c r="H17" s="53">
        <f t="shared" ref="H17:I17" si="16">H6*H43+H18</f>
        <v>0</v>
      </c>
      <c r="I17" s="53">
        <f t="shared" si="16"/>
        <v>0</v>
      </c>
      <c r="J17" s="53">
        <f>SUM(C17:G17)</f>
        <v>345062.94736000005</v>
      </c>
      <c r="K17" s="68"/>
      <c r="U17" s="51" t="s">
        <v>42</v>
      </c>
      <c r="AK17" s="51" t="s">
        <v>43</v>
      </c>
      <c r="AL17" s="51" t="s">
        <v>42</v>
      </c>
    </row>
    <row r="18" spans="1:39" s="45" customFormat="1">
      <c r="A18" s="159">
        <v>12</v>
      </c>
      <c r="B18" s="56" t="s">
        <v>144</v>
      </c>
      <c r="C18" s="57">
        <f t="shared" ref="C18:I18" si="17">$J$18/$J$6*C6</f>
        <v>2506.9444444444443</v>
      </c>
      <c r="D18" s="57">
        <f t="shared" si="17"/>
        <v>7520.833333333333</v>
      </c>
      <c r="E18" s="57">
        <f t="shared" si="17"/>
        <v>2506.9444444444443</v>
      </c>
      <c r="F18" s="57">
        <f t="shared" si="17"/>
        <v>10027.777777777777</v>
      </c>
      <c r="G18" s="57">
        <f t="shared" si="17"/>
        <v>0</v>
      </c>
      <c r="H18" s="57">
        <f t="shared" si="17"/>
        <v>0</v>
      </c>
      <c r="I18" s="57">
        <f t="shared" si="17"/>
        <v>0</v>
      </c>
      <c r="J18" s="57">
        <f>项目投资!E26</f>
        <v>22562.5</v>
      </c>
      <c r="K18" s="69" t="s">
        <v>145</v>
      </c>
      <c r="L18" s="69"/>
      <c r="M18" s="69"/>
    </row>
    <row r="19" spans="1:39">
      <c r="A19" s="159">
        <v>13</v>
      </c>
      <c r="B19" s="51" t="s">
        <v>44</v>
      </c>
      <c r="C19" s="53">
        <f>C6*C44</f>
        <v>30147.717600000004</v>
      </c>
      <c r="D19" s="53">
        <f t="shared" ref="D19:G19" si="18">D6*D44</f>
        <v>78525.72</v>
      </c>
      <c r="E19" s="53">
        <f t="shared" si="18"/>
        <v>20461.168000000001</v>
      </c>
      <c r="F19" s="53">
        <f t="shared" si="18"/>
        <v>27128.497760000002</v>
      </c>
      <c r="G19" s="53">
        <f t="shared" si="18"/>
        <v>0</v>
      </c>
      <c r="H19" s="53">
        <f t="shared" ref="H19:I19" si="19">H6*H44</f>
        <v>0</v>
      </c>
      <c r="I19" s="53">
        <f t="shared" si="19"/>
        <v>0</v>
      </c>
      <c r="J19" s="53">
        <f>SUM(C19:G19)</f>
        <v>156263.10336000001</v>
      </c>
      <c r="K19" s="45"/>
      <c r="U19" s="51" t="s">
        <v>44</v>
      </c>
      <c r="AK19" s="51" t="s">
        <v>45</v>
      </c>
      <c r="AL19" s="51" t="s">
        <v>44</v>
      </c>
      <c r="AM19" s="47" t="s">
        <v>18</v>
      </c>
    </row>
    <row r="20" spans="1:39">
      <c r="A20" s="159">
        <v>14</v>
      </c>
      <c r="B20" s="51" t="s">
        <v>46</v>
      </c>
      <c r="C20" s="53">
        <f>C6*C45</f>
        <v>104554.8504</v>
      </c>
      <c r="D20" s="53">
        <f t="shared" ref="D20:G20" si="20">D6*D45</f>
        <v>272333.87999999995</v>
      </c>
      <c r="E20" s="53">
        <f t="shared" si="20"/>
        <v>70961.071999999986</v>
      </c>
      <c r="F20" s="53">
        <f t="shared" si="20"/>
        <v>94083.939039999997</v>
      </c>
      <c r="G20" s="53">
        <f t="shared" si="20"/>
        <v>0</v>
      </c>
      <c r="H20" s="53">
        <f t="shared" ref="H20:I20" si="21">H6*H45</f>
        <v>0</v>
      </c>
      <c r="I20" s="53">
        <f t="shared" si="21"/>
        <v>0</v>
      </c>
      <c r="J20" s="53">
        <f>SUM(C20:G20)</f>
        <v>541933.7414399999</v>
      </c>
      <c r="U20" s="51" t="s">
        <v>46</v>
      </c>
      <c r="AK20" s="51" t="s">
        <v>47</v>
      </c>
      <c r="AL20" s="51" t="s">
        <v>46</v>
      </c>
    </row>
    <row r="21" spans="1:39">
      <c r="A21" s="159">
        <v>15</v>
      </c>
      <c r="B21" s="51" t="s">
        <v>48</v>
      </c>
      <c r="C21" s="58">
        <f t="shared" ref="C21:I21" si="22">$J$21/$J$6*C6</f>
        <v>7137.5</v>
      </c>
      <c r="D21" s="58">
        <f t="shared" si="22"/>
        <v>21412.5</v>
      </c>
      <c r="E21" s="58">
        <f t="shared" si="22"/>
        <v>7137.5</v>
      </c>
      <c r="F21" s="58">
        <f t="shared" si="22"/>
        <v>28550</v>
      </c>
      <c r="G21" s="58">
        <f t="shared" si="22"/>
        <v>0</v>
      </c>
      <c r="H21" s="58">
        <f t="shared" si="22"/>
        <v>0</v>
      </c>
      <c r="I21" s="58">
        <f t="shared" si="22"/>
        <v>0</v>
      </c>
      <c r="J21" s="53">
        <f>项目投资!E27</f>
        <v>64237.5</v>
      </c>
      <c r="U21" s="51" t="s">
        <v>48</v>
      </c>
      <c r="AK21" s="51"/>
      <c r="AL21" s="51"/>
    </row>
    <row r="22" spans="1:39">
      <c r="A22" s="159">
        <v>16</v>
      </c>
      <c r="B22" s="51" t="s">
        <v>49</v>
      </c>
      <c r="C22" s="53">
        <f>C6*C47</f>
        <v>160360.20000000001</v>
      </c>
      <c r="D22" s="53">
        <f t="shared" ref="D22:G22" si="23">D6*D47</f>
        <v>417690</v>
      </c>
      <c r="E22" s="53">
        <f t="shared" si="23"/>
        <v>108836.00000000001</v>
      </c>
      <c r="F22" s="53">
        <f t="shared" si="23"/>
        <v>144300.51999999999</v>
      </c>
      <c r="G22" s="53">
        <f t="shared" si="23"/>
        <v>0</v>
      </c>
      <c r="H22" s="53">
        <f t="shared" ref="H22:I22" si="24">H6*H47</f>
        <v>0</v>
      </c>
      <c r="I22" s="53">
        <f t="shared" si="24"/>
        <v>0</v>
      </c>
      <c r="J22" s="53">
        <f>SUM(C22:G22)</f>
        <v>831186.72</v>
      </c>
      <c r="U22" s="51" t="s">
        <v>49</v>
      </c>
      <c r="AK22" s="51" t="s">
        <v>50</v>
      </c>
      <c r="AL22" s="51" t="s">
        <v>49</v>
      </c>
    </row>
    <row r="23" spans="1:39">
      <c r="A23" s="159">
        <v>17</v>
      </c>
      <c r="B23" s="54" t="s">
        <v>51</v>
      </c>
      <c r="C23" s="58">
        <f>+C22+C21+C20+C19+C17</f>
        <v>366926.97004444449</v>
      </c>
      <c r="D23" s="58">
        <f t="shared" ref="D23:G23" si="25">+D22+D21+D20+D19+D17</f>
        <v>959546.6533333332</v>
      </c>
      <c r="E23" s="58">
        <f t="shared" si="25"/>
        <v>252131.05244444445</v>
      </c>
      <c r="F23" s="58">
        <f t="shared" si="25"/>
        <v>360079.33633777779</v>
      </c>
      <c r="G23" s="58">
        <f t="shared" si="25"/>
        <v>0</v>
      </c>
      <c r="H23" s="58">
        <f t="shared" ref="H23:I23" si="26">+H22+H21+H20+H19+H17</f>
        <v>0</v>
      </c>
      <c r="I23" s="58">
        <f t="shared" si="26"/>
        <v>0</v>
      </c>
      <c r="J23" s="58">
        <f t="shared" ref="J23" si="27">+J22+J21+J20+J19+J17</f>
        <v>1938684.0121599999</v>
      </c>
      <c r="U23" s="54" t="s">
        <v>51</v>
      </c>
      <c r="AK23" s="51" t="s">
        <v>52</v>
      </c>
      <c r="AL23" s="54" t="s">
        <v>51</v>
      </c>
    </row>
    <row r="24" spans="1:39">
      <c r="A24" s="159">
        <v>18</v>
      </c>
      <c r="B24" s="59" t="s">
        <v>53</v>
      </c>
      <c r="C24" s="58">
        <f>+C15-C23</f>
        <v>279949.14713752334</v>
      </c>
      <c r="D24" s="58">
        <f t="shared" ref="D24:G24" si="28">+D15-D23</f>
        <v>501194.23224739137</v>
      </c>
      <c r="E24" s="58">
        <f t="shared" si="28"/>
        <v>-20164.642141394434</v>
      </c>
      <c r="F24" s="58">
        <f t="shared" si="28"/>
        <v>205986.22127858363</v>
      </c>
      <c r="G24" s="58">
        <f t="shared" si="28"/>
        <v>0</v>
      </c>
      <c r="H24" s="58">
        <f t="shared" ref="H24:I24" si="29">+H15-H23</f>
        <v>0</v>
      </c>
      <c r="I24" s="58">
        <f t="shared" si="29"/>
        <v>0</v>
      </c>
      <c r="J24" s="58">
        <f t="shared" ref="J24" si="30">+J15-J23</f>
        <v>966964.95852210419</v>
      </c>
      <c r="L24" s="70"/>
      <c r="U24" s="51" t="s">
        <v>53</v>
      </c>
      <c r="AK24" s="51" t="s">
        <v>54</v>
      </c>
      <c r="AL24" s="51" t="s">
        <v>53</v>
      </c>
    </row>
    <row r="25" spans="1:39">
      <c r="A25" s="159">
        <v>19</v>
      </c>
      <c r="B25" s="51" t="s">
        <v>228</v>
      </c>
      <c r="C25" s="58">
        <f t="shared" ref="C25:J25" si="31">IF(C24&lt;0,0,C24*0.25)</f>
        <v>69987.286784380834</v>
      </c>
      <c r="D25" s="58">
        <f t="shared" si="31"/>
        <v>125298.55806184784</v>
      </c>
      <c r="E25" s="58">
        <f t="shared" si="31"/>
        <v>0</v>
      </c>
      <c r="F25" s="58">
        <f t="shared" si="31"/>
        <v>51496.555319645908</v>
      </c>
      <c r="G25" s="58">
        <f t="shared" si="31"/>
        <v>0</v>
      </c>
      <c r="H25" s="58">
        <f t="shared" si="31"/>
        <v>0</v>
      </c>
      <c r="I25" s="58">
        <f t="shared" si="31"/>
        <v>0</v>
      </c>
      <c r="J25" s="58">
        <f t="shared" si="31"/>
        <v>241741.23963052605</v>
      </c>
      <c r="K25" s="66"/>
      <c r="L25" s="66"/>
      <c r="M25" s="66"/>
      <c r="U25" s="51" t="s">
        <v>55</v>
      </c>
      <c r="AK25" s="51" t="s">
        <v>56</v>
      </c>
      <c r="AL25" s="51" t="s">
        <v>55</v>
      </c>
    </row>
    <row r="26" spans="1:39">
      <c r="A26" s="159">
        <v>20</v>
      </c>
      <c r="B26" s="51" t="s">
        <v>57</v>
      </c>
      <c r="C26" s="58">
        <f t="shared" ref="C26:G26" si="32">C24-C25</f>
        <v>209961.86035314249</v>
      </c>
      <c r="D26" s="58">
        <f t="shared" si="32"/>
        <v>375895.67418554355</v>
      </c>
      <c r="E26" s="58">
        <f t="shared" si="32"/>
        <v>-20164.642141394434</v>
      </c>
      <c r="F26" s="58">
        <f t="shared" si="32"/>
        <v>154489.66595893772</v>
      </c>
      <c r="G26" s="58">
        <f t="shared" si="32"/>
        <v>0</v>
      </c>
      <c r="H26" s="58">
        <f t="shared" ref="H26:I26" si="33">H24-H25</f>
        <v>0</v>
      </c>
      <c r="I26" s="58">
        <f t="shared" si="33"/>
        <v>0</v>
      </c>
      <c r="J26" s="53">
        <f>J24-J25</f>
        <v>725223.71889157814</v>
      </c>
      <c r="K26" s="66"/>
      <c r="L26" s="66"/>
      <c r="M26" s="66"/>
      <c r="U26" s="51" t="s">
        <v>57</v>
      </c>
      <c r="AK26" s="51" t="s">
        <v>58</v>
      </c>
      <c r="AL26" s="51" t="s">
        <v>57</v>
      </c>
    </row>
    <row r="27" spans="1:39">
      <c r="A27" s="159">
        <v>21</v>
      </c>
      <c r="B27" s="51" t="s">
        <v>61</v>
      </c>
      <c r="C27" s="60">
        <f t="shared" ref="C27:J27" si="34">C26/C7</f>
        <v>6.5465701699406242E-2</v>
      </c>
      <c r="D27" s="60">
        <f t="shared" ref="D27:I27" si="35">D26/D7</f>
        <v>4.4996968348002535E-2</v>
      </c>
      <c r="E27" s="60">
        <f t="shared" si="35"/>
        <v>-9.2637740000525715E-3</v>
      </c>
      <c r="F27" s="60">
        <f t="shared" si="35"/>
        <v>5.3530529882684322E-2</v>
      </c>
      <c r="G27" s="60" t="e">
        <f t="shared" si="35"/>
        <v>#DIV/0!</v>
      </c>
      <c r="H27" s="60" t="e">
        <f t="shared" si="35"/>
        <v>#DIV/0!</v>
      </c>
      <c r="I27" s="60" t="e">
        <f t="shared" si="35"/>
        <v>#DIV/0!</v>
      </c>
      <c r="J27" s="60">
        <f t="shared" si="34"/>
        <v>4.3625800403282317E-2</v>
      </c>
      <c r="K27" s="66"/>
      <c r="L27" s="66"/>
      <c r="M27" s="66"/>
      <c r="U27" s="51" t="s">
        <v>61</v>
      </c>
      <c r="AK27" s="51" t="s">
        <v>60</v>
      </c>
      <c r="AL27" s="51" t="s">
        <v>61</v>
      </c>
    </row>
    <row r="28" spans="1:39">
      <c r="K28" s="66"/>
      <c r="L28" s="66"/>
      <c r="M28" s="66"/>
      <c r="U28" s="51"/>
    </row>
    <row r="29" spans="1:39">
      <c r="A29" s="47" t="s">
        <v>62</v>
      </c>
      <c r="J29" s="48" t="s">
        <v>146</v>
      </c>
      <c r="K29" s="66"/>
      <c r="L29" s="66"/>
      <c r="M29" s="66"/>
      <c r="U29" s="51"/>
      <c r="AK29" s="47" t="s">
        <v>62</v>
      </c>
    </row>
    <row r="30" spans="1:39">
      <c r="A30" s="51" t="s">
        <v>63</v>
      </c>
      <c r="B30" s="54" t="s">
        <v>64</v>
      </c>
      <c r="C30" s="58"/>
      <c r="D30" s="58"/>
      <c r="E30" s="58"/>
      <c r="F30" s="58"/>
      <c r="G30" s="58"/>
      <c r="H30" s="58"/>
      <c r="I30" s="58"/>
      <c r="J30" s="58"/>
      <c r="K30" s="66"/>
      <c r="L30" s="66"/>
      <c r="M30" s="66"/>
      <c r="O30" s="66"/>
      <c r="U30" s="54" t="s">
        <v>64</v>
      </c>
      <c r="AK30" s="51" t="s">
        <v>65</v>
      </c>
      <c r="AL30" s="54" t="s">
        <v>64</v>
      </c>
    </row>
    <row r="31" spans="1:39">
      <c r="A31" s="159">
        <v>1</v>
      </c>
      <c r="B31" s="56" t="s">
        <v>66</v>
      </c>
      <c r="C31" s="62">
        <f>销量!C8</f>
        <v>1762.2</v>
      </c>
      <c r="D31" s="62">
        <f>销量!D8</f>
        <v>1530</v>
      </c>
      <c r="E31" s="62">
        <f>销量!E8</f>
        <v>1196</v>
      </c>
      <c r="F31" s="62">
        <f>销量!F8</f>
        <v>396.43</v>
      </c>
      <c r="G31" s="62">
        <f>销量!G8</f>
        <v>0</v>
      </c>
      <c r="H31" s="62">
        <f>销量!H8</f>
        <v>0</v>
      </c>
      <c r="I31" s="62">
        <f>销量!I8</f>
        <v>0</v>
      </c>
      <c r="J31" s="58"/>
      <c r="K31" s="66"/>
      <c r="L31" s="66"/>
      <c r="M31" s="66"/>
      <c r="O31" s="66"/>
      <c r="U31" s="51" t="s">
        <v>66</v>
      </c>
      <c r="AK31" s="51" t="s">
        <v>20</v>
      </c>
      <c r="AL31" s="51" t="s">
        <v>66</v>
      </c>
    </row>
    <row r="32" spans="1:39">
      <c r="A32" s="159">
        <v>2</v>
      </c>
      <c r="B32" s="51" t="s">
        <v>147</v>
      </c>
      <c r="C32" s="53">
        <f>C9/C6</f>
        <v>1709.3339999999998</v>
      </c>
      <c r="D32" s="53">
        <f t="shared" ref="D32:I32" si="36">D9/D6</f>
        <v>1484.1</v>
      </c>
      <c r="E32" s="53">
        <f t="shared" si="36"/>
        <v>1160.1199999999999</v>
      </c>
      <c r="F32" s="53">
        <f t="shared" si="36"/>
        <v>384.53710000000001</v>
      </c>
      <c r="G32" s="53" t="e">
        <f t="shared" si="36"/>
        <v>#DIV/0!</v>
      </c>
      <c r="H32" s="53" t="e">
        <f t="shared" si="36"/>
        <v>#DIV/0!</v>
      </c>
      <c r="I32" s="53" t="e">
        <f t="shared" si="36"/>
        <v>#DIV/0!</v>
      </c>
      <c r="J32" s="58"/>
      <c r="K32" s="66"/>
      <c r="L32" s="66"/>
      <c r="M32" s="66"/>
      <c r="N32" s="66"/>
      <c r="O32" s="66"/>
      <c r="P32" s="66"/>
      <c r="Q32" s="66"/>
      <c r="AK32" s="51"/>
      <c r="AL32" s="51"/>
    </row>
    <row r="33" spans="1:38">
      <c r="A33" s="159">
        <v>3</v>
      </c>
      <c r="B33" s="56" t="s">
        <v>67</v>
      </c>
      <c r="C33" s="53">
        <f>材料成本!D13</f>
        <v>1259.2774219879298</v>
      </c>
      <c r="D33" s="53">
        <f>材料成本!E13</f>
        <v>1134.4040392709296</v>
      </c>
      <c r="E33" s="53">
        <f>材料成本!F13</f>
        <v>968.44072840491754</v>
      </c>
      <c r="F33" s="53">
        <f>材料成本!G13</f>
        <v>285.49255108566462</v>
      </c>
      <c r="G33" s="53">
        <f>材料成本!H13</f>
        <v>0</v>
      </c>
      <c r="H33" s="53">
        <f>材料成本!I13</f>
        <v>0</v>
      </c>
      <c r="I33" s="53">
        <f>材料成本!J13</f>
        <v>0</v>
      </c>
      <c r="J33" s="58"/>
      <c r="L33" s="66"/>
      <c r="M33" s="66"/>
      <c r="N33" s="66"/>
      <c r="O33" s="66"/>
      <c r="P33" s="66"/>
      <c r="Q33" s="66"/>
      <c r="U33" s="51" t="s">
        <v>67</v>
      </c>
      <c r="AK33" s="51" t="s">
        <v>22</v>
      </c>
      <c r="AL33" s="51" t="s">
        <v>67</v>
      </c>
    </row>
    <row r="34" spans="1:38" ht="17.25" customHeight="1">
      <c r="A34" s="159">
        <v>4</v>
      </c>
      <c r="B34" s="51" t="s">
        <v>69</v>
      </c>
      <c r="C34" s="63">
        <f>C32-C33</f>
        <v>450.05657801207008</v>
      </c>
      <c r="D34" s="63">
        <f t="shared" ref="D34:I34" si="37">D32-D33</f>
        <v>349.69596072907029</v>
      </c>
      <c r="E34" s="63">
        <f t="shared" si="37"/>
        <v>191.67927159508235</v>
      </c>
      <c r="F34" s="63">
        <f t="shared" si="37"/>
        <v>99.044548914335394</v>
      </c>
      <c r="G34" s="63" t="e">
        <f t="shared" si="37"/>
        <v>#DIV/0!</v>
      </c>
      <c r="H34" s="63" t="e">
        <f t="shared" si="37"/>
        <v>#DIV/0!</v>
      </c>
      <c r="I34" s="63" t="e">
        <f t="shared" si="37"/>
        <v>#DIV/0!</v>
      </c>
      <c r="J34" s="58"/>
      <c r="L34" s="66"/>
      <c r="M34" s="66"/>
      <c r="N34" s="66"/>
      <c r="O34" s="66"/>
      <c r="P34" s="66"/>
      <c r="Q34" s="66"/>
      <c r="U34" s="51" t="s">
        <v>69</v>
      </c>
      <c r="AK34" s="51" t="s">
        <v>68</v>
      </c>
      <c r="AL34" s="51" t="s">
        <v>69</v>
      </c>
    </row>
    <row r="35" spans="1:38">
      <c r="A35" s="51" t="s">
        <v>65</v>
      </c>
      <c r="B35" s="54" t="s">
        <v>9</v>
      </c>
      <c r="C35" s="58"/>
      <c r="D35" s="58"/>
      <c r="E35" s="58"/>
      <c r="F35" s="58"/>
      <c r="G35" s="58"/>
      <c r="H35" s="58"/>
      <c r="I35" s="58"/>
      <c r="J35" s="58"/>
      <c r="K35" s="66"/>
      <c r="L35" s="66"/>
      <c r="M35" s="66"/>
      <c r="N35" s="66"/>
      <c r="O35" s="66"/>
      <c r="P35" s="66"/>
      <c r="Q35" s="66"/>
      <c r="R35" s="66"/>
      <c r="S35" s="66"/>
      <c r="T35" s="66"/>
      <c r="U35" s="54" t="s">
        <v>9</v>
      </c>
      <c r="AK35" s="51" t="s">
        <v>71</v>
      </c>
      <c r="AL35" s="54" t="s">
        <v>9</v>
      </c>
    </row>
    <row r="36" spans="1:38">
      <c r="A36" s="159">
        <v>1</v>
      </c>
      <c r="B36" s="51" t="s">
        <v>72</v>
      </c>
      <c r="C36" s="57">
        <f>'2024年'!C36</f>
        <v>62.029440000000008</v>
      </c>
      <c r="D36" s="57">
        <f>'2024年'!D36</f>
        <v>53.856000000000002</v>
      </c>
      <c r="E36" s="57">
        <f>'2024年'!E36</f>
        <v>42.099200000000003</v>
      </c>
      <c r="F36" s="57">
        <f>'2024年'!F36</f>
        <v>13.954336000000001</v>
      </c>
      <c r="G36" s="57">
        <f>'2024年'!G36</f>
        <v>0</v>
      </c>
      <c r="H36" s="57">
        <f>'2024年'!H36</f>
        <v>0</v>
      </c>
      <c r="I36" s="57">
        <f>'2024年'!I36</f>
        <v>0</v>
      </c>
      <c r="J36" s="62"/>
      <c r="K36" s="66"/>
      <c r="L36" s="66"/>
      <c r="M36" s="66"/>
      <c r="N36" s="66"/>
      <c r="O36" s="66"/>
      <c r="P36" s="66"/>
      <c r="Q36" s="66"/>
      <c r="R36" s="66"/>
      <c r="S36" s="66"/>
      <c r="T36" s="66"/>
      <c r="U36" s="51" t="s">
        <v>72</v>
      </c>
      <c r="AK36" s="51" t="s">
        <v>68</v>
      </c>
      <c r="AL36" s="51" t="s">
        <v>72</v>
      </c>
    </row>
    <row r="37" spans="1:38">
      <c r="A37" s="159">
        <v>2</v>
      </c>
      <c r="B37" s="51" t="s">
        <v>73</v>
      </c>
      <c r="C37" s="57">
        <f>'2024年'!C37</f>
        <v>18.679320000000001</v>
      </c>
      <c r="D37" s="57">
        <f>'2024年'!D37</f>
        <v>16.218</v>
      </c>
      <c r="E37" s="57">
        <f>'2024年'!E37</f>
        <v>12.6776</v>
      </c>
      <c r="F37" s="57">
        <f>'2024年'!F37</f>
        <v>4.2021579999999998</v>
      </c>
      <c r="G37" s="57">
        <f>'2024年'!G37</f>
        <v>0</v>
      </c>
      <c r="H37" s="57">
        <f>'2024年'!H37</f>
        <v>0</v>
      </c>
      <c r="I37" s="57">
        <f>'2024年'!I37</f>
        <v>0</v>
      </c>
      <c r="J37" s="62"/>
      <c r="K37" s="66"/>
      <c r="L37" s="66"/>
      <c r="M37" s="66"/>
      <c r="N37" s="66"/>
      <c r="O37" s="66"/>
      <c r="P37" s="66"/>
      <c r="Q37" s="66"/>
      <c r="R37" s="66"/>
      <c r="S37" s="66"/>
      <c r="T37" s="66"/>
      <c r="U37" s="51" t="s">
        <v>73</v>
      </c>
      <c r="AK37" s="51" t="s">
        <v>25</v>
      </c>
      <c r="AL37" s="51" t="s">
        <v>73</v>
      </c>
    </row>
    <row r="38" spans="1:38">
      <c r="A38" s="159">
        <v>3</v>
      </c>
      <c r="B38" s="51" t="s">
        <v>74</v>
      </c>
      <c r="C38" s="57">
        <f>'2024年'!C38</f>
        <v>13.921380000000001</v>
      </c>
      <c r="D38" s="57">
        <f>'2024年'!D38</f>
        <v>12.087000000000002</v>
      </c>
      <c r="E38" s="57">
        <f>'2024年'!E38</f>
        <v>9.4484000000000012</v>
      </c>
      <c r="F38" s="57">
        <f>'2024年'!F38</f>
        <v>3.1317970000000002</v>
      </c>
      <c r="G38" s="57">
        <f>'2024年'!G38</f>
        <v>0</v>
      </c>
      <c r="H38" s="57">
        <f>'2024年'!H38</f>
        <v>0</v>
      </c>
      <c r="I38" s="57">
        <f>'2024年'!I38</f>
        <v>0</v>
      </c>
      <c r="J38" s="62"/>
      <c r="K38" s="66"/>
      <c r="L38" s="66"/>
      <c r="M38" s="66"/>
      <c r="N38" s="66"/>
      <c r="O38" s="66"/>
      <c r="P38" s="66"/>
      <c r="Q38" s="66"/>
      <c r="R38" s="66"/>
      <c r="S38" s="66"/>
      <c r="T38" s="66"/>
      <c r="U38" s="51" t="s">
        <v>74</v>
      </c>
      <c r="AK38" s="51" t="s">
        <v>31</v>
      </c>
      <c r="AL38" s="51" t="s">
        <v>74</v>
      </c>
    </row>
    <row r="39" spans="1:38">
      <c r="A39" s="51" t="s">
        <v>71</v>
      </c>
      <c r="B39" s="54" t="s">
        <v>76</v>
      </c>
      <c r="C39" s="58"/>
      <c r="D39" s="58"/>
      <c r="E39" s="58"/>
      <c r="F39" s="58"/>
      <c r="G39" s="58"/>
      <c r="H39" s="58"/>
      <c r="I39" s="58"/>
      <c r="J39" s="58"/>
      <c r="U39" s="54" t="s">
        <v>76</v>
      </c>
      <c r="AK39" s="51" t="s">
        <v>75</v>
      </c>
      <c r="AL39" s="54" t="s">
        <v>76</v>
      </c>
    </row>
    <row r="40" spans="1:38">
      <c r="A40" s="159">
        <v>1</v>
      </c>
      <c r="B40" s="51" t="s">
        <v>78</v>
      </c>
      <c r="C40" s="58">
        <f>C34-C36-C37-C38</f>
        <v>355.42643801207004</v>
      </c>
      <c r="D40" s="58">
        <f t="shared" ref="D40:I40" si="38">D34-D36-D37-D38</f>
        <v>267.53496072907029</v>
      </c>
      <c r="E40" s="58">
        <f t="shared" si="38"/>
        <v>127.45407159508234</v>
      </c>
      <c r="F40" s="58">
        <f t="shared" si="38"/>
        <v>77.756257914335393</v>
      </c>
      <c r="G40" s="58" t="e">
        <f t="shared" si="38"/>
        <v>#DIV/0!</v>
      </c>
      <c r="H40" s="58" t="e">
        <f t="shared" si="38"/>
        <v>#DIV/0!</v>
      </c>
      <c r="I40" s="58" t="e">
        <f t="shared" si="38"/>
        <v>#DIV/0!</v>
      </c>
      <c r="J40" s="58"/>
      <c r="U40" s="51" t="s">
        <v>78</v>
      </c>
      <c r="AK40" s="51" t="s">
        <v>20</v>
      </c>
      <c r="AL40" s="51" t="s">
        <v>78</v>
      </c>
    </row>
    <row r="41" spans="1:38">
      <c r="A41" s="159">
        <v>2</v>
      </c>
      <c r="B41" s="51" t="s">
        <v>79</v>
      </c>
      <c r="C41" s="58"/>
      <c r="D41" s="58"/>
      <c r="E41" s="58"/>
      <c r="F41" s="58"/>
      <c r="G41" s="58"/>
      <c r="H41" s="58"/>
      <c r="I41" s="58"/>
      <c r="J41" s="58"/>
      <c r="U41" s="51" t="s">
        <v>79</v>
      </c>
      <c r="AK41" s="51" t="s">
        <v>22</v>
      </c>
      <c r="AL41" s="51" t="s">
        <v>79</v>
      </c>
    </row>
    <row r="42" spans="1:38">
      <c r="A42" s="51" t="s">
        <v>75</v>
      </c>
      <c r="B42" s="54" t="s">
        <v>81</v>
      </c>
      <c r="C42" s="58"/>
      <c r="D42" s="58"/>
      <c r="E42" s="58"/>
      <c r="F42" s="58"/>
      <c r="G42" s="58"/>
      <c r="H42" s="58"/>
      <c r="I42" s="58"/>
      <c r="J42" s="58"/>
      <c r="U42" s="54" t="s">
        <v>81</v>
      </c>
      <c r="AK42" s="51" t="s">
        <v>80</v>
      </c>
      <c r="AL42" s="54" t="s">
        <v>81</v>
      </c>
    </row>
    <row r="43" spans="1:38">
      <c r="A43" s="159">
        <v>1</v>
      </c>
      <c r="B43" s="59" t="s">
        <v>82</v>
      </c>
      <c r="C43" s="57">
        <f>'2024年'!C43</f>
        <v>34.186680000000003</v>
      </c>
      <c r="D43" s="57">
        <f>'2024年'!D43</f>
        <v>29.682000000000002</v>
      </c>
      <c r="E43" s="57">
        <f>'2024年'!E43</f>
        <v>23.202400000000001</v>
      </c>
      <c r="F43" s="57">
        <f>'2024年'!F43</f>
        <v>7.6907420000000002</v>
      </c>
      <c r="G43" s="57">
        <f>'2024年'!G43</f>
        <v>0</v>
      </c>
      <c r="H43" s="57">
        <f>'2024年'!H43</f>
        <v>0</v>
      </c>
      <c r="I43" s="57">
        <f>'2024年'!I43</f>
        <v>0</v>
      </c>
      <c r="J43" s="58"/>
      <c r="U43" s="51" t="s">
        <v>82</v>
      </c>
      <c r="AK43" s="51" t="s">
        <v>20</v>
      </c>
      <c r="AL43" s="51" t="s">
        <v>82</v>
      </c>
    </row>
    <row r="44" spans="1:38">
      <c r="A44" s="159">
        <v>2</v>
      </c>
      <c r="B44" s="59" t="s">
        <v>83</v>
      </c>
      <c r="C44" s="57">
        <f>'2024年'!C44</f>
        <v>16.564680000000003</v>
      </c>
      <c r="D44" s="57">
        <f>'2024年'!D44</f>
        <v>14.382000000000001</v>
      </c>
      <c r="E44" s="57">
        <f>'2024年'!E44</f>
        <v>11.2424</v>
      </c>
      <c r="F44" s="57">
        <f>'2024年'!F44</f>
        <v>3.726442</v>
      </c>
      <c r="G44" s="57">
        <f>'2024年'!G44</f>
        <v>0</v>
      </c>
      <c r="H44" s="57">
        <f>'2024年'!H44</f>
        <v>0</v>
      </c>
      <c r="I44" s="57">
        <f>'2024年'!I44</f>
        <v>0</v>
      </c>
      <c r="J44" s="58"/>
      <c r="U44" s="51" t="s">
        <v>83</v>
      </c>
      <c r="AK44" s="51" t="s">
        <v>22</v>
      </c>
      <c r="AL44" s="51" t="s">
        <v>83</v>
      </c>
    </row>
    <row r="45" spans="1:38">
      <c r="A45" s="159">
        <v>3</v>
      </c>
      <c r="B45" s="59" t="s">
        <v>84</v>
      </c>
      <c r="C45" s="57">
        <f>'2024年'!C45</f>
        <v>57.447719999999997</v>
      </c>
      <c r="D45" s="57">
        <f>'2024年'!D45</f>
        <v>49.877999999999993</v>
      </c>
      <c r="E45" s="57">
        <f>'2024年'!E45</f>
        <v>38.989599999999996</v>
      </c>
      <c r="F45" s="57">
        <f>'2024年'!F45</f>
        <v>12.923617999999999</v>
      </c>
      <c r="G45" s="57">
        <f>'2024年'!G45</f>
        <v>0</v>
      </c>
      <c r="H45" s="57">
        <f>'2024年'!H45</f>
        <v>0</v>
      </c>
      <c r="I45" s="57">
        <f>'2024年'!I45</f>
        <v>0</v>
      </c>
      <c r="J45" s="58"/>
      <c r="U45" s="51" t="s">
        <v>84</v>
      </c>
      <c r="AK45" s="51" t="s">
        <v>68</v>
      </c>
      <c r="AL45" s="51" t="s">
        <v>84</v>
      </c>
    </row>
    <row r="46" spans="1:38" s="46" customFormat="1">
      <c r="A46" s="159">
        <v>4</v>
      </c>
      <c r="B46" s="59" t="s">
        <v>85</v>
      </c>
      <c r="C46" s="64">
        <f>C21/C6</f>
        <v>3.9217032967032965</v>
      </c>
      <c r="D46" s="64">
        <f t="shared" ref="D46:I46" si="39">D21/D6</f>
        <v>3.9217032967032965</v>
      </c>
      <c r="E46" s="64">
        <f t="shared" si="39"/>
        <v>3.9217032967032965</v>
      </c>
      <c r="F46" s="64">
        <f t="shared" si="39"/>
        <v>3.9217032967032965</v>
      </c>
      <c r="G46" s="64" t="e">
        <f t="shared" si="39"/>
        <v>#DIV/0!</v>
      </c>
      <c r="H46" s="64" t="e">
        <f t="shared" si="39"/>
        <v>#DIV/0!</v>
      </c>
      <c r="I46" s="64" t="e">
        <f t="shared" si="39"/>
        <v>#DIV/0!</v>
      </c>
      <c r="J46" s="64"/>
      <c r="U46" s="59" t="s">
        <v>87</v>
      </c>
      <c r="AK46" s="59" t="s">
        <v>28</v>
      </c>
      <c r="AL46" s="59" t="s">
        <v>87</v>
      </c>
    </row>
    <row r="47" spans="1:38" s="46" customFormat="1">
      <c r="A47" s="159">
        <v>5</v>
      </c>
      <c r="B47" s="59" t="s">
        <v>87</v>
      </c>
      <c r="C47" s="64">
        <f>'2024年'!C47</f>
        <v>88.110000000000014</v>
      </c>
      <c r="D47" s="64">
        <f>'2024年'!D47</f>
        <v>76.5</v>
      </c>
      <c r="E47" s="64">
        <f>'2024年'!E47</f>
        <v>59.800000000000004</v>
      </c>
      <c r="F47" s="64">
        <f>'2024年'!F47</f>
        <v>19.8215</v>
      </c>
      <c r="G47" s="64">
        <f>'2024年'!G47</f>
        <v>0</v>
      </c>
      <c r="H47" s="64">
        <f>'2024年'!H47</f>
        <v>0</v>
      </c>
      <c r="I47" s="64">
        <f>'2024年'!I47</f>
        <v>0</v>
      </c>
      <c r="J47" s="64"/>
      <c r="U47" s="59" t="s">
        <v>87</v>
      </c>
      <c r="AK47" s="59" t="s">
        <v>28</v>
      </c>
      <c r="AL47" s="59" t="s">
        <v>87</v>
      </c>
    </row>
    <row r="48" spans="1:38">
      <c r="A48" s="51" t="s">
        <v>80</v>
      </c>
      <c r="B48" s="54" t="s">
        <v>98</v>
      </c>
      <c r="C48" s="58">
        <f>C40-C43-C44-C45-C47-C46</f>
        <v>155.19565471536669</v>
      </c>
      <c r="D48" s="58">
        <f t="shared" ref="D48:I48" si="40">D40-D43-D44-D45-D47-D46</f>
        <v>93.171257432366986</v>
      </c>
      <c r="E48" s="58">
        <f t="shared" si="40"/>
        <v>-9.7020317016209567</v>
      </c>
      <c r="F48" s="58">
        <f t="shared" si="40"/>
        <v>29.672252617632093</v>
      </c>
      <c r="G48" s="58" t="e">
        <f t="shared" si="40"/>
        <v>#DIV/0!</v>
      </c>
      <c r="H48" s="58" t="e">
        <f t="shared" si="40"/>
        <v>#DIV/0!</v>
      </c>
      <c r="I48" s="58" t="e">
        <f t="shared" si="40"/>
        <v>#DIV/0!</v>
      </c>
      <c r="J48" s="58"/>
      <c r="U48" s="54" t="s">
        <v>98</v>
      </c>
      <c r="AK48" s="51" t="s">
        <v>97</v>
      </c>
      <c r="AL48" s="54" t="s">
        <v>98</v>
      </c>
    </row>
    <row r="51" spans="2:15">
      <c r="C51" s="65"/>
      <c r="D51" s="65"/>
      <c r="E51" s="65"/>
      <c r="F51" s="65"/>
      <c r="G51" s="65"/>
      <c r="H51" s="65"/>
      <c r="I51" s="65"/>
    </row>
    <row r="54" spans="2:15">
      <c r="B54" s="66"/>
      <c r="C54" s="67"/>
      <c r="D54" s="67"/>
      <c r="E54" s="67"/>
      <c r="F54" s="67"/>
      <c r="G54" s="67"/>
      <c r="H54" s="67"/>
      <c r="I54" s="67"/>
      <c r="J54" s="67"/>
      <c r="K54" s="66"/>
      <c r="L54" s="66"/>
      <c r="M54" s="66"/>
      <c r="N54" s="66"/>
      <c r="O54" s="66"/>
    </row>
    <row r="55" spans="2:15">
      <c r="B55" s="66"/>
      <c r="C55" s="67"/>
      <c r="D55" s="67"/>
      <c r="E55" s="67"/>
      <c r="F55" s="67"/>
      <c r="G55" s="67"/>
      <c r="H55" s="67"/>
      <c r="I55" s="67"/>
      <c r="J55" s="67"/>
      <c r="K55" s="66"/>
      <c r="L55" s="66"/>
      <c r="M55" s="66"/>
      <c r="N55" s="66"/>
      <c r="O55" s="66"/>
    </row>
    <row r="56" spans="2:15">
      <c r="B56" s="66"/>
      <c r="C56" s="67"/>
      <c r="D56" s="67"/>
      <c r="E56" s="67"/>
      <c r="F56" s="67"/>
      <c r="G56" s="67"/>
      <c r="H56" s="67"/>
      <c r="I56" s="67"/>
      <c r="J56" s="67"/>
      <c r="K56" s="66"/>
      <c r="L56" s="66"/>
      <c r="M56" s="66"/>
      <c r="N56" s="66"/>
      <c r="O56" s="66"/>
    </row>
    <row r="57" spans="2:15">
      <c r="B57" s="66"/>
      <c r="C57" s="67"/>
      <c r="D57" s="67"/>
      <c r="E57" s="67"/>
      <c r="F57" s="67"/>
      <c r="G57" s="67"/>
      <c r="H57" s="67"/>
      <c r="I57" s="67"/>
      <c r="J57" s="67"/>
      <c r="K57" s="66"/>
      <c r="L57" s="66"/>
      <c r="M57" s="66"/>
      <c r="N57" s="66"/>
      <c r="O57" s="66"/>
    </row>
    <row r="58" spans="2:15">
      <c r="B58" s="66"/>
      <c r="C58" s="67"/>
      <c r="D58" s="67"/>
      <c r="E58" s="67"/>
      <c r="F58" s="67"/>
      <c r="G58" s="67"/>
      <c r="H58" s="67"/>
      <c r="I58" s="67"/>
      <c r="J58" s="67"/>
      <c r="K58" s="66"/>
      <c r="L58" s="66"/>
      <c r="M58" s="66"/>
      <c r="N58" s="66"/>
      <c r="O58" s="66"/>
    </row>
    <row r="59" spans="2:15">
      <c r="B59" s="66"/>
      <c r="C59" s="67"/>
      <c r="D59" s="67"/>
      <c r="E59" s="67"/>
      <c r="F59" s="67"/>
      <c r="G59" s="67"/>
      <c r="H59" s="67"/>
      <c r="I59" s="67"/>
      <c r="J59" s="67"/>
      <c r="K59" s="66"/>
      <c r="L59" s="66"/>
      <c r="M59" s="66"/>
      <c r="N59" s="66"/>
      <c r="O59" s="66"/>
    </row>
    <row r="60" spans="2:15">
      <c r="B60" s="66"/>
      <c r="C60" s="67"/>
      <c r="D60" s="67"/>
      <c r="E60" s="67"/>
      <c r="F60" s="67"/>
      <c r="G60" s="67"/>
      <c r="H60" s="67"/>
      <c r="I60" s="67"/>
      <c r="J60" s="67"/>
      <c r="K60" s="66"/>
      <c r="L60" s="66"/>
      <c r="M60" s="66"/>
      <c r="N60" s="66"/>
      <c r="O60" s="66"/>
    </row>
    <row r="61" spans="2:15">
      <c r="B61" s="66"/>
      <c r="C61" s="67"/>
      <c r="D61" s="67"/>
      <c r="E61" s="67"/>
      <c r="F61" s="67"/>
      <c r="G61" s="67"/>
      <c r="H61" s="67"/>
      <c r="I61" s="67"/>
      <c r="J61" s="67"/>
      <c r="K61" s="66"/>
      <c r="L61" s="66"/>
      <c r="M61" s="66"/>
      <c r="N61" s="66"/>
      <c r="O61" s="66"/>
    </row>
    <row r="62" spans="2:15">
      <c r="B62" s="66"/>
      <c r="C62" s="67"/>
      <c r="D62" s="67"/>
      <c r="E62" s="67"/>
      <c r="F62" s="67"/>
      <c r="G62" s="67"/>
      <c r="H62" s="67"/>
      <c r="I62" s="67"/>
      <c r="J62" s="67"/>
      <c r="K62" s="66"/>
      <c r="L62" s="66"/>
      <c r="M62" s="66"/>
      <c r="N62" s="66"/>
      <c r="O62" s="66"/>
    </row>
    <row r="63" spans="2:15">
      <c r="B63" s="66"/>
      <c r="C63" s="67"/>
      <c r="D63" s="67"/>
      <c r="E63" s="67"/>
      <c r="F63" s="67"/>
      <c r="G63" s="67"/>
      <c r="H63" s="67"/>
      <c r="I63" s="67"/>
      <c r="J63" s="67"/>
      <c r="K63" s="66"/>
      <c r="L63" s="66"/>
      <c r="M63" s="66"/>
      <c r="N63" s="66"/>
      <c r="O63" s="66"/>
    </row>
    <row r="64" spans="2:15">
      <c r="B64" s="66"/>
      <c r="C64" s="67"/>
      <c r="D64" s="67"/>
      <c r="E64" s="67"/>
      <c r="F64" s="67"/>
      <c r="G64" s="67"/>
      <c r="H64" s="67"/>
      <c r="I64" s="67"/>
      <c r="J64" s="67"/>
      <c r="K64" s="66"/>
      <c r="L64" s="66"/>
      <c r="M64" s="66"/>
      <c r="N64" s="66"/>
      <c r="O64" s="66"/>
    </row>
    <row r="65" spans="2:15">
      <c r="B65" s="66"/>
      <c r="C65" s="67"/>
      <c r="D65" s="67"/>
      <c r="E65" s="67"/>
      <c r="F65" s="67"/>
      <c r="G65" s="67"/>
      <c r="H65" s="67"/>
      <c r="I65" s="67"/>
      <c r="J65" s="67"/>
      <c r="K65" s="66"/>
      <c r="L65" s="66"/>
      <c r="M65" s="66"/>
      <c r="N65" s="66"/>
      <c r="O65" s="66"/>
    </row>
    <row r="66" spans="2:15">
      <c r="B66" s="66"/>
      <c r="C66" s="67"/>
      <c r="D66" s="67"/>
      <c r="E66" s="67"/>
      <c r="F66" s="67"/>
      <c r="G66" s="67"/>
      <c r="H66" s="67"/>
      <c r="I66" s="67"/>
      <c r="J66" s="67"/>
      <c r="K66" s="66"/>
      <c r="L66" s="66"/>
      <c r="M66" s="66"/>
      <c r="N66" s="66"/>
      <c r="O66" s="66"/>
    </row>
    <row r="67" spans="2:15">
      <c r="B67" s="66"/>
      <c r="C67" s="67"/>
      <c r="D67" s="67"/>
      <c r="E67" s="67"/>
      <c r="F67" s="67"/>
      <c r="G67" s="67"/>
      <c r="H67" s="67"/>
      <c r="I67" s="67"/>
      <c r="J67" s="67"/>
      <c r="K67" s="66"/>
    </row>
    <row r="68" spans="2:15">
      <c r="B68" s="66"/>
      <c r="C68" s="67"/>
      <c r="D68" s="67"/>
      <c r="E68" s="67"/>
      <c r="F68" s="67"/>
      <c r="G68" s="67"/>
      <c r="H68" s="67"/>
      <c r="I68" s="67"/>
      <c r="J68" s="67"/>
      <c r="K68" s="66"/>
    </row>
    <row r="69" spans="2:15">
      <c r="B69" s="66"/>
      <c r="C69" s="67"/>
      <c r="D69" s="67"/>
      <c r="E69" s="67"/>
      <c r="F69" s="67"/>
      <c r="G69" s="67"/>
      <c r="H69" s="67"/>
      <c r="I69" s="67"/>
      <c r="J69" s="67"/>
      <c r="K69" s="66"/>
    </row>
    <row r="70" spans="2:15">
      <c r="B70" s="66"/>
      <c r="C70" s="67"/>
      <c r="D70" s="67"/>
      <c r="E70" s="67"/>
      <c r="F70" s="67"/>
      <c r="G70" s="67"/>
      <c r="H70" s="67"/>
      <c r="I70" s="67"/>
      <c r="J70" s="67"/>
      <c r="K70" s="66"/>
    </row>
    <row r="71" spans="2:15">
      <c r="B71" s="66"/>
      <c r="C71" s="67"/>
      <c r="D71" s="67"/>
      <c r="E71" s="67"/>
      <c r="F71" s="67"/>
      <c r="G71" s="67"/>
      <c r="H71" s="67"/>
      <c r="I71" s="67"/>
      <c r="J71" s="67"/>
      <c r="K71" s="66"/>
    </row>
    <row r="72" spans="2:15">
      <c r="B72" s="66"/>
      <c r="C72" s="67"/>
      <c r="D72" s="67"/>
      <c r="E72" s="67"/>
      <c r="F72" s="67"/>
      <c r="G72" s="67"/>
      <c r="H72" s="67"/>
      <c r="I72" s="67"/>
      <c r="J72" s="67"/>
      <c r="K72" s="66"/>
    </row>
    <row r="73" spans="2:15">
      <c r="B73" s="66"/>
      <c r="C73" s="67"/>
      <c r="D73" s="67"/>
      <c r="E73" s="67"/>
      <c r="F73" s="67"/>
      <c r="G73" s="67"/>
      <c r="H73" s="67"/>
      <c r="I73" s="67"/>
      <c r="J73" s="67"/>
      <c r="K73" s="66"/>
    </row>
    <row r="74" spans="2:15">
      <c r="B74" s="66"/>
      <c r="C74" s="67"/>
      <c r="D74" s="67"/>
      <c r="E74" s="67"/>
      <c r="F74" s="67"/>
      <c r="G74" s="67"/>
      <c r="H74" s="67"/>
      <c r="I74" s="67"/>
      <c r="J74" s="67"/>
      <c r="K74" s="66"/>
    </row>
  </sheetData>
  <mergeCells count="8">
    <mergeCell ref="A1:B1"/>
    <mergeCell ref="C1:J1"/>
    <mergeCell ref="A2:B2"/>
    <mergeCell ref="C2:J2"/>
    <mergeCell ref="A3:B3"/>
    <mergeCell ref="J3:J5"/>
    <mergeCell ref="A4:B4"/>
    <mergeCell ref="A5:B5"/>
  </mergeCells>
  <phoneticPr fontId="38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7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74"/>
  <sheetViews>
    <sheetView workbookViewId="0">
      <pane xSplit="2" ySplit="7" topLeftCell="C17" activePane="bottomRight" state="frozen"/>
      <selection pane="topRight"/>
      <selection pane="bottomLeft"/>
      <selection pane="bottomRight" activeCell="J26" sqref="J26"/>
    </sheetView>
  </sheetViews>
  <sheetFormatPr defaultColWidth="9" defaultRowHeight="16.5"/>
  <cols>
    <col min="1" max="1" width="5.125" style="47" customWidth="1"/>
    <col min="2" max="2" width="17.5" style="47" customWidth="1"/>
    <col min="3" max="9" width="13.25" style="48" customWidth="1"/>
    <col min="10" max="10" width="18.75" style="48" customWidth="1"/>
    <col min="11" max="11" width="12.375" style="47" customWidth="1"/>
    <col min="12" max="12" width="10.125" style="47" customWidth="1"/>
    <col min="13" max="19" width="9" style="47" customWidth="1"/>
    <col min="20" max="36" width="9" style="47"/>
    <col min="37" max="37" width="4.375" style="47" customWidth="1"/>
    <col min="38" max="38" width="13.875" style="47" customWidth="1"/>
    <col min="39" max="16384" width="9" style="47"/>
  </cols>
  <sheetData>
    <row r="1" spans="1:39">
      <c r="A1" s="236" t="s">
        <v>138</v>
      </c>
      <c r="B1" s="236"/>
      <c r="C1" s="240" t="s">
        <v>281</v>
      </c>
      <c r="D1" s="241"/>
      <c r="E1" s="241"/>
      <c r="F1" s="241"/>
      <c r="G1" s="241"/>
      <c r="H1" s="241"/>
      <c r="I1" s="241"/>
      <c r="J1" s="242"/>
    </row>
    <row r="2" spans="1:39">
      <c r="A2" s="236" t="s">
        <v>139</v>
      </c>
      <c r="B2" s="236"/>
      <c r="C2" s="243" t="str">
        <f>'2024年'!C2:J2</f>
        <v>上汽红岩</v>
      </c>
      <c r="D2" s="243"/>
      <c r="E2" s="243"/>
      <c r="F2" s="243"/>
      <c r="G2" s="243"/>
      <c r="H2" s="243"/>
      <c r="I2" s="243"/>
      <c r="J2" s="243"/>
    </row>
    <row r="3" spans="1:39">
      <c r="A3" s="236" t="s">
        <v>140</v>
      </c>
      <c r="B3" s="236"/>
      <c r="C3" s="160" t="str">
        <f>销量!C5</f>
        <v>正司机</v>
      </c>
      <c r="D3" s="160" t="str">
        <f>销量!D5</f>
        <v>正司机</v>
      </c>
      <c r="E3" s="160" t="str">
        <f>销量!E5</f>
        <v>正司机</v>
      </c>
      <c r="F3" s="160" t="str">
        <f>销量!F5</f>
        <v>副司机</v>
      </c>
      <c r="G3" s="160">
        <f>销量!G5</f>
        <v>0</v>
      </c>
      <c r="H3" s="160">
        <f>销量!H5</f>
        <v>0</v>
      </c>
      <c r="I3" s="160">
        <f>销量!I5</f>
        <v>0</v>
      </c>
      <c r="J3" s="237" t="s">
        <v>16</v>
      </c>
    </row>
    <row r="4" spans="1:39">
      <c r="A4" s="236" t="s">
        <v>141</v>
      </c>
      <c r="B4" s="236"/>
      <c r="C4" s="160">
        <f>销量!C6</f>
        <v>6000149199</v>
      </c>
      <c r="D4" s="160">
        <f>销量!D6</f>
        <v>6000149200</v>
      </c>
      <c r="E4" s="160">
        <f>销量!E6</f>
        <v>6000149201</v>
      </c>
      <c r="F4" s="160">
        <f>销量!F6</f>
        <v>6000149205</v>
      </c>
      <c r="G4" s="160">
        <f>销量!G6</f>
        <v>0</v>
      </c>
      <c r="H4" s="160">
        <f>销量!H6</f>
        <v>0</v>
      </c>
      <c r="I4" s="160">
        <f>销量!I6</f>
        <v>0</v>
      </c>
      <c r="J4" s="238"/>
    </row>
    <row r="5" spans="1:39">
      <c r="A5" s="236" t="s">
        <v>142</v>
      </c>
      <c r="B5" s="236"/>
      <c r="C5" s="50"/>
      <c r="D5" s="50"/>
      <c r="E5" s="50"/>
      <c r="F5" s="50"/>
      <c r="G5" s="50"/>
      <c r="H5" s="181"/>
      <c r="I5" s="181"/>
      <c r="J5" s="239"/>
      <c r="AM5" s="47" t="s">
        <v>17</v>
      </c>
    </row>
    <row r="6" spans="1:39" ht="17.25">
      <c r="A6" s="51" t="s">
        <v>15</v>
      </c>
      <c r="B6" s="52" t="s">
        <v>143</v>
      </c>
      <c r="C6" s="22">
        <f>销量!C11</f>
        <v>3600</v>
      </c>
      <c r="D6" s="22">
        <f>销量!D11</f>
        <v>10800</v>
      </c>
      <c r="E6" s="22">
        <f>销量!E11</f>
        <v>3600</v>
      </c>
      <c r="F6" s="22">
        <f>销量!F11</f>
        <v>14400</v>
      </c>
      <c r="G6" s="22">
        <f>销量!G11</f>
        <v>0</v>
      </c>
      <c r="H6" s="22">
        <f>销量!H11</f>
        <v>0</v>
      </c>
      <c r="I6" s="22">
        <f>销量!I11</f>
        <v>0</v>
      </c>
      <c r="J6" s="53">
        <f t="shared" ref="J6:J15" si="0">SUM(C6:I6)</f>
        <v>32400</v>
      </c>
      <c r="U6" s="52" t="s">
        <v>3</v>
      </c>
      <c r="AK6" s="51" t="s">
        <v>15</v>
      </c>
      <c r="AL6" s="52" t="s">
        <v>3</v>
      </c>
      <c r="AM6" s="47" t="s">
        <v>18</v>
      </c>
    </row>
    <row r="7" spans="1:39">
      <c r="A7" s="159">
        <v>1</v>
      </c>
      <c r="B7" s="52" t="s">
        <v>19</v>
      </c>
      <c r="C7" s="53">
        <f>C6*销量!C8</f>
        <v>6343920</v>
      </c>
      <c r="D7" s="53">
        <f>D6*销量!D8</f>
        <v>16524000</v>
      </c>
      <c r="E7" s="53">
        <f>E6*销量!E8</f>
        <v>4305600</v>
      </c>
      <c r="F7" s="53">
        <f>F6*销量!F8</f>
        <v>5708592</v>
      </c>
      <c r="G7" s="53">
        <f>G6*销量!G8</f>
        <v>0</v>
      </c>
      <c r="H7" s="53">
        <f>H6*销量!H8</f>
        <v>0</v>
      </c>
      <c r="I7" s="53">
        <f>I6*销量!I8</f>
        <v>0</v>
      </c>
      <c r="J7" s="53">
        <f t="shared" si="0"/>
        <v>32882112</v>
      </c>
      <c r="K7" s="48"/>
      <c r="U7" s="52" t="s">
        <v>19</v>
      </c>
      <c r="AK7" s="51" t="s">
        <v>20</v>
      </c>
      <c r="AL7" s="52" t="s">
        <v>19</v>
      </c>
      <c r="AM7" s="47" t="s">
        <v>18</v>
      </c>
    </row>
    <row r="8" spans="1:39">
      <c r="A8" s="159">
        <v>2</v>
      </c>
      <c r="B8" s="159" t="s">
        <v>21</v>
      </c>
      <c r="C8" s="53">
        <f>C7*(1-销量!$M$8)</f>
        <v>374925.67199999955</v>
      </c>
      <c r="D8" s="53">
        <f>D7*(1-销量!$M$8)</f>
        <v>976568.39999999886</v>
      </c>
      <c r="E8" s="53">
        <f>E7*(1-销量!$M$8)</f>
        <v>254460.9599999997</v>
      </c>
      <c r="F8" s="53">
        <f>F7*(1-销量!$M$8)</f>
        <v>337377.78719999961</v>
      </c>
      <c r="G8" s="53">
        <f>G7*(1-销量!$M$8)</f>
        <v>0</v>
      </c>
      <c r="H8" s="53">
        <f>H7*(1-销量!$M$8)</f>
        <v>0</v>
      </c>
      <c r="I8" s="53">
        <f>I7*(1-销量!$M$8)</f>
        <v>0</v>
      </c>
      <c r="J8" s="53">
        <f t="shared" si="0"/>
        <v>1943332.8191999977</v>
      </c>
      <c r="K8" s="68"/>
      <c r="U8" s="159" t="s">
        <v>23</v>
      </c>
      <c r="AK8" s="51" t="s">
        <v>22</v>
      </c>
      <c r="AL8" s="159" t="s">
        <v>23</v>
      </c>
      <c r="AM8" s="47" t="s">
        <v>18</v>
      </c>
    </row>
    <row r="9" spans="1:39">
      <c r="A9" s="159">
        <v>3</v>
      </c>
      <c r="B9" s="52" t="s">
        <v>24</v>
      </c>
      <c r="C9" s="53">
        <f>+C7-C8</f>
        <v>5968994.3280000007</v>
      </c>
      <c r="D9" s="53">
        <f t="shared" ref="D9:I9" si="1">+D7-D8</f>
        <v>15547431.600000001</v>
      </c>
      <c r="E9" s="53">
        <f t="shared" si="1"/>
        <v>4051139.0400000005</v>
      </c>
      <c r="F9" s="53">
        <f t="shared" si="1"/>
        <v>5371214.2128000008</v>
      </c>
      <c r="G9" s="53">
        <f t="shared" si="1"/>
        <v>0</v>
      </c>
      <c r="H9" s="53">
        <f t="shared" si="1"/>
        <v>0</v>
      </c>
      <c r="I9" s="53">
        <f t="shared" si="1"/>
        <v>0</v>
      </c>
      <c r="J9" s="53">
        <f t="shared" si="0"/>
        <v>30938779.180800002</v>
      </c>
      <c r="U9" s="52" t="s">
        <v>24</v>
      </c>
      <c r="AK9" s="51" t="s">
        <v>25</v>
      </c>
      <c r="AL9" s="52" t="s">
        <v>24</v>
      </c>
      <c r="AM9" s="47" t="s">
        <v>26</v>
      </c>
    </row>
    <row r="10" spans="1:39">
      <c r="A10" s="159">
        <v>4</v>
      </c>
      <c r="B10" s="51" t="s">
        <v>27</v>
      </c>
      <c r="C10" s="53">
        <f>C6*C33</f>
        <v>4397396.7575818505</v>
      </c>
      <c r="D10" s="53">
        <f t="shared" ref="D10:I10" si="2">D6*D33</f>
        <v>11884016.715402259</v>
      </c>
      <c r="E10" s="53">
        <f t="shared" si="2"/>
        <v>3381795.0235899719</v>
      </c>
      <c r="F10" s="53">
        <f t="shared" si="2"/>
        <v>3987759.9535645628</v>
      </c>
      <c r="G10" s="53">
        <f t="shared" si="2"/>
        <v>0</v>
      </c>
      <c r="H10" s="53">
        <f t="shared" si="2"/>
        <v>0</v>
      </c>
      <c r="I10" s="53">
        <f t="shared" si="2"/>
        <v>0</v>
      </c>
      <c r="J10" s="53">
        <f t="shared" si="0"/>
        <v>23650968.450138643</v>
      </c>
      <c r="U10" s="51" t="s">
        <v>27</v>
      </c>
      <c r="AK10" s="51" t="s">
        <v>28</v>
      </c>
      <c r="AL10" s="51" t="s">
        <v>27</v>
      </c>
      <c r="AM10" s="47" t="s">
        <v>29</v>
      </c>
    </row>
    <row r="11" spans="1:39">
      <c r="A11" s="159">
        <v>5</v>
      </c>
      <c r="B11" s="51" t="s">
        <v>30</v>
      </c>
      <c r="C11" s="53">
        <f>+C6*C36</f>
        <v>223305.98400000003</v>
      </c>
      <c r="D11" s="53">
        <f t="shared" ref="D11:G11" si="3">+D6*D36</f>
        <v>581644.80000000005</v>
      </c>
      <c r="E11" s="53">
        <f t="shared" si="3"/>
        <v>151557.12000000002</v>
      </c>
      <c r="F11" s="53">
        <f t="shared" si="3"/>
        <v>200942.43840000001</v>
      </c>
      <c r="G11" s="53">
        <f t="shared" si="3"/>
        <v>0</v>
      </c>
      <c r="H11" s="53">
        <f t="shared" ref="H11:I11" si="4">+H6*H36</f>
        <v>0</v>
      </c>
      <c r="I11" s="53">
        <f t="shared" si="4"/>
        <v>0</v>
      </c>
      <c r="J11" s="53">
        <f t="shared" si="0"/>
        <v>1157450.3424000002</v>
      </c>
      <c r="U11" s="51" t="s">
        <v>30</v>
      </c>
      <c r="AK11" s="51" t="s">
        <v>31</v>
      </c>
      <c r="AL11" s="51" t="s">
        <v>30</v>
      </c>
    </row>
    <row r="12" spans="1:39">
      <c r="A12" s="159">
        <v>6</v>
      </c>
      <c r="B12" s="51" t="s">
        <v>32</v>
      </c>
      <c r="C12" s="53">
        <f>+C6*C37</f>
        <v>67245.551999999996</v>
      </c>
      <c r="D12" s="53">
        <f t="shared" ref="D12:G12" si="5">+D6*D37</f>
        <v>175154.4</v>
      </c>
      <c r="E12" s="53">
        <f t="shared" si="5"/>
        <v>45639.360000000001</v>
      </c>
      <c r="F12" s="53">
        <f t="shared" si="5"/>
        <v>60511.075199999999</v>
      </c>
      <c r="G12" s="53">
        <f t="shared" si="5"/>
        <v>0</v>
      </c>
      <c r="H12" s="53">
        <f t="shared" ref="H12:I12" si="6">+H6*H37</f>
        <v>0</v>
      </c>
      <c r="I12" s="53">
        <f t="shared" si="6"/>
        <v>0</v>
      </c>
      <c r="J12" s="53">
        <f t="shared" si="0"/>
        <v>348550.3872</v>
      </c>
      <c r="U12" s="51" t="s">
        <v>32</v>
      </c>
      <c r="AK12" s="51" t="s">
        <v>33</v>
      </c>
      <c r="AL12" s="51" t="s">
        <v>32</v>
      </c>
    </row>
    <row r="13" spans="1:39">
      <c r="A13" s="159">
        <v>7</v>
      </c>
      <c r="B13" s="51" t="s">
        <v>34</v>
      </c>
      <c r="C13" s="53">
        <f>+C6*C38</f>
        <v>50116.968000000001</v>
      </c>
      <c r="D13" s="53">
        <f t="shared" ref="D13:G13" si="7">+D6*D38</f>
        <v>130539.60000000002</v>
      </c>
      <c r="E13" s="53">
        <f t="shared" si="7"/>
        <v>34014.240000000005</v>
      </c>
      <c r="F13" s="53">
        <f t="shared" si="7"/>
        <v>45097.876800000005</v>
      </c>
      <c r="G13" s="53">
        <f t="shared" si="7"/>
        <v>0</v>
      </c>
      <c r="H13" s="53">
        <f t="shared" ref="H13:I13" si="8">+H6*H38</f>
        <v>0</v>
      </c>
      <c r="I13" s="53">
        <f t="shared" si="8"/>
        <v>0</v>
      </c>
      <c r="J13" s="53">
        <f t="shared" si="0"/>
        <v>259768.68480000002</v>
      </c>
      <c r="U13" s="51" t="s">
        <v>34</v>
      </c>
      <c r="AK13" s="51" t="s">
        <v>35</v>
      </c>
      <c r="AL13" s="51" t="s">
        <v>34</v>
      </c>
      <c r="AM13" s="47" t="s">
        <v>18</v>
      </c>
    </row>
    <row r="14" spans="1:39">
      <c r="A14" s="159">
        <v>8</v>
      </c>
      <c r="B14" s="54" t="s">
        <v>36</v>
      </c>
      <c r="C14" s="53">
        <f>SUM(C11:C13)</f>
        <v>340668.50400000002</v>
      </c>
      <c r="D14" s="53">
        <f t="shared" ref="D14:G14" si="9">SUM(D11:D13)</f>
        <v>887338.8</v>
      </c>
      <c r="E14" s="53">
        <f t="shared" si="9"/>
        <v>231210.72000000003</v>
      </c>
      <c r="F14" s="53">
        <f t="shared" si="9"/>
        <v>306551.39040000003</v>
      </c>
      <c r="G14" s="53">
        <f t="shared" si="9"/>
        <v>0</v>
      </c>
      <c r="H14" s="53">
        <f t="shared" ref="H14:I14" si="10">SUM(H11:H13)</f>
        <v>0</v>
      </c>
      <c r="I14" s="53">
        <f t="shared" si="10"/>
        <v>0</v>
      </c>
      <c r="J14" s="53">
        <f t="shared" si="0"/>
        <v>1765769.4144000001</v>
      </c>
      <c r="U14" s="54" t="s">
        <v>36</v>
      </c>
      <c r="AK14" s="51" t="s">
        <v>37</v>
      </c>
      <c r="AL14" s="54" t="s">
        <v>36</v>
      </c>
    </row>
    <row r="15" spans="1:39">
      <c r="A15" s="159">
        <v>9</v>
      </c>
      <c r="B15" s="54" t="s">
        <v>38</v>
      </c>
      <c r="C15" s="53">
        <f>+C9-C10-C14</f>
        <v>1230929.0664181502</v>
      </c>
      <c r="D15" s="53">
        <f t="shared" ref="D15:G15" si="11">+D9-D10-D14</f>
        <v>2776076.0845977431</v>
      </c>
      <c r="E15" s="53">
        <f t="shared" si="11"/>
        <v>438133.29641002853</v>
      </c>
      <c r="F15" s="53">
        <f t="shared" si="11"/>
        <v>1076902.868835438</v>
      </c>
      <c r="G15" s="53">
        <f t="shared" si="11"/>
        <v>0</v>
      </c>
      <c r="H15" s="53">
        <f t="shared" ref="H15:I15" si="12">+H9-H10-H14</f>
        <v>0</v>
      </c>
      <c r="I15" s="53">
        <f t="shared" si="12"/>
        <v>0</v>
      </c>
      <c r="J15" s="53">
        <f t="shared" si="0"/>
        <v>5522041.3162613604</v>
      </c>
      <c r="U15" s="54" t="s">
        <v>38</v>
      </c>
      <c r="AK15" s="51" t="s">
        <v>39</v>
      </c>
      <c r="AL15" s="54" t="s">
        <v>38</v>
      </c>
    </row>
    <row r="16" spans="1:39">
      <c r="A16" s="159">
        <v>10</v>
      </c>
      <c r="B16" s="51" t="s">
        <v>40</v>
      </c>
      <c r="C16" s="55">
        <f>+C15/C9</f>
        <v>0.20622051199545888</v>
      </c>
      <c r="D16" s="55">
        <f t="shared" ref="D16:G16" si="13">+D15/D9</f>
        <v>0.17855528527282558</v>
      </c>
      <c r="E16" s="55">
        <f t="shared" si="13"/>
        <v>0.10815064407417339</v>
      </c>
      <c r="F16" s="55">
        <f t="shared" si="13"/>
        <v>0.2004952374211959</v>
      </c>
      <c r="G16" s="55" t="e">
        <f t="shared" si="13"/>
        <v>#DIV/0!</v>
      </c>
      <c r="H16" s="55" t="e">
        <f t="shared" ref="H16:I16" si="14">+H15/H9</f>
        <v>#DIV/0!</v>
      </c>
      <c r="I16" s="55" t="e">
        <f t="shared" si="14"/>
        <v>#DIV/0!</v>
      </c>
      <c r="J16" s="55">
        <f t="shared" ref="J16" si="15">+J15/J9</f>
        <v>0.17848284458774735</v>
      </c>
      <c r="U16" s="51" t="s">
        <v>40</v>
      </c>
      <c r="AK16" s="51" t="s">
        <v>41</v>
      </c>
      <c r="AL16" s="51" t="s">
        <v>40</v>
      </c>
    </row>
    <row r="17" spans="1:39">
      <c r="A17" s="159">
        <v>11</v>
      </c>
      <c r="B17" s="51" t="s">
        <v>42</v>
      </c>
      <c r="C17" s="53">
        <f>C6*C43+C18</f>
        <v>125578.99244444445</v>
      </c>
      <c r="D17" s="53">
        <f t="shared" ref="D17:G17" si="16">D6*D43+D18</f>
        <v>328086.43333333335</v>
      </c>
      <c r="E17" s="53">
        <f t="shared" si="16"/>
        <v>86035.584444444437</v>
      </c>
      <c r="F17" s="53">
        <f t="shared" si="16"/>
        <v>120774.46257777778</v>
      </c>
      <c r="G17" s="53">
        <f t="shared" si="16"/>
        <v>0</v>
      </c>
      <c r="H17" s="53">
        <f t="shared" ref="H17:I17" si="17">H6*H43+H18</f>
        <v>0</v>
      </c>
      <c r="I17" s="53">
        <f t="shared" si="17"/>
        <v>0</v>
      </c>
      <c r="J17" s="53">
        <f>SUM(C17:I17)</f>
        <v>660475.47279999999</v>
      </c>
      <c r="K17" s="68"/>
      <c r="U17" s="51" t="s">
        <v>42</v>
      </c>
      <c r="AK17" s="51" t="s">
        <v>43</v>
      </c>
      <c r="AL17" s="51" t="s">
        <v>42</v>
      </c>
    </row>
    <row r="18" spans="1:39" s="45" customFormat="1">
      <c r="A18" s="159">
        <v>12</v>
      </c>
      <c r="B18" s="56" t="s">
        <v>144</v>
      </c>
      <c r="C18" s="57">
        <f t="shared" ref="C18:I18" si="18">$J$18/$J$6*C6</f>
        <v>2506.9444444444443</v>
      </c>
      <c r="D18" s="57">
        <f t="shared" si="18"/>
        <v>7520.833333333333</v>
      </c>
      <c r="E18" s="57">
        <f t="shared" si="18"/>
        <v>2506.9444444444443</v>
      </c>
      <c r="F18" s="57">
        <f t="shared" si="18"/>
        <v>10027.777777777777</v>
      </c>
      <c r="G18" s="57">
        <f t="shared" si="18"/>
        <v>0</v>
      </c>
      <c r="H18" s="57">
        <f t="shared" si="18"/>
        <v>0</v>
      </c>
      <c r="I18" s="57">
        <f t="shared" si="18"/>
        <v>0</v>
      </c>
      <c r="J18" s="57">
        <f>项目投资!F26</f>
        <v>22562.5</v>
      </c>
      <c r="K18" s="69" t="s">
        <v>145</v>
      </c>
      <c r="L18" s="69"/>
      <c r="M18" s="69"/>
    </row>
    <row r="19" spans="1:39">
      <c r="A19" s="159">
        <v>13</v>
      </c>
      <c r="B19" s="51" t="s">
        <v>44</v>
      </c>
      <c r="C19" s="53">
        <f>C6*C44</f>
        <v>59632.848000000013</v>
      </c>
      <c r="D19" s="53">
        <f t="shared" ref="D19:G19" si="19">D6*D44</f>
        <v>155325.6</v>
      </c>
      <c r="E19" s="53">
        <f t="shared" si="19"/>
        <v>40472.639999999999</v>
      </c>
      <c r="F19" s="53">
        <f t="shared" si="19"/>
        <v>53660.764799999997</v>
      </c>
      <c r="G19" s="53">
        <f t="shared" si="19"/>
        <v>0</v>
      </c>
      <c r="H19" s="53">
        <f t="shared" ref="H19:I19" si="20">H6*H44</f>
        <v>0</v>
      </c>
      <c r="I19" s="53">
        <f t="shared" si="20"/>
        <v>0</v>
      </c>
      <c r="J19" s="53">
        <f>SUM(C19:I19)</f>
        <v>309091.85280000005</v>
      </c>
      <c r="K19" s="45"/>
      <c r="U19" s="51" t="s">
        <v>44</v>
      </c>
      <c r="AK19" s="51" t="s">
        <v>45</v>
      </c>
      <c r="AL19" s="51" t="s">
        <v>44</v>
      </c>
      <c r="AM19" s="47" t="s">
        <v>18</v>
      </c>
    </row>
    <row r="20" spans="1:39">
      <c r="A20" s="159">
        <v>14</v>
      </c>
      <c r="B20" s="51" t="s">
        <v>46</v>
      </c>
      <c r="C20" s="53">
        <f>C6*C45</f>
        <v>206811.79199999999</v>
      </c>
      <c r="D20" s="53">
        <f t="shared" ref="D20:G20" si="21">D6*D45</f>
        <v>538682.39999999991</v>
      </c>
      <c r="E20" s="53">
        <f t="shared" si="21"/>
        <v>140362.56</v>
      </c>
      <c r="F20" s="53">
        <f t="shared" si="21"/>
        <v>186100.0992</v>
      </c>
      <c r="G20" s="53">
        <f t="shared" si="21"/>
        <v>0</v>
      </c>
      <c r="H20" s="53">
        <f t="shared" ref="H20:I20" si="22">H6*H45</f>
        <v>0</v>
      </c>
      <c r="I20" s="53">
        <f t="shared" si="22"/>
        <v>0</v>
      </c>
      <c r="J20" s="53">
        <f>SUM(C20:I20)</f>
        <v>1071956.8511999999</v>
      </c>
      <c r="U20" s="51" t="s">
        <v>46</v>
      </c>
      <c r="AK20" s="51" t="s">
        <v>47</v>
      </c>
      <c r="AL20" s="51" t="s">
        <v>46</v>
      </c>
    </row>
    <row r="21" spans="1:39">
      <c r="A21" s="159">
        <v>15</v>
      </c>
      <c r="B21" s="51" t="s">
        <v>48</v>
      </c>
      <c r="C21" s="58">
        <f t="shared" ref="C21:I21" si="23">$J$21/$J$6*C6</f>
        <v>7137.5</v>
      </c>
      <c r="D21" s="58">
        <f t="shared" si="23"/>
        <v>21412.5</v>
      </c>
      <c r="E21" s="58">
        <f t="shared" si="23"/>
        <v>7137.5</v>
      </c>
      <c r="F21" s="58">
        <f t="shared" si="23"/>
        <v>28550</v>
      </c>
      <c r="G21" s="58">
        <f t="shared" si="23"/>
        <v>0</v>
      </c>
      <c r="H21" s="58">
        <f t="shared" si="23"/>
        <v>0</v>
      </c>
      <c r="I21" s="58">
        <f t="shared" si="23"/>
        <v>0</v>
      </c>
      <c r="J21" s="53">
        <f>项目投资!F27</f>
        <v>64237.5</v>
      </c>
      <c r="U21" s="51" t="s">
        <v>48</v>
      </c>
      <c r="AK21" s="51"/>
      <c r="AL21" s="51"/>
    </row>
    <row r="22" spans="1:39">
      <c r="A22" s="159">
        <v>16</v>
      </c>
      <c r="B22" s="51" t="s">
        <v>49</v>
      </c>
      <c r="C22" s="53">
        <f>C6*C47</f>
        <v>317196.00000000006</v>
      </c>
      <c r="D22" s="53">
        <f t="shared" ref="D22:G22" si="24">D6*D47</f>
        <v>826200</v>
      </c>
      <c r="E22" s="53">
        <f t="shared" si="24"/>
        <v>215280.00000000003</v>
      </c>
      <c r="F22" s="53">
        <f t="shared" si="24"/>
        <v>285429.59999999998</v>
      </c>
      <c r="G22" s="53">
        <f t="shared" si="24"/>
        <v>0</v>
      </c>
      <c r="H22" s="53">
        <f t="shared" ref="H22:I22" si="25">H6*H47</f>
        <v>0</v>
      </c>
      <c r="I22" s="53">
        <f t="shared" si="25"/>
        <v>0</v>
      </c>
      <c r="J22" s="53">
        <f>SUM(C22:I22)</f>
        <v>1644105.6</v>
      </c>
      <c r="U22" s="51" t="s">
        <v>49</v>
      </c>
      <c r="AK22" s="51" t="s">
        <v>50</v>
      </c>
      <c r="AL22" s="51" t="s">
        <v>49</v>
      </c>
    </row>
    <row r="23" spans="1:39">
      <c r="A23" s="159">
        <v>17</v>
      </c>
      <c r="B23" s="54" t="s">
        <v>51</v>
      </c>
      <c r="C23" s="58">
        <f>+C22+C21+C20+C19+C17</f>
        <v>716357.13244444446</v>
      </c>
      <c r="D23" s="58">
        <f t="shared" ref="D23:G23" si="26">+D22+D21+D20+D19+D17</f>
        <v>1869706.9333333333</v>
      </c>
      <c r="E23" s="58">
        <f t="shared" si="26"/>
        <v>489288.28444444452</v>
      </c>
      <c r="F23" s="58">
        <f t="shared" si="26"/>
        <v>674514.92657777772</v>
      </c>
      <c r="G23" s="58">
        <f t="shared" si="26"/>
        <v>0</v>
      </c>
      <c r="H23" s="58">
        <f t="shared" ref="H23:I23" si="27">+H22+H21+H20+H19+H17</f>
        <v>0</v>
      </c>
      <c r="I23" s="58">
        <f t="shared" si="27"/>
        <v>0</v>
      </c>
      <c r="J23" s="58">
        <f t="shared" ref="J23" si="28">+J22+J21+J20+J19+J17</f>
        <v>3749867.2768000001</v>
      </c>
      <c r="U23" s="54" t="s">
        <v>51</v>
      </c>
      <c r="AK23" s="51" t="s">
        <v>52</v>
      </c>
      <c r="AL23" s="54" t="s">
        <v>51</v>
      </c>
    </row>
    <row r="24" spans="1:39">
      <c r="A24" s="159">
        <v>18</v>
      </c>
      <c r="B24" s="59" t="s">
        <v>53</v>
      </c>
      <c r="C24" s="58">
        <f>+C15-C23</f>
        <v>514571.93397370575</v>
      </c>
      <c r="D24" s="58">
        <f t="shared" ref="D24:G24" si="29">+D15-D23</f>
        <v>906369.15126440977</v>
      </c>
      <c r="E24" s="58">
        <f t="shared" si="29"/>
        <v>-51154.98803441599</v>
      </c>
      <c r="F24" s="58">
        <f t="shared" si="29"/>
        <v>402387.94225766032</v>
      </c>
      <c r="G24" s="58">
        <f t="shared" si="29"/>
        <v>0</v>
      </c>
      <c r="H24" s="58">
        <f t="shared" ref="H24:I24" si="30">+H15-H23</f>
        <v>0</v>
      </c>
      <c r="I24" s="58">
        <f t="shared" si="30"/>
        <v>0</v>
      </c>
      <c r="J24" s="58">
        <f t="shared" ref="J24" si="31">+J15-J23</f>
        <v>1772174.0394613603</v>
      </c>
      <c r="L24" s="70"/>
      <c r="U24" s="51" t="s">
        <v>53</v>
      </c>
      <c r="AK24" s="51" t="s">
        <v>54</v>
      </c>
      <c r="AL24" s="51" t="s">
        <v>53</v>
      </c>
    </row>
    <row r="25" spans="1:39">
      <c r="A25" s="159">
        <v>19</v>
      </c>
      <c r="B25" s="51" t="s">
        <v>228</v>
      </c>
      <c r="C25" s="58">
        <f>IF(C24&lt;0,0,C24*0.25)</f>
        <v>128642.98349342644</v>
      </c>
      <c r="D25" s="58">
        <f t="shared" ref="D25:J25" si="32">IF(D24&lt;0,0,D24*0.25)</f>
        <v>226592.28781610244</v>
      </c>
      <c r="E25" s="58">
        <f t="shared" si="32"/>
        <v>0</v>
      </c>
      <c r="F25" s="58">
        <f t="shared" si="32"/>
        <v>100596.98556441508</v>
      </c>
      <c r="G25" s="58">
        <f t="shared" si="32"/>
        <v>0</v>
      </c>
      <c r="H25" s="58">
        <f t="shared" si="32"/>
        <v>0</v>
      </c>
      <c r="I25" s="58">
        <f t="shared" si="32"/>
        <v>0</v>
      </c>
      <c r="J25" s="58">
        <f t="shared" si="32"/>
        <v>443043.50986534008</v>
      </c>
      <c r="L25" s="66"/>
      <c r="M25" s="66"/>
      <c r="U25" s="51" t="s">
        <v>55</v>
      </c>
      <c r="AK25" s="51" t="s">
        <v>56</v>
      </c>
      <c r="AL25" s="51" t="s">
        <v>55</v>
      </c>
    </row>
    <row r="26" spans="1:39">
      <c r="A26" s="159">
        <v>20</v>
      </c>
      <c r="B26" s="51" t="s">
        <v>57</v>
      </c>
      <c r="C26" s="58">
        <f t="shared" ref="C26:G26" si="33">C24-C25</f>
        <v>385928.95048027928</v>
      </c>
      <c r="D26" s="58">
        <f t="shared" si="33"/>
        <v>679776.86344830738</v>
      </c>
      <c r="E26" s="58">
        <f t="shared" si="33"/>
        <v>-51154.98803441599</v>
      </c>
      <c r="F26" s="58">
        <f t="shared" si="33"/>
        <v>301790.95669324521</v>
      </c>
      <c r="G26" s="58">
        <f t="shared" si="33"/>
        <v>0</v>
      </c>
      <c r="H26" s="58">
        <f t="shared" ref="H26:I26" si="34">H24-H25</f>
        <v>0</v>
      </c>
      <c r="I26" s="58">
        <f t="shared" si="34"/>
        <v>0</v>
      </c>
      <c r="J26" s="53">
        <f>J24-J25</f>
        <v>1329130.5295960202</v>
      </c>
      <c r="L26" s="66"/>
      <c r="M26" s="66"/>
      <c r="U26" s="51" t="s">
        <v>57</v>
      </c>
      <c r="AK26" s="51" t="s">
        <v>58</v>
      </c>
      <c r="AL26" s="51" t="s">
        <v>57</v>
      </c>
    </row>
    <row r="27" spans="1:39">
      <c r="A27" s="159">
        <v>21</v>
      </c>
      <c r="B27" s="51" t="s">
        <v>61</v>
      </c>
      <c r="C27" s="60">
        <f t="shared" ref="C27:J27" si="35">C26/C7</f>
        <v>6.0834460472433335E-2</v>
      </c>
      <c r="D27" s="60">
        <f t="shared" ref="D27:G27" si="36">D26/D7</f>
        <v>4.1138759588980112E-2</v>
      </c>
      <c r="E27" s="60">
        <f t="shared" si="36"/>
        <v>-1.1881035868268299E-2</v>
      </c>
      <c r="F27" s="60">
        <f t="shared" si="36"/>
        <v>5.2866093196578985E-2</v>
      </c>
      <c r="G27" s="60" t="e">
        <f t="shared" si="36"/>
        <v>#DIV/0!</v>
      </c>
      <c r="H27" s="60" t="e">
        <f t="shared" ref="H27:I27" si="37">H26/H7</f>
        <v>#DIV/0!</v>
      </c>
      <c r="I27" s="60" t="e">
        <f t="shared" si="37"/>
        <v>#DIV/0!</v>
      </c>
      <c r="J27" s="60">
        <f t="shared" si="35"/>
        <v>4.0421081516783967E-2</v>
      </c>
      <c r="L27" s="66"/>
      <c r="M27" s="66"/>
      <c r="U27" s="51" t="s">
        <v>61</v>
      </c>
      <c r="AK27" s="51" t="s">
        <v>60</v>
      </c>
      <c r="AL27" s="51" t="s">
        <v>61</v>
      </c>
    </row>
    <row r="28" spans="1:39">
      <c r="L28" s="66"/>
      <c r="M28" s="66"/>
      <c r="U28" s="51"/>
    </row>
    <row r="29" spans="1:39">
      <c r="A29" s="47" t="s">
        <v>62</v>
      </c>
      <c r="J29" s="48" t="s">
        <v>146</v>
      </c>
      <c r="K29" s="66"/>
      <c r="L29" s="66"/>
      <c r="M29" s="66"/>
      <c r="U29" s="51"/>
      <c r="AK29" s="47" t="s">
        <v>62</v>
      </c>
    </row>
    <row r="30" spans="1:39">
      <c r="A30" s="51" t="s">
        <v>63</v>
      </c>
      <c r="B30" s="54" t="s">
        <v>64</v>
      </c>
      <c r="C30" s="58"/>
      <c r="D30" s="58"/>
      <c r="E30" s="58"/>
      <c r="F30" s="58"/>
      <c r="G30" s="58"/>
      <c r="H30" s="58"/>
      <c r="I30" s="58"/>
      <c r="J30" s="58"/>
      <c r="K30" s="66"/>
      <c r="L30" s="66"/>
      <c r="M30" s="66"/>
      <c r="O30" s="66"/>
      <c r="U30" s="54" t="s">
        <v>64</v>
      </c>
      <c r="AK30" s="51" t="s">
        <v>65</v>
      </c>
      <c r="AL30" s="54" t="s">
        <v>64</v>
      </c>
    </row>
    <row r="31" spans="1:39">
      <c r="A31" s="159">
        <v>1</v>
      </c>
      <c r="B31" s="56" t="s">
        <v>66</v>
      </c>
      <c r="C31" s="62">
        <f>销量!C8</f>
        <v>1762.2</v>
      </c>
      <c r="D31" s="62">
        <f>销量!D8</f>
        <v>1530</v>
      </c>
      <c r="E31" s="62">
        <f>销量!E8</f>
        <v>1196</v>
      </c>
      <c r="F31" s="62">
        <f>销量!F8</f>
        <v>396.43</v>
      </c>
      <c r="G31" s="62">
        <f>销量!G8</f>
        <v>0</v>
      </c>
      <c r="H31" s="62">
        <f>销量!H8</f>
        <v>0</v>
      </c>
      <c r="I31" s="62">
        <f>销量!I8</f>
        <v>0</v>
      </c>
      <c r="J31" s="58"/>
      <c r="K31" s="66"/>
      <c r="L31" s="66"/>
      <c r="M31" s="66"/>
      <c r="O31" s="66"/>
      <c r="U31" s="51" t="s">
        <v>66</v>
      </c>
      <c r="AK31" s="51" t="s">
        <v>20</v>
      </c>
      <c r="AL31" s="51" t="s">
        <v>66</v>
      </c>
    </row>
    <row r="32" spans="1:39">
      <c r="A32" s="159">
        <v>2</v>
      </c>
      <c r="B32" s="51" t="s">
        <v>147</v>
      </c>
      <c r="C32" s="53">
        <f>C9/C6</f>
        <v>1658.0539800000001</v>
      </c>
      <c r="D32" s="53">
        <f t="shared" ref="D32:E32" si="38">D9/D6</f>
        <v>1439.5770000000002</v>
      </c>
      <c r="E32" s="53">
        <f t="shared" si="38"/>
        <v>1125.3164000000002</v>
      </c>
      <c r="F32" s="53">
        <f t="shared" ref="F32:I32" si="39">F9/F6</f>
        <v>373.00098700000007</v>
      </c>
      <c r="G32" s="53" t="e">
        <f t="shared" si="39"/>
        <v>#DIV/0!</v>
      </c>
      <c r="H32" s="53" t="e">
        <f t="shared" si="39"/>
        <v>#DIV/0!</v>
      </c>
      <c r="I32" s="53" t="e">
        <f t="shared" si="39"/>
        <v>#DIV/0!</v>
      </c>
      <c r="J32" s="58"/>
      <c r="K32" s="66"/>
      <c r="L32" s="66"/>
      <c r="M32" s="66"/>
      <c r="N32" s="66"/>
      <c r="O32" s="66"/>
      <c r="P32" s="66"/>
      <c r="Q32" s="66"/>
      <c r="AK32" s="51"/>
      <c r="AL32" s="51"/>
    </row>
    <row r="33" spans="1:38">
      <c r="A33" s="159">
        <v>3</v>
      </c>
      <c r="B33" s="56" t="s">
        <v>67</v>
      </c>
      <c r="C33" s="53">
        <f>材料成本!D14</f>
        <v>1221.4990993282918</v>
      </c>
      <c r="D33" s="53">
        <f>材料成本!E14</f>
        <v>1100.3719180928017</v>
      </c>
      <c r="E33" s="53">
        <f>材料成本!F14</f>
        <v>939.38750655276999</v>
      </c>
      <c r="F33" s="53">
        <f>材料成本!G14</f>
        <v>276.92777455309465</v>
      </c>
      <c r="G33" s="53">
        <f>材料成本!H14</f>
        <v>0</v>
      </c>
      <c r="H33" s="53">
        <f>材料成本!I14</f>
        <v>0</v>
      </c>
      <c r="I33" s="53">
        <f>材料成本!J14</f>
        <v>0</v>
      </c>
      <c r="J33" s="58"/>
      <c r="L33" s="66"/>
      <c r="M33" s="66"/>
      <c r="N33" s="66"/>
      <c r="O33" s="66"/>
      <c r="P33" s="66"/>
      <c r="Q33" s="66"/>
      <c r="U33" s="51" t="s">
        <v>67</v>
      </c>
      <c r="AK33" s="51" t="s">
        <v>22</v>
      </c>
      <c r="AL33" s="51" t="s">
        <v>67</v>
      </c>
    </row>
    <row r="34" spans="1:38" ht="17.25" customHeight="1">
      <c r="A34" s="159">
        <v>4</v>
      </c>
      <c r="B34" s="51" t="s">
        <v>69</v>
      </c>
      <c r="C34" s="63">
        <f>C32-C33</f>
        <v>436.55488067170836</v>
      </c>
      <c r="D34" s="63">
        <f t="shared" ref="D34:I34" si="40">D32-D33</f>
        <v>339.20508190719852</v>
      </c>
      <c r="E34" s="63">
        <f t="shared" si="40"/>
        <v>185.92889344723017</v>
      </c>
      <c r="F34" s="63">
        <f t="shared" si="40"/>
        <v>96.073212446905416</v>
      </c>
      <c r="G34" s="63" t="e">
        <f t="shared" si="40"/>
        <v>#DIV/0!</v>
      </c>
      <c r="H34" s="63" t="e">
        <f t="shared" si="40"/>
        <v>#DIV/0!</v>
      </c>
      <c r="I34" s="63" t="e">
        <f t="shared" si="40"/>
        <v>#DIV/0!</v>
      </c>
      <c r="J34" s="58"/>
      <c r="L34" s="66"/>
      <c r="M34" s="66"/>
      <c r="N34" s="66"/>
      <c r="O34" s="66"/>
      <c r="P34" s="66"/>
      <c r="Q34" s="66"/>
      <c r="U34" s="51" t="s">
        <v>69</v>
      </c>
      <c r="AK34" s="51" t="s">
        <v>68</v>
      </c>
      <c r="AL34" s="51" t="s">
        <v>69</v>
      </c>
    </row>
    <row r="35" spans="1:38">
      <c r="A35" s="51" t="s">
        <v>65</v>
      </c>
      <c r="B35" s="54" t="s">
        <v>9</v>
      </c>
      <c r="C35" s="58"/>
      <c r="D35" s="58"/>
      <c r="E35" s="58"/>
      <c r="F35" s="58"/>
      <c r="G35" s="58"/>
      <c r="H35" s="58"/>
      <c r="I35" s="58"/>
      <c r="J35" s="58"/>
      <c r="K35" s="66"/>
      <c r="L35" s="66"/>
      <c r="M35" s="66"/>
      <c r="N35" s="66"/>
      <c r="O35" s="66"/>
      <c r="P35" s="66"/>
      <c r="Q35" s="66"/>
      <c r="R35" s="66"/>
      <c r="S35" s="66"/>
      <c r="T35" s="66"/>
      <c r="U35" s="54" t="s">
        <v>9</v>
      </c>
      <c r="AK35" s="51" t="s">
        <v>71</v>
      </c>
      <c r="AL35" s="54" t="s">
        <v>9</v>
      </c>
    </row>
    <row r="36" spans="1:38">
      <c r="A36" s="159">
        <v>1</v>
      </c>
      <c r="B36" s="51" t="s">
        <v>72</v>
      </c>
      <c r="C36" s="57">
        <f>'2024年'!C36</f>
        <v>62.029440000000008</v>
      </c>
      <c r="D36" s="57">
        <f>'2024年'!D36</f>
        <v>53.856000000000002</v>
      </c>
      <c r="E36" s="57">
        <f>'2024年'!E36</f>
        <v>42.099200000000003</v>
      </c>
      <c r="F36" s="57">
        <f>'2024年'!F36</f>
        <v>13.954336000000001</v>
      </c>
      <c r="G36" s="57">
        <f>'2024年'!G36</f>
        <v>0</v>
      </c>
      <c r="H36" s="57">
        <f>'2024年'!H36</f>
        <v>0</v>
      </c>
      <c r="I36" s="57">
        <f>'2024年'!I36</f>
        <v>0</v>
      </c>
      <c r="J36" s="62"/>
      <c r="K36" s="66"/>
      <c r="L36" s="66"/>
      <c r="M36" s="66"/>
      <c r="N36" s="66"/>
      <c r="O36" s="66"/>
      <c r="P36" s="66"/>
      <c r="Q36" s="66"/>
      <c r="R36" s="66"/>
      <c r="S36" s="66"/>
      <c r="T36" s="66"/>
      <c r="U36" s="51" t="s">
        <v>72</v>
      </c>
      <c r="AK36" s="51" t="s">
        <v>68</v>
      </c>
      <c r="AL36" s="51" t="s">
        <v>72</v>
      </c>
    </row>
    <row r="37" spans="1:38">
      <c r="A37" s="159">
        <v>2</v>
      </c>
      <c r="B37" s="51" t="s">
        <v>73</v>
      </c>
      <c r="C37" s="57">
        <f>'2024年'!C37</f>
        <v>18.679320000000001</v>
      </c>
      <c r="D37" s="57">
        <f>'2024年'!D37</f>
        <v>16.218</v>
      </c>
      <c r="E37" s="57">
        <f>'2024年'!E37</f>
        <v>12.6776</v>
      </c>
      <c r="F37" s="57">
        <f>'2024年'!F37</f>
        <v>4.2021579999999998</v>
      </c>
      <c r="G37" s="57">
        <f>'2024年'!G37</f>
        <v>0</v>
      </c>
      <c r="H37" s="57">
        <f>'2024年'!H37</f>
        <v>0</v>
      </c>
      <c r="I37" s="57">
        <f>'2024年'!I37</f>
        <v>0</v>
      </c>
      <c r="J37" s="62"/>
      <c r="K37" s="66"/>
      <c r="L37" s="66"/>
      <c r="M37" s="66"/>
      <c r="N37" s="66"/>
      <c r="O37" s="66"/>
      <c r="P37" s="66"/>
      <c r="Q37" s="66"/>
      <c r="R37" s="66"/>
      <c r="S37" s="66"/>
      <c r="T37" s="66"/>
      <c r="U37" s="51" t="s">
        <v>73</v>
      </c>
      <c r="AK37" s="51" t="s">
        <v>25</v>
      </c>
      <c r="AL37" s="51" t="s">
        <v>73</v>
      </c>
    </row>
    <row r="38" spans="1:38">
      <c r="A38" s="159">
        <v>3</v>
      </c>
      <c r="B38" s="51" t="s">
        <v>74</v>
      </c>
      <c r="C38" s="57">
        <f>'2024年'!C38</f>
        <v>13.921380000000001</v>
      </c>
      <c r="D38" s="57">
        <f>'2024年'!D38</f>
        <v>12.087000000000002</v>
      </c>
      <c r="E38" s="57">
        <f>'2024年'!E38</f>
        <v>9.4484000000000012</v>
      </c>
      <c r="F38" s="57">
        <f>'2024年'!F38</f>
        <v>3.1317970000000002</v>
      </c>
      <c r="G38" s="57">
        <f>'2024年'!G38</f>
        <v>0</v>
      </c>
      <c r="H38" s="57">
        <f>'2024年'!H38</f>
        <v>0</v>
      </c>
      <c r="I38" s="57">
        <f>'2024年'!I38</f>
        <v>0</v>
      </c>
      <c r="J38" s="62"/>
      <c r="K38" s="66"/>
      <c r="L38" s="66"/>
      <c r="M38" s="66"/>
      <c r="N38" s="66"/>
      <c r="O38" s="66"/>
      <c r="P38" s="66"/>
      <c r="Q38" s="66"/>
      <c r="R38" s="66"/>
      <c r="S38" s="66"/>
      <c r="T38" s="66"/>
      <c r="U38" s="51" t="s">
        <v>74</v>
      </c>
      <c r="AK38" s="51" t="s">
        <v>31</v>
      </c>
      <c r="AL38" s="51" t="s">
        <v>74</v>
      </c>
    </row>
    <row r="39" spans="1:38">
      <c r="A39" s="51" t="s">
        <v>71</v>
      </c>
      <c r="B39" s="54" t="s">
        <v>76</v>
      </c>
      <c r="C39" s="58"/>
      <c r="D39" s="58"/>
      <c r="E39" s="58"/>
      <c r="F39" s="58"/>
      <c r="G39" s="58"/>
      <c r="H39" s="58"/>
      <c r="I39" s="58"/>
      <c r="J39" s="58"/>
      <c r="U39" s="54" t="s">
        <v>76</v>
      </c>
      <c r="AK39" s="51" t="s">
        <v>75</v>
      </c>
      <c r="AL39" s="54" t="s">
        <v>76</v>
      </c>
    </row>
    <row r="40" spans="1:38">
      <c r="A40" s="159">
        <v>1</v>
      </c>
      <c r="B40" s="51" t="s">
        <v>78</v>
      </c>
      <c r="C40" s="58">
        <f>C34-C36-C37-C38</f>
        <v>341.92474067170832</v>
      </c>
      <c r="D40" s="58">
        <f t="shared" ref="D40:I40" si="41">D34-D36-D37-D38</f>
        <v>257.04408190719852</v>
      </c>
      <c r="E40" s="58">
        <f t="shared" si="41"/>
        <v>121.70369344723015</v>
      </c>
      <c r="F40" s="58">
        <f t="shared" si="41"/>
        <v>74.784921446905415</v>
      </c>
      <c r="G40" s="58" t="e">
        <f t="shared" si="41"/>
        <v>#DIV/0!</v>
      </c>
      <c r="H40" s="58" t="e">
        <f t="shared" si="41"/>
        <v>#DIV/0!</v>
      </c>
      <c r="I40" s="58" t="e">
        <f t="shared" si="41"/>
        <v>#DIV/0!</v>
      </c>
      <c r="J40" s="58"/>
      <c r="U40" s="51" t="s">
        <v>78</v>
      </c>
      <c r="AK40" s="51" t="s">
        <v>20</v>
      </c>
      <c r="AL40" s="51" t="s">
        <v>78</v>
      </c>
    </row>
    <row r="41" spans="1:38">
      <c r="A41" s="159">
        <v>2</v>
      </c>
      <c r="B41" s="51" t="s">
        <v>79</v>
      </c>
      <c r="C41" s="58"/>
      <c r="D41" s="58"/>
      <c r="E41" s="58"/>
      <c r="F41" s="58"/>
      <c r="G41" s="58"/>
      <c r="H41" s="58"/>
      <c r="I41" s="58"/>
      <c r="J41" s="58"/>
      <c r="U41" s="51" t="s">
        <v>79</v>
      </c>
      <c r="AK41" s="51" t="s">
        <v>22</v>
      </c>
      <c r="AL41" s="51" t="s">
        <v>79</v>
      </c>
    </row>
    <row r="42" spans="1:38">
      <c r="A42" s="51" t="s">
        <v>75</v>
      </c>
      <c r="B42" s="54" t="s">
        <v>81</v>
      </c>
      <c r="C42" s="58"/>
      <c r="D42" s="58"/>
      <c r="E42" s="58"/>
      <c r="F42" s="58"/>
      <c r="G42" s="58"/>
      <c r="H42" s="58"/>
      <c r="I42" s="58"/>
      <c r="J42" s="58"/>
      <c r="U42" s="54" t="s">
        <v>81</v>
      </c>
      <c r="AK42" s="51" t="s">
        <v>80</v>
      </c>
      <c r="AL42" s="54" t="s">
        <v>81</v>
      </c>
    </row>
    <row r="43" spans="1:38">
      <c r="A43" s="159">
        <v>1</v>
      </c>
      <c r="B43" s="59" t="s">
        <v>82</v>
      </c>
      <c r="C43" s="57">
        <f>'2024年'!C43</f>
        <v>34.186680000000003</v>
      </c>
      <c r="D43" s="57">
        <f>'2024年'!D43</f>
        <v>29.682000000000002</v>
      </c>
      <c r="E43" s="57">
        <f>'2024年'!E43</f>
        <v>23.202400000000001</v>
      </c>
      <c r="F43" s="57">
        <f>'2024年'!F43</f>
        <v>7.6907420000000002</v>
      </c>
      <c r="G43" s="57">
        <f>'2024年'!G43</f>
        <v>0</v>
      </c>
      <c r="H43" s="57">
        <f>'2024年'!H43</f>
        <v>0</v>
      </c>
      <c r="I43" s="57">
        <f>'2024年'!I43</f>
        <v>0</v>
      </c>
      <c r="J43" s="58"/>
      <c r="U43" s="51" t="s">
        <v>82</v>
      </c>
      <c r="AK43" s="51" t="s">
        <v>20</v>
      </c>
      <c r="AL43" s="51" t="s">
        <v>82</v>
      </c>
    </row>
    <row r="44" spans="1:38">
      <c r="A44" s="159">
        <v>2</v>
      </c>
      <c r="B44" s="59" t="s">
        <v>83</v>
      </c>
      <c r="C44" s="57">
        <f>'2024年'!C44</f>
        <v>16.564680000000003</v>
      </c>
      <c r="D44" s="57">
        <f>'2024年'!D44</f>
        <v>14.382000000000001</v>
      </c>
      <c r="E44" s="57">
        <f>'2024年'!E44</f>
        <v>11.2424</v>
      </c>
      <c r="F44" s="57">
        <f>'2024年'!F44</f>
        <v>3.726442</v>
      </c>
      <c r="G44" s="57">
        <f>'2024年'!G44</f>
        <v>0</v>
      </c>
      <c r="H44" s="57">
        <f>'2024年'!H44</f>
        <v>0</v>
      </c>
      <c r="I44" s="57">
        <f>'2024年'!I44</f>
        <v>0</v>
      </c>
      <c r="J44" s="58"/>
      <c r="U44" s="51" t="s">
        <v>83</v>
      </c>
      <c r="AK44" s="51" t="s">
        <v>22</v>
      </c>
      <c r="AL44" s="51" t="s">
        <v>83</v>
      </c>
    </row>
    <row r="45" spans="1:38">
      <c r="A45" s="159">
        <v>3</v>
      </c>
      <c r="B45" s="59" t="s">
        <v>84</v>
      </c>
      <c r="C45" s="57">
        <f>'2024年'!C45</f>
        <v>57.447719999999997</v>
      </c>
      <c r="D45" s="57">
        <f>'2024年'!D45</f>
        <v>49.877999999999993</v>
      </c>
      <c r="E45" s="57">
        <f>'2024年'!E45</f>
        <v>38.989599999999996</v>
      </c>
      <c r="F45" s="57">
        <f>'2024年'!F45</f>
        <v>12.923617999999999</v>
      </c>
      <c r="G45" s="57">
        <f>'2024年'!G45</f>
        <v>0</v>
      </c>
      <c r="H45" s="57">
        <f>'2024年'!H45</f>
        <v>0</v>
      </c>
      <c r="I45" s="57">
        <f>'2024年'!I45</f>
        <v>0</v>
      </c>
      <c r="J45" s="58"/>
      <c r="U45" s="51" t="s">
        <v>84</v>
      </c>
      <c r="AK45" s="51" t="s">
        <v>68</v>
      </c>
      <c r="AL45" s="51" t="s">
        <v>84</v>
      </c>
    </row>
    <row r="46" spans="1:38" s="46" customFormat="1">
      <c r="A46" s="159">
        <v>4</v>
      </c>
      <c r="B46" s="59" t="s">
        <v>85</v>
      </c>
      <c r="C46" s="64">
        <f>C21/C6</f>
        <v>1.9826388888888888</v>
      </c>
      <c r="D46" s="64">
        <f t="shared" ref="D46:I46" si="42">D21/D6</f>
        <v>1.9826388888888888</v>
      </c>
      <c r="E46" s="64">
        <f t="shared" si="42"/>
        <v>1.9826388888888888</v>
      </c>
      <c r="F46" s="64">
        <f t="shared" si="42"/>
        <v>1.9826388888888888</v>
      </c>
      <c r="G46" s="64" t="e">
        <f t="shared" si="42"/>
        <v>#DIV/0!</v>
      </c>
      <c r="H46" s="64" t="e">
        <f t="shared" si="42"/>
        <v>#DIV/0!</v>
      </c>
      <c r="I46" s="64" t="e">
        <f t="shared" si="42"/>
        <v>#DIV/0!</v>
      </c>
      <c r="J46" s="64"/>
      <c r="U46" s="59" t="s">
        <v>87</v>
      </c>
      <c r="AK46" s="59" t="s">
        <v>28</v>
      </c>
      <c r="AL46" s="59" t="s">
        <v>87</v>
      </c>
    </row>
    <row r="47" spans="1:38" s="46" customFormat="1">
      <c r="A47" s="159">
        <v>5</v>
      </c>
      <c r="B47" s="59" t="s">
        <v>87</v>
      </c>
      <c r="C47" s="64">
        <f>'2024年'!C47</f>
        <v>88.110000000000014</v>
      </c>
      <c r="D47" s="64">
        <f>'2024年'!D47</f>
        <v>76.5</v>
      </c>
      <c r="E47" s="64">
        <f>'2024年'!E47</f>
        <v>59.800000000000004</v>
      </c>
      <c r="F47" s="64">
        <f>'2024年'!F47</f>
        <v>19.8215</v>
      </c>
      <c r="G47" s="64">
        <f>'2024年'!G47</f>
        <v>0</v>
      </c>
      <c r="H47" s="64">
        <f>'2024年'!H47</f>
        <v>0</v>
      </c>
      <c r="I47" s="64">
        <f>'2024年'!I47</f>
        <v>0</v>
      </c>
      <c r="J47" s="64"/>
      <c r="U47" s="59" t="s">
        <v>87</v>
      </c>
      <c r="AK47" s="59" t="s">
        <v>28</v>
      </c>
      <c r="AL47" s="59" t="s">
        <v>87</v>
      </c>
    </row>
    <row r="48" spans="1:38">
      <c r="A48" s="51" t="s">
        <v>80</v>
      </c>
      <c r="B48" s="54" t="s">
        <v>98</v>
      </c>
      <c r="C48" s="58">
        <f>C40-C43-C44-C45-C47-C46</f>
        <v>143.63302178281938</v>
      </c>
      <c r="D48" s="58">
        <f t="shared" ref="D48:I48" si="43">D40-D43-D44-D45-D47-D46</f>
        <v>84.619443018309624</v>
      </c>
      <c r="E48" s="58">
        <f t="shared" si="43"/>
        <v>-13.513345441658739</v>
      </c>
      <c r="F48" s="58">
        <f t="shared" si="43"/>
        <v>28.639980558016529</v>
      </c>
      <c r="G48" s="58" t="e">
        <f t="shared" si="43"/>
        <v>#DIV/0!</v>
      </c>
      <c r="H48" s="58" t="e">
        <f t="shared" si="43"/>
        <v>#DIV/0!</v>
      </c>
      <c r="I48" s="58" t="e">
        <f t="shared" si="43"/>
        <v>#DIV/0!</v>
      </c>
      <c r="J48" s="58"/>
      <c r="U48" s="54" t="s">
        <v>98</v>
      </c>
      <c r="AK48" s="51" t="s">
        <v>97</v>
      </c>
      <c r="AL48" s="54" t="s">
        <v>98</v>
      </c>
    </row>
    <row r="51" spans="2:15">
      <c r="C51" s="65"/>
      <c r="D51" s="65"/>
      <c r="E51" s="65"/>
      <c r="F51" s="65"/>
      <c r="G51" s="65"/>
      <c r="H51" s="65"/>
      <c r="I51" s="65"/>
    </row>
    <row r="54" spans="2:15">
      <c r="B54" s="66"/>
      <c r="C54" s="67"/>
      <c r="D54" s="67"/>
      <c r="E54" s="67"/>
      <c r="F54" s="67"/>
      <c r="G54" s="67"/>
      <c r="H54" s="67"/>
      <c r="I54" s="67"/>
      <c r="J54" s="67"/>
      <c r="K54" s="66"/>
      <c r="L54" s="66"/>
      <c r="M54" s="66"/>
      <c r="N54" s="66"/>
      <c r="O54" s="66"/>
    </row>
    <row r="55" spans="2:15">
      <c r="B55" s="66"/>
      <c r="C55" s="67"/>
      <c r="D55" s="67"/>
      <c r="E55" s="67"/>
      <c r="F55" s="67"/>
      <c r="G55" s="67"/>
      <c r="H55" s="67"/>
      <c r="I55" s="67"/>
      <c r="J55" s="67"/>
      <c r="K55" s="66"/>
      <c r="L55" s="66"/>
      <c r="M55" s="66"/>
      <c r="N55" s="66"/>
      <c r="O55" s="66"/>
    </row>
    <row r="56" spans="2:15">
      <c r="B56" s="66"/>
      <c r="C56" s="67"/>
      <c r="D56" s="67"/>
      <c r="E56" s="67"/>
      <c r="F56" s="67"/>
      <c r="G56" s="67"/>
      <c r="H56" s="67"/>
      <c r="I56" s="67"/>
      <c r="J56" s="67"/>
      <c r="K56" s="66"/>
      <c r="L56" s="66"/>
      <c r="M56" s="66"/>
      <c r="N56" s="66"/>
      <c r="O56" s="66"/>
    </row>
    <row r="57" spans="2:15">
      <c r="B57" s="66"/>
      <c r="C57" s="67"/>
      <c r="D57" s="67"/>
      <c r="E57" s="67"/>
      <c r="F57" s="67"/>
      <c r="G57" s="67"/>
      <c r="H57" s="67"/>
      <c r="I57" s="67"/>
      <c r="J57" s="67"/>
      <c r="K57" s="66"/>
      <c r="L57" s="66"/>
      <c r="M57" s="66"/>
      <c r="N57" s="66"/>
      <c r="O57" s="66"/>
    </row>
    <row r="58" spans="2:15">
      <c r="B58" s="66"/>
      <c r="C58" s="67"/>
      <c r="D58" s="67"/>
      <c r="E58" s="67"/>
      <c r="F58" s="67"/>
      <c r="G58" s="67"/>
      <c r="H58" s="67"/>
      <c r="I58" s="67"/>
      <c r="J58" s="67"/>
      <c r="K58" s="66"/>
      <c r="L58" s="66"/>
      <c r="M58" s="66"/>
      <c r="N58" s="66"/>
      <c r="O58" s="66"/>
    </row>
    <row r="59" spans="2:15">
      <c r="B59" s="66"/>
      <c r="C59" s="67"/>
      <c r="D59" s="67"/>
      <c r="E59" s="67"/>
      <c r="F59" s="67"/>
      <c r="G59" s="67"/>
      <c r="H59" s="67"/>
      <c r="I59" s="67"/>
      <c r="J59" s="67"/>
      <c r="K59" s="66"/>
      <c r="L59" s="66"/>
      <c r="M59" s="66"/>
      <c r="N59" s="66"/>
      <c r="O59" s="66"/>
    </row>
    <row r="60" spans="2:15">
      <c r="B60" s="66"/>
      <c r="C60" s="67"/>
      <c r="D60" s="67"/>
      <c r="E60" s="67"/>
      <c r="F60" s="67"/>
      <c r="G60" s="67"/>
      <c r="H60" s="67"/>
      <c r="I60" s="67"/>
      <c r="J60" s="67"/>
      <c r="K60" s="66"/>
      <c r="L60" s="66"/>
      <c r="M60" s="66"/>
      <c r="N60" s="66"/>
      <c r="O60" s="66"/>
    </row>
    <row r="61" spans="2:15">
      <c r="B61" s="66"/>
      <c r="C61" s="67"/>
      <c r="D61" s="67"/>
      <c r="E61" s="67"/>
      <c r="F61" s="67"/>
      <c r="G61" s="67"/>
      <c r="H61" s="67"/>
      <c r="I61" s="67"/>
      <c r="J61" s="67"/>
      <c r="K61" s="66"/>
      <c r="L61" s="66"/>
      <c r="M61" s="66"/>
      <c r="N61" s="66"/>
      <c r="O61" s="66"/>
    </row>
    <row r="62" spans="2:15">
      <c r="B62" s="66"/>
      <c r="C62" s="67"/>
      <c r="D62" s="67"/>
      <c r="E62" s="67"/>
      <c r="F62" s="67"/>
      <c r="G62" s="67"/>
      <c r="H62" s="67"/>
      <c r="I62" s="67"/>
      <c r="J62" s="67"/>
      <c r="K62" s="66"/>
      <c r="L62" s="66"/>
      <c r="M62" s="66"/>
      <c r="N62" s="66"/>
      <c r="O62" s="66"/>
    </row>
    <row r="63" spans="2:15">
      <c r="B63" s="66"/>
      <c r="C63" s="67"/>
      <c r="D63" s="67"/>
      <c r="E63" s="67"/>
      <c r="F63" s="67"/>
      <c r="G63" s="67"/>
      <c r="H63" s="67"/>
      <c r="I63" s="67"/>
      <c r="J63" s="67"/>
      <c r="K63" s="66"/>
      <c r="L63" s="66"/>
      <c r="M63" s="66"/>
      <c r="N63" s="66"/>
      <c r="O63" s="66"/>
    </row>
    <row r="64" spans="2:15">
      <c r="B64" s="66"/>
      <c r="C64" s="67"/>
      <c r="D64" s="67"/>
      <c r="E64" s="67"/>
      <c r="F64" s="67"/>
      <c r="G64" s="67"/>
      <c r="H64" s="67"/>
      <c r="I64" s="67"/>
      <c r="J64" s="67"/>
      <c r="K64" s="66"/>
      <c r="L64" s="66"/>
      <c r="M64" s="66"/>
      <c r="N64" s="66"/>
      <c r="O64" s="66"/>
    </row>
    <row r="65" spans="2:15">
      <c r="B65" s="66"/>
      <c r="C65" s="67"/>
      <c r="D65" s="67"/>
      <c r="E65" s="67"/>
      <c r="F65" s="67"/>
      <c r="G65" s="67"/>
      <c r="H65" s="67"/>
      <c r="I65" s="67"/>
      <c r="J65" s="67"/>
      <c r="K65" s="66"/>
      <c r="L65" s="66"/>
      <c r="M65" s="66"/>
      <c r="N65" s="66"/>
      <c r="O65" s="66"/>
    </row>
    <row r="66" spans="2:15">
      <c r="B66" s="66"/>
      <c r="C66" s="67"/>
      <c r="D66" s="67"/>
      <c r="E66" s="67"/>
      <c r="F66" s="67"/>
      <c r="G66" s="67"/>
      <c r="H66" s="67"/>
      <c r="I66" s="67"/>
      <c r="J66" s="67"/>
      <c r="K66" s="66"/>
      <c r="L66" s="66"/>
      <c r="M66" s="66"/>
      <c r="N66" s="66"/>
      <c r="O66" s="66"/>
    </row>
    <row r="67" spans="2:15">
      <c r="B67" s="66"/>
      <c r="C67" s="67"/>
      <c r="D67" s="67"/>
      <c r="E67" s="67"/>
      <c r="F67" s="67"/>
      <c r="G67" s="67"/>
      <c r="H67" s="67"/>
      <c r="I67" s="67"/>
      <c r="J67" s="67"/>
      <c r="K67" s="66"/>
    </row>
    <row r="68" spans="2:15">
      <c r="B68" s="66"/>
      <c r="C68" s="67"/>
      <c r="D68" s="67"/>
      <c r="E68" s="67"/>
      <c r="F68" s="67"/>
      <c r="G68" s="67"/>
      <c r="H68" s="67"/>
      <c r="I68" s="67"/>
      <c r="J68" s="67"/>
      <c r="K68" s="66"/>
    </row>
    <row r="69" spans="2:15">
      <c r="B69" s="66"/>
      <c r="C69" s="67"/>
      <c r="D69" s="67"/>
      <c r="E69" s="67"/>
      <c r="F69" s="67"/>
      <c r="G69" s="67"/>
      <c r="H69" s="67"/>
      <c r="I69" s="67"/>
      <c r="J69" s="67"/>
      <c r="K69" s="66"/>
    </row>
    <row r="70" spans="2:15">
      <c r="B70" s="66"/>
      <c r="C70" s="67"/>
      <c r="D70" s="67"/>
      <c r="E70" s="67"/>
      <c r="F70" s="67"/>
      <c r="G70" s="67"/>
      <c r="H70" s="67"/>
      <c r="I70" s="67"/>
      <c r="J70" s="67"/>
      <c r="K70" s="66"/>
    </row>
    <row r="71" spans="2:15">
      <c r="B71" s="66"/>
      <c r="C71" s="67"/>
      <c r="D71" s="67"/>
      <c r="E71" s="67"/>
      <c r="F71" s="67"/>
      <c r="G71" s="67"/>
      <c r="H71" s="67"/>
      <c r="I71" s="67"/>
      <c r="J71" s="67"/>
      <c r="K71" s="66"/>
    </row>
    <row r="72" spans="2:15">
      <c r="B72" s="66"/>
      <c r="C72" s="67"/>
      <c r="D72" s="67"/>
      <c r="E72" s="67"/>
      <c r="F72" s="67"/>
      <c r="G72" s="67"/>
      <c r="H72" s="67"/>
      <c r="I72" s="67"/>
      <c r="J72" s="67"/>
      <c r="K72" s="66"/>
    </row>
    <row r="73" spans="2:15">
      <c r="B73" s="66"/>
      <c r="C73" s="67"/>
      <c r="D73" s="67"/>
      <c r="E73" s="67"/>
      <c r="F73" s="67"/>
      <c r="G73" s="67"/>
      <c r="H73" s="67"/>
      <c r="I73" s="67"/>
      <c r="J73" s="67"/>
      <c r="K73" s="66"/>
    </row>
    <row r="74" spans="2:15">
      <c r="B74" s="66"/>
      <c r="C74" s="67"/>
      <c r="D74" s="67"/>
      <c r="E74" s="67"/>
      <c r="F74" s="67"/>
      <c r="G74" s="67"/>
      <c r="H74" s="67"/>
      <c r="I74" s="67"/>
      <c r="J74" s="67"/>
      <c r="K74" s="66"/>
    </row>
  </sheetData>
  <mergeCells count="8">
    <mergeCell ref="A1:B1"/>
    <mergeCell ref="C1:J1"/>
    <mergeCell ref="A2:B2"/>
    <mergeCell ref="C2:J2"/>
    <mergeCell ref="A3:B3"/>
    <mergeCell ref="J3:J5"/>
    <mergeCell ref="A4:B4"/>
    <mergeCell ref="A5:B5"/>
  </mergeCells>
  <phoneticPr fontId="38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7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74"/>
  <sheetViews>
    <sheetView workbookViewId="0">
      <pane xSplit="2" ySplit="7" topLeftCell="C15" activePane="bottomRight" state="frozen"/>
      <selection pane="topRight"/>
      <selection pane="bottomLeft"/>
      <selection pane="bottomRight" activeCell="J26" sqref="J26"/>
    </sheetView>
  </sheetViews>
  <sheetFormatPr defaultColWidth="9" defaultRowHeight="16.5"/>
  <cols>
    <col min="1" max="1" width="5.125" style="47" customWidth="1"/>
    <col min="2" max="2" width="17.5" style="47" customWidth="1"/>
    <col min="3" max="9" width="13.25" style="48" customWidth="1"/>
    <col min="10" max="10" width="18.75" style="48" customWidth="1"/>
    <col min="11" max="11" width="12.375" style="47" customWidth="1"/>
    <col min="12" max="12" width="10.125" style="47" customWidth="1"/>
    <col min="13" max="18" width="9" style="47" customWidth="1"/>
    <col min="19" max="31" width="9" style="47"/>
    <col min="32" max="32" width="4.375" style="47" customWidth="1"/>
    <col min="33" max="33" width="13.875" style="47" customWidth="1"/>
    <col min="34" max="16384" width="9" style="47"/>
  </cols>
  <sheetData>
    <row r="1" spans="1:34">
      <c r="A1" s="236" t="s">
        <v>138</v>
      </c>
      <c r="B1" s="236"/>
      <c r="C1" s="240" t="s">
        <v>280</v>
      </c>
      <c r="D1" s="241"/>
      <c r="E1" s="241"/>
      <c r="F1" s="241"/>
      <c r="G1" s="241"/>
      <c r="H1" s="241"/>
      <c r="I1" s="241"/>
      <c r="J1" s="242"/>
    </row>
    <row r="2" spans="1:34">
      <c r="A2" s="236" t="s">
        <v>139</v>
      </c>
      <c r="B2" s="236"/>
      <c r="C2" s="244" t="str">
        <f>'2024年'!C2:J2</f>
        <v>上汽红岩</v>
      </c>
      <c r="D2" s="245"/>
      <c r="E2" s="245"/>
      <c r="F2" s="245"/>
      <c r="G2" s="245"/>
      <c r="H2" s="245"/>
      <c r="I2" s="245"/>
      <c r="J2" s="246"/>
    </row>
    <row r="3" spans="1:34">
      <c r="A3" s="236" t="s">
        <v>140</v>
      </c>
      <c r="B3" s="236"/>
      <c r="C3" s="160" t="str">
        <f>销量!C5</f>
        <v>正司机</v>
      </c>
      <c r="D3" s="160" t="str">
        <f>销量!D5</f>
        <v>正司机</v>
      </c>
      <c r="E3" s="160" t="str">
        <f>销量!E5</f>
        <v>正司机</v>
      </c>
      <c r="F3" s="160" t="str">
        <f>销量!F5</f>
        <v>副司机</v>
      </c>
      <c r="G3" s="160">
        <f>销量!G5</f>
        <v>0</v>
      </c>
      <c r="H3" s="160">
        <f>销量!H5</f>
        <v>0</v>
      </c>
      <c r="I3" s="160">
        <f>销量!I5</f>
        <v>0</v>
      </c>
      <c r="J3" s="237" t="s">
        <v>16</v>
      </c>
    </row>
    <row r="4" spans="1:34" ht="16.5" customHeight="1">
      <c r="A4" s="236" t="s">
        <v>141</v>
      </c>
      <c r="B4" s="236"/>
      <c r="C4" s="160">
        <f>销量!C6</f>
        <v>6000149199</v>
      </c>
      <c r="D4" s="160">
        <f>销量!D6</f>
        <v>6000149200</v>
      </c>
      <c r="E4" s="160">
        <f>销量!E6</f>
        <v>6000149201</v>
      </c>
      <c r="F4" s="160">
        <f>销量!F6</f>
        <v>6000149205</v>
      </c>
      <c r="G4" s="160">
        <f>销量!G6</f>
        <v>0</v>
      </c>
      <c r="H4" s="160">
        <f>销量!H6</f>
        <v>0</v>
      </c>
      <c r="I4" s="160">
        <f>销量!I6</f>
        <v>0</v>
      </c>
      <c r="J4" s="238"/>
    </row>
    <row r="5" spans="1:34">
      <c r="A5" s="236" t="s">
        <v>142</v>
      </c>
      <c r="B5" s="236"/>
      <c r="C5" s="50"/>
      <c r="D5" s="50"/>
      <c r="E5" s="50"/>
      <c r="F5" s="50"/>
      <c r="G5" s="50"/>
      <c r="H5" s="50"/>
      <c r="I5" s="50"/>
      <c r="J5" s="239"/>
      <c r="AH5" s="47" t="s">
        <v>17</v>
      </c>
    </row>
    <row r="6" spans="1:34" ht="17.25">
      <c r="A6" s="51" t="s">
        <v>15</v>
      </c>
      <c r="B6" s="52" t="s">
        <v>143</v>
      </c>
      <c r="C6" s="22">
        <f>销量!C12</f>
        <v>6120</v>
      </c>
      <c r="D6" s="22">
        <f>销量!D12</f>
        <v>18360</v>
      </c>
      <c r="E6" s="22">
        <f>销量!E12</f>
        <v>6120</v>
      </c>
      <c r="F6" s="22">
        <f>销量!F12</f>
        <v>24480</v>
      </c>
      <c r="G6" s="22">
        <f>销量!G12</f>
        <v>0</v>
      </c>
      <c r="H6" s="22">
        <f>销量!H12</f>
        <v>0</v>
      </c>
      <c r="I6" s="22">
        <f>销量!I12</f>
        <v>0</v>
      </c>
      <c r="J6" s="53">
        <f>SUM(C6:I6)</f>
        <v>55080</v>
      </c>
      <c r="AF6" s="51" t="s">
        <v>15</v>
      </c>
      <c r="AG6" s="52" t="s">
        <v>3</v>
      </c>
      <c r="AH6" s="47" t="s">
        <v>18</v>
      </c>
    </row>
    <row r="7" spans="1:34">
      <c r="A7" s="159">
        <v>1</v>
      </c>
      <c r="B7" s="52" t="s">
        <v>19</v>
      </c>
      <c r="C7" s="53">
        <f>C6*销量!C8</f>
        <v>10784664</v>
      </c>
      <c r="D7" s="53">
        <f>D6*销量!D8</f>
        <v>28090800</v>
      </c>
      <c r="E7" s="53">
        <f>E6*销量!E8</f>
        <v>7319520</v>
      </c>
      <c r="F7" s="53">
        <f>F6*销量!F8</f>
        <v>9704606.4000000004</v>
      </c>
      <c r="G7" s="53">
        <f>G6*销量!H8</f>
        <v>0</v>
      </c>
      <c r="H7" s="53">
        <f>H6*销量!I8</f>
        <v>0</v>
      </c>
      <c r="I7" s="53">
        <f>I6*销量!J8</f>
        <v>0</v>
      </c>
      <c r="J7" s="53">
        <f t="shared" ref="J7:J17" si="0">SUM(C7:I7)</f>
        <v>55899590.399999999</v>
      </c>
      <c r="K7" s="48"/>
      <c r="AF7" s="51" t="s">
        <v>20</v>
      </c>
      <c r="AG7" s="52" t="s">
        <v>19</v>
      </c>
      <c r="AH7" s="47" t="s">
        <v>18</v>
      </c>
    </row>
    <row r="8" spans="1:34">
      <c r="A8" s="159">
        <v>2</v>
      </c>
      <c r="B8" s="159" t="s">
        <v>21</v>
      </c>
      <c r="C8" s="53">
        <f>C7*(1-销量!$M$9)</f>
        <v>941792.35312799923</v>
      </c>
      <c r="D8" s="53">
        <f>D7*(1-销量!$M$9)</f>
        <v>2453085.2915999983</v>
      </c>
      <c r="E8" s="53">
        <f>E7*(1-销量!$M$9)</f>
        <v>639191.72303999949</v>
      </c>
      <c r="F8" s="53">
        <f>F7*(1-销量!$M$9)</f>
        <v>847474.16309279937</v>
      </c>
      <c r="G8" s="53">
        <f>G7*(1-销量!$M$9)</f>
        <v>0</v>
      </c>
      <c r="H8" s="53">
        <f>H7*(1-销量!$M$9)</f>
        <v>0</v>
      </c>
      <c r="I8" s="53">
        <f>I7*(1-销量!$M$9)</f>
        <v>0</v>
      </c>
      <c r="J8" s="53">
        <f t="shared" si="0"/>
        <v>4881543.5308607966</v>
      </c>
      <c r="K8" s="68"/>
      <c r="AF8" s="51" t="s">
        <v>22</v>
      </c>
      <c r="AG8" s="159" t="s">
        <v>23</v>
      </c>
      <c r="AH8" s="47" t="s">
        <v>18</v>
      </c>
    </row>
    <row r="9" spans="1:34">
      <c r="A9" s="159">
        <v>3</v>
      </c>
      <c r="B9" s="52" t="s">
        <v>24</v>
      </c>
      <c r="C9" s="53">
        <f>+C7-C8</f>
        <v>9842871.6468720008</v>
      </c>
      <c r="D9" s="53">
        <f t="shared" ref="D9:H9" si="1">+D7-D8</f>
        <v>25637714.708400004</v>
      </c>
      <c r="E9" s="53">
        <f t="shared" si="1"/>
        <v>6680328.2769600004</v>
      </c>
      <c r="F9" s="53">
        <f t="shared" ref="F9" si="2">+F7-F8</f>
        <v>8857132.2369072009</v>
      </c>
      <c r="G9" s="53">
        <f t="shared" si="1"/>
        <v>0</v>
      </c>
      <c r="H9" s="53">
        <f t="shared" si="1"/>
        <v>0</v>
      </c>
      <c r="I9" s="53">
        <f t="shared" ref="I9" si="3">+I7-I8</f>
        <v>0</v>
      </c>
      <c r="J9" s="53">
        <f t="shared" si="0"/>
        <v>51018046.869139202</v>
      </c>
      <c r="AF9" s="51" t="s">
        <v>25</v>
      </c>
      <c r="AG9" s="52" t="s">
        <v>24</v>
      </c>
      <c r="AH9" s="47" t="s">
        <v>26</v>
      </c>
    </row>
    <row r="10" spans="1:34">
      <c r="A10" s="159">
        <v>4</v>
      </c>
      <c r="B10" s="51" t="s">
        <v>27</v>
      </c>
      <c r="C10" s="53">
        <f>C6*C33</f>
        <v>7251307.2532524718</v>
      </c>
      <c r="D10" s="53">
        <f t="shared" ref="D10:H10" si="4">D6*D33</f>
        <v>19596743.563698325</v>
      </c>
      <c r="E10" s="53">
        <f t="shared" si="4"/>
        <v>5576579.9938998632</v>
      </c>
      <c r="F10" s="53">
        <f t="shared" si="4"/>
        <v>6575816.1634279639</v>
      </c>
      <c r="G10" s="53">
        <f t="shared" si="4"/>
        <v>0</v>
      </c>
      <c r="H10" s="53">
        <f t="shared" si="4"/>
        <v>0</v>
      </c>
      <c r="I10" s="53">
        <f t="shared" ref="I10" si="5">I6*I33</f>
        <v>0</v>
      </c>
      <c r="J10" s="53">
        <f t="shared" si="0"/>
        <v>39000446.974278629</v>
      </c>
      <c r="AF10" s="51" t="s">
        <v>28</v>
      </c>
      <c r="AG10" s="51" t="s">
        <v>27</v>
      </c>
      <c r="AH10" s="47" t="s">
        <v>29</v>
      </c>
    </row>
    <row r="11" spans="1:34">
      <c r="A11" s="159">
        <v>5</v>
      </c>
      <c r="B11" s="51" t="s">
        <v>30</v>
      </c>
      <c r="C11" s="53">
        <f>+C6*C36</f>
        <v>379620.17280000006</v>
      </c>
      <c r="D11" s="53">
        <f t="shared" ref="D11:H11" si="6">+D6*D36</f>
        <v>988796.16</v>
      </c>
      <c r="E11" s="53">
        <f t="shared" si="6"/>
        <v>257647.10400000002</v>
      </c>
      <c r="F11" s="53">
        <f t="shared" ref="F11" si="7">+F6*F36</f>
        <v>341602.14528000006</v>
      </c>
      <c r="G11" s="53">
        <f t="shared" si="6"/>
        <v>0</v>
      </c>
      <c r="H11" s="53">
        <f t="shared" si="6"/>
        <v>0</v>
      </c>
      <c r="I11" s="53">
        <f t="shared" ref="I11" si="8">+I6*I36</f>
        <v>0</v>
      </c>
      <c r="J11" s="53">
        <f t="shared" si="0"/>
        <v>1967665.5820800001</v>
      </c>
      <c r="AF11" s="51" t="s">
        <v>31</v>
      </c>
      <c r="AG11" s="51" t="s">
        <v>30</v>
      </c>
    </row>
    <row r="12" spans="1:34">
      <c r="A12" s="159">
        <v>6</v>
      </c>
      <c r="B12" s="51" t="s">
        <v>32</v>
      </c>
      <c r="C12" s="53">
        <f>+C6*C37</f>
        <v>114317.4384</v>
      </c>
      <c r="D12" s="53">
        <f t="shared" ref="D12:H12" si="9">+D6*D37</f>
        <v>297762.48</v>
      </c>
      <c r="E12" s="53">
        <f t="shared" si="9"/>
        <v>77586.911999999997</v>
      </c>
      <c r="F12" s="53">
        <f t="shared" ref="F12" si="10">+F6*F37</f>
        <v>102868.82784</v>
      </c>
      <c r="G12" s="53">
        <f t="shared" si="9"/>
        <v>0</v>
      </c>
      <c r="H12" s="53">
        <f t="shared" si="9"/>
        <v>0</v>
      </c>
      <c r="I12" s="53">
        <f t="shared" ref="I12" si="11">+I6*I37</f>
        <v>0</v>
      </c>
      <c r="J12" s="53">
        <f t="shared" si="0"/>
        <v>592535.65824000002</v>
      </c>
      <c r="AF12" s="51" t="s">
        <v>33</v>
      </c>
      <c r="AG12" s="51" t="s">
        <v>32</v>
      </c>
    </row>
    <row r="13" spans="1:34">
      <c r="A13" s="159">
        <v>7</v>
      </c>
      <c r="B13" s="51" t="s">
        <v>34</v>
      </c>
      <c r="C13" s="53">
        <f>+C6*C38</f>
        <v>85198.845600000001</v>
      </c>
      <c r="D13" s="53">
        <f t="shared" ref="D13:H13" si="12">+D6*D38</f>
        <v>221917.32000000004</v>
      </c>
      <c r="E13" s="53">
        <f t="shared" si="12"/>
        <v>57824.208000000006</v>
      </c>
      <c r="F13" s="53">
        <f t="shared" ref="F13" si="13">+F6*F38</f>
        <v>76666.39056</v>
      </c>
      <c r="G13" s="53">
        <f t="shared" si="12"/>
        <v>0</v>
      </c>
      <c r="H13" s="53">
        <f t="shared" si="12"/>
        <v>0</v>
      </c>
      <c r="I13" s="53">
        <f t="shared" ref="I13" si="14">+I6*I38</f>
        <v>0</v>
      </c>
      <c r="J13" s="53">
        <f t="shared" si="0"/>
        <v>441606.76416000002</v>
      </c>
      <c r="AF13" s="51" t="s">
        <v>35</v>
      </c>
      <c r="AG13" s="51" t="s">
        <v>34</v>
      </c>
      <c r="AH13" s="47" t="s">
        <v>18</v>
      </c>
    </row>
    <row r="14" spans="1:34">
      <c r="A14" s="159">
        <v>8</v>
      </c>
      <c r="B14" s="54" t="s">
        <v>36</v>
      </c>
      <c r="C14" s="53">
        <f>SUM(C11:C13)</f>
        <v>579136.45680000004</v>
      </c>
      <c r="D14" s="53">
        <f t="shared" ref="D14:H14" si="15">SUM(D11:D13)</f>
        <v>1508475.9600000002</v>
      </c>
      <c r="E14" s="53">
        <f t="shared" si="15"/>
        <v>393058.22399999999</v>
      </c>
      <c r="F14" s="53">
        <f t="shared" ref="F14" si="16">SUM(F11:F13)</f>
        <v>521137.36368000007</v>
      </c>
      <c r="G14" s="53">
        <f t="shared" si="15"/>
        <v>0</v>
      </c>
      <c r="H14" s="53">
        <f t="shared" si="15"/>
        <v>0</v>
      </c>
      <c r="I14" s="53">
        <f t="shared" ref="I14" si="17">SUM(I11:I13)</f>
        <v>0</v>
      </c>
      <c r="J14" s="53">
        <f t="shared" si="0"/>
        <v>3001808.0044800001</v>
      </c>
      <c r="AF14" s="51" t="s">
        <v>37</v>
      </c>
      <c r="AG14" s="54" t="s">
        <v>36</v>
      </c>
    </row>
    <row r="15" spans="1:34">
      <c r="A15" s="159">
        <v>9</v>
      </c>
      <c r="B15" s="54" t="s">
        <v>38</v>
      </c>
      <c r="C15" s="53">
        <f>+C9-C10-C14</f>
        <v>2012427.9368195289</v>
      </c>
      <c r="D15" s="53">
        <f t="shared" ref="D15:H15" si="18">+D9-D10-D14</f>
        <v>4532495.1847016783</v>
      </c>
      <c r="E15" s="53">
        <f t="shared" si="18"/>
        <v>710690.05906013725</v>
      </c>
      <c r="F15" s="53">
        <f t="shared" ref="F15" si="19">+F9-F10-F14</f>
        <v>1760178.7097992371</v>
      </c>
      <c r="G15" s="53">
        <f t="shared" si="18"/>
        <v>0</v>
      </c>
      <c r="H15" s="53">
        <f t="shared" si="18"/>
        <v>0</v>
      </c>
      <c r="I15" s="53">
        <f t="shared" ref="I15" si="20">+I9-I10-I14</f>
        <v>0</v>
      </c>
      <c r="J15" s="53">
        <f t="shared" si="0"/>
        <v>9015791.8903805818</v>
      </c>
      <c r="AF15" s="51" t="s">
        <v>39</v>
      </c>
      <c r="AG15" s="54" t="s">
        <v>38</v>
      </c>
    </row>
    <row r="16" spans="1:34">
      <c r="A16" s="159">
        <v>10</v>
      </c>
      <c r="B16" s="51" t="s">
        <v>40</v>
      </c>
      <c r="C16" s="55">
        <f>+C15/C9</f>
        <v>0.20445536719551405</v>
      </c>
      <c r="D16" s="55">
        <f t="shared" ref="D16:H16" si="21">+D15/D9</f>
        <v>0.17679014047288077</v>
      </c>
      <c r="E16" s="55">
        <f t="shared" si="21"/>
        <v>0.10638549927422865</v>
      </c>
      <c r="F16" s="55">
        <f t="shared" ref="F16" si="22">+F15/F9</f>
        <v>0.1987300926212511</v>
      </c>
      <c r="G16" s="55" t="e">
        <f t="shared" si="21"/>
        <v>#DIV/0!</v>
      </c>
      <c r="H16" s="55" t="e">
        <f t="shared" si="21"/>
        <v>#DIV/0!</v>
      </c>
      <c r="I16" s="55" t="e">
        <f t="shared" ref="I16" si="23">+I15/I9</f>
        <v>#DIV/0!</v>
      </c>
      <c r="J16" s="55">
        <f t="shared" ref="J16" si="24">+J15/J9</f>
        <v>0.17671769978780255</v>
      </c>
      <c r="AF16" s="51" t="s">
        <v>41</v>
      </c>
      <c r="AG16" s="51" t="s">
        <v>40</v>
      </c>
    </row>
    <row r="17" spans="1:34">
      <c r="A17" s="159">
        <v>11</v>
      </c>
      <c r="B17" s="51" t="s">
        <v>42</v>
      </c>
      <c r="C17" s="53">
        <f>C6*C43+C18</f>
        <v>211729.42604444447</v>
      </c>
      <c r="D17" s="53">
        <f t="shared" ref="D17:H17" si="25">D6*D43+D18</f>
        <v>552482.35333333339</v>
      </c>
      <c r="E17" s="53">
        <f t="shared" si="25"/>
        <v>144505.63244444443</v>
      </c>
      <c r="F17" s="53">
        <f t="shared" ref="F17" si="26">F6*F43+F18</f>
        <v>198297.14193777778</v>
      </c>
      <c r="G17" s="53">
        <f t="shared" si="25"/>
        <v>0</v>
      </c>
      <c r="H17" s="53">
        <f t="shared" si="25"/>
        <v>0</v>
      </c>
      <c r="I17" s="53">
        <f t="shared" ref="I17" si="27">I6*I43+I18</f>
        <v>0</v>
      </c>
      <c r="J17" s="53">
        <f t="shared" si="0"/>
        <v>1107014.55376</v>
      </c>
      <c r="K17" s="68"/>
      <c r="AF17" s="51" t="s">
        <v>43</v>
      </c>
      <c r="AG17" s="51" t="s">
        <v>42</v>
      </c>
    </row>
    <row r="18" spans="1:34" s="45" customFormat="1">
      <c r="A18" s="159">
        <v>12</v>
      </c>
      <c r="B18" s="56" t="s">
        <v>144</v>
      </c>
      <c r="C18" s="57">
        <f t="shared" ref="C18:I18" si="28">$J$18/$J$6*C6</f>
        <v>2506.9444444444443</v>
      </c>
      <c r="D18" s="57">
        <f t="shared" si="28"/>
        <v>7520.833333333333</v>
      </c>
      <c r="E18" s="57">
        <f t="shared" si="28"/>
        <v>2506.9444444444443</v>
      </c>
      <c r="F18" s="57">
        <f t="shared" si="28"/>
        <v>10027.777777777777</v>
      </c>
      <c r="G18" s="57">
        <f t="shared" si="28"/>
        <v>0</v>
      </c>
      <c r="H18" s="57">
        <f t="shared" si="28"/>
        <v>0</v>
      </c>
      <c r="I18" s="57">
        <f t="shared" si="28"/>
        <v>0</v>
      </c>
      <c r="J18" s="57">
        <f>项目投资!G26</f>
        <v>22562.5</v>
      </c>
      <c r="K18" s="69" t="s">
        <v>145</v>
      </c>
      <c r="L18" s="69"/>
      <c r="M18" s="69"/>
    </row>
    <row r="19" spans="1:34">
      <c r="A19" s="159">
        <v>13</v>
      </c>
      <c r="B19" s="51" t="s">
        <v>44</v>
      </c>
      <c r="C19" s="53">
        <f>C6*C44</f>
        <v>101375.84160000001</v>
      </c>
      <c r="D19" s="53">
        <f t="shared" ref="D19:H19" si="29">D6*D44</f>
        <v>264053.52</v>
      </c>
      <c r="E19" s="53">
        <f t="shared" si="29"/>
        <v>68803.487999999998</v>
      </c>
      <c r="F19" s="53">
        <f t="shared" ref="F19" si="30">F6*F44</f>
        <v>91223.300159999999</v>
      </c>
      <c r="G19" s="53">
        <f t="shared" si="29"/>
        <v>0</v>
      </c>
      <c r="H19" s="53">
        <f t="shared" si="29"/>
        <v>0</v>
      </c>
      <c r="I19" s="53">
        <f t="shared" ref="I19" si="31">I6*I44</f>
        <v>0</v>
      </c>
      <c r="J19" s="53">
        <f t="shared" ref="J19:J20" si="32">SUM(C19:I19)</f>
        <v>525456.14976000006</v>
      </c>
      <c r="K19" s="45"/>
      <c r="AF19" s="51" t="s">
        <v>45</v>
      </c>
      <c r="AG19" s="51" t="s">
        <v>44</v>
      </c>
      <c r="AH19" s="47" t="s">
        <v>18</v>
      </c>
    </row>
    <row r="20" spans="1:34">
      <c r="A20" s="159">
        <v>14</v>
      </c>
      <c r="B20" s="51" t="s">
        <v>46</v>
      </c>
      <c r="C20" s="53">
        <f>C6*C45</f>
        <v>351580.04639999999</v>
      </c>
      <c r="D20" s="53">
        <f t="shared" ref="D20:H20" si="33">D6*D45</f>
        <v>915760.07999999984</v>
      </c>
      <c r="E20" s="53">
        <f t="shared" si="33"/>
        <v>238616.35199999998</v>
      </c>
      <c r="F20" s="53">
        <f t="shared" ref="F20" si="34">F6*F45</f>
        <v>316370.16863999999</v>
      </c>
      <c r="G20" s="53">
        <f t="shared" si="33"/>
        <v>0</v>
      </c>
      <c r="H20" s="53">
        <f t="shared" si="33"/>
        <v>0</v>
      </c>
      <c r="I20" s="53">
        <f t="shared" ref="I20" si="35">I6*I45</f>
        <v>0</v>
      </c>
      <c r="J20" s="53">
        <f t="shared" si="32"/>
        <v>1822326.64704</v>
      </c>
      <c r="AF20" s="51" t="s">
        <v>47</v>
      </c>
      <c r="AG20" s="51" t="s">
        <v>46</v>
      </c>
    </row>
    <row r="21" spans="1:34">
      <c r="A21" s="159">
        <v>15</v>
      </c>
      <c r="B21" s="51" t="s">
        <v>48</v>
      </c>
      <c r="C21" s="58">
        <f t="shared" ref="C21:I21" si="36">$J$21/$J$6*C6</f>
        <v>7137.5000000000009</v>
      </c>
      <c r="D21" s="58">
        <f t="shared" si="36"/>
        <v>21412.5</v>
      </c>
      <c r="E21" s="58">
        <f t="shared" si="36"/>
        <v>7137.5000000000009</v>
      </c>
      <c r="F21" s="58">
        <f t="shared" si="36"/>
        <v>28550.000000000004</v>
      </c>
      <c r="G21" s="58">
        <f t="shared" si="36"/>
        <v>0</v>
      </c>
      <c r="H21" s="58">
        <f t="shared" si="36"/>
        <v>0</v>
      </c>
      <c r="I21" s="58">
        <f t="shared" si="36"/>
        <v>0</v>
      </c>
      <c r="J21" s="53">
        <f>项目投资!G27</f>
        <v>64237.5</v>
      </c>
      <c r="AF21" s="51"/>
      <c r="AG21" s="51"/>
    </row>
    <row r="22" spans="1:34">
      <c r="A22" s="159">
        <v>16</v>
      </c>
      <c r="B22" s="51" t="s">
        <v>49</v>
      </c>
      <c r="C22" s="53">
        <f>C6*C47</f>
        <v>539233.20000000007</v>
      </c>
      <c r="D22" s="53">
        <f t="shared" ref="D22:H22" si="37">D6*D47</f>
        <v>1404540</v>
      </c>
      <c r="E22" s="53">
        <f t="shared" si="37"/>
        <v>365976</v>
      </c>
      <c r="F22" s="53">
        <f t="shared" ref="F22" si="38">F6*F47</f>
        <v>485230.32</v>
      </c>
      <c r="G22" s="53">
        <f t="shared" si="37"/>
        <v>0</v>
      </c>
      <c r="H22" s="53">
        <f t="shared" si="37"/>
        <v>0</v>
      </c>
      <c r="I22" s="53">
        <f t="shared" ref="I22" si="39">I6*I47</f>
        <v>0</v>
      </c>
      <c r="J22" s="53">
        <f t="shared" ref="J22" si="40">SUM(C22:I22)</f>
        <v>2794979.52</v>
      </c>
      <c r="AF22" s="51" t="s">
        <v>50</v>
      </c>
      <c r="AG22" s="51" t="s">
        <v>49</v>
      </c>
    </row>
    <row r="23" spans="1:34">
      <c r="A23" s="159">
        <v>17</v>
      </c>
      <c r="B23" s="54" t="s">
        <v>51</v>
      </c>
      <c r="C23" s="58">
        <f>+C22+C21+C20+C19+C17</f>
        <v>1211056.0140444445</v>
      </c>
      <c r="D23" s="58">
        <f t="shared" ref="D23:H23" si="41">+D22+D21+D20+D19+D17</f>
        <v>3158248.4533333336</v>
      </c>
      <c r="E23" s="58">
        <f t="shared" si="41"/>
        <v>825038.97244444443</v>
      </c>
      <c r="F23" s="58">
        <f t="shared" ref="F23" si="42">+F22+F21+F20+F19+F17</f>
        <v>1119670.9307377778</v>
      </c>
      <c r="G23" s="58">
        <f t="shared" si="41"/>
        <v>0</v>
      </c>
      <c r="H23" s="58">
        <f t="shared" si="41"/>
        <v>0</v>
      </c>
      <c r="I23" s="58">
        <f t="shared" ref="I23" si="43">+I22+I21+I20+I19+I17</f>
        <v>0</v>
      </c>
      <c r="J23" s="58">
        <f t="shared" ref="J23" si="44">+J22+J21+J20+J19+J17</f>
        <v>6314014.3705599997</v>
      </c>
      <c r="AF23" s="51" t="s">
        <v>52</v>
      </c>
      <c r="AG23" s="54" t="s">
        <v>51</v>
      </c>
    </row>
    <row r="24" spans="1:34">
      <c r="A24" s="159">
        <v>18</v>
      </c>
      <c r="B24" s="59" t="s">
        <v>53</v>
      </c>
      <c r="C24" s="58">
        <f>+C15-C23</f>
        <v>801371.92277508439</v>
      </c>
      <c r="D24" s="58">
        <f t="shared" ref="D24:J24" si="45">+D15-D23</f>
        <v>1374246.7313683447</v>
      </c>
      <c r="E24" s="58">
        <f t="shared" si="45"/>
        <v>-114348.91338430718</v>
      </c>
      <c r="F24" s="58">
        <f t="shared" ref="F24" si="46">+F15-F23</f>
        <v>640507.77906145924</v>
      </c>
      <c r="G24" s="58">
        <f t="shared" si="45"/>
        <v>0</v>
      </c>
      <c r="H24" s="58">
        <f t="shared" si="45"/>
        <v>0</v>
      </c>
      <c r="I24" s="58">
        <f t="shared" ref="I24" si="47">+I15-I23</f>
        <v>0</v>
      </c>
      <c r="J24" s="58">
        <f t="shared" si="45"/>
        <v>2701777.5198205821</v>
      </c>
      <c r="L24" s="70"/>
      <c r="AF24" s="51" t="s">
        <v>54</v>
      </c>
      <c r="AG24" s="51" t="s">
        <v>53</v>
      </c>
    </row>
    <row r="25" spans="1:34">
      <c r="A25" s="159">
        <v>19</v>
      </c>
      <c r="B25" s="51" t="s">
        <v>302</v>
      </c>
      <c r="C25" s="58">
        <f>IF(C24&lt;0,0,C24*0.25)</f>
        <v>200342.9806937711</v>
      </c>
      <c r="D25" s="58">
        <f t="shared" ref="D25:J25" si="48">IF(D24&lt;0,0,D24*0.25)</f>
        <v>343561.68284208619</v>
      </c>
      <c r="E25" s="58">
        <f t="shared" si="48"/>
        <v>0</v>
      </c>
      <c r="F25" s="58">
        <f t="shared" si="48"/>
        <v>160126.94476536481</v>
      </c>
      <c r="G25" s="58">
        <f t="shared" si="48"/>
        <v>0</v>
      </c>
      <c r="H25" s="58">
        <f t="shared" si="48"/>
        <v>0</v>
      </c>
      <c r="I25" s="58">
        <f t="shared" si="48"/>
        <v>0</v>
      </c>
      <c r="J25" s="58">
        <f t="shared" si="48"/>
        <v>675444.37995514553</v>
      </c>
      <c r="K25" s="66"/>
      <c r="L25" s="66"/>
      <c r="M25" s="66"/>
      <c r="AF25" s="51" t="s">
        <v>56</v>
      </c>
      <c r="AG25" s="51" t="s">
        <v>55</v>
      </c>
    </row>
    <row r="26" spans="1:34">
      <c r="A26" s="159">
        <v>20</v>
      </c>
      <c r="B26" s="51" t="s">
        <v>57</v>
      </c>
      <c r="C26" s="58">
        <f t="shared" ref="C26:H26" si="49">C24-C25</f>
        <v>601028.94208131335</v>
      </c>
      <c r="D26" s="58">
        <f t="shared" si="49"/>
        <v>1030685.0485262586</v>
      </c>
      <c r="E26" s="58">
        <f t="shared" si="49"/>
        <v>-114348.91338430718</v>
      </c>
      <c r="F26" s="58">
        <f t="shared" ref="F26" si="50">F24-F25</f>
        <v>480380.83429609443</v>
      </c>
      <c r="G26" s="58">
        <f t="shared" si="49"/>
        <v>0</v>
      </c>
      <c r="H26" s="58">
        <f t="shared" si="49"/>
        <v>0</v>
      </c>
      <c r="I26" s="58">
        <f t="shared" ref="I26" si="51">I24-I25</f>
        <v>0</v>
      </c>
      <c r="J26" s="53">
        <f>J24-J25</f>
        <v>2026333.1398654366</v>
      </c>
      <c r="K26" s="66"/>
      <c r="L26" s="66"/>
      <c r="M26" s="66"/>
      <c r="AF26" s="51" t="s">
        <v>58</v>
      </c>
      <c r="AG26" s="51" t="s">
        <v>57</v>
      </c>
    </row>
    <row r="27" spans="1:34">
      <c r="A27" s="159">
        <v>21</v>
      </c>
      <c r="B27" s="51" t="s">
        <v>61</v>
      </c>
      <c r="C27" s="60">
        <f t="shared" ref="C27:J27" si="52">C26/C7</f>
        <v>5.5729964520110531E-2</v>
      </c>
      <c r="D27" s="60">
        <f t="shared" ref="D27:H27" si="53">D26/D7</f>
        <v>3.669119599748881E-2</v>
      </c>
      <c r="E27" s="60">
        <f t="shared" si="53"/>
        <v>-1.5622460678337811E-2</v>
      </c>
      <c r="F27" s="60">
        <f t="shared" ref="F27" si="54">F26/F7</f>
        <v>4.9500290325643133E-2</v>
      </c>
      <c r="G27" s="60" t="e">
        <f t="shared" si="53"/>
        <v>#DIV/0!</v>
      </c>
      <c r="H27" s="60" t="e">
        <f t="shared" si="53"/>
        <v>#DIV/0!</v>
      </c>
      <c r="I27" s="60" t="e">
        <f t="shared" ref="I27" si="55">I26/I7</f>
        <v>#DIV/0!</v>
      </c>
      <c r="J27" s="60">
        <f t="shared" si="52"/>
        <v>3.6249516774016229E-2</v>
      </c>
      <c r="K27" s="66"/>
      <c r="L27" s="66"/>
      <c r="M27" s="66"/>
      <c r="AF27" s="51" t="s">
        <v>60</v>
      </c>
      <c r="AG27" s="51" t="s">
        <v>61</v>
      </c>
    </row>
    <row r="28" spans="1:34">
      <c r="K28" s="66"/>
      <c r="L28" s="66"/>
      <c r="M28" s="66"/>
    </row>
    <row r="29" spans="1:34">
      <c r="A29" s="47" t="s">
        <v>62</v>
      </c>
      <c r="J29" s="48" t="s">
        <v>146</v>
      </c>
      <c r="K29" s="66"/>
      <c r="L29" s="66"/>
      <c r="M29" s="66"/>
      <c r="AF29" s="47" t="s">
        <v>62</v>
      </c>
    </row>
    <row r="30" spans="1:34">
      <c r="A30" s="51" t="s">
        <v>63</v>
      </c>
      <c r="B30" s="54" t="s">
        <v>64</v>
      </c>
      <c r="C30" s="58"/>
      <c r="D30" s="58"/>
      <c r="E30" s="58"/>
      <c r="F30" s="58"/>
      <c r="G30" s="58"/>
      <c r="H30" s="58"/>
      <c r="I30" s="58"/>
      <c r="J30" s="58"/>
      <c r="K30" s="66"/>
      <c r="L30" s="66"/>
      <c r="M30" s="66"/>
      <c r="O30" s="66"/>
      <c r="AF30" s="51" t="s">
        <v>65</v>
      </c>
      <c r="AG30" s="54" t="s">
        <v>64</v>
      </c>
    </row>
    <row r="31" spans="1:34">
      <c r="A31" s="159">
        <v>1</v>
      </c>
      <c r="B31" s="56" t="s">
        <v>66</v>
      </c>
      <c r="C31" s="62">
        <f>销量!C8</f>
        <v>1762.2</v>
      </c>
      <c r="D31" s="62">
        <f>销量!D8</f>
        <v>1530</v>
      </c>
      <c r="E31" s="62">
        <f>销量!E8</f>
        <v>1196</v>
      </c>
      <c r="F31" s="62">
        <f>销量!F8</f>
        <v>396.43</v>
      </c>
      <c r="G31" s="62">
        <f>销量!G8</f>
        <v>0</v>
      </c>
      <c r="H31" s="62">
        <f>销量!H8</f>
        <v>0</v>
      </c>
      <c r="I31" s="62">
        <f>销量!I8</f>
        <v>0</v>
      </c>
      <c r="J31" s="58"/>
      <c r="K31" s="66"/>
      <c r="L31" s="66"/>
      <c r="M31" s="66"/>
      <c r="O31" s="66"/>
      <c r="AF31" s="51" t="s">
        <v>20</v>
      </c>
      <c r="AG31" s="51" t="s">
        <v>66</v>
      </c>
    </row>
    <row r="32" spans="1:34">
      <c r="A32" s="159">
        <v>2</v>
      </c>
      <c r="B32" s="51" t="s">
        <v>147</v>
      </c>
      <c r="C32" s="53">
        <f>C9/C6</f>
        <v>1608.3123606000001</v>
      </c>
      <c r="D32" s="53">
        <f t="shared" ref="D32:E32" si="56">D9/D6</f>
        <v>1396.3896900000002</v>
      </c>
      <c r="E32" s="53">
        <f t="shared" si="56"/>
        <v>1091.556908</v>
      </c>
      <c r="F32" s="53">
        <f t="shared" ref="F32:I32" si="57">F9/F6</f>
        <v>361.81095739000006</v>
      </c>
      <c r="G32" s="53" t="e">
        <f t="shared" si="57"/>
        <v>#DIV/0!</v>
      </c>
      <c r="H32" s="53" t="e">
        <f t="shared" si="57"/>
        <v>#DIV/0!</v>
      </c>
      <c r="I32" s="53" t="e">
        <f t="shared" si="57"/>
        <v>#DIV/0!</v>
      </c>
      <c r="J32" s="58"/>
      <c r="K32" s="66"/>
      <c r="L32" s="66"/>
      <c r="M32" s="66"/>
      <c r="N32" s="66"/>
      <c r="O32" s="66"/>
      <c r="P32" s="66"/>
      <c r="Q32" s="66"/>
      <c r="AF32" s="51"/>
      <c r="AG32" s="51"/>
    </row>
    <row r="33" spans="1:33">
      <c r="A33" s="159">
        <v>3</v>
      </c>
      <c r="B33" s="56" t="s">
        <v>67</v>
      </c>
      <c r="C33" s="53">
        <f>材料成本!D15</f>
        <v>1184.8541263484431</v>
      </c>
      <c r="D33" s="53">
        <f>材料成本!E15</f>
        <v>1067.3607605500176</v>
      </c>
      <c r="E33" s="53">
        <f>材料成本!F15</f>
        <v>911.20588135618686</v>
      </c>
      <c r="F33" s="53">
        <f>材料成本!G15</f>
        <v>268.61994131650181</v>
      </c>
      <c r="G33" s="53">
        <f>材料成本!H15</f>
        <v>0</v>
      </c>
      <c r="H33" s="53">
        <f>材料成本!I15</f>
        <v>0</v>
      </c>
      <c r="I33" s="53">
        <f>材料成本!J15</f>
        <v>0</v>
      </c>
      <c r="J33" s="58"/>
      <c r="L33" s="66"/>
      <c r="M33" s="66"/>
      <c r="N33" s="66"/>
      <c r="O33" s="66"/>
      <c r="P33" s="66"/>
      <c r="Q33" s="66"/>
      <c r="AF33" s="51" t="s">
        <v>22</v>
      </c>
      <c r="AG33" s="51" t="s">
        <v>67</v>
      </c>
    </row>
    <row r="34" spans="1:33" ht="17.25" customHeight="1">
      <c r="A34" s="159">
        <v>4</v>
      </c>
      <c r="B34" s="51" t="s">
        <v>69</v>
      </c>
      <c r="C34" s="63">
        <f>C32-C33</f>
        <v>423.45823425155709</v>
      </c>
      <c r="D34" s="63">
        <f t="shared" ref="D34:I34" si="58">D32-D33</f>
        <v>329.02892944998257</v>
      </c>
      <c r="E34" s="63">
        <f t="shared" si="58"/>
        <v>180.35102664381316</v>
      </c>
      <c r="F34" s="63">
        <f t="shared" ref="F34" si="59">F32-F33</f>
        <v>93.191016073498247</v>
      </c>
      <c r="G34" s="63" t="e">
        <f t="shared" si="58"/>
        <v>#DIV/0!</v>
      </c>
      <c r="H34" s="63" t="e">
        <f t="shared" si="58"/>
        <v>#DIV/0!</v>
      </c>
      <c r="I34" s="63" t="e">
        <f t="shared" si="58"/>
        <v>#DIV/0!</v>
      </c>
      <c r="J34" s="58"/>
      <c r="L34" s="66"/>
      <c r="M34" s="66"/>
      <c r="N34" s="66"/>
      <c r="O34" s="66"/>
      <c r="P34" s="66"/>
      <c r="Q34" s="66"/>
      <c r="AF34" s="51" t="s">
        <v>68</v>
      </c>
      <c r="AG34" s="51" t="s">
        <v>69</v>
      </c>
    </row>
    <row r="35" spans="1:33">
      <c r="A35" s="51" t="s">
        <v>65</v>
      </c>
      <c r="B35" s="54" t="s">
        <v>9</v>
      </c>
      <c r="C35" s="58"/>
      <c r="D35" s="58"/>
      <c r="E35" s="58"/>
      <c r="F35" s="58"/>
      <c r="G35" s="58"/>
      <c r="H35" s="58"/>
      <c r="I35" s="58"/>
      <c r="J35" s="58"/>
      <c r="K35" s="66"/>
      <c r="L35" s="66"/>
      <c r="M35" s="66"/>
      <c r="N35" s="66"/>
      <c r="O35" s="66"/>
      <c r="P35" s="66"/>
      <c r="Q35" s="66"/>
      <c r="R35" s="66"/>
      <c r="AF35" s="51" t="s">
        <v>71</v>
      </c>
      <c r="AG35" s="54" t="s">
        <v>9</v>
      </c>
    </row>
    <row r="36" spans="1:33">
      <c r="A36" s="159">
        <v>1</v>
      </c>
      <c r="B36" s="51" t="s">
        <v>72</v>
      </c>
      <c r="C36" s="57">
        <f>'2024年'!C36</f>
        <v>62.029440000000008</v>
      </c>
      <c r="D36" s="57">
        <f>'2024年'!D36</f>
        <v>53.856000000000002</v>
      </c>
      <c r="E36" s="57">
        <f>'2024年'!E36</f>
        <v>42.099200000000003</v>
      </c>
      <c r="F36" s="57">
        <f>'2024年'!F36</f>
        <v>13.954336000000001</v>
      </c>
      <c r="G36" s="57">
        <f>'2024年'!G36</f>
        <v>0</v>
      </c>
      <c r="H36" s="57">
        <f>'2024年'!H36</f>
        <v>0</v>
      </c>
      <c r="I36" s="57">
        <f>'2024年'!I36</f>
        <v>0</v>
      </c>
      <c r="J36" s="62"/>
      <c r="K36" s="66"/>
      <c r="L36" s="66"/>
      <c r="M36" s="66"/>
      <c r="N36" s="66"/>
      <c r="O36" s="66"/>
      <c r="P36" s="66"/>
      <c r="Q36" s="66"/>
      <c r="R36" s="66"/>
      <c r="AF36" s="51" t="s">
        <v>68</v>
      </c>
      <c r="AG36" s="51" t="s">
        <v>72</v>
      </c>
    </row>
    <row r="37" spans="1:33">
      <c r="A37" s="159">
        <v>2</v>
      </c>
      <c r="B37" s="51" t="s">
        <v>73</v>
      </c>
      <c r="C37" s="57">
        <f>'2024年'!C37</f>
        <v>18.679320000000001</v>
      </c>
      <c r="D37" s="57">
        <f>'2024年'!D37</f>
        <v>16.218</v>
      </c>
      <c r="E37" s="57">
        <f>'2024年'!E37</f>
        <v>12.6776</v>
      </c>
      <c r="F37" s="57">
        <f>'2024年'!F37</f>
        <v>4.2021579999999998</v>
      </c>
      <c r="G37" s="57">
        <f>'2024年'!G37</f>
        <v>0</v>
      </c>
      <c r="H37" s="57">
        <f>'2024年'!H37</f>
        <v>0</v>
      </c>
      <c r="I37" s="57">
        <f>'2024年'!I37</f>
        <v>0</v>
      </c>
      <c r="J37" s="62"/>
      <c r="K37" s="66"/>
      <c r="L37" s="66"/>
      <c r="M37" s="66"/>
      <c r="N37" s="66"/>
      <c r="O37" s="66"/>
      <c r="P37" s="66"/>
      <c r="Q37" s="66"/>
      <c r="R37" s="66"/>
      <c r="AF37" s="51" t="s">
        <v>25</v>
      </c>
      <c r="AG37" s="51" t="s">
        <v>73</v>
      </c>
    </row>
    <row r="38" spans="1:33">
      <c r="A38" s="159">
        <v>3</v>
      </c>
      <c r="B38" s="51" t="s">
        <v>74</v>
      </c>
      <c r="C38" s="57">
        <f>'2024年'!C38</f>
        <v>13.921380000000001</v>
      </c>
      <c r="D38" s="57">
        <f>'2024年'!D38</f>
        <v>12.087000000000002</v>
      </c>
      <c r="E38" s="57">
        <f>'2024年'!E38</f>
        <v>9.4484000000000012</v>
      </c>
      <c r="F38" s="57">
        <f>'2024年'!F38</f>
        <v>3.1317970000000002</v>
      </c>
      <c r="G38" s="57">
        <f>'2024年'!G38</f>
        <v>0</v>
      </c>
      <c r="H38" s="57">
        <f>'2024年'!H38</f>
        <v>0</v>
      </c>
      <c r="I38" s="57">
        <f>'2024年'!I38</f>
        <v>0</v>
      </c>
      <c r="J38" s="62"/>
      <c r="K38" s="66"/>
      <c r="L38" s="66"/>
      <c r="M38" s="66"/>
      <c r="N38" s="66"/>
      <c r="O38" s="66"/>
      <c r="P38" s="66"/>
      <c r="Q38" s="66"/>
      <c r="R38" s="66"/>
      <c r="AF38" s="51" t="s">
        <v>31</v>
      </c>
      <c r="AG38" s="51" t="s">
        <v>74</v>
      </c>
    </row>
    <row r="39" spans="1:33">
      <c r="A39" s="51" t="s">
        <v>71</v>
      </c>
      <c r="B39" s="54" t="s">
        <v>76</v>
      </c>
      <c r="C39" s="58"/>
      <c r="D39" s="58"/>
      <c r="E39" s="58"/>
      <c r="F39" s="58"/>
      <c r="G39" s="58"/>
      <c r="H39" s="58"/>
      <c r="I39" s="58"/>
      <c r="J39" s="58"/>
      <c r="AF39" s="51" t="s">
        <v>75</v>
      </c>
      <c r="AG39" s="54" t="s">
        <v>76</v>
      </c>
    </row>
    <row r="40" spans="1:33">
      <c r="A40" s="159">
        <v>1</v>
      </c>
      <c r="B40" s="51" t="s">
        <v>78</v>
      </c>
      <c r="C40" s="58">
        <f>C34-C36-C37-C38</f>
        <v>328.82809425155705</v>
      </c>
      <c r="D40" s="58">
        <f t="shared" ref="D40:I40" si="60">D34-D36-D37-D38</f>
        <v>246.86792944998257</v>
      </c>
      <c r="E40" s="58">
        <f t="shared" si="60"/>
        <v>116.12582664381316</v>
      </c>
      <c r="F40" s="58">
        <f t="shared" ref="F40" si="61">F34-F36-F37-F38</f>
        <v>71.902725073498246</v>
      </c>
      <c r="G40" s="58" t="e">
        <f t="shared" si="60"/>
        <v>#DIV/0!</v>
      </c>
      <c r="H40" s="58" t="e">
        <f t="shared" si="60"/>
        <v>#DIV/0!</v>
      </c>
      <c r="I40" s="58" t="e">
        <f t="shared" si="60"/>
        <v>#DIV/0!</v>
      </c>
      <c r="J40" s="58"/>
      <c r="AF40" s="51" t="s">
        <v>20</v>
      </c>
      <c r="AG40" s="51" t="s">
        <v>78</v>
      </c>
    </row>
    <row r="41" spans="1:33">
      <c r="A41" s="159">
        <v>2</v>
      </c>
      <c r="B41" s="51" t="s">
        <v>79</v>
      </c>
      <c r="C41" s="58"/>
      <c r="D41" s="58"/>
      <c r="E41" s="58"/>
      <c r="F41" s="58"/>
      <c r="G41" s="58"/>
      <c r="H41" s="58"/>
      <c r="I41" s="58"/>
      <c r="J41" s="58"/>
      <c r="AF41" s="51" t="s">
        <v>22</v>
      </c>
      <c r="AG41" s="51" t="s">
        <v>79</v>
      </c>
    </row>
    <row r="42" spans="1:33">
      <c r="A42" s="51" t="s">
        <v>75</v>
      </c>
      <c r="B42" s="54" t="s">
        <v>81</v>
      </c>
      <c r="C42" s="58"/>
      <c r="D42" s="58"/>
      <c r="E42" s="58"/>
      <c r="F42" s="58"/>
      <c r="G42" s="58"/>
      <c r="H42" s="58"/>
      <c r="I42" s="58"/>
      <c r="J42" s="58"/>
      <c r="AF42" s="51" t="s">
        <v>80</v>
      </c>
      <c r="AG42" s="54" t="s">
        <v>81</v>
      </c>
    </row>
    <row r="43" spans="1:33">
      <c r="A43" s="159">
        <v>1</v>
      </c>
      <c r="B43" s="59" t="s">
        <v>82</v>
      </c>
      <c r="C43" s="57">
        <f>'2024年'!C43</f>
        <v>34.186680000000003</v>
      </c>
      <c r="D43" s="57">
        <f>'2024年'!D43</f>
        <v>29.682000000000002</v>
      </c>
      <c r="E43" s="57">
        <f>'2024年'!E43</f>
        <v>23.202400000000001</v>
      </c>
      <c r="F43" s="57">
        <f>'2024年'!F43</f>
        <v>7.6907420000000002</v>
      </c>
      <c r="G43" s="57">
        <f>'2024年'!G43</f>
        <v>0</v>
      </c>
      <c r="H43" s="57">
        <f>'2024年'!H43</f>
        <v>0</v>
      </c>
      <c r="I43" s="57">
        <f>'2024年'!I43</f>
        <v>0</v>
      </c>
      <c r="J43" s="58"/>
      <c r="AF43" s="51" t="s">
        <v>20</v>
      </c>
      <c r="AG43" s="51" t="s">
        <v>82</v>
      </c>
    </row>
    <row r="44" spans="1:33">
      <c r="A44" s="159">
        <v>2</v>
      </c>
      <c r="B44" s="59" t="s">
        <v>83</v>
      </c>
      <c r="C44" s="57">
        <f>'2024年'!C44</f>
        <v>16.564680000000003</v>
      </c>
      <c r="D44" s="57">
        <f>'2024年'!D44</f>
        <v>14.382000000000001</v>
      </c>
      <c r="E44" s="57">
        <f>'2024年'!E44</f>
        <v>11.2424</v>
      </c>
      <c r="F44" s="57">
        <f>'2024年'!F44</f>
        <v>3.726442</v>
      </c>
      <c r="G44" s="57">
        <f>'2024年'!G44</f>
        <v>0</v>
      </c>
      <c r="H44" s="57">
        <f>'2024年'!H44</f>
        <v>0</v>
      </c>
      <c r="I44" s="57">
        <f>'2024年'!I44</f>
        <v>0</v>
      </c>
      <c r="J44" s="58"/>
      <c r="AF44" s="51" t="s">
        <v>22</v>
      </c>
      <c r="AG44" s="51" t="s">
        <v>83</v>
      </c>
    </row>
    <row r="45" spans="1:33">
      <c r="A45" s="159">
        <v>3</v>
      </c>
      <c r="B45" s="59" t="s">
        <v>84</v>
      </c>
      <c r="C45" s="57">
        <f>'2024年'!C45</f>
        <v>57.447719999999997</v>
      </c>
      <c r="D45" s="57">
        <f>'2024年'!D45</f>
        <v>49.877999999999993</v>
      </c>
      <c r="E45" s="57">
        <f>'2024年'!E45</f>
        <v>38.989599999999996</v>
      </c>
      <c r="F45" s="57">
        <f>'2024年'!F45</f>
        <v>12.923617999999999</v>
      </c>
      <c r="G45" s="57">
        <f>'2024年'!G45</f>
        <v>0</v>
      </c>
      <c r="H45" s="57">
        <f>'2024年'!H45</f>
        <v>0</v>
      </c>
      <c r="I45" s="57">
        <f>'2024年'!I45</f>
        <v>0</v>
      </c>
      <c r="J45" s="58"/>
      <c r="AF45" s="51" t="s">
        <v>68</v>
      </c>
      <c r="AG45" s="51" t="s">
        <v>84</v>
      </c>
    </row>
    <row r="46" spans="1:33" s="46" customFormat="1">
      <c r="A46" s="159">
        <v>4</v>
      </c>
      <c r="B46" s="59" t="s">
        <v>85</v>
      </c>
      <c r="C46" s="64">
        <f>C21/C6</f>
        <v>1.1662581699346406</v>
      </c>
      <c r="D46" s="64">
        <f t="shared" ref="D46:I46" si="62">D21/D6</f>
        <v>1.1662581699346406</v>
      </c>
      <c r="E46" s="64">
        <f t="shared" si="62"/>
        <v>1.1662581699346406</v>
      </c>
      <c r="F46" s="64">
        <f t="shared" ref="F46" si="63">F21/F6</f>
        <v>1.1662581699346406</v>
      </c>
      <c r="G46" s="64" t="e">
        <f t="shared" si="62"/>
        <v>#DIV/0!</v>
      </c>
      <c r="H46" s="64" t="e">
        <f t="shared" si="62"/>
        <v>#DIV/0!</v>
      </c>
      <c r="I46" s="64" t="e">
        <f t="shared" si="62"/>
        <v>#DIV/0!</v>
      </c>
      <c r="J46" s="64"/>
      <c r="AF46" s="59" t="s">
        <v>28</v>
      </c>
      <c r="AG46" s="59" t="s">
        <v>87</v>
      </c>
    </row>
    <row r="47" spans="1:33" s="46" customFormat="1">
      <c r="A47" s="159">
        <v>5</v>
      </c>
      <c r="B47" s="59" t="s">
        <v>87</v>
      </c>
      <c r="C47" s="64">
        <f>'2024年'!C47</f>
        <v>88.110000000000014</v>
      </c>
      <c r="D47" s="64">
        <f>'2024年'!D47</f>
        <v>76.5</v>
      </c>
      <c r="E47" s="64">
        <f>'2024年'!E47</f>
        <v>59.800000000000004</v>
      </c>
      <c r="F47" s="64">
        <f>'2024年'!F47</f>
        <v>19.8215</v>
      </c>
      <c r="G47" s="64">
        <f>'2024年'!G47</f>
        <v>0</v>
      </c>
      <c r="H47" s="64">
        <f>'2024年'!H47</f>
        <v>0</v>
      </c>
      <c r="I47" s="64">
        <f>'2024年'!I47</f>
        <v>0</v>
      </c>
      <c r="J47" s="64"/>
      <c r="AF47" s="59" t="s">
        <v>28</v>
      </c>
      <c r="AG47" s="59" t="s">
        <v>87</v>
      </c>
    </row>
    <row r="48" spans="1:33">
      <c r="A48" s="51" t="s">
        <v>80</v>
      </c>
      <c r="B48" s="54" t="s">
        <v>98</v>
      </c>
      <c r="C48" s="58">
        <f>C40-C43-C44-C45-C47-C46</f>
        <v>131.35275608162235</v>
      </c>
      <c r="D48" s="58">
        <f t="shared" ref="D48:I48" si="64">D40-D43-D44-D45-D47-D46</f>
        <v>75.259671280047925</v>
      </c>
      <c r="E48" s="58">
        <f t="shared" si="64"/>
        <v>-18.274831526121485</v>
      </c>
      <c r="F48" s="58">
        <f t="shared" ref="F48" si="65">F40-F43-F44-F45-F47-F46</f>
        <v>26.574164903563609</v>
      </c>
      <c r="G48" s="58" t="e">
        <f t="shared" si="64"/>
        <v>#DIV/0!</v>
      </c>
      <c r="H48" s="58" t="e">
        <f t="shared" si="64"/>
        <v>#DIV/0!</v>
      </c>
      <c r="I48" s="58" t="e">
        <f t="shared" si="64"/>
        <v>#DIV/0!</v>
      </c>
      <c r="J48" s="58"/>
      <c r="AF48" s="51" t="s">
        <v>97</v>
      </c>
      <c r="AG48" s="54" t="s">
        <v>98</v>
      </c>
    </row>
    <row r="51" spans="2:15">
      <c r="C51" s="65"/>
      <c r="D51" s="65"/>
      <c r="E51" s="65"/>
      <c r="F51" s="65"/>
      <c r="G51" s="65"/>
      <c r="H51" s="65"/>
      <c r="I51" s="65"/>
    </row>
    <row r="54" spans="2:15">
      <c r="B54" s="66"/>
      <c r="C54" s="67"/>
      <c r="D54" s="67"/>
      <c r="E54" s="67"/>
      <c r="F54" s="67"/>
      <c r="G54" s="67"/>
      <c r="H54" s="67"/>
      <c r="I54" s="67"/>
      <c r="J54" s="67"/>
      <c r="K54" s="66"/>
      <c r="L54" s="66"/>
      <c r="M54" s="66"/>
      <c r="N54" s="66"/>
      <c r="O54" s="66"/>
    </row>
    <row r="55" spans="2:15">
      <c r="B55" s="66"/>
      <c r="C55" s="67"/>
      <c r="D55" s="67"/>
      <c r="E55" s="67"/>
      <c r="F55" s="67"/>
      <c r="G55" s="67"/>
      <c r="H55" s="67"/>
      <c r="I55" s="67"/>
      <c r="J55" s="67"/>
      <c r="K55" s="66"/>
      <c r="L55" s="66"/>
      <c r="M55" s="66"/>
      <c r="N55" s="66"/>
      <c r="O55" s="66"/>
    </row>
    <row r="56" spans="2:15">
      <c r="B56" s="66"/>
      <c r="C56" s="67"/>
      <c r="D56" s="67"/>
      <c r="E56" s="67"/>
      <c r="F56" s="67"/>
      <c r="G56" s="67"/>
      <c r="H56" s="67"/>
      <c r="I56" s="67"/>
      <c r="J56" s="67"/>
      <c r="K56" s="66"/>
      <c r="L56" s="66"/>
      <c r="M56" s="66"/>
      <c r="N56" s="66"/>
      <c r="O56" s="66"/>
    </row>
    <row r="57" spans="2:15">
      <c r="B57" s="66"/>
      <c r="C57" s="67"/>
      <c r="D57" s="67"/>
      <c r="E57" s="67"/>
      <c r="F57" s="67"/>
      <c r="G57" s="67"/>
      <c r="H57" s="67"/>
      <c r="I57" s="67"/>
      <c r="J57" s="67"/>
      <c r="K57" s="66"/>
      <c r="L57" s="66"/>
      <c r="M57" s="66"/>
      <c r="N57" s="66"/>
      <c r="O57" s="66"/>
    </row>
    <row r="58" spans="2:15">
      <c r="B58" s="66"/>
      <c r="C58" s="67"/>
      <c r="D58" s="67"/>
      <c r="E58" s="67"/>
      <c r="F58" s="67"/>
      <c r="G58" s="67"/>
      <c r="H58" s="67"/>
      <c r="I58" s="67"/>
      <c r="J58" s="67"/>
      <c r="K58" s="66"/>
      <c r="L58" s="66"/>
      <c r="M58" s="66"/>
      <c r="N58" s="66"/>
      <c r="O58" s="66"/>
    </row>
    <row r="59" spans="2:15">
      <c r="B59" s="66"/>
      <c r="C59" s="67"/>
      <c r="D59" s="67"/>
      <c r="E59" s="67"/>
      <c r="F59" s="67"/>
      <c r="G59" s="67"/>
      <c r="H59" s="67"/>
      <c r="I59" s="67"/>
      <c r="J59" s="67"/>
      <c r="K59" s="66"/>
      <c r="L59" s="66"/>
      <c r="M59" s="66"/>
      <c r="N59" s="66"/>
      <c r="O59" s="66"/>
    </row>
    <row r="60" spans="2:15">
      <c r="B60" s="66"/>
      <c r="C60" s="67"/>
      <c r="D60" s="67"/>
      <c r="E60" s="67"/>
      <c r="F60" s="67"/>
      <c r="G60" s="67"/>
      <c r="H60" s="67"/>
      <c r="I60" s="67"/>
      <c r="J60" s="67"/>
      <c r="K60" s="66"/>
      <c r="L60" s="66"/>
      <c r="M60" s="66"/>
      <c r="N60" s="66"/>
      <c r="O60" s="66"/>
    </row>
    <row r="61" spans="2:15">
      <c r="B61" s="66"/>
      <c r="C61" s="67"/>
      <c r="D61" s="67"/>
      <c r="E61" s="67"/>
      <c r="F61" s="67"/>
      <c r="G61" s="67"/>
      <c r="H61" s="67"/>
      <c r="I61" s="67"/>
      <c r="J61" s="67"/>
      <c r="K61" s="66"/>
      <c r="L61" s="66"/>
      <c r="M61" s="66"/>
      <c r="N61" s="66"/>
      <c r="O61" s="66"/>
    </row>
    <row r="62" spans="2:15">
      <c r="B62" s="66"/>
      <c r="C62" s="67"/>
      <c r="D62" s="67"/>
      <c r="E62" s="67"/>
      <c r="F62" s="67"/>
      <c r="G62" s="67"/>
      <c r="H62" s="67"/>
      <c r="I62" s="67"/>
      <c r="J62" s="67"/>
      <c r="K62" s="66"/>
      <c r="L62" s="66"/>
      <c r="M62" s="66"/>
      <c r="N62" s="66"/>
      <c r="O62" s="66"/>
    </row>
    <row r="63" spans="2:15">
      <c r="B63" s="66"/>
      <c r="C63" s="67"/>
      <c r="D63" s="67"/>
      <c r="E63" s="67"/>
      <c r="F63" s="67"/>
      <c r="G63" s="67"/>
      <c r="H63" s="67"/>
      <c r="I63" s="67"/>
      <c r="J63" s="67"/>
      <c r="K63" s="66"/>
      <c r="L63" s="66"/>
      <c r="M63" s="66"/>
      <c r="N63" s="66"/>
      <c r="O63" s="66"/>
    </row>
    <row r="64" spans="2:15">
      <c r="B64" s="66"/>
      <c r="C64" s="67"/>
      <c r="D64" s="67"/>
      <c r="E64" s="67"/>
      <c r="F64" s="67"/>
      <c r="G64" s="67"/>
      <c r="H64" s="67"/>
      <c r="I64" s="67"/>
      <c r="J64" s="67"/>
      <c r="K64" s="66"/>
      <c r="L64" s="66"/>
      <c r="M64" s="66"/>
      <c r="N64" s="66"/>
      <c r="O64" s="66"/>
    </row>
    <row r="65" spans="2:15">
      <c r="B65" s="66"/>
      <c r="C65" s="67"/>
      <c r="D65" s="67"/>
      <c r="E65" s="67"/>
      <c r="F65" s="67"/>
      <c r="G65" s="67"/>
      <c r="H65" s="67"/>
      <c r="I65" s="67"/>
      <c r="J65" s="67"/>
      <c r="K65" s="66"/>
      <c r="L65" s="66"/>
      <c r="M65" s="66"/>
      <c r="N65" s="66"/>
      <c r="O65" s="66"/>
    </row>
    <row r="66" spans="2:15">
      <c r="B66" s="66"/>
      <c r="C66" s="67"/>
      <c r="D66" s="67"/>
      <c r="E66" s="67"/>
      <c r="F66" s="67"/>
      <c r="G66" s="67"/>
      <c r="H66" s="67"/>
      <c r="I66" s="67"/>
      <c r="J66" s="67"/>
      <c r="K66" s="66"/>
      <c r="L66" s="66"/>
      <c r="M66" s="66"/>
      <c r="N66" s="66"/>
      <c r="O66" s="66"/>
    </row>
    <row r="67" spans="2:15">
      <c r="B67" s="66"/>
      <c r="C67" s="67"/>
      <c r="D67" s="67"/>
      <c r="E67" s="67"/>
      <c r="F67" s="67"/>
      <c r="G67" s="67"/>
      <c r="H67" s="67"/>
      <c r="I67" s="67"/>
      <c r="J67" s="67"/>
      <c r="K67" s="66"/>
    </row>
    <row r="68" spans="2:15">
      <c r="B68" s="66"/>
      <c r="C68" s="67"/>
      <c r="D68" s="67"/>
      <c r="E68" s="67"/>
      <c r="F68" s="67"/>
      <c r="G68" s="67"/>
      <c r="H68" s="67"/>
      <c r="I68" s="67"/>
      <c r="J68" s="67"/>
      <c r="K68" s="66"/>
    </row>
    <row r="69" spans="2:15">
      <c r="B69" s="66"/>
      <c r="C69" s="67"/>
      <c r="D69" s="67"/>
      <c r="E69" s="67"/>
      <c r="F69" s="67"/>
      <c r="G69" s="67"/>
      <c r="H69" s="67"/>
      <c r="I69" s="67"/>
      <c r="J69" s="67"/>
      <c r="K69" s="66"/>
    </row>
    <row r="70" spans="2:15">
      <c r="B70" s="66"/>
      <c r="C70" s="67"/>
      <c r="D70" s="67"/>
      <c r="E70" s="67"/>
      <c r="F70" s="67"/>
      <c r="G70" s="67"/>
      <c r="H70" s="67"/>
      <c r="I70" s="67"/>
      <c r="J70" s="67"/>
      <c r="K70" s="66"/>
    </row>
    <row r="71" spans="2:15">
      <c r="B71" s="66"/>
      <c r="C71" s="67"/>
      <c r="D71" s="67"/>
      <c r="E71" s="67"/>
      <c r="F71" s="67"/>
      <c r="G71" s="67"/>
      <c r="H71" s="67"/>
      <c r="I71" s="67"/>
      <c r="J71" s="67"/>
      <c r="K71" s="66"/>
    </row>
    <row r="72" spans="2:15">
      <c r="B72" s="66"/>
      <c r="C72" s="67"/>
      <c r="D72" s="67"/>
      <c r="E72" s="67"/>
      <c r="F72" s="67"/>
      <c r="G72" s="67"/>
      <c r="H72" s="67"/>
      <c r="I72" s="67"/>
      <c r="J72" s="67"/>
      <c r="K72" s="66"/>
    </row>
    <row r="73" spans="2:15">
      <c r="B73" s="66"/>
      <c r="C73" s="67"/>
      <c r="D73" s="67"/>
      <c r="E73" s="67"/>
      <c r="F73" s="67"/>
      <c r="G73" s="67"/>
      <c r="H73" s="67"/>
      <c r="I73" s="67"/>
      <c r="J73" s="67"/>
      <c r="K73" s="66"/>
    </row>
    <row r="74" spans="2:15">
      <c r="B74" s="66"/>
      <c r="C74" s="67"/>
      <c r="D74" s="67"/>
      <c r="E74" s="67"/>
      <c r="F74" s="67"/>
      <c r="G74" s="67"/>
      <c r="H74" s="67"/>
      <c r="I74" s="67"/>
      <c r="J74" s="67"/>
      <c r="K74" s="66"/>
    </row>
  </sheetData>
  <mergeCells count="8">
    <mergeCell ref="J3:J5"/>
    <mergeCell ref="C2:J2"/>
    <mergeCell ref="C1:J1"/>
    <mergeCell ref="A1:B1"/>
    <mergeCell ref="A2:B2"/>
    <mergeCell ref="A3:B3"/>
    <mergeCell ref="A4:B4"/>
    <mergeCell ref="A5:B5"/>
  </mergeCells>
  <phoneticPr fontId="38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7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74"/>
  <sheetViews>
    <sheetView workbookViewId="0">
      <pane xSplit="2" ySplit="7" topLeftCell="C18" activePane="bottomRight" state="frozen"/>
      <selection pane="topRight"/>
      <selection pane="bottomLeft"/>
      <selection pane="bottomRight" activeCell="J26" sqref="J26"/>
    </sheetView>
  </sheetViews>
  <sheetFormatPr defaultColWidth="9" defaultRowHeight="16.5"/>
  <cols>
    <col min="1" max="1" width="5.125" style="47" customWidth="1"/>
    <col min="2" max="2" width="17.5" style="47" customWidth="1"/>
    <col min="3" max="9" width="13.25" style="48" customWidth="1"/>
    <col min="10" max="10" width="18.75" style="48" customWidth="1"/>
    <col min="11" max="11" width="12.375" style="47" customWidth="1"/>
    <col min="12" max="12" width="10.125" style="47" customWidth="1"/>
    <col min="13" max="19" width="9" style="47" customWidth="1"/>
    <col min="20" max="36" width="9" style="47"/>
    <col min="37" max="37" width="4.375" style="47" customWidth="1"/>
    <col min="38" max="38" width="13.875" style="47" customWidth="1"/>
    <col min="39" max="16384" width="9" style="47"/>
  </cols>
  <sheetData>
    <row r="1" spans="1:39">
      <c r="A1" s="236" t="s">
        <v>138</v>
      </c>
      <c r="B1" s="236"/>
      <c r="C1" s="240" t="s">
        <v>279</v>
      </c>
      <c r="D1" s="241"/>
      <c r="E1" s="241"/>
      <c r="F1" s="241"/>
      <c r="G1" s="241"/>
      <c r="H1" s="241"/>
      <c r="I1" s="241"/>
      <c r="J1" s="242"/>
    </row>
    <row r="2" spans="1:39">
      <c r="A2" s="236" t="s">
        <v>139</v>
      </c>
      <c r="B2" s="236"/>
      <c r="C2" s="243" t="str">
        <f>'2024年'!C2:J2</f>
        <v>上汽红岩</v>
      </c>
      <c r="D2" s="243"/>
      <c r="E2" s="243"/>
      <c r="F2" s="243"/>
      <c r="G2" s="243"/>
      <c r="H2" s="243"/>
      <c r="I2" s="243"/>
      <c r="J2" s="243"/>
    </row>
    <row r="3" spans="1:39">
      <c r="A3" s="236" t="s">
        <v>140</v>
      </c>
      <c r="B3" s="236"/>
      <c r="C3" s="160" t="str">
        <f>销量!C5</f>
        <v>正司机</v>
      </c>
      <c r="D3" s="160" t="str">
        <f>销量!D5</f>
        <v>正司机</v>
      </c>
      <c r="E3" s="160" t="str">
        <f>销量!E5</f>
        <v>正司机</v>
      </c>
      <c r="F3" s="160" t="str">
        <f>销量!F5</f>
        <v>副司机</v>
      </c>
      <c r="G3" s="160">
        <f>销量!G5</f>
        <v>0</v>
      </c>
      <c r="H3" s="160">
        <f>销量!H5</f>
        <v>0</v>
      </c>
      <c r="I3" s="160">
        <f>销量!I5</f>
        <v>0</v>
      </c>
      <c r="J3" s="237" t="s">
        <v>16</v>
      </c>
    </row>
    <row r="4" spans="1:39">
      <c r="A4" s="236" t="s">
        <v>141</v>
      </c>
      <c r="B4" s="236"/>
      <c r="C4" s="160">
        <f>销量!C6</f>
        <v>6000149199</v>
      </c>
      <c r="D4" s="160">
        <f>销量!D6</f>
        <v>6000149200</v>
      </c>
      <c r="E4" s="160">
        <f>销量!E6</f>
        <v>6000149201</v>
      </c>
      <c r="F4" s="160">
        <f>销量!F6</f>
        <v>6000149205</v>
      </c>
      <c r="G4" s="160">
        <f>销量!G6</f>
        <v>0</v>
      </c>
      <c r="H4" s="160">
        <f>销量!H6</f>
        <v>0</v>
      </c>
      <c r="I4" s="160">
        <f>销量!I6</f>
        <v>0</v>
      </c>
      <c r="J4" s="238"/>
    </row>
    <row r="5" spans="1:39">
      <c r="A5" s="236" t="s">
        <v>142</v>
      </c>
      <c r="B5" s="236"/>
      <c r="C5" s="50"/>
      <c r="D5" s="50"/>
      <c r="E5" s="50"/>
      <c r="F5" s="50"/>
      <c r="G5" s="50"/>
      <c r="H5" s="50"/>
      <c r="I5" s="50"/>
      <c r="J5" s="239"/>
      <c r="AM5" s="47" t="s">
        <v>17</v>
      </c>
    </row>
    <row r="6" spans="1:39" ht="17.25">
      <c r="A6" s="51" t="s">
        <v>15</v>
      </c>
      <c r="B6" s="52" t="s">
        <v>143</v>
      </c>
      <c r="C6" s="22">
        <f>销量!C13</f>
        <v>8520</v>
      </c>
      <c r="D6" s="22">
        <f>销量!D13</f>
        <v>25560</v>
      </c>
      <c r="E6" s="22">
        <f>销量!E13</f>
        <v>8520</v>
      </c>
      <c r="F6" s="22">
        <f>销量!F13</f>
        <v>34080</v>
      </c>
      <c r="G6" s="22">
        <f>销量!G13</f>
        <v>0</v>
      </c>
      <c r="H6" s="22">
        <f>销量!H13</f>
        <v>0</v>
      </c>
      <c r="I6" s="22">
        <f>销量!I13</f>
        <v>0</v>
      </c>
      <c r="J6" s="53">
        <f>SUM(C6:I6)</f>
        <v>76680</v>
      </c>
      <c r="U6" s="52" t="s">
        <v>3</v>
      </c>
      <c r="AK6" s="51" t="s">
        <v>15</v>
      </c>
      <c r="AL6" s="52" t="s">
        <v>3</v>
      </c>
      <c r="AM6" s="47" t="s">
        <v>18</v>
      </c>
    </row>
    <row r="7" spans="1:39">
      <c r="A7" s="159">
        <v>1</v>
      </c>
      <c r="B7" s="52" t="s">
        <v>19</v>
      </c>
      <c r="C7" s="53">
        <f>C6*销量!C8</f>
        <v>15013944</v>
      </c>
      <c r="D7" s="53">
        <f>D6*销量!D8</f>
        <v>39106800</v>
      </c>
      <c r="E7" s="53">
        <f>E6*销量!E8</f>
        <v>10189920</v>
      </c>
      <c r="F7" s="53">
        <f>F6*销量!F8</f>
        <v>13510334.4</v>
      </c>
      <c r="G7" s="53">
        <f>G6*销量!G8</f>
        <v>0</v>
      </c>
      <c r="H7" s="53">
        <f>H6*销量!H8</f>
        <v>0</v>
      </c>
      <c r="I7" s="53">
        <f>I6*销量!I8</f>
        <v>0</v>
      </c>
      <c r="J7" s="53">
        <f t="shared" ref="J7:J22" si="0">SUM(C7:I7)</f>
        <v>77820998.400000006</v>
      </c>
      <c r="K7" s="48"/>
      <c r="U7" s="52" t="s">
        <v>19</v>
      </c>
      <c r="AK7" s="51" t="s">
        <v>20</v>
      </c>
      <c r="AL7" s="52" t="s">
        <v>19</v>
      </c>
      <c r="AM7" s="47" t="s">
        <v>18</v>
      </c>
    </row>
    <row r="8" spans="1:39">
      <c r="A8" s="159">
        <v>2</v>
      </c>
      <c r="B8" s="159" t="s">
        <v>21</v>
      </c>
      <c r="C8" s="53">
        <f>C7*(1-销量!$M$10)</f>
        <v>1722207.3270573611</v>
      </c>
      <c r="D8" s="53">
        <f>D7*(1-销量!$M$10)</f>
        <v>4485831.1378920032</v>
      </c>
      <c r="E8" s="53">
        <f>E7*(1-销量!$M$10)</f>
        <v>1168857.0895248007</v>
      </c>
      <c r="F8" s="53">
        <f>F7*(1-销量!$M$10)</f>
        <v>1549732.4949843369</v>
      </c>
      <c r="G8" s="53">
        <f>G7*(1-销量!$M$10)</f>
        <v>0</v>
      </c>
      <c r="H8" s="53">
        <f>H7*(1-销量!$M$10)</f>
        <v>0</v>
      </c>
      <c r="I8" s="53">
        <f>I7*(1-销量!$M$10)</f>
        <v>0</v>
      </c>
      <c r="J8" s="53">
        <f t="shared" si="0"/>
        <v>8926628.0494585019</v>
      </c>
      <c r="K8" s="68"/>
      <c r="U8" s="159" t="s">
        <v>23</v>
      </c>
      <c r="AK8" s="51" t="s">
        <v>22</v>
      </c>
      <c r="AL8" s="159" t="s">
        <v>23</v>
      </c>
      <c r="AM8" s="47" t="s">
        <v>18</v>
      </c>
    </row>
    <row r="9" spans="1:39">
      <c r="A9" s="159">
        <v>3</v>
      </c>
      <c r="B9" s="52" t="s">
        <v>24</v>
      </c>
      <c r="C9" s="53">
        <f>+C7-C8</f>
        <v>13291736.672942638</v>
      </c>
      <c r="D9" s="53">
        <f t="shared" ref="D9:E9" si="1">+D7-D8</f>
        <v>34620968.862108</v>
      </c>
      <c r="E9" s="53">
        <f t="shared" si="1"/>
        <v>9021062.9104752</v>
      </c>
      <c r="F9" s="53">
        <f t="shared" ref="F9:I9" si="2">+F7-F8</f>
        <v>11960601.905015664</v>
      </c>
      <c r="G9" s="53">
        <f t="shared" si="2"/>
        <v>0</v>
      </c>
      <c r="H9" s="53">
        <f t="shared" si="2"/>
        <v>0</v>
      </c>
      <c r="I9" s="53">
        <f t="shared" si="2"/>
        <v>0</v>
      </c>
      <c r="J9" s="53">
        <f t="shared" si="0"/>
        <v>68894370.350541502</v>
      </c>
      <c r="U9" s="52" t="s">
        <v>24</v>
      </c>
      <c r="AK9" s="51" t="s">
        <v>25</v>
      </c>
      <c r="AL9" s="52" t="s">
        <v>24</v>
      </c>
      <c r="AM9" s="47" t="s">
        <v>26</v>
      </c>
    </row>
    <row r="10" spans="1:39">
      <c r="A10" s="159">
        <v>4</v>
      </c>
      <c r="B10" s="51" t="s">
        <v>27</v>
      </c>
      <c r="C10" s="53">
        <f>C6*C33</f>
        <v>9792108.4417940713</v>
      </c>
      <c r="D10" s="53">
        <f t="shared" ref="D10:I10" si="3">D6*D33</f>
        <v>26463288.808468696</v>
      </c>
      <c r="E10" s="53">
        <f t="shared" si="3"/>
        <v>7530569.8858800698</v>
      </c>
      <c r="F10" s="53">
        <f t="shared" si="3"/>
        <v>8879930.5720643904</v>
      </c>
      <c r="G10" s="53">
        <f t="shared" si="3"/>
        <v>0</v>
      </c>
      <c r="H10" s="53">
        <f t="shared" si="3"/>
        <v>0</v>
      </c>
      <c r="I10" s="53">
        <f t="shared" si="3"/>
        <v>0</v>
      </c>
      <c r="J10" s="53">
        <f t="shared" si="0"/>
        <v>52665897.708207227</v>
      </c>
      <c r="U10" s="51" t="s">
        <v>27</v>
      </c>
      <c r="AK10" s="51" t="s">
        <v>28</v>
      </c>
      <c r="AL10" s="51" t="s">
        <v>27</v>
      </c>
      <c r="AM10" s="47" t="s">
        <v>29</v>
      </c>
    </row>
    <row r="11" spans="1:39">
      <c r="A11" s="159">
        <v>5</v>
      </c>
      <c r="B11" s="51" t="s">
        <v>30</v>
      </c>
      <c r="C11" s="53">
        <f>+C6*C36</f>
        <v>528490.82880000002</v>
      </c>
      <c r="D11" s="53">
        <f t="shared" ref="D11:E11" si="4">+D6*D36</f>
        <v>1376559.36</v>
      </c>
      <c r="E11" s="53">
        <f t="shared" si="4"/>
        <v>358685.18400000001</v>
      </c>
      <c r="F11" s="53">
        <f t="shared" ref="F11:I11" si="5">+F6*F36</f>
        <v>475563.77088000003</v>
      </c>
      <c r="G11" s="53">
        <f t="shared" si="5"/>
        <v>0</v>
      </c>
      <c r="H11" s="53">
        <f t="shared" si="5"/>
        <v>0</v>
      </c>
      <c r="I11" s="53">
        <f t="shared" si="5"/>
        <v>0</v>
      </c>
      <c r="J11" s="53">
        <f t="shared" si="0"/>
        <v>2739299.1436800002</v>
      </c>
      <c r="U11" s="51" t="s">
        <v>30</v>
      </c>
      <c r="AK11" s="51" t="s">
        <v>31</v>
      </c>
      <c r="AL11" s="51" t="s">
        <v>30</v>
      </c>
    </row>
    <row r="12" spans="1:39">
      <c r="A12" s="159">
        <v>6</v>
      </c>
      <c r="B12" s="51" t="s">
        <v>32</v>
      </c>
      <c r="C12" s="53">
        <f>+C6*C37</f>
        <v>159147.8064</v>
      </c>
      <c r="D12" s="53">
        <f t="shared" ref="D12:E12" si="6">+D6*D37</f>
        <v>414532.08</v>
      </c>
      <c r="E12" s="53">
        <f t="shared" si="6"/>
        <v>108013.152</v>
      </c>
      <c r="F12" s="53">
        <f t="shared" ref="F12:I12" si="7">+F6*F37</f>
        <v>143209.54464000001</v>
      </c>
      <c r="G12" s="53">
        <f t="shared" si="7"/>
        <v>0</v>
      </c>
      <c r="H12" s="53">
        <f t="shared" si="7"/>
        <v>0</v>
      </c>
      <c r="I12" s="53">
        <f t="shared" si="7"/>
        <v>0</v>
      </c>
      <c r="J12" s="53">
        <f t="shared" si="0"/>
        <v>824902.58303999994</v>
      </c>
      <c r="U12" s="51" t="s">
        <v>32</v>
      </c>
      <c r="AK12" s="51" t="s">
        <v>33</v>
      </c>
      <c r="AL12" s="51" t="s">
        <v>32</v>
      </c>
    </row>
    <row r="13" spans="1:39">
      <c r="A13" s="159">
        <v>7</v>
      </c>
      <c r="B13" s="51" t="s">
        <v>34</v>
      </c>
      <c r="C13" s="53">
        <f>+C6*C38</f>
        <v>118610.15760000001</v>
      </c>
      <c r="D13" s="53">
        <f t="shared" ref="D13:E13" si="8">+D6*D38</f>
        <v>308943.72000000003</v>
      </c>
      <c r="E13" s="53">
        <f t="shared" si="8"/>
        <v>80500.368000000017</v>
      </c>
      <c r="F13" s="53">
        <f t="shared" ref="F13:I13" si="9">+F6*F38</f>
        <v>106731.64176</v>
      </c>
      <c r="G13" s="53">
        <f t="shared" si="9"/>
        <v>0</v>
      </c>
      <c r="H13" s="53">
        <f t="shared" si="9"/>
        <v>0</v>
      </c>
      <c r="I13" s="53">
        <f t="shared" si="9"/>
        <v>0</v>
      </c>
      <c r="J13" s="53">
        <f t="shared" si="0"/>
        <v>614785.88736000005</v>
      </c>
      <c r="U13" s="51" t="s">
        <v>34</v>
      </c>
      <c r="AK13" s="51" t="s">
        <v>35</v>
      </c>
      <c r="AL13" s="51" t="s">
        <v>34</v>
      </c>
      <c r="AM13" s="47" t="s">
        <v>18</v>
      </c>
    </row>
    <row r="14" spans="1:39">
      <c r="A14" s="159">
        <v>8</v>
      </c>
      <c r="B14" s="54" t="s">
        <v>36</v>
      </c>
      <c r="C14" s="53">
        <f>SUM(C11:C13)</f>
        <v>806248.79280000005</v>
      </c>
      <c r="D14" s="53">
        <f t="shared" ref="D14:E14" si="10">SUM(D11:D13)</f>
        <v>2100035.16</v>
      </c>
      <c r="E14" s="53">
        <f t="shared" si="10"/>
        <v>547198.70400000003</v>
      </c>
      <c r="F14" s="53">
        <f t="shared" ref="F14:I14" si="11">SUM(F11:F13)</f>
        <v>725504.95728000009</v>
      </c>
      <c r="G14" s="53">
        <f t="shared" si="11"/>
        <v>0</v>
      </c>
      <c r="H14" s="53">
        <f t="shared" si="11"/>
        <v>0</v>
      </c>
      <c r="I14" s="53">
        <f t="shared" si="11"/>
        <v>0</v>
      </c>
      <c r="J14" s="53">
        <f t="shared" si="0"/>
        <v>4178987.6140800002</v>
      </c>
      <c r="U14" s="54" t="s">
        <v>36</v>
      </c>
      <c r="AK14" s="51" t="s">
        <v>37</v>
      </c>
      <c r="AL14" s="54" t="s">
        <v>36</v>
      </c>
    </row>
    <row r="15" spans="1:39">
      <c r="A15" s="159">
        <v>9</v>
      </c>
      <c r="B15" s="54" t="s">
        <v>38</v>
      </c>
      <c r="C15" s="53">
        <f>+C9-C10-C14</f>
        <v>2693379.4383485671</v>
      </c>
      <c r="D15" s="53">
        <f t="shared" ref="D15:E15" si="12">+D9-D10-D14</f>
        <v>6057644.8936393037</v>
      </c>
      <c r="E15" s="53">
        <f t="shared" si="12"/>
        <v>943294.32059513021</v>
      </c>
      <c r="F15" s="53">
        <f t="shared" ref="F15:I15" si="13">+F9-F10-F14</f>
        <v>2355166.3756712736</v>
      </c>
      <c r="G15" s="53">
        <f t="shared" si="13"/>
        <v>0</v>
      </c>
      <c r="H15" s="53">
        <f t="shared" si="13"/>
        <v>0</v>
      </c>
      <c r="I15" s="53">
        <f t="shared" si="13"/>
        <v>0</v>
      </c>
      <c r="J15" s="53">
        <f t="shared" si="0"/>
        <v>12049485.028254274</v>
      </c>
      <c r="U15" s="54" t="s">
        <v>38</v>
      </c>
      <c r="AK15" s="51" t="s">
        <v>39</v>
      </c>
      <c r="AL15" s="54" t="s">
        <v>38</v>
      </c>
    </row>
    <row r="16" spans="1:39">
      <c r="A16" s="159">
        <v>10</v>
      </c>
      <c r="B16" s="51" t="s">
        <v>40</v>
      </c>
      <c r="C16" s="55">
        <f>+C15/C9</f>
        <v>0.20263563028835446</v>
      </c>
      <c r="D16" s="55">
        <f t="shared" ref="D16:E16" si="14">+D15/D9</f>
        <v>0.17497040356572119</v>
      </c>
      <c r="E16" s="55">
        <f t="shared" si="14"/>
        <v>0.10456576236706906</v>
      </c>
      <c r="F16" s="55">
        <f t="shared" ref="F16:I16" si="15">+F15/F9</f>
        <v>0.19691035571409138</v>
      </c>
      <c r="G16" s="55" t="e">
        <f t="shared" si="15"/>
        <v>#DIV/0!</v>
      </c>
      <c r="H16" s="55" t="e">
        <f t="shared" si="15"/>
        <v>#DIV/0!</v>
      </c>
      <c r="I16" s="55" t="e">
        <f t="shared" si="15"/>
        <v>#DIV/0!</v>
      </c>
      <c r="J16" s="55">
        <f t="shared" ref="J16" si="16">+J15/J9</f>
        <v>0.17489796288064294</v>
      </c>
      <c r="U16" s="51" t="s">
        <v>40</v>
      </c>
      <c r="AK16" s="51" t="s">
        <v>41</v>
      </c>
      <c r="AL16" s="51" t="s">
        <v>40</v>
      </c>
    </row>
    <row r="17" spans="1:39">
      <c r="A17" s="159">
        <v>11</v>
      </c>
      <c r="B17" s="51" t="s">
        <v>42</v>
      </c>
      <c r="C17" s="53">
        <f>C6*C43+C18</f>
        <v>293777.45804444444</v>
      </c>
      <c r="D17" s="53">
        <f t="shared" ref="D17:E17" si="17">D6*D43+D18</f>
        <v>766192.75333333341</v>
      </c>
      <c r="E17" s="53">
        <f t="shared" si="17"/>
        <v>200191.39244444444</v>
      </c>
      <c r="F17" s="53">
        <f t="shared" ref="F17:I17" si="18">F6*F43+F18</f>
        <v>272128.26513777778</v>
      </c>
      <c r="G17" s="53">
        <f t="shared" si="18"/>
        <v>0</v>
      </c>
      <c r="H17" s="53">
        <f t="shared" si="18"/>
        <v>0</v>
      </c>
      <c r="I17" s="53">
        <f t="shared" si="18"/>
        <v>0</v>
      </c>
      <c r="J17" s="53">
        <f t="shared" si="0"/>
        <v>1532289.8689600001</v>
      </c>
      <c r="K17" s="68"/>
      <c r="U17" s="51" t="s">
        <v>42</v>
      </c>
      <c r="AK17" s="51" t="s">
        <v>43</v>
      </c>
      <c r="AL17" s="51" t="s">
        <v>42</v>
      </c>
    </row>
    <row r="18" spans="1:39" s="45" customFormat="1">
      <c r="A18" s="159">
        <v>12</v>
      </c>
      <c r="B18" s="56" t="s">
        <v>144</v>
      </c>
      <c r="C18" s="57">
        <f>$J$18/$J$6*C6</f>
        <v>2506.9444444444443</v>
      </c>
      <c r="D18" s="57">
        <f t="shared" ref="D18:E18" si="19">$J$18/$J$6*D6</f>
        <v>7520.833333333333</v>
      </c>
      <c r="E18" s="57">
        <f t="shared" si="19"/>
        <v>2506.9444444444443</v>
      </c>
      <c r="F18" s="57">
        <f t="shared" ref="F18:I18" si="20">$J$18/$J$6*F6</f>
        <v>10027.777777777777</v>
      </c>
      <c r="G18" s="57">
        <f t="shared" si="20"/>
        <v>0</v>
      </c>
      <c r="H18" s="57">
        <f t="shared" si="20"/>
        <v>0</v>
      </c>
      <c r="I18" s="57">
        <f t="shared" si="20"/>
        <v>0</v>
      </c>
      <c r="J18" s="57">
        <f>项目投资!H26</f>
        <v>22562.5</v>
      </c>
      <c r="K18" s="69" t="s">
        <v>145</v>
      </c>
      <c r="L18" s="69"/>
      <c r="M18" s="69"/>
    </row>
    <row r="19" spans="1:39">
      <c r="A19" s="159">
        <v>13</v>
      </c>
      <c r="B19" s="51" t="s">
        <v>44</v>
      </c>
      <c r="C19" s="53">
        <f>C6*C44</f>
        <v>141131.07360000003</v>
      </c>
      <c r="D19" s="53">
        <f t="shared" ref="D19:E19" si="21">D6*D44</f>
        <v>367603.92000000004</v>
      </c>
      <c r="E19" s="53">
        <f t="shared" si="21"/>
        <v>95785.247999999992</v>
      </c>
      <c r="F19" s="53">
        <f t="shared" ref="F19:I19" si="22">F6*F44</f>
        <v>126997.14336</v>
      </c>
      <c r="G19" s="53">
        <f t="shared" si="22"/>
        <v>0</v>
      </c>
      <c r="H19" s="53">
        <f t="shared" si="22"/>
        <v>0</v>
      </c>
      <c r="I19" s="53">
        <f t="shared" si="22"/>
        <v>0</v>
      </c>
      <c r="J19" s="53">
        <f t="shared" si="0"/>
        <v>731517.38496000005</v>
      </c>
      <c r="K19" s="45"/>
      <c r="U19" s="51" t="s">
        <v>44</v>
      </c>
      <c r="AK19" s="51" t="s">
        <v>45</v>
      </c>
      <c r="AL19" s="51" t="s">
        <v>44</v>
      </c>
      <c r="AM19" s="47" t="s">
        <v>18</v>
      </c>
    </row>
    <row r="20" spans="1:39">
      <c r="A20" s="159">
        <v>14</v>
      </c>
      <c r="B20" s="51" t="s">
        <v>46</v>
      </c>
      <c r="C20" s="53">
        <f>C6*C45</f>
        <v>489454.57439999998</v>
      </c>
      <c r="D20" s="53">
        <f t="shared" ref="D20:E20" si="23">D6*D45</f>
        <v>1274881.68</v>
      </c>
      <c r="E20" s="53">
        <f t="shared" si="23"/>
        <v>332191.39199999999</v>
      </c>
      <c r="F20" s="53">
        <f t="shared" ref="F20:I20" si="24">F6*F45</f>
        <v>440436.90143999999</v>
      </c>
      <c r="G20" s="53">
        <f t="shared" si="24"/>
        <v>0</v>
      </c>
      <c r="H20" s="53">
        <f t="shared" si="24"/>
        <v>0</v>
      </c>
      <c r="I20" s="53">
        <f t="shared" si="24"/>
        <v>0</v>
      </c>
      <c r="J20" s="53">
        <f t="shared" si="0"/>
        <v>2536964.5478400001</v>
      </c>
      <c r="U20" s="51" t="s">
        <v>46</v>
      </c>
      <c r="AK20" s="51" t="s">
        <v>47</v>
      </c>
      <c r="AL20" s="51" t="s">
        <v>46</v>
      </c>
    </row>
    <row r="21" spans="1:39">
      <c r="A21" s="159">
        <v>15</v>
      </c>
      <c r="B21" s="51" t="s">
        <v>48</v>
      </c>
      <c r="C21" s="58">
        <f>$J$21/$J$6*C6</f>
        <v>7137.5</v>
      </c>
      <c r="D21" s="58">
        <f t="shared" ref="D21:E21" si="25">$J$21/$J$6*D6</f>
        <v>21412.5</v>
      </c>
      <c r="E21" s="58">
        <f t="shared" si="25"/>
        <v>7137.5</v>
      </c>
      <c r="F21" s="58">
        <f t="shared" ref="F21:I21" si="26">$J$21/$J$6*F6</f>
        <v>28550</v>
      </c>
      <c r="G21" s="58">
        <f t="shared" si="26"/>
        <v>0</v>
      </c>
      <c r="H21" s="58">
        <f t="shared" si="26"/>
        <v>0</v>
      </c>
      <c r="I21" s="58">
        <f t="shared" si="26"/>
        <v>0</v>
      </c>
      <c r="J21" s="53">
        <f>项目投资!H27</f>
        <v>64237.5</v>
      </c>
      <c r="U21" s="51" t="s">
        <v>48</v>
      </c>
      <c r="AK21" s="51"/>
      <c r="AL21" s="51"/>
    </row>
    <row r="22" spans="1:39">
      <c r="A22" s="159">
        <v>16</v>
      </c>
      <c r="B22" s="51" t="s">
        <v>49</v>
      </c>
      <c r="C22" s="53">
        <f>C6*C47</f>
        <v>750697.20000000007</v>
      </c>
      <c r="D22" s="53">
        <f t="shared" ref="D22:E22" si="27">D6*D47</f>
        <v>1955340</v>
      </c>
      <c r="E22" s="53">
        <f t="shared" si="27"/>
        <v>509496.00000000006</v>
      </c>
      <c r="F22" s="53">
        <f t="shared" ref="F22:I22" si="28">F6*F47</f>
        <v>675516.72</v>
      </c>
      <c r="G22" s="53">
        <f t="shared" si="28"/>
        <v>0</v>
      </c>
      <c r="H22" s="53">
        <f t="shared" si="28"/>
        <v>0</v>
      </c>
      <c r="I22" s="53">
        <f t="shared" si="28"/>
        <v>0</v>
      </c>
      <c r="J22" s="53">
        <f t="shared" si="0"/>
        <v>3891049.92</v>
      </c>
      <c r="U22" s="51" t="s">
        <v>49</v>
      </c>
      <c r="AK22" s="51" t="s">
        <v>50</v>
      </c>
      <c r="AL22" s="51" t="s">
        <v>49</v>
      </c>
    </row>
    <row r="23" spans="1:39">
      <c r="A23" s="159">
        <v>17</v>
      </c>
      <c r="B23" s="54" t="s">
        <v>51</v>
      </c>
      <c r="C23" s="58">
        <f>+C22+C21+C20+C19+C17</f>
        <v>1682197.8060444444</v>
      </c>
      <c r="D23" s="58">
        <f t="shared" ref="D23:E23" si="29">+D22+D21+D20+D19+D17</f>
        <v>4385430.8533333335</v>
      </c>
      <c r="E23" s="58">
        <f t="shared" si="29"/>
        <v>1144801.5324444445</v>
      </c>
      <c r="F23" s="58">
        <f t="shared" ref="F23:I23" si="30">+F22+F21+F20+F19+F17</f>
        <v>1543629.0299377777</v>
      </c>
      <c r="G23" s="58">
        <f t="shared" si="30"/>
        <v>0</v>
      </c>
      <c r="H23" s="58">
        <f t="shared" si="30"/>
        <v>0</v>
      </c>
      <c r="I23" s="58">
        <f t="shared" si="30"/>
        <v>0</v>
      </c>
      <c r="J23" s="58">
        <f t="shared" ref="J23" si="31">+J22+J21+J20+J19+J17</f>
        <v>8756059.221760001</v>
      </c>
      <c r="U23" s="54" t="s">
        <v>51</v>
      </c>
      <c r="AK23" s="51" t="s">
        <v>52</v>
      </c>
      <c r="AL23" s="54" t="s">
        <v>51</v>
      </c>
    </row>
    <row r="24" spans="1:39">
      <c r="A24" s="159">
        <v>18</v>
      </c>
      <c r="B24" s="59" t="s">
        <v>53</v>
      </c>
      <c r="C24" s="58">
        <f>+C15-C23</f>
        <v>1011181.6323041227</v>
      </c>
      <c r="D24" s="58">
        <f t="shared" ref="D24:E24" si="32">+D15-D23</f>
        <v>1672214.0403059702</v>
      </c>
      <c r="E24" s="58">
        <f t="shared" si="32"/>
        <v>-201507.21184931428</v>
      </c>
      <c r="F24" s="58">
        <f t="shared" ref="F24:I24" si="33">+F15-F23</f>
        <v>811537.34573349589</v>
      </c>
      <c r="G24" s="58">
        <f t="shared" si="33"/>
        <v>0</v>
      </c>
      <c r="H24" s="58">
        <f t="shared" si="33"/>
        <v>0</v>
      </c>
      <c r="I24" s="58">
        <f t="shared" si="33"/>
        <v>0</v>
      </c>
      <c r="J24" s="58">
        <f t="shared" ref="J24" si="34">+J15-J23</f>
        <v>3293425.8064942732</v>
      </c>
      <c r="L24" s="70"/>
      <c r="U24" s="51" t="s">
        <v>53</v>
      </c>
      <c r="AK24" s="51" t="s">
        <v>54</v>
      </c>
      <c r="AL24" s="51" t="s">
        <v>53</v>
      </c>
    </row>
    <row r="25" spans="1:39">
      <c r="A25" s="159">
        <v>19</v>
      </c>
      <c r="B25" s="51" t="s">
        <v>302</v>
      </c>
      <c r="C25" s="58">
        <f>IF(C24&lt;0,0,C24*0.25)</f>
        <v>252795.40807603067</v>
      </c>
      <c r="D25" s="58">
        <f t="shared" ref="D25:J25" si="35">IF(D24&lt;0,0,D24*0.25)</f>
        <v>418053.51007649256</v>
      </c>
      <c r="E25" s="58">
        <f t="shared" si="35"/>
        <v>0</v>
      </c>
      <c r="F25" s="58">
        <f t="shared" si="35"/>
        <v>202884.33643337397</v>
      </c>
      <c r="G25" s="58">
        <f t="shared" si="35"/>
        <v>0</v>
      </c>
      <c r="H25" s="58">
        <f t="shared" si="35"/>
        <v>0</v>
      </c>
      <c r="I25" s="58">
        <f t="shared" si="35"/>
        <v>0</v>
      </c>
      <c r="J25" s="58">
        <f t="shared" si="35"/>
        <v>823356.45162356831</v>
      </c>
      <c r="K25" s="66"/>
      <c r="L25" s="66"/>
      <c r="M25" s="66"/>
      <c r="U25" s="51" t="s">
        <v>55</v>
      </c>
      <c r="AK25" s="51" t="s">
        <v>56</v>
      </c>
      <c r="AL25" s="51" t="s">
        <v>55</v>
      </c>
    </row>
    <row r="26" spans="1:39">
      <c r="A26" s="159">
        <v>20</v>
      </c>
      <c r="B26" s="51" t="s">
        <v>57</v>
      </c>
      <c r="C26" s="58">
        <f t="shared" ref="C26:E26" si="36">C24-C25</f>
        <v>758386.224228092</v>
      </c>
      <c r="D26" s="58">
        <f t="shared" si="36"/>
        <v>1254160.5302294777</v>
      </c>
      <c r="E26" s="58">
        <f t="shared" si="36"/>
        <v>-201507.21184931428</v>
      </c>
      <c r="F26" s="58">
        <f t="shared" ref="F26:I26" si="37">F24-F25</f>
        <v>608653.00930012192</v>
      </c>
      <c r="G26" s="58">
        <f t="shared" si="37"/>
        <v>0</v>
      </c>
      <c r="H26" s="58">
        <f t="shared" si="37"/>
        <v>0</v>
      </c>
      <c r="I26" s="58">
        <f t="shared" si="37"/>
        <v>0</v>
      </c>
      <c r="J26" s="53">
        <f>J24-J25</f>
        <v>2470069.3548707049</v>
      </c>
      <c r="K26" s="66"/>
      <c r="L26" s="66"/>
      <c r="M26" s="66"/>
      <c r="U26" s="51" t="s">
        <v>57</v>
      </c>
      <c r="AK26" s="51" t="s">
        <v>58</v>
      </c>
      <c r="AL26" s="51" t="s">
        <v>57</v>
      </c>
    </row>
    <row r="27" spans="1:39">
      <c r="A27" s="159">
        <v>21</v>
      </c>
      <c r="B27" s="51" t="s">
        <v>61</v>
      </c>
      <c r="C27" s="60">
        <f t="shared" ref="C27:J27" si="38">C26/C7</f>
        <v>5.0512125543301083E-2</v>
      </c>
      <c r="D27" s="60">
        <f t="shared" ref="D27:E27" si="39">D26/D7</f>
        <v>3.207013947010437E-2</v>
      </c>
      <c r="E27" s="60">
        <f t="shared" si="39"/>
        <v>-1.977515150750097E-2</v>
      </c>
      <c r="F27" s="60">
        <f t="shared" ref="F27:I27" si="40">F26/F7</f>
        <v>4.5050921115625524E-2</v>
      </c>
      <c r="G27" s="60" t="e">
        <f t="shared" si="40"/>
        <v>#DIV/0!</v>
      </c>
      <c r="H27" s="60" t="e">
        <f t="shared" si="40"/>
        <v>#DIV/0!</v>
      </c>
      <c r="I27" s="60" t="e">
        <f t="shared" si="40"/>
        <v>#DIV/0!</v>
      </c>
      <c r="J27" s="60">
        <f t="shared" si="38"/>
        <v>3.1740396623730606E-2</v>
      </c>
      <c r="K27" s="66"/>
      <c r="L27" s="66"/>
      <c r="M27" s="66"/>
      <c r="U27" s="51" t="s">
        <v>61</v>
      </c>
      <c r="AK27" s="51" t="s">
        <v>60</v>
      </c>
      <c r="AL27" s="51" t="s">
        <v>61</v>
      </c>
    </row>
    <row r="28" spans="1:39">
      <c r="K28" s="66"/>
      <c r="L28" s="66"/>
      <c r="M28" s="66"/>
      <c r="U28" s="51"/>
    </row>
    <row r="29" spans="1:39">
      <c r="A29" s="47" t="s">
        <v>62</v>
      </c>
      <c r="J29" s="48" t="s">
        <v>146</v>
      </c>
      <c r="K29" s="66"/>
      <c r="L29" s="66"/>
      <c r="M29" s="66"/>
      <c r="U29" s="51"/>
      <c r="AK29" s="47" t="s">
        <v>62</v>
      </c>
    </row>
    <row r="30" spans="1:39">
      <c r="A30" s="51" t="s">
        <v>63</v>
      </c>
      <c r="B30" s="54" t="s">
        <v>64</v>
      </c>
      <c r="C30" s="58"/>
      <c r="D30" s="58"/>
      <c r="E30" s="58"/>
      <c r="F30" s="58"/>
      <c r="G30" s="58"/>
      <c r="H30" s="58"/>
      <c r="I30" s="58"/>
      <c r="J30" s="58"/>
      <c r="K30" s="66"/>
      <c r="L30" s="66"/>
      <c r="M30" s="66"/>
      <c r="O30" s="66"/>
      <c r="U30" s="54" t="s">
        <v>64</v>
      </c>
      <c r="AK30" s="51" t="s">
        <v>65</v>
      </c>
      <c r="AL30" s="54" t="s">
        <v>64</v>
      </c>
    </row>
    <row r="31" spans="1:39">
      <c r="A31" s="159">
        <v>1</v>
      </c>
      <c r="B31" s="56" t="s">
        <v>66</v>
      </c>
      <c r="C31" s="62">
        <f>销量!C8</f>
        <v>1762.2</v>
      </c>
      <c r="D31" s="62">
        <f>销量!D8</f>
        <v>1530</v>
      </c>
      <c r="E31" s="62">
        <f>销量!E8</f>
        <v>1196</v>
      </c>
      <c r="F31" s="62">
        <f>销量!F8</f>
        <v>396.43</v>
      </c>
      <c r="G31" s="62">
        <f>销量!G8</f>
        <v>0</v>
      </c>
      <c r="H31" s="62">
        <f>销量!H8</f>
        <v>0</v>
      </c>
      <c r="I31" s="62">
        <f>销量!I8</f>
        <v>0</v>
      </c>
      <c r="J31" s="58"/>
      <c r="K31" s="66"/>
      <c r="L31" s="66"/>
      <c r="M31" s="66"/>
      <c r="O31" s="66"/>
      <c r="U31" s="51" t="s">
        <v>66</v>
      </c>
      <c r="AK31" s="51" t="s">
        <v>20</v>
      </c>
      <c r="AL31" s="51" t="s">
        <v>66</v>
      </c>
    </row>
    <row r="32" spans="1:39">
      <c r="A32" s="159">
        <v>2</v>
      </c>
      <c r="B32" s="51" t="s">
        <v>147</v>
      </c>
      <c r="C32" s="53">
        <f>C9/C6</f>
        <v>1560.0629897819997</v>
      </c>
      <c r="D32" s="53">
        <f t="shared" ref="D32:E32" si="41">D9/D6</f>
        <v>1354.4979992999999</v>
      </c>
      <c r="E32" s="53">
        <f t="shared" si="41"/>
        <v>1058.81020076</v>
      </c>
      <c r="F32" s="53">
        <f t="shared" ref="F32:I32" si="42">F9/F6</f>
        <v>350.95662866830003</v>
      </c>
      <c r="G32" s="53" t="e">
        <f t="shared" si="42"/>
        <v>#DIV/0!</v>
      </c>
      <c r="H32" s="53" t="e">
        <f t="shared" si="42"/>
        <v>#DIV/0!</v>
      </c>
      <c r="I32" s="53" t="e">
        <f t="shared" si="42"/>
        <v>#DIV/0!</v>
      </c>
      <c r="J32" s="58"/>
      <c r="K32" s="66"/>
      <c r="L32" s="66"/>
      <c r="M32" s="66"/>
      <c r="N32" s="66"/>
      <c r="O32" s="66"/>
      <c r="P32" s="66"/>
      <c r="Q32" s="66"/>
      <c r="AK32" s="51"/>
      <c r="AL32" s="51"/>
    </row>
    <row r="33" spans="1:38">
      <c r="A33" s="159">
        <v>3</v>
      </c>
      <c r="B33" s="56" t="s">
        <v>67</v>
      </c>
      <c r="C33" s="53">
        <f>材料成本!D16</f>
        <v>1149.3085025579896</v>
      </c>
      <c r="D33" s="53">
        <f>材料成本!E16</f>
        <v>1035.339937733517</v>
      </c>
      <c r="E33" s="53">
        <f>材料成本!F16</f>
        <v>883.86970491550119</v>
      </c>
      <c r="F33" s="53">
        <f>材料成本!G16</f>
        <v>260.56134307700677</v>
      </c>
      <c r="G33" s="53">
        <f>材料成本!H16</f>
        <v>0</v>
      </c>
      <c r="H33" s="53">
        <f>材料成本!I16</f>
        <v>0</v>
      </c>
      <c r="I33" s="53">
        <f>材料成本!J16</f>
        <v>0</v>
      </c>
      <c r="J33" s="58"/>
      <c r="L33" s="66"/>
      <c r="M33" s="66"/>
      <c r="N33" s="66"/>
      <c r="O33" s="66"/>
      <c r="P33" s="66"/>
      <c r="Q33" s="66"/>
      <c r="U33" s="51" t="s">
        <v>67</v>
      </c>
      <c r="AK33" s="51" t="s">
        <v>22</v>
      </c>
      <c r="AL33" s="51" t="s">
        <v>67</v>
      </c>
    </row>
    <row r="34" spans="1:38" ht="17.25" customHeight="1">
      <c r="A34" s="159">
        <v>4</v>
      </c>
      <c r="B34" s="51" t="s">
        <v>69</v>
      </c>
      <c r="C34" s="63">
        <f>C32-C33</f>
        <v>410.75448722401006</v>
      </c>
      <c r="D34" s="63">
        <f t="shared" ref="D34:E34" si="43">D32-D33</f>
        <v>319.15806156648296</v>
      </c>
      <c r="E34" s="63">
        <f t="shared" si="43"/>
        <v>174.94049584449886</v>
      </c>
      <c r="F34" s="63">
        <f t="shared" ref="F34:I34" si="44">F32-F33</f>
        <v>90.395285591293259</v>
      </c>
      <c r="G34" s="63" t="e">
        <f t="shared" si="44"/>
        <v>#DIV/0!</v>
      </c>
      <c r="H34" s="63" t="e">
        <f t="shared" si="44"/>
        <v>#DIV/0!</v>
      </c>
      <c r="I34" s="63" t="e">
        <f t="shared" si="44"/>
        <v>#DIV/0!</v>
      </c>
      <c r="J34" s="58"/>
      <c r="L34" s="66"/>
      <c r="M34" s="66"/>
      <c r="N34" s="66"/>
      <c r="O34" s="66"/>
      <c r="P34" s="66"/>
      <c r="Q34" s="66"/>
      <c r="U34" s="51" t="s">
        <v>69</v>
      </c>
      <c r="AK34" s="51" t="s">
        <v>68</v>
      </c>
      <c r="AL34" s="51" t="s">
        <v>69</v>
      </c>
    </row>
    <row r="35" spans="1:38">
      <c r="A35" s="51" t="s">
        <v>65</v>
      </c>
      <c r="B35" s="54" t="s">
        <v>9</v>
      </c>
      <c r="C35" s="58"/>
      <c r="D35" s="58"/>
      <c r="E35" s="58"/>
      <c r="F35" s="58"/>
      <c r="G35" s="58"/>
      <c r="H35" s="58"/>
      <c r="I35" s="58"/>
      <c r="J35" s="58"/>
      <c r="K35" s="66"/>
      <c r="L35" s="66"/>
      <c r="M35" s="66"/>
      <c r="N35" s="66"/>
      <c r="O35" s="66"/>
      <c r="P35" s="66"/>
      <c r="Q35" s="66"/>
      <c r="R35" s="66"/>
      <c r="S35" s="66"/>
      <c r="T35" s="66"/>
      <c r="U35" s="54" t="s">
        <v>9</v>
      </c>
      <c r="AK35" s="51" t="s">
        <v>71</v>
      </c>
      <c r="AL35" s="54" t="s">
        <v>9</v>
      </c>
    </row>
    <row r="36" spans="1:38">
      <c r="A36" s="159">
        <v>1</v>
      </c>
      <c r="B36" s="51" t="s">
        <v>72</v>
      </c>
      <c r="C36" s="57">
        <f>'2024年'!C36</f>
        <v>62.029440000000008</v>
      </c>
      <c r="D36" s="57">
        <f>'2024年'!D36</f>
        <v>53.856000000000002</v>
      </c>
      <c r="E36" s="57">
        <f>'2024年'!E36</f>
        <v>42.099200000000003</v>
      </c>
      <c r="F36" s="57">
        <f>'2024年'!F36</f>
        <v>13.954336000000001</v>
      </c>
      <c r="G36" s="57">
        <f>'2024年'!G36</f>
        <v>0</v>
      </c>
      <c r="H36" s="57">
        <f>'2024年'!H36</f>
        <v>0</v>
      </c>
      <c r="I36" s="57">
        <f>'2024年'!I36</f>
        <v>0</v>
      </c>
      <c r="J36" s="62"/>
      <c r="K36" s="66"/>
      <c r="L36" s="66"/>
      <c r="M36" s="66"/>
      <c r="N36" s="66"/>
      <c r="O36" s="66"/>
      <c r="P36" s="66"/>
      <c r="Q36" s="66"/>
      <c r="R36" s="66"/>
      <c r="S36" s="66"/>
      <c r="T36" s="66"/>
      <c r="U36" s="51" t="s">
        <v>72</v>
      </c>
      <c r="AK36" s="51" t="s">
        <v>68</v>
      </c>
      <c r="AL36" s="51" t="s">
        <v>72</v>
      </c>
    </row>
    <row r="37" spans="1:38">
      <c r="A37" s="159">
        <v>2</v>
      </c>
      <c r="B37" s="51" t="s">
        <v>73</v>
      </c>
      <c r="C37" s="57">
        <f>'2024年'!C37</f>
        <v>18.679320000000001</v>
      </c>
      <c r="D37" s="57">
        <f>'2024年'!D37</f>
        <v>16.218</v>
      </c>
      <c r="E37" s="57">
        <f>'2024年'!E37</f>
        <v>12.6776</v>
      </c>
      <c r="F37" s="57">
        <f>'2024年'!F37</f>
        <v>4.2021579999999998</v>
      </c>
      <c r="G37" s="57">
        <f>'2024年'!G37</f>
        <v>0</v>
      </c>
      <c r="H37" s="57">
        <f>'2024年'!H37</f>
        <v>0</v>
      </c>
      <c r="I37" s="57">
        <f>'2024年'!I37</f>
        <v>0</v>
      </c>
      <c r="J37" s="62"/>
      <c r="K37" s="66"/>
      <c r="L37" s="66"/>
      <c r="M37" s="66"/>
      <c r="N37" s="66"/>
      <c r="O37" s="66"/>
      <c r="P37" s="66"/>
      <c r="Q37" s="66"/>
      <c r="R37" s="66"/>
      <c r="S37" s="66"/>
      <c r="T37" s="66"/>
      <c r="U37" s="51" t="s">
        <v>73</v>
      </c>
      <c r="AK37" s="51" t="s">
        <v>25</v>
      </c>
      <c r="AL37" s="51" t="s">
        <v>73</v>
      </c>
    </row>
    <row r="38" spans="1:38">
      <c r="A38" s="159">
        <v>3</v>
      </c>
      <c r="B38" s="51" t="s">
        <v>74</v>
      </c>
      <c r="C38" s="57">
        <f>'2024年'!C38</f>
        <v>13.921380000000001</v>
      </c>
      <c r="D38" s="57">
        <f>'2024年'!D38</f>
        <v>12.087000000000002</v>
      </c>
      <c r="E38" s="57">
        <f>'2024年'!E38</f>
        <v>9.4484000000000012</v>
      </c>
      <c r="F38" s="57">
        <f>'2024年'!F38</f>
        <v>3.1317970000000002</v>
      </c>
      <c r="G38" s="57">
        <f>'2024年'!G38</f>
        <v>0</v>
      </c>
      <c r="H38" s="57">
        <f>'2024年'!H38</f>
        <v>0</v>
      </c>
      <c r="I38" s="57">
        <f>'2024年'!I38</f>
        <v>0</v>
      </c>
      <c r="J38" s="62"/>
      <c r="K38" s="66"/>
      <c r="L38" s="66"/>
      <c r="M38" s="66"/>
      <c r="N38" s="66"/>
      <c r="O38" s="66"/>
      <c r="P38" s="66"/>
      <c r="Q38" s="66"/>
      <c r="R38" s="66"/>
      <c r="S38" s="66"/>
      <c r="T38" s="66"/>
      <c r="U38" s="51" t="s">
        <v>74</v>
      </c>
      <c r="AK38" s="51" t="s">
        <v>31</v>
      </c>
      <c r="AL38" s="51" t="s">
        <v>74</v>
      </c>
    </row>
    <row r="39" spans="1:38">
      <c r="A39" s="51" t="s">
        <v>71</v>
      </c>
      <c r="B39" s="54" t="s">
        <v>76</v>
      </c>
      <c r="C39" s="58"/>
      <c r="D39" s="58"/>
      <c r="E39" s="58"/>
      <c r="F39" s="58"/>
      <c r="G39" s="58"/>
      <c r="H39" s="58"/>
      <c r="I39" s="58"/>
      <c r="J39" s="58"/>
      <c r="U39" s="54" t="s">
        <v>76</v>
      </c>
      <c r="AK39" s="51" t="s">
        <v>75</v>
      </c>
      <c r="AL39" s="54" t="s">
        <v>76</v>
      </c>
    </row>
    <row r="40" spans="1:38">
      <c r="A40" s="159">
        <v>1</v>
      </c>
      <c r="B40" s="51" t="s">
        <v>78</v>
      </c>
      <c r="C40" s="58">
        <f>C34-C36-C37-C38</f>
        <v>316.12434722401002</v>
      </c>
      <c r="D40" s="58">
        <f t="shared" ref="D40:E40" si="45">D34-D36-D37-D38</f>
        <v>236.99706156648298</v>
      </c>
      <c r="E40" s="58">
        <f t="shared" si="45"/>
        <v>110.71529584449885</v>
      </c>
      <c r="F40" s="58">
        <f t="shared" ref="F40:I40" si="46">F34-F36-F37-F38</f>
        <v>69.106994591293258</v>
      </c>
      <c r="G40" s="58" t="e">
        <f t="shared" si="46"/>
        <v>#DIV/0!</v>
      </c>
      <c r="H40" s="58" t="e">
        <f t="shared" si="46"/>
        <v>#DIV/0!</v>
      </c>
      <c r="I40" s="58" t="e">
        <f t="shared" si="46"/>
        <v>#DIV/0!</v>
      </c>
      <c r="J40" s="58"/>
      <c r="U40" s="51" t="s">
        <v>78</v>
      </c>
      <c r="AK40" s="51" t="s">
        <v>20</v>
      </c>
      <c r="AL40" s="51" t="s">
        <v>78</v>
      </c>
    </row>
    <row r="41" spans="1:38">
      <c r="A41" s="159">
        <v>2</v>
      </c>
      <c r="B41" s="51" t="s">
        <v>79</v>
      </c>
      <c r="C41" s="58"/>
      <c r="D41" s="58"/>
      <c r="E41" s="58"/>
      <c r="F41" s="58"/>
      <c r="G41" s="58"/>
      <c r="H41" s="58"/>
      <c r="I41" s="58"/>
      <c r="J41" s="58"/>
      <c r="U41" s="51" t="s">
        <v>79</v>
      </c>
      <c r="AK41" s="51" t="s">
        <v>22</v>
      </c>
      <c r="AL41" s="51" t="s">
        <v>79</v>
      </c>
    </row>
    <row r="42" spans="1:38">
      <c r="A42" s="51" t="s">
        <v>75</v>
      </c>
      <c r="B42" s="54" t="s">
        <v>81</v>
      </c>
      <c r="C42" s="58"/>
      <c r="D42" s="58"/>
      <c r="E42" s="58"/>
      <c r="F42" s="58"/>
      <c r="G42" s="58"/>
      <c r="H42" s="58"/>
      <c r="I42" s="58"/>
      <c r="J42" s="58"/>
      <c r="U42" s="54" t="s">
        <v>81</v>
      </c>
      <c r="AK42" s="51" t="s">
        <v>80</v>
      </c>
      <c r="AL42" s="54" t="s">
        <v>81</v>
      </c>
    </row>
    <row r="43" spans="1:38">
      <c r="A43" s="159">
        <v>1</v>
      </c>
      <c r="B43" s="59" t="s">
        <v>82</v>
      </c>
      <c r="C43" s="57">
        <f>'2024年'!C43</f>
        <v>34.186680000000003</v>
      </c>
      <c r="D43" s="57">
        <f>'2024年'!D43</f>
        <v>29.682000000000002</v>
      </c>
      <c r="E43" s="57">
        <f>'2024年'!E43</f>
        <v>23.202400000000001</v>
      </c>
      <c r="F43" s="57">
        <f>'2024年'!F43</f>
        <v>7.6907420000000002</v>
      </c>
      <c r="G43" s="57">
        <f>'2024年'!G43</f>
        <v>0</v>
      </c>
      <c r="H43" s="57">
        <f>'2024年'!H43</f>
        <v>0</v>
      </c>
      <c r="I43" s="57">
        <f>'2024年'!I43</f>
        <v>0</v>
      </c>
      <c r="J43" s="58"/>
      <c r="U43" s="51" t="s">
        <v>82</v>
      </c>
      <c r="AK43" s="51" t="s">
        <v>20</v>
      </c>
      <c r="AL43" s="51" t="s">
        <v>82</v>
      </c>
    </row>
    <row r="44" spans="1:38">
      <c r="A44" s="159">
        <v>2</v>
      </c>
      <c r="B44" s="59" t="s">
        <v>83</v>
      </c>
      <c r="C44" s="57">
        <f>'2024年'!C44</f>
        <v>16.564680000000003</v>
      </c>
      <c r="D44" s="57">
        <f>'2024年'!D44</f>
        <v>14.382000000000001</v>
      </c>
      <c r="E44" s="57">
        <f>'2024年'!E44</f>
        <v>11.2424</v>
      </c>
      <c r="F44" s="57">
        <f>'2024年'!F44</f>
        <v>3.726442</v>
      </c>
      <c r="G44" s="57">
        <f>'2024年'!G44</f>
        <v>0</v>
      </c>
      <c r="H44" s="57">
        <f>'2024年'!H44</f>
        <v>0</v>
      </c>
      <c r="I44" s="57">
        <f>'2024年'!I44</f>
        <v>0</v>
      </c>
      <c r="J44" s="58"/>
      <c r="U44" s="51" t="s">
        <v>83</v>
      </c>
      <c r="AK44" s="51" t="s">
        <v>22</v>
      </c>
      <c r="AL44" s="51" t="s">
        <v>83</v>
      </c>
    </row>
    <row r="45" spans="1:38">
      <c r="A45" s="159">
        <v>3</v>
      </c>
      <c r="B45" s="59" t="s">
        <v>84</v>
      </c>
      <c r="C45" s="57">
        <f>'2024年'!C45</f>
        <v>57.447719999999997</v>
      </c>
      <c r="D45" s="57">
        <f>'2024年'!D45</f>
        <v>49.877999999999993</v>
      </c>
      <c r="E45" s="57">
        <f>'2024年'!E45</f>
        <v>38.989599999999996</v>
      </c>
      <c r="F45" s="57">
        <f>'2024年'!F45</f>
        <v>12.923617999999999</v>
      </c>
      <c r="G45" s="57">
        <f>'2024年'!G45</f>
        <v>0</v>
      </c>
      <c r="H45" s="57">
        <f>'2024年'!H45</f>
        <v>0</v>
      </c>
      <c r="I45" s="57">
        <f>'2024年'!I45</f>
        <v>0</v>
      </c>
      <c r="J45" s="58"/>
      <c r="U45" s="51" t="s">
        <v>84</v>
      </c>
      <c r="AK45" s="51" t="s">
        <v>68</v>
      </c>
      <c r="AL45" s="51" t="s">
        <v>84</v>
      </c>
    </row>
    <row r="46" spans="1:38" s="46" customFormat="1">
      <c r="A46" s="159">
        <v>4</v>
      </c>
      <c r="B46" s="59" t="s">
        <v>85</v>
      </c>
      <c r="C46" s="64">
        <f>C21/C6</f>
        <v>0.83773474178403751</v>
      </c>
      <c r="D46" s="64">
        <f t="shared" ref="D46:I46" si="47">D21/D6</f>
        <v>0.83773474178403751</v>
      </c>
      <c r="E46" s="64">
        <f t="shared" si="47"/>
        <v>0.83773474178403751</v>
      </c>
      <c r="F46" s="64">
        <f t="shared" si="47"/>
        <v>0.83773474178403751</v>
      </c>
      <c r="G46" s="64" t="e">
        <f t="shared" si="47"/>
        <v>#DIV/0!</v>
      </c>
      <c r="H46" s="64" t="e">
        <f t="shared" si="47"/>
        <v>#DIV/0!</v>
      </c>
      <c r="I46" s="64" t="e">
        <f t="shared" si="47"/>
        <v>#DIV/0!</v>
      </c>
      <c r="J46" s="64"/>
      <c r="U46" s="59" t="s">
        <v>87</v>
      </c>
      <c r="AK46" s="59" t="s">
        <v>28</v>
      </c>
      <c r="AL46" s="59" t="s">
        <v>87</v>
      </c>
    </row>
    <row r="47" spans="1:38" s="46" customFormat="1">
      <c r="A47" s="159">
        <v>5</v>
      </c>
      <c r="B47" s="59" t="s">
        <v>87</v>
      </c>
      <c r="C47" s="64">
        <f>'2024年'!C47</f>
        <v>88.110000000000014</v>
      </c>
      <c r="D47" s="64">
        <f>'2024年'!D47</f>
        <v>76.5</v>
      </c>
      <c r="E47" s="64">
        <f>'2024年'!E47</f>
        <v>59.800000000000004</v>
      </c>
      <c r="F47" s="64">
        <f>'2024年'!F47</f>
        <v>19.8215</v>
      </c>
      <c r="G47" s="64">
        <f>'2024年'!G47</f>
        <v>0</v>
      </c>
      <c r="H47" s="64">
        <f>'2024年'!H47</f>
        <v>0</v>
      </c>
      <c r="I47" s="64">
        <f>'2024年'!I47</f>
        <v>0</v>
      </c>
      <c r="J47" s="64"/>
      <c r="U47" s="59" t="s">
        <v>87</v>
      </c>
      <c r="AK47" s="59" t="s">
        <v>28</v>
      </c>
      <c r="AL47" s="59" t="s">
        <v>87</v>
      </c>
    </row>
    <row r="48" spans="1:38">
      <c r="A48" s="51" t="s">
        <v>80</v>
      </c>
      <c r="B48" s="54" t="s">
        <v>98</v>
      </c>
      <c r="C48" s="58">
        <f>C40-C43-C44-C45-C47-C46</f>
        <v>118.97753248222594</v>
      </c>
      <c r="D48" s="58">
        <f t="shared" ref="D48:E48" si="48">D40-D43-D44-D45-D47-D46</f>
        <v>65.717326824698972</v>
      </c>
      <c r="E48" s="58">
        <f t="shared" si="48"/>
        <v>-23.356838897285183</v>
      </c>
      <c r="F48" s="58">
        <f t="shared" ref="F48:I48" si="49">F40-F43-F44-F45-F47-F46</f>
        <v>24.106957849509225</v>
      </c>
      <c r="G48" s="58" t="e">
        <f t="shared" si="49"/>
        <v>#DIV/0!</v>
      </c>
      <c r="H48" s="58" t="e">
        <f t="shared" si="49"/>
        <v>#DIV/0!</v>
      </c>
      <c r="I48" s="58" t="e">
        <f t="shared" si="49"/>
        <v>#DIV/0!</v>
      </c>
      <c r="J48" s="58"/>
      <c r="U48" s="54" t="s">
        <v>98</v>
      </c>
      <c r="AK48" s="51" t="s">
        <v>97</v>
      </c>
      <c r="AL48" s="54" t="s">
        <v>98</v>
      </c>
    </row>
    <row r="51" spans="2:15">
      <c r="C51" s="65"/>
      <c r="D51" s="65"/>
      <c r="E51" s="65"/>
      <c r="F51" s="65"/>
      <c r="G51" s="65"/>
      <c r="H51" s="65"/>
      <c r="I51" s="65"/>
    </row>
    <row r="54" spans="2:15">
      <c r="B54" s="66"/>
      <c r="C54" s="67"/>
      <c r="D54" s="67"/>
      <c r="E54" s="67"/>
      <c r="F54" s="67"/>
      <c r="G54" s="67"/>
      <c r="H54" s="67"/>
      <c r="I54" s="67"/>
      <c r="J54" s="67"/>
      <c r="K54" s="66"/>
      <c r="L54" s="66"/>
      <c r="M54" s="66"/>
      <c r="N54" s="66"/>
      <c r="O54" s="66"/>
    </row>
    <row r="55" spans="2:15">
      <c r="B55" s="66"/>
      <c r="C55" s="67"/>
      <c r="D55" s="67"/>
      <c r="E55" s="67"/>
      <c r="F55" s="67"/>
      <c r="G55" s="67"/>
      <c r="H55" s="67"/>
      <c r="I55" s="67"/>
      <c r="J55" s="67"/>
      <c r="K55" s="66"/>
      <c r="L55" s="66"/>
      <c r="M55" s="66"/>
      <c r="N55" s="66"/>
      <c r="O55" s="66"/>
    </row>
    <row r="56" spans="2:15">
      <c r="B56" s="66"/>
      <c r="C56" s="67"/>
      <c r="D56" s="67"/>
      <c r="E56" s="67"/>
      <c r="F56" s="67"/>
      <c r="G56" s="67"/>
      <c r="H56" s="67"/>
      <c r="I56" s="67"/>
      <c r="J56" s="67"/>
      <c r="K56" s="66"/>
      <c r="L56" s="66"/>
      <c r="M56" s="66"/>
      <c r="N56" s="66"/>
      <c r="O56" s="66"/>
    </row>
    <row r="57" spans="2:15">
      <c r="B57" s="66"/>
      <c r="C57" s="67"/>
      <c r="D57" s="67"/>
      <c r="E57" s="67"/>
      <c r="F57" s="67"/>
      <c r="G57" s="67"/>
      <c r="H57" s="67"/>
      <c r="I57" s="67"/>
      <c r="J57" s="67"/>
      <c r="K57" s="66"/>
      <c r="L57" s="66"/>
      <c r="M57" s="66"/>
      <c r="N57" s="66"/>
      <c r="O57" s="66"/>
    </row>
    <row r="58" spans="2:15">
      <c r="B58" s="66"/>
      <c r="C58" s="67"/>
      <c r="D58" s="67"/>
      <c r="E58" s="67"/>
      <c r="F58" s="67"/>
      <c r="G58" s="67"/>
      <c r="H58" s="67"/>
      <c r="I58" s="67"/>
      <c r="J58" s="67"/>
      <c r="K58" s="66"/>
      <c r="L58" s="66"/>
      <c r="M58" s="66"/>
      <c r="N58" s="66"/>
      <c r="O58" s="66"/>
    </row>
    <row r="59" spans="2:15">
      <c r="B59" s="66"/>
      <c r="C59" s="67"/>
      <c r="D59" s="67"/>
      <c r="E59" s="67"/>
      <c r="F59" s="67"/>
      <c r="G59" s="67"/>
      <c r="H59" s="67"/>
      <c r="I59" s="67"/>
      <c r="J59" s="67"/>
      <c r="K59" s="66"/>
      <c r="L59" s="66"/>
      <c r="M59" s="66"/>
      <c r="N59" s="66"/>
      <c r="O59" s="66"/>
    </row>
    <row r="60" spans="2:15">
      <c r="B60" s="66"/>
      <c r="C60" s="67"/>
      <c r="D60" s="67"/>
      <c r="E60" s="67"/>
      <c r="F60" s="67"/>
      <c r="G60" s="67"/>
      <c r="H60" s="67"/>
      <c r="I60" s="67"/>
      <c r="J60" s="67"/>
      <c r="K60" s="66"/>
      <c r="L60" s="66"/>
      <c r="M60" s="66"/>
      <c r="N60" s="66"/>
      <c r="O60" s="66"/>
    </row>
    <row r="61" spans="2:15">
      <c r="B61" s="66"/>
      <c r="C61" s="67"/>
      <c r="D61" s="67"/>
      <c r="E61" s="67"/>
      <c r="F61" s="67"/>
      <c r="G61" s="67"/>
      <c r="H61" s="67"/>
      <c r="I61" s="67"/>
      <c r="J61" s="67"/>
      <c r="K61" s="66"/>
      <c r="L61" s="66"/>
      <c r="M61" s="66"/>
      <c r="N61" s="66"/>
      <c r="O61" s="66"/>
    </row>
    <row r="62" spans="2:15">
      <c r="B62" s="66"/>
      <c r="C62" s="67"/>
      <c r="D62" s="67"/>
      <c r="E62" s="67"/>
      <c r="F62" s="67"/>
      <c r="G62" s="67"/>
      <c r="H62" s="67"/>
      <c r="I62" s="67"/>
      <c r="J62" s="67"/>
      <c r="K62" s="66"/>
      <c r="L62" s="66"/>
      <c r="M62" s="66"/>
      <c r="N62" s="66"/>
      <c r="O62" s="66"/>
    </row>
    <row r="63" spans="2:15">
      <c r="B63" s="66"/>
      <c r="C63" s="67"/>
      <c r="D63" s="67"/>
      <c r="E63" s="67"/>
      <c r="F63" s="67"/>
      <c r="G63" s="67"/>
      <c r="H63" s="67"/>
      <c r="I63" s="67"/>
      <c r="J63" s="67"/>
      <c r="K63" s="66"/>
      <c r="L63" s="66"/>
      <c r="M63" s="66"/>
      <c r="N63" s="66"/>
      <c r="O63" s="66"/>
    </row>
    <row r="64" spans="2:15">
      <c r="B64" s="66"/>
      <c r="C64" s="67"/>
      <c r="D64" s="67"/>
      <c r="E64" s="67"/>
      <c r="F64" s="67"/>
      <c r="G64" s="67"/>
      <c r="H64" s="67"/>
      <c r="I64" s="67"/>
      <c r="J64" s="67"/>
      <c r="K64" s="66"/>
      <c r="L64" s="66"/>
      <c r="M64" s="66"/>
      <c r="N64" s="66"/>
      <c r="O64" s="66"/>
    </row>
    <row r="65" spans="2:15">
      <c r="B65" s="66"/>
      <c r="C65" s="67"/>
      <c r="D65" s="67"/>
      <c r="E65" s="67"/>
      <c r="F65" s="67"/>
      <c r="G65" s="67"/>
      <c r="H65" s="67"/>
      <c r="I65" s="67"/>
      <c r="J65" s="67"/>
      <c r="K65" s="66"/>
      <c r="L65" s="66"/>
      <c r="M65" s="66"/>
      <c r="N65" s="66"/>
      <c r="O65" s="66"/>
    </row>
    <row r="66" spans="2:15">
      <c r="B66" s="66"/>
      <c r="C66" s="67"/>
      <c r="D66" s="67"/>
      <c r="E66" s="67"/>
      <c r="F66" s="67"/>
      <c r="G66" s="67"/>
      <c r="H66" s="67"/>
      <c r="I66" s="67"/>
      <c r="J66" s="67"/>
      <c r="K66" s="66"/>
      <c r="L66" s="66"/>
      <c r="M66" s="66"/>
      <c r="N66" s="66"/>
      <c r="O66" s="66"/>
    </row>
    <row r="67" spans="2:15">
      <c r="B67" s="66"/>
      <c r="C67" s="67"/>
      <c r="D67" s="67"/>
      <c r="E67" s="67"/>
      <c r="F67" s="67"/>
      <c r="G67" s="67"/>
      <c r="H67" s="67"/>
      <c r="I67" s="67"/>
      <c r="J67" s="67"/>
      <c r="K67" s="66"/>
    </row>
    <row r="68" spans="2:15">
      <c r="B68" s="66"/>
      <c r="C68" s="67"/>
      <c r="D68" s="67"/>
      <c r="E68" s="67"/>
      <c r="F68" s="67"/>
      <c r="G68" s="67"/>
      <c r="H68" s="67"/>
      <c r="I68" s="67"/>
      <c r="J68" s="67"/>
      <c r="K68" s="66"/>
    </row>
    <row r="69" spans="2:15">
      <c r="B69" s="66"/>
      <c r="C69" s="67"/>
      <c r="D69" s="67"/>
      <c r="E69" s="67"/>
      <c r="F69" s="67"/>
      <c r="G69" s="67"/>
      <c r="H69" s="67"/>
      <c r="I69" s="67"/>
      <c r="J69" s="67"/>
      <c r="K69" s="66"/>
    </row>
    <row r="70" spans="2:15">
      <c r="B70" s="66"/>
      <c r="C70" s="67"/>
      <c r="D70" s="67"/>
      <c r="E70" s="67"/>
      <c r="F70" s="67"/>
      <c r="G70" s="67"/>
      <c r="H70" s="67"/>
      <c r="I70" s="67"/>
      <c r="J70" s="67"/>
      <c r="K70" s="66"/>
    </row>
    <row r="71" spans="2:15">
      <c r="B71" s="66"/>
      <c r="C71" s="67"/>
      <c r="D71" s="67"/>
      <c r="E71" s="67"/>
      <c r="F71" s="67"/>
      <c r="G71" s="67"/>
      <c r="H71" s="67"/>
      <c r="I71" s="67"/>
      <c r="J71" s="67"/>
      <c r="K71" s="66"/>
    </row>
    <row r="72" spans="2:15">
      <c r="B72" s="66"/>
      <c r="C72" s="67"/>
      <c r="D72" s="67"/>
      <c r="E72" s="67"/>
      <c r="F72" s="67"/>
      <c r="G72" s="67"/>
      <c r="H72" s="67"/>
      <c r="I72" s="67"/>
      <c r="J72" s="67"/>
      <c r="K72" s="66"/>
    </row>
    <row r="73" spans="2:15">
      <c r="B73" s="66"/>
      <c r="C73" s="67"/>
      <c r="D73" s="67"/>
      <c r="E73" s="67"/>
      <c r="F73" s="67"/>
      <c r="G73" s="67"/>
      <c r="H73" s="67"/>
      <c r="I73" s="67"/>
      <c r="J73" s="67"/>
      <c r="K73" s="66"/>
    </row>
    <row r="74" spans="2:15">
      <c r="B74" s="66"/>
      <c r="C74" s="67"/>
      <c r="D74" s="67"/>
      <c r="E74" s="67"/>
      <c r="F74" s="67"/>
      <c r="G74" s="67"/>
      <c r="H74" s="67"/>
      <c r="I74" s="67"/>
      <c r="J74" s="67"/>
      <c r="K74" s="66"/>
    </row>
  </sheetData>
  <mergeCells count="8">
    <mergeCell ref="A1:B1"/>
    <mergeCell ref="C1:J1"/>
    <mergeCell ref="A2:B2"/>
    <mergeCell ref="C2:J2"/>
    <mergeCell ref="A3:B3"/>
    <mergeCell ref="J3:J5"/>
    <mergeCell ref="A4:B4"/>
    <mergeCell ref="A5:B5"/>
  </mergeCells>
  <phoneticPr fontId="38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7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74"/>
  <sheetViews>
    <sheetView workbookViewId="0">
      <pane xSplit="2" ySplit="7" topLeftCell="C20" activePane="bottomRight" state="frozen"/>
      <selection pane="topRight"/>
      <selection pane="bottomLeft"/>
      <selection pane="bottomRight" activeCell="J26" sqref="J26"/>
    </sheetView>
  </sheetViews>
  <sheetFormatPr defaultColWidth="9" defaultRowHeight="16.5"/>
  <cols>
    <col min="1" max="1" width="5.125" style="47" customWidth="1"/>
    <col min="2" max="2" width="17.5" style="47" customWidth="1"/>
    <col min="3" max="9" width="13.25" style="48" customWidth="1"/>
    <col min="10" max="10" width="18.75" style="48" customWidth="1"/>
    <col min="11" max="11" width="12.375" style="47" customWidth="1"/>
    <col min="12" max="12" width="10.125" style="47" customWidth="1"/>
    <col min="13" max="19" width="9" style="47" customWidth="1"/>
    <col min="20" max="36" width="9" style="47"/>
    <col min="37" max="37" width="4.375" style="47" customWidth="1"/>
    <col min="38" max="38" width="13.875" style="47" customWidth="1"/>
    <col min="39" max="16384" width="9" style="47"/>
  </cols>
  <sheetData>
    <row r="1" spans="1:39">
      <c r="A1" s="236" t="s">
        <v>138</v>
      </c>
      <c r="B1" s="236"/>
      <c r="C1" s="240" t="s">
        <v>299</v>
      </c>
      <c r="D1" s="241"/>
      <c r="E1" s="241"/>
      <c r="F1" s="241"/>
      <c r="G1" s="241"/>
      <c r="H1" s="241"/>
      <c r="I1" s="241"/>
      <c r="J1" s="242"/>
    </row>
    <row r="2" spans="1:39">
      <c r="A2" s="236" t="s">
        <v>139</v>
      </c>
      <c r="B2" s="236"/>
      <c r="C2" s="243" t="str">
        <f>'2024年'!C2:J2</f>
        <v>上汽红岩</v>
      </c>
      <c r="D2" s="243"/>
      <c r="E2" s="243"/>
      <c r="F2" s="243"/>
      <c r="G2" s="243"/>
      <c r="H2" s="243"/>
      <c r="I2" s="243"/>
      <c r="J2" s="243"/>
    </row>
    <row r="3" spans="1:39">
      <c r="A3" s="236" t="s">
        <v>140</v>
      </c>
      <c r="B3" s="236"/>
      <c r="C3" s="160" t="str">
        <f>销量!C5</f>
        <v>正司机</v>
      </c>
      <c r="D3" s="160" t="str">
        <f>销量!D5</f>
        <v>正司机</v>
      </c>
      <c r="E3" s="160" t="str">
        <f>销量!E5</f>
        <v>正司机</v>
      </c>
      <c r="F3" s="160" t="str">
        <f>销量!F5</f>
        <v>副司机</v>
      </c>
      <c r="G3" s="160">
        <f>销量!G5</f>
        <v>0</v>
      </c>
      <c r="H3" s="160">
        <f>销量!H5</f>
        <v>0</v>
      </c>
      <c r="I3" s="160">
        <f>销量!I5</f>
        <v>0</v>
      </c>
      <c r="J3" s="237" t="s">
        <v>16</v>
      </c>
    </row>
    <row r="4" spans="1:39">
      <c r="A4" s="236" t="s">
        <v>141</v>
      </c>
      <c r="B4" s="236"/>
      <c r="C4" s="160">
        <f>销量!C6</f>
        <v>6000149199</v>
      </c>
      <c r="D4" s="160">
        <f>销量!D6</f>
        <v>6000149200</v>
      </c>
      <c r="E4" s="160">
        <f>销量!E6</f>
        <v>6000149201</v>
      </c>
      <c r="F4" s="160">
        <f>销量!F6</f>
        <v>6000149205</v>
      </c>
      <c r="G4" s="160">
        <f>销量!G6</f>
        <v>0</v>
      </c>
      <c r="H4" s="160">
        <f>销量!H6</f>
        <v>0</v>
      </c>
      <c r="I4" s="160">
        <f>销量!I6</f>
        <v>0</v>
      </c>
      <c r="J4" s="238"/>
    </row>
    <row r="5" spans="1:39">
      <c r="A5" s="236" t="s">
        <v>142</v>
      </c>
      <c r="B5" s="236"/>
      <c r="C5" s="50"/>
      <c r="D5" s="50"/>
      <c r="E5" s="50"/>
      <c r="F5" s="50"/>
      <c r="G5" s="50"/>
      <c r="H5" s="50"/>
      <c r="I5" s="50"/>
      <c r="J5" s="239"/>
      <c r="AM5" s="47" t="s">
        <v>17</v>
      </c>
    </row>
    <row r="6" spans="1:39" ht="17.25">
      <c r="A6" s="51" t="s">
        <v>15</v>
      </c>
      <c r="B6" s="52" t="s">
        <v>143</v>
      </c>
      <c r="C6" s="22">
        <f>销量!C14</f>
        <v>10080</v>
      </c>
      <c r="D6" s="22">
        <f>销量!D14</f>
        <v>30240</v>
      </c>
      <c r="E6" s="22">
        <f>销量!E14</f>
        <v>10080</v>
      </c>
      <c r="F6" s="22">
        <f>销量!F14</f>
        <v>40320</v>
      </c>
      <c r="G6" s="22">
        <f>销量!G14</f>
        <v>0</v>
      </c>
      <c r="H6" s="22">
        <f>销量!H14</f>
        <v>0</v>
      </c>
      <c r="I6" s="22">
        <f>销量!I14</f>
        <v>0</v>
      </c>
      <c r="J6" s="53">
        <f>SUM(C6:I6)</f>
        <v>90720</v>
      </c>
      <c r="U6" s="52" t="s">
        <v>3</v>
      </c>
      <c r="AK6" s="51" t="s">
        <v>15</v>
      </c>
      <c r="AL6" s="52" t="s">
        <v>3</v>
      </c>
      <c r="AM6" s="47" t="s">
        <v>18</v>
      </c>
    </row>
    <row r="7" spans="1:39">
      <c r="A7" s="194">
        <v>1</v>
      </c>
      <c r="B7" s="52" t="s">
        <v>19</v>
      </c>
      <c r="C7" s="53">
        <f>C6*销量!C8</f>
        <v>17762976</v>
      </c>
      <c r="D7" s="53">
        <f>D6*销量!D8</f>
        <v>46267200</v>
      </c>
      <c r="E7" s="53">
        <f>E6*销量!E8</f>
        <v>12055680</v>
      </c>
      <c r="F7" s="53">
        <f>F6*销量!F8</f>
        <v>15984057.6</v>
      </c>
      <c r="G7" s="53">
        <f>G6*销量!G8</f>
        <v>0</v>
      </c>
      <c r="H7" s="53">
        <f>H6*销量!H8</f>
        <v>0</v>
      </c>
      <c r="I7" s="53">
        <f>I6*销量!I8</f>
        <v>0</v>
      </c>
      <c r="J7" s="53">
        <f t="shared" ref="J7:J22" si="0">SUM(C7:I7)</f>
        <v>92069913.599999994</v>
      </c>
      <c r="K7" s="48"/>
      <c r="U7" s="52" t="s">
        <v>19</v>
      </c>
      <c r="AK7" s="51" t="s">
        <v>20</v>
      </c>
      <c r="AL7" s="52" t="s">
        <v>19</v>
      </c>
      <c r="AM7" s="47" t="s">
        <v>18</v>
      </c>
    </row>
    <row r="8" spans="1:39">
      <c r="A8" s="194">
        <v>2</v>
      </c>
      <c r="B8" s="194" t="s">
        <v>21</v>
      </c>
      <c r="C8" s="53">
        <f>C7*(1-销量!$M$11)</f>
        <v>2509304.1111075166</v>
      </c>
      <c r="D8" s="53">
        <f>D7*(1-销量!$M$11)</f>
        <v>6535981.0861329595</v>
      </c>
      <c r="E8" s="53">
        <f>E7*(1-销量!$M$11)</f>
        <v>1703057.3810490239</v>
      </c>
      <c r="F8" s="53">
        <f>F7*(1-销量!$M$11)</f>
        <v>2258003.4701313195</v>
      </c>
      <c r="G8" s="53">
        <f>G7*(1-销量!$M$11)</f>
        <v>0</v>
      </c>
      <c r="H8" s="53">
        <f>H7*(1-销量!$M$11)</f>
        <v>0</v>
      </c>
      <c r="I8" s="53">
        <f>I7*(1-销量!$M$11)</f>
        <v>0</v>
      </c>
      <c r="J8" s="53">
        <f t="shared" si="0"/>
        <v>13006346.048420819</v>
      </c>
      <c r="K8" s="68"/>
      <c r="U8" s="194" t="s">
        <v>23</v>
      </c>
      <c r="AK8" s="51" t="s">
        <v>22</v>
      </c>
      <c r="AL8" s="194" t="s">
        <v>23</v>
      </c>
      <c r="AM8" s="47" t="s">
        <v>18</v>
      </c>
    </row>
    <row r="9" spans="1:39">
      <c r="A9" s="194">
        <v>3</v>
      </c>
      <c r="B9" s="52" t="s">
        <v>24</v>
      </c>
      <c r="C9" s="53">
        <f>+C7-C8</f>
        <v>15253671.888892483</v>
      </c>
      <c r="D9" s="53">
        <f t="shared" ref="D9:I9" si="1">+D7-D8</f>
        <v>39731218.913867041</v>
      </c>
      <c r="E9" s="53">
        <f t="shared" si="1"/>
        <v>10352622.618950976</v>
      </c>
      <c r="F9" s="53">
        <f t="shared" si="1"/>
        <v>13726054.129868681</v>
      </c>
      <c r="G9" s="53">
        <f t="shared" si="1"/>
        <v>0</v>
      </c>
      <c r="H9" s="53">
        <f t="shared" si="1"/>
        <v>0</v>
      </c>
      <c r="I9" s="53">
        <f t="shared" si="1"/>
        <v>0</v>
      </c>
      <c r="J9" s="53">
        <f t="shared" si="0"/>
        <v>79063567.551579192</v>
      </c>
      <c r="U9" s="52" t="s">
        <v>24</v>
      </c>
      <c r="AK9" s="51" t="s">
        <v>25</v>
      </c>
      <c r="AL9" s="52" t="s">
        <v>24</v>
      </c>
      <c r="AM9" s="47" t="s">
        <v>26</v>
      </c>
    </row>
    <row r="10" spans="1:39">
      <c r="A10" s="194">
        <v>4</v>
      </c>
      <c r="B10" s="51" t="s">
        <v>27</v>
      </c>
      <c r="C10" s="53">
        <f>C6*C33</f>
        <v>11237478.814610999</v>
      </c>
      <c r="D10" s="53">
        <f t="shared" ref="D10:I10" si="2">D6*D33</f>
        <v>30369419.325549707</v>
      </c>
      <c r="E10" s="53">
        <f t="shared" si="2"/>
        <v>8642124.4267818034</v>
      </c>
      <c r="F10" s="53">
        <f t="shared" si="2"/>
        <v>10190658.352278965</v>
      </c>
      <c r="G10" s="53">
        <f t="shared" si="2"/>
        <v>0</v>
      </c>
      <c r="H10" s="53">
        <f t="shared" si="2"/>
        <v>0</v>
      </c>
      <c r="I10" s="53">
        <f t="shared" si="2"/>
        <v>0</v>
      </c>
      <c r="J10" s="53">
        <f t="shared" si="0"/>
        <v>60439680.919221476</v>
      </c>
      <c r="U10" s="51" t="s">
        <v>27</v>
      </c>
      <c r="AK10" s="51" t="s">
        <v>28</v>
      </c>
      <c r="AL10" s="51" t="s">
        <v>27</v>
      </c>
      <c r="AM10" s="47" t="s">
        <v>29</v>
      </c>
    </row>
    <row r="11" spans="1:39">
      <c r="A11" s="194">
        <v>5</v>
      </c>
      <c r="B11" s="51" t="s">
        <v>30</v>
      </c>
      <c r="C11" s="53">
        <f>+C6*C36</f>
        <v>625256.75520000013</v>
      </c>
      <c r="D11" s="53">
        <f t="shared" ref="D11:I11" si="3">+D6*D36</f>
        <v>1628605.4399999999</v>
      </c>
      <c r="E11" s="53">
        <f t="shared" si="3"/>
        <v>424359.93600000005</v>
      </c>
      <c r="F11" s="53">
        <f t="shared" si="3"/>
        <v>562638.82752000005</v>
      </c>
      <c r="G11" s="53">
        <f t="shared" si="3"/>
        <v>0</v>
      </c>
      <c r="H11" s="53">
        <f t="shared" si="3"/>
        <v>0</v>
      </c>
      <c r="I11" s="53">
        <f t="shared" si="3"/>
        <v>0</v>
      </c>
      <c r="J11" s="53">
        <f t="shared" si="0"/>
        <v>3240860.9587200005</v>
      </c>
      <c r="U11" s="51" t="s">
        <v>30</v>
      </c>
      <c r="AK11" s="51" t="s">
        <v>31</v>
      </c>
      <c r="AL11" s="51" t="s">
        <v>30</v>
      </c>
    </row>
    <row r="12" spans="1:39">
      <c r="A12" s="194">
        <v>6</v>
      </c>
      <c r="B12" s="51" t="s">
        <v>32</v>
      </c>
      <c r="C12" s="53">
        <f>+C6*C37</f>
        <v>188287.54560000001</v>
      </c>
      <c r="D12" s="53">
        <f t="shared" ref="D12:I12" si="4">+D6*D37</f>
        <v>490432.32</v>
      </c>
      <c r="E12" s="53">
        <f t="shared" si="4"/>
        <v>127790.208</v>
      </c>
      <c r="F12" s="53">
        <f t="shared" si="4"/>
        <v>169431.01056</v>
      </c>
      <c r="G12" s="53">
        <f t="shared" si="4"/>
        <v>0</v>
      </c>
      <c r="H12" s="53">
        <f t="shared" si="4"/>
        <v>0</v>
      </c>
      <c r="I12" s="53">
        <f t="shared" si="4"/>
        <v>0</v>
      </c>
      <c r="J12" s="53">
        <f t="shared" si="0"/>
        <v>975941.08415999997</v>
      </c>
      <c r="U12" s="51" t="s">
        <v>32</v>
      </c>
      <c r="AK12" s="51" t="s">
        <v>33</v>
      </c>
      <c r="AL12" s="51" t="s">
        <v>32</v>
      </c>
    </row>
    <row r="13" spans="1:39">
      <c r="A13" s="194">
        <v>7</v>
      </c>
      <c r="B13" s="51" t="s">
        <v>34</v>
      </c>
      <c r="C13" s="53">
        <f>+C6*C38</f>
        <v>140327.5104</v>
      </c>
      <c r="D13" s="53">
        <f t="shared" ref="D13:I13" si="5">+D6*D38</f>
        <v>365510.88000000006</v>
      </c>
      <c r="E13" s="53">
        <f t="shared" si="5"/>
        <v>95239.872000000018</v>
      </c>
      <c r="F13" s="53">
        <f t="shared" si="5"/>
        <v>126274.05504000001</v>
      </c>
      <c r="G13" s="53">
        <f t="shared" si="5"/>
        <v>0</v>
      </c>
      <c r="H13" s="53">
        <f t="shared" si="5"/>
        <v>0</v>
      </c>
      <c r="I13" s="53">
        <f t="shared" si="5"/>
        <v>0</v>
      </c>
      <c r="J13" s="53">
        <f t="shared" si="0"/>
        <v>727352.31744000001</v>
      </c>
      <c r="U13" s="51" t="s">
        <v>34</v>
      </c>
      <c r="AK13" s="51" t="s">
        <v>35</v>
      </c>
      <c r="AL13" s="51" t="s">
        <v>34</v>
      </c>
      <c r="AM13" s="47" t="s">
        <v>18</v>
      </c>
    </row>
    <row r="14" spans="1:39">
      <c r="A14" s="194">
        <v>8</v>
      </c>
      <c r="B14" s="54" t="s">
        <v>36</v>
      </c>
      <c r="C14" s="53">
        <f>SUM(C11:C13)</f>
        <v>953871.81120000011</v>
      </c>
      <c r="D14" s="53">
        <f t="shared" ref="D14:I14" si="6">SUM(D11:D13)</f>
        <v>2484548.6399999997</v>
      </c>
      <c r="E14" s="53">
        <f t="shared" si="6"/>
        <v>647390.01600000006</v>
      </c>
      <c r="F14" s="53">
        <f t="shared" si="6"/>
        <v>858343.89312000002</v>
      </c>
      <c r="G14" s="53">
        <f t="shared" si="6"/>
        <v>0</v>
      </c>
      <c r="H14" s="53">
        <f t="shared" si="6"/>
        <v>0</v>
      </c>
      <c r="I14" s="53">
        <f t="shared" si="6"/>
        <v>0</v>
      </c>
      <c r="J14" s="53">
        <f t="shared" si="0"/>
        <v>4944154.36032</v>
      </c>
      <c r="U14" s="54" t="s">
        <v>36</v>
      </c>
      <c r="AK14" s="51" t="s">
        <v>37</v>
      </c>
      <c r="AL14" s="54" t="s">
        <v>36</v>
      </c>
    </row>
    <row r="15" spans="1:39">
      <c r="A15" s="194">
        <v>9</v>
      </c>
      <c r="B15" s="54" t="s">
        <v>38</v>
      </c>
      <c r="C15" s="53">
        <f>+C9-C10-C14</f>
        <v>3062321.2630814835</v>
      </c>
      <c r="D15" s="53">
        <f t="shared" ref="D15:I15" si="7">+D9-D10-D14</f>
        <v>6877250.948317335</v>
      </c>
      <c r="E15" s="53">
        <f t="shared" si="7"/>
        <v>1063108.1761691726</v>
      </c>
      <c r="F15" s="53">
        <f t="shared" si="7"/>
        <v>2677051.8844697159</v>
      </c>
      <c r="G15" s="53">
        <f t="shared" si="7"/>
        <v>0</v>
      </c>
      <c r="H15" s="53">
        <f t="shared" si="7"/>
        <v>0</v>
      </c>
      <c r="I15" s="53">
        <f t="shared" si="7"/>
        <v>0</v>
      </c>
      <c r="J15" s="53">
        <f t="shared" si="0"/>
        <v>13679732.272037705</v>
      </c>
      <c r="U15" s="54" t="s">
        <v>38</v>
      </c>
      <c r="AK15" s="51" t="s">
        <v>39</v>
      </c>
      <c r="AL15" s="54" t="s">
        <v>38</v>
      </c>
    </row>
    <row r="16" spans="1:39">
      <c r="A16" s="194">
        <v>10</v>
      </c>
      <c r="B16" s="51" t="s">
        <v>40</v>
      </c>
      <c r="C16" s="55">
        <f>+C15/C9</f>
        <v>0.20075961285829311</v>
      </c>
      <c r="D16" s="55">
        <f t="shared" ref="D16:J16" si="8">+D15/D9</f>
        <v>0.17309438613565989</v>
      </c>
      <c r="E16" s="55">
        <f t="shared" si="8"/>
        <v>0.10268974493700772</v>
      </c>
      <c r="F16" s="55">
        <f t="shared" si="8"/>
        <v>0.19503433828403005</v>
      </c>
      <c r="G16" s="55" t="e">
        <f t="shared" si="8"/>
        <v>#DIV/0!</v>
      </c>
      <c r="H16" s="55" t="e">
        <f t="shared" si="8"/>
        <v>#DIV/0!</v>
      </c>
      <c r="I16" s="55" t="e">
        <f t="shared" si="8"/>
        <v>#DIV/0!</v>
      </c>
      <c r="J16" s="55">
        <f t="shared" si="8"/>
        <v>0.17302194545058155</v>
      </c>
      <c r="U16" s="51" t="s">
        <v>40</v>
      </c>
      <c r="AK16" s="51" t="s">
        <v>41</v>
      </c>
      <c r="AL16" s="51" t="s">
        <v>40</v>
      </c>
    </row>
    <row r="17" spans="1:39">
      <c r="A17" s="194">
        <v>11</v>
      </c>
      <c r="B17" s="51" t="s">
        <v>42</v>
      </c>
      <c r="C17" s="53">
        <f>C6*C43+C18</f>
        <v>347108.67884444445</v>
      </c>
      <c r="D17" s="53">
        <f t="shared" ref="D17:I17" si="9">D6*D43+D18</f>
        <v>905104.51333333342</v>
      </c>
      <c r="E17" s="53">
        <f t="shared" si="9"/>
        <v>236387.13644444445</v>
      </c>
      <c r="F17" s="53">
        <f t="shared" si="9"/>
        <v>320118.49521777779</v>
      </c>
      <c r="G17" s="53">
        <f t="shared" si="9"/>
        <v>0</v>
      </c>
      <c r="H17" s="53">
        <f t="shared" si="9"/>
        <v>0</v>
      </c>
      <c r="I17" s="53">
        <f t="shared" si="9"/>
        <v>0</v>
      </c>
      <c r="J17" s="53">
        <f t="shared" si="0"/>
        <v>1808718.8238400002</v>
      </c>
      <c r="K17" s="68"/>
      <c r="U17" s="51" t="s">
        <v>42</v>
      </c>
      <c r="AK17" s="51" t="s">
        <v>43</v>
      </c>
      <c r="AL17" s="51" t="s">
        <v>42</v>
      </c>
    </row>
    <row r="18" spans="1:39" s="45" customFormat="1">
      <c r="A18" s="194">
        <v>12</v>
      </c>
      <c r="B18" s="56" t="s">
        <v>144</v>
      </c>
      <c r="C18" s="57">
        <f>$J$18/$J$6*C6</f>
        <v>2506.9444444444443</v>
      </c>
      <c r="D18" s="57">
        <f t="shared" ref="D18:I18" si="10">$J$18/$J$6*D6</f>
        <v>7520.833333333333</v>
      </c>
      <c r="E18" s="57">
        <f t="shared" si="10"/>
        <v>2506.9444444444443</v>
      </c>
      <c r="F18" s="57">
        <f t="shared" si="10"/>
        <v>10027.777777777777</v>
      </c>
      <c r="G18" s="57">
        <f t="shared" si="10"/>
        <v>0</v>
      </c>
      <c r="H18" s="57">
        <f t="shared" si="10"/>
        <v>0</v>
      </c>
      <c r="I18" s="57">
        <f t="shared" si="10"/>
        <v>0</v>
      </c>
      <c r="J18" s="57">
        <f>项目投资!I26</f>
        <v>22562.5</v>
      </c>
      <c r="K18" s="69" t="s">
        <v>145</v>
      </c>
      <c r="L18" s="69"/>
      <c r="M18" s="69"/>
    </row>
    <row r="19" spans="1:39">
      <c r="A19" s="194">
        <v>13</v>
      </c>
      <c r="B19" s="51" t="s">
        <v>44</v>
      </c>
      <c r="C19" s="53">
        <f>C6*C44</f>
        <v>166971.97440000004</v>
      </c>
      <c r="D19" s="53">
        <f t="shared" ref="D19:I19" si="11">D6*D44</f>
        <v>434911.68000000005</v>
      </c>
      <c r="E19" s="53">
        <f t="shared" si="11"/>
        <v>113323.39199999999</v>
      </c>
      <c r="F19" s="53">
        <f t="shared" si="11"/>
        <v>150250.14144000001</v>
      </c>
      <c r="G19" s="53">
        <f t="shared" si="11"/>
        <v>0</v>
      </c>
      <c r="H19" s="53">
        <f t="shared" si="11"/>
        <v>0</v>
      </c>
      <c r="I19" s="53">
        <f t="shared" si="11"/>
        <v>0</v>
      </c>
      <c r="J19" s="53">
        <f t="shared" si="0"/>
        <v>865457.18784000014</v>
      </c>
      <c r="K19" s="45"/>
      <c r="U19" s="51" t="s">
        <v>44</v>
      </c>
      <c r="AK19" s="51" t="s">
        <v>45</v>
      </c>
      <c r="AL19" s="51" t="s">
        <v>44</v>
      </c>
      <c r="AM19" s="47" t="s">
        <v>18</v>
      </c>
    </row>
    <row r="20" spans="1:39">
      <c r="A20" s="194">
        <v>14</v>
      </c>
      <c r="B20" s="51" t="s">
        <v>46</v>
      </c>
      <c r="C20" s="53">
        <f>C6*C45</f>
        <v>579073.01760000002</v>
      </c>
      <c r="D20" s="53">
        <f t="shared" ref="D20:I20" si="12">D6*D45</f>
        <v>1508310.7199999997</v>
      </c>
      <c r="E20" s="53">
        <f t="shared" si="12"/>
        <v>393015.16799999995</v>
      </c>
      <c r="F20" s="53">
        <f t="shared" si="12"/>
        <v>521080.27775999997</v>
      </c>
      <c r="G20" s="53">
        <f t="shared" si="12"/>
        <v>0</v>
      </c>
      <c r="H20" s="53">
        <f t="shared" si="12"/>
        <v>0</v>
      </c>
      <c r="I20" s="53">
        <f t="shared" si="12"/>
        <v>0</v>
      </c>
      <c r="J20" s="53">
        <f t="shared" si="0"/>
        <v>3001479.1833599997</v>
      </c>
      <c r="U20" s="51" t="s">
        <v>46</v>
      </c>
      <c r="AK20" s="51" t="s">
        <v>47</v>
      </c>
      <c r="AL20" s="51" t="s">
        <v>46</v>
      </c>
    </row>
    <row r="21" spans="1:39">
      <c r="A21" s="194">
        <v>15</v>
      </c>
      <c r="B21" s="51" t="s">
        <v>48</v>
      </c>
      <c r="C21" s="58">
        <f>$J$21/$J$6*C6</f>
        <v>7137.5</v>
      </c>
      <c r="D21" s="58">
        <f t="shared" ref="D21:I21" si="13">$J$21/$J$6*D6</f>
        <v>21412.5</v>
      </c>
      <c r="E21" s="58">
        <f t="shared" si="13"/>
        <v>7137.5</v>
      </c>
      <c r="F21" s="58">
        <f t="shared" si="13"/>
        <v>28550</v>
      </c>
      <c r="G21" s="58">
        <f t="shared" si="13"/>
        <v>0</v>
      </c>
      <c r="H21" s="58">
        <f t="shared" si="13"/>
        <v>0</v>
      </c>
      <c r="I21" s="58">
        <f t="shared" si="13"/>
        <v>0</v>
      </c>
      <c r="J21" s="53">
        <f>项目投资!I27</f>
        <v>64237.5</v>
      </c>
      <c r="U21" s="51" t="s">
        <v>48</v>
      </c>
      <c r="AK21" s="51"/>
      <c r="AL21" s="51"/>
    </row>
    <row r="22" spans="1:39">
      <c r="A22" s="194">
        <v>16</v>
      </c>
      <c r="B22" s="51" t="s">
        <v>49</v>
      </c>
      <c r="C22" s="53">
        <f>C6*C47</f>
        <v>888148.80000000016</v>
      </c>
      <c r="D22" s="53">
        <f t="shared" ref="D22:I22" si="14">D6*D47</f>
        <v>2313360</v>
      </c>
      <c r="E22" s="53">
        <f t="shared" si="14"/>
        <v>602784</v>
      </c>
      <c r="F22" s="53">
        <f t="shared" si="14"/>
        <v>799202.88</v>
      </c>
      <c r="G22" s="53">
        <f t="shared" si="14"/>
        <v>0</v>
      </c>
      <c r="H22" s="53">
        <f t="shared" si="14"/>
        <v>0</v>
      </c>
      <c r="I22" s="53">
        <f t="shared" si="14"/>
        <v>0</v>
      </c>
      <c r="J22" s="53">
        <f t="shared" si="0"/>
        <v>4603495.6800000006</v>
      </c>
      <c r="U22" s="51" t="s">
        <v>49</v>
      </c>
      <c r="AK22" s="51" t="s">
        <v>50</v>
      </c>
      <c r="AL22" s="51" t="s">
        <v>49</v>
      </c>
    </row>
    <row r="23" spans="1:39">
      <c r="A23" s="194">
        <v>17</v>
      </c>
      <c r="B23" s="54" t="s">
        <v>51</v>
      </c>
      <c r="C23" s="58">
        <f>+C22+C21+C20+C19+C17</f>
        <v>1988439.9708444446</v>
      </c>
      <c r="D23" s="58">
        <f t="shared" ref="D23:J23" si="15">+D22+D21+D20+D19+D17</f>
        <v>5183099.4133333331</v>
      </c>
      <c r="E23" s="58">
        <f t="shared" si="15"/>
        <v>1352647.1964444446</v>
      </c>
      <c r="F23" s="58">
        <f t="shared" si="15"/>
        <v>1819201.7944177776</v>
      </c>
      <c r="G23" s="58">
        <f t="shared" si="15"/>
        <v>0</v>
      </c>
      <c r="H23" s="58">
        <f t="shared" si="15"/>
        <v>0</v>
      </c>
      <c r="I23" s="58">
        <f t="shared" si="15"/>
        <v>0</v>
      </c>
      <c r="J23" s="58">
        <f t="shared" si="15"/>
        <v>10343388.37504</v>
      </c>
      <c r="U23" s="54" t="s">
        <v>51</v>
      </c>
      <c r="AK23" s="51" t="s">
        <v>52</v>
      </c>
      <c r="AL23" s="54" t="s">
        <v>51</v>
      </c>
    </row>
    <row r="24" spans="1:39">
      <c r="A24" s="194">
        <v>18</v>
      </c>
      <c r="B24" s="59" t="s">
        <v>53</v>
      </c>
      <c r="C24" s="58">
        <f>+C15-C23</f>
        <v>1073881.292237039</v>
      </c>
      <c r="D24" s="58">
        <f t="shared" ref="D24:J24" si="16">+D15-D23</f>
        <v>1694151.5349840019</v>
      </c>
      <c r="E24" s="58">
        <f t="shared" si="16"/>
        <v>-289539.02027527196</v>
      </c>
      <c r="F24" s="58">
        <f t="shared" si="16"/>
        <v>857850.09005193831</v>
      </c>
      <c r="G24" s="58">
        <f t="shared" si="16"/>
        <v>0</v>
      </c>
      <c r="H24" s="58">
        <f t="shared" si="16"/>
        <v>0</v>
      </c>
      <c r="I24" s="58">
        <f t="shared" si="16"/>
        <v>0</v>
      </c>
      <c r="J24" s="58">
        <f t="shared" si="16"/>
        <v>3336343.8969977051</v>
      </c>
      <c r="L24" s="70"/>
      <c r="U24" s="51" t="s">
        <v>53</v>
      </c>
      <c r="AK24" s="51" t="s">
        <v>54</v>
      </c>
      <c r="AL24" s="51" t="s">
        <v>53</v>
      </c>
    </row>
    <row r="25" spans="1:39">
      <c r="A25" s="194">
        <v>19</v>
      </c>
      <c r="B25" s="51" t="s">
        <v>302</v>
      </c>
      <c r="C25" s="58">
        <f>IF(C24&lt;0,0,C24*0.25)</f>
        <v>268470.32305925974</v>
      </c>
      <c r="D25" s="58">
        <f t="shared" ref="D25:J25" si="17">IF(D24&lt;0,0,D24*0.25)</f>
        <v>423537.88374600047</v>
      </c>
      <c r="E25" s="58">
        <f t="shared" si="17"/>
        <v>0</v>
      </c>
      <c r="F25" s="58">
        <f t="shared" si="17"/>
        <v>214462.52251298458</v>
      </c>
      <c r="G25" s="58">
        <f t="shared" si="17"/>
        <v>0</v>
      </c>
      <c r="H25" s="58">
        <f t="shared" si="17"/>
        <v>0</v>
      </c>
      <c r="I25" s="58">
        <f t="shared" si="17"/>
        <v>0</v>
      </c>
      <c r="J25" s="58">
        <f t="shared" si="17"/>
        <v>834085.97424942628</v>
      </c>
      <c r="K25" s="66"/>
      <c r="L25" s="66"/>
      <c r="M25" s="66"/>
      <c r="U25" s="51" t="s">
        <v>55</v>
      </c>
      <c r="AK25" s="51" t="s">
        <v>56</v>
      </c>
      <c r="AL25" s="51" t="s">
        <v>55</v>
      </c>
    </row>
    <row r="26" spans="1:39">
      <c r="A26" s="194">
        <v>20</v>
      </c>
      <c r="B26" s="51" t="s">
        <v>57</v>
      </c>
      <c r="C26" s="58">
        <f t="shared" ref="C26:I26" si="18">C24-C25</f>
        <v>805410.96917777928</v>
      </c>
      <c r="D26" s="58">
        <f t="shared" si="18"/>
        <v>1270613.6512380014</v>
      </c>
      <c r="E26" s="58">
        <f t="shared" si="18"/>
        <v>-289539.02027527196</v>
      </c>
      <c r="F26" s="58">
        <f t="shared" si="18"/>
        <v>643387.56753895374</v>
      </c>
      <c r="G26" s="58">
        <f t="shared" si="18"/>
        <v>0</v>
      </c>
      <c r="H26" s="58">
        <f t="shared" si="18"/>
        <v>0</v>
      </c>
      <c r="I26" s="58">
        <f t="shared" si="18"/>
        <v>0</v>
      </c>
      <c r="J26" s="53">
        <f>J24-J25</f>
        <v>2502257.9227482788</v>
      </c>
      <c r="K26" s="66"/>
      <c r="L26" s="66"/>
      <c r="M26" s="66"/>
      <c r="U26" s="51" t="s">
        <v>57</v>
      </c>
      <c r="AK26" s="51" t="s">
        <v>58</v>
      </c>
      <c r="AL26" s="51" t="s">
        <v>57</v>
      </c>
    </row>
    <row r="27" spans="1:39">
      <c r="A27" s="194">
        <v>21</v>
      </c>
      <c r="B27" s="51" t="s">
        <v>61</v>
      </c>
      <c r="C27" s="60">
        <f t="shared" ref="C27:J27" si="19">C26/C7</f>
        <v>4.5342118864416595E-2</v>
      </c>
      <c r="D27" s="60">
        <f t="shared" si="19"/>
        <v>2.7462514507858731E-2</v>
      </c>
      <c r="E27" s="60">
        <f t="shared" si="19"/>
        <v>-2.4016813674157905E-2</v>
      </c>
      <c r="F27" s="60">
        <f t="shared" si="19"/>
        <v>4.0251829894491484E-2</v>
      </c>
      <c r="G27" s="60" t="e">
        <f t="shared" si="19"/>
        <v>#DIV/0!</v>
      </c>
      <c r="H27" s="60" t="e">
        <f t="shared" si="19"/>
        <v>#DIV/0!</v>
      </c>
      <c r="I27" s="60" t="e">
        <f t="shared" si="19"/>
        <v>#DIV/0!</v>
      </c>
      <c r="J27" s="60">
        <f t="shared" si="19"/>
        <v>2.7177802442819702E-2</v>
      </c>
      <c r="K27" s="66"/>
      <c r="L27" s="66"/>
      <c r="M27" s="66"/>
      <c r="U27" s="51" t="s">
        <v>61</v>
      </c>
      <c r="AK27" s="51" t="s">
        <v>60</v>
      </c>
      <c r="AL27" s="51" t="s">
        <v>61</v>
      </c>
    </row>
    <row r="28" spans="1:39">
      <c r="K28" s="66"/>
      <c r="L28" s="66"/>
      <c r="M28" s="66"/>
      <c r="U28" s="51"/>
    </row>
    <row r="29" spans="1:39">
      <c r="A29" s="47" t="s">
        <v>62</v>
      </c>
      <c r="J29" s="48" t="s">
        <v>146</v>
      </c>
      <c r="K29" s="66"/>
      <c r="L29" s="66"/>
      <c r="M29" s="66"/>
      <c r="U29" s="51"/>
      <c r="AK29" s="47" t="s">
        <v>62</v>
      </c>
    </row>
    <row r="30" spans="1:39">
      <c r="A30" s="51" t="s">
        <v>63</v>
      </c>
      <c r="B30" s="54" t="s">
        <v>64</v>
      </c>
      <c r="C30" s="58"/>
      <c r="D30" s="58"/>
      <c r="E30" s="58"/>
      <c r="F30" s="58"/>
      <c r="G30" s="58"/>
      <c r="H30" s="58"/>
      <c r="I30" s="58"/>
      <c r="J30" s="58"/>
      <c r="K30" s="66"/>
      <c r="L30" s="66"/>
      <c r="M30" s="66"/>
      <c r="O30" s="66"/>
      <c r="U30" s="54" t="s">
        <v>64</v>
      </c>
      <c r="AK30" s="51" t="s">
        <v>65</v>
      </c>
      <c r="AL30" s="54" t="s">
        <v>64</v>
      </c>
    </row>
    <row r="31" spans="1:39">
      <c r="A31" s="194">
        <v>1</v>
      </c>
      <c r="B31" s="56" t="s">
        <v>66</v>
      </c>
      <c r="C31" s="62">
        <f>销量!C8</f>
        <v>1762.2</v>
      </c>
      <c r="D31" s="62">
        <f>销量!D8</f>
        <v>1530</v>
      </c>
      <c r="E31" s="62">
        <f>销量!E8</f>
        <v>1196</v>
      </c>
      <c r="F31" s="62">
        <f>销量!F8</f>
        <v>396.43</v>
      </c>
      <c r="G31" s="62">
        <f>销量!G8</f>
        <v>0</v>
      </c>
      <c r="H31" s="62">
        <f>销量!H8</f>
        <v>0</v>
      </c>
      <c r="I31" s="62">
        <f>销量!I8</f>
        <v>0</v>
      </c>
      <c r="J31" s="58"/>
      <c r="K31" s="66"/>
      <c r="L31" s="66"/>
      <c r="M31" s="66"/>
      <c r="O31" s="66"/>
      <c r="U31" s="51" t="s">
        <v>66</v>
      </c>
      <c r="AK31" s="51" t="s">
        <v>20</v>
      </c>
      <c r="AL31" s="51" t="s">
        <v>66</v>
      </c>
    </row>
    <row r="32" spans="1:39">
      <c r="A32" s="194">
        <v>2</v>
      </c>
      <c r="B32" s="51" t="s">
        <v>147</v>
      </c>
      <c r="C32" s="53">
        <f>C9/C6</f>
        <v>1513.2611000885399</v>
      </c>
      <c r="D32" s="53">
        <f t="shared" ref="D32:I32" si="20">D9/D6</f>
        <v>1313.863059321</v>
      </c>
      <c r="E32" s="53">
        <f t="shared" si="20"/>
        <v>1027.0458947372001</v>
      </c>
      <c r="F32" s="53">
        <f t="shared" si="20"/>
        <v>340.42792980825101</v>
      </c>
      <c r="G32" s="53" t="e">
        <f t="shared" si="20"/>
        <v>#DIV/0!</v>
      </c>
      <c r="H32" s="53" t="e">
        <f t="shared" si="20"/>
        <v>#DIV/0!</v>
      </c>
      <c r="I32" s="53" t="e">
        <f t="shared" si="20"/>
        <v>#DIV/0!</v>
      </c>
      <c r="J32" s="58"/>
      <c r="K32" s="66"/>
      <c r="L32" s="66"/>
      <c r="M32" s="66"/>
      <c r="N32" s="66"/>
      <c r="O32" s="66"/>
      <c r="P32" s="66"/>
      <c r="Q32" s="66"/>
      <c r="AK32" s="51"/>
      <c r="AL32" s="51"/>
    </row>
    <row r="33" spans="1:38">
      <c r="A33" s="194">
        <v>3</v>
      </c>
      <c r="B33" s="56" t="s">
        <v>67</v>
      </c>
      <c r="C33" s="53">
        <f>材料成本!D17</f>
        <v>1114.8292474812499</v>
      </c>
      <c r="D33" s="53">
        <f>材料成本!E17</f>
        <v>1004.2797396015114</v>
      </c>
      <c r="E33" s="53">
        <f>材料成本!F17</f>
        <v>857.3536137680361</v>
      </c>
      <c r="F33" s="53">
        <f>材料成本!G17</f>
        <v>252.74450278469655</v>
      </c>
      <c r="G33" s="53">
        <f>材料成本!H17</f>
        <v>0</v>
      </c>
      <c r="H33" s="53">
        <f>材料成本!I17</f>
        <v>0</v>
      </c>
      <c r="I33" s="53">
        <f>材料成本!J17</f>
        <v>0</v>
      </c>
      <c r="J33" s="58"/>
      <c r="L33" s="66"/>
      <c r="M33" s="66"/>
      <c r="N33" s="66"/>
      <c r="O33" s="66"/>
      <c r="P33" s="66"/>
      <c r="Q33" s="66"/>
      <c r="U33" s="51" t="s">
        <v>67</v>
      </c>
      <c r="AK33" s="51" t="s">
        <v>22</v>
      </c>
      <c r="AL33" s="51" t="s">
        <v>67</v>
      </c>
    </row>
    <row r="34" spans="1:38" ht="17.25" customHeight="1">
      <c r="A34" s="194">
        <v>4</v>
      </c>
      <c r="B34" s="51" t="s">
        <v>69</v>
      </c>
      <c r="C34" s="63">
        <f>C32-C33</f>
        <v>398.43185260729001</v>
      </c>
      <c r="D34" s="63">
        <f t="shared" ref="D34:I34" si="21">D32-D33</f>
        <v>309.5833197194886</v>
      </c>
      <c r="E34" s="63">
        <f t="shared" si="21"/>
        <v>169.69228096916402</v>
      </c>
      <c r="F34" s="63">
        <f t="shared" si="21"/>
        <v>87.683427023554458</v>
      </c>
      <c r="G34" s="63" t="e">
        <f t="shared" si="21"/>
        <v>#DIV/0!</v>
      </c>
      <c r="H34" s="63" t="e">
        <f t="shared" si="21"/>
        <v>#DIV/0!</v>
      </c>
      <c r="I34" s="63" t="e">
        <f t="shared" si="21"/>
        <v>#DIV/0!</v>
      </c>
      <c r="J34" s="58"/>
      <c r="L34" s="66"/>
      <c r="M34" s="66"/>
      <c r="N34" s="66"/>
      <c r="O34" s="66"/>
      <c r="P34" s="66"/>
      <c r="Q34" s="66"/>
      <c r="U34" s="51" t="s">
        <v>69</v>
      </c>
      <c r="AK34" s="51" t="s">
        <v>68</v>
      </c>
      <c r="AL34" s="51" t="s">
        <v>69</v>
      </c>
    </row>
    <row r="35" spans="1:38">
      <c r="A35" s="51" t="s">
        <v>65</v>
      </c>
      <c r="B35" s="54" t="s">
        <v>9</v>
      </c>
      <c r="C35" s="58"/>
      <c r="D35" s="58"/>
      <c r="E35" s="58"/>
      <c r="F35" s="58"/>
      <c r="G35" s="58"/>
      <c r="H35" s="58"/>
      <c r="I35" s="58"/>
      <c r="J35" s="58"/>
      <c r="K35" s="66"/>
      <c r="L35" s="66"/>
      <c r="M35" s="66"/>
      <c r="N35" s="66"/>
      <c r="O35" s="66"/>
      <c r="P35" s="66"/>
      <c r="Q35" s="66"/>
      <c r="R35" s="66"/>
      <c r="S35" s="66"/>
      <c r="T35" s="66"/>
      <c r="U35" s="54" t="s">
        <v>9</v>
      </c>
      <c r="AK35" s="51" t="s">
        <v>71</v>
      </c>
      <c r="AL35" s="54" t="s">
        <v>9</v>
      </c>
    </row>
    <row r="36" spans="1:38">
      <c r="A36" s="194">
        <v>1</v>
      </c>
      <c r="B36" s="51" t="s">
        <v>72</v>
      </c>
      <c r="C36" s="57">
        <f>'2024年'!C36</f>
        <v>62.029440000000008</v>
      </c>
      <c r="D36" s="57">
        <f>'2024年'!D36</f>
        <v>53.856000000000002</v>
      </c>
      <c r="E36" s="57">
        <f>'2024年'!E36</f>
        <v>42.099200000000003</v>
      </c>
      <c r="F36" s="57">
        <f>'2024年'!F36</f>
        <v>13.954336000000001</v>
      </c>
      <c r="G36" s="57">
        <f>'2024年'!G36</f>
        <v>0</v>
      </c>
      <c r="H36" s="57">
        <f>'2024年'!H36</f>
        <v>0</v>
      </c>
      <c r="I36" s="57">
        <f>'2024年'!I36</f>
        <v>0</v>
      </c>
      <c r="J36" s="62"/>
      <c r="K36" s="66"/>
      <c r="L36" s="66"/>
      <c r="M36" s="66"/>
      <c r="N36" s="66"/>
      <c r="O36" s="66"/>
      <c r="P36" s="66"/>
      <c r="Q36" s="66"/>
      <c r="R36" s="66"/>
      <c r="S36" s="66"/>
      <c r="T36" s="66"/>
      <c r="U36" s="51" t="s">
        <v>72</v>
      </c>
      <c r="AK36" s="51" t="s">
        <v>68</v>
      </c>
      <c r="AL36" s="51" t="s">
        <v>72</v>
      </c>
    </row>
    <row r="37" spans="1:38">
      <c r="A37" s="194">
        <v>2</v>
      </c>
      <c r="B37" s="51" t="s">
        <v>73</v>
      </c>
      <c r="C37" s="57">
        <f>'2024年'!C37</f>
        <v>18.679320000000001</v>
      </c>
      <c r="D37" s="57">
        <f>'2024年'!D37</f>
        <v>16.218</v>
      </c>
      <c r="E37" s="57">
        <f>'2024年'!E37</f>
        <v>12.6776</v>
      </c>
      <c r="F37" s="57">
        <f>'2024年'!F37</f>
        <v>4.2021579999999998</v>
      </c>
      <c r="G37" s="57">
        <f>'2024年'!G37</f>
        <v>0</v>
      </c>
      <c r="H37" s="57">
        <f>'2024年'!H37</f>
        <v>0</v>
      </c>
      <c r="I37" s="57">
        <f>'2024年'!I37</f>
        <v>0</v>
      </c>
      <c r="J37" s="62"/>
      <c r="K37" s="66"/>
      <c r="L37" s="66"/>
      <c r="M37" s="66"/>
      <c r="N37" s="66"/>
      <c r="O37" s="66"/>
      <c r="P37" s="66"/>
      <c r="Q37" s="66"/>
      <c r="R37" s="66"/>
      <c r="S37" s="66"/>
      <c r="T37" s="66"/>
      <c r="U37" s="51" t="s">
        <v>73</v>
      </c>
      <c r="AK37" s="51" t="s">
        <v>25</v>
      </c>
      <c r="AL37" s="51" t="s">
        <v>73</v>
      </c>
    </row>
    <row r="38" spans="1:38">
      <c r="A38" s="194">
        <v>3</v>
      </c>
      <c r="B38" s="51" t="s">
        <v>74</v>
      </c>
      <c r="C38" s="57">
        <f>'2024年'!C38</f>
        <v>13.921380000000001</v>
      </c>
      <c r="D38" s="57">
        <f>'2024年'!D38</f>
        <v>12.087000000000002</v>
      </c>
      <c r="E38" s="57">
        <f>'2024年'!E38</f>
        <v>9.4484000000000012</v>
      </c>
      <c r="F38" s="57">
        <f>'2024年'!F38</f>
        <v>3.1317970000000002</v>
      </c>
      <c r="G38" s="57">
        <f>'2024年'!G38</f>
        <v>0</v>
      </c>
      <c r="H38" s="57">
        <f>'2024年'!H38</f>
        <v>0</v>
      </c>
      <c r="I38" s="57">
        <f>'2024年'!I38</f>
        <v>0</v>
      </c>
      <c r="J38" s="62"/>
      <c r="K38" s="66"/>
      <c r="L38" s="66"/>
      <c r="M38" s="66"/>
      <c r="N38" s="66"/>
      <c r="O38" s="66"/>
      <c r="P38" s="66"/>
      <c r="Q38" s="66"/>
      <c r="R38" s="66"/>
      <c r="S38" s="66"/>
      <c r="T38" s="66"/>
      <c r="U38" s="51" t="s">
        <v>74</v>
      </c>
      <c r="AK38" s="51" t="s">
        <v>31</v>
      </c>
      <c r="AL38" s="51" t="s">
        <v>74</v>
      </c>
    </row>
    <row r="39" spans="1:38">
      <c r="A39" s="51" t="s">
        <v>71</v>
      </c>
      <c r="B39" s="54" t="s">
        <v>76</v>
      </c>
      <c r="C39" s="58"/>
      <c r="D39" s="58"/>
      <c r="E39" s="58"/>
      <c r="F39" s="58"/>
      <c r="G39" s="58"/>
      <c r="H39" s="58"/>
      <c r="I39" s="58"/>
      <c r="J39" s="58"/>
      <c r="U39" s="54" t="s">
        <v>76</v>
      </c>
      <c r="AK39" s="51" t="s">
        <v>75</v>
      </c>
      <c r="AL39" s="54" t="s">
        <v>76</v>
      </c>
    </row>
    <row r="40" spans="1:38">
      <c r="A40" s="194">
        <v>1</v>
      </c>
      <c r="B40" s="51" t="s">
        <v>78</v>
      </c>
      <c r="C40" s="58">
        <f>C34-C36-C37-C38</f>
        <v>303.80171260728997</v>
      </c>
      <c r="D40" s="58">
        <f t="shared" ref="D40:I40" si="22">D34-D36-D37-D38</f>
        <v>227.42231971948863</v>
      </c>
      <c r="E40" s="58">
        <f t="shared" si="22"/>
        <v>105.46708096916402</v>
      </c>
      <c r="F40" s="58">
        <f t="shared" si="22"/>
        <v>66.395136023554457</v>
      </c>
      <c r="G40" s="58" t="e">
        <f t="shared" si="22"/>
        <v>#DIV/0!</v>
      </c>
      <c r="H40" s="58" t="e">
        <f t="shared" si="22"/>
        <v>#DIV/0!</v>
      </c>
      <c r="I40" s="58" t="e">
        <f t="shared" si="22"/>
        <v>#DIV/0!</v>
      </c>
      <c r="J40" s="58"/>
      <c r="U40" s="51" t="s">
        <v>78</v>
      </c>
      <c r="AK40" s="51" t="s">
        <v>20</v>
      </c>
      <c r="AL40" s="51" t="s">
        <v>78</v>
      </c>
    </row>
    <row r="41" spans="1:38">
      <c r="A41" s="194">
        <v>2</v>
      </c>
      <c r="B41" s="51" t="s">
        <v>79</v>
      </c>
      <c r="C41" s="58"/>
      <c r="D41" s="58"/>
      <c r="E41" s="58"/>
      <c r="F41" s="58"/>
      <c r="G41" s="58"/>
      <c r="H41" s="58"/>
      <c r="I41" s="58"/>
      <c r="J41" s="58"/>
      <c r="U41" s="51" t="s">
        <v>79</v>
      </c>
      <c r="AK41" s="51" t="s">
        <v>22</v>
      </c>
      <c r="AL41" s="51" t="s">
        <v>79</v>
      </c>
    </row>
    <row r="42" spans="1:38">
      <c r="A42" s="51" t="s">
        <v>75</v>
      </c>
      <c r="B42" s="54" t="s">
        <v>81</v>
      </c>
      <c r="C42" s="58"/>
      <c r="D42" s="58"/>
      <c r="E42" s="58"/>
      <c r="F42" s="58"/>
      <c r="G42" s="58"/>
      <c r="H42" s="58"/>
      <c r="I42" s="58"/>
      <c r="J42" s="58"/>
      <c r="U42" s="54" t="s">
        <v>81</v>
      </c>
      <c r="AK42" s="51" t="s">
        <v>80</v>
      </c>
      <c r="AL42" s="54" t="s">
        <v>81</v>
      </c>
    </row>
    <row r="43" spans="1:38">
      <c r="A43" s="194">
        <v>1</v>
      </c>
      <c r="B43" s="59" t="s">
        <v>82</v>
      </c>
      <c r="C43" s="57">
        <f>'2024年'!C43</f>
        <v>34.186680000000003</v>
      </c>
      <c r="D43" s="57">
        <f>'2024年'!D43</f>
        <v>29.682000000000002</v>
      </c>
      <c r="E43" s="57">
        <f>'2024年'!E43</f>
        <v>23.202400000000001</v>
      </c>
      <c r="F43" s="57">
        <f>'2024年'!F43</f>
        <v>7.6907420000000002</v>
      </c>
      <c r="G43" s="57">
        <f>'2024年'!G43</f>
        <v>0</v>
      </c>
      <c r="H43" s="57">
        <f>'2024年'!H43</f>
        <v>0</v>
      </c>
      <c r="I43" s="57">
        <f>'2024年'!I43</f>
        <v>0</v>
      </c>
      <c r="J43" s="58"/>
      <c r="U43" s="51" t="s">
        <v>82</v>
      </c>
      <c r="AK43" s="51" t="s">
        <v>20</v>
      </c>
      <c r="AL43" s="51" t="s">
        <v>82</v>
      </c>
    </row>
    <row r="44" spans="1:38">
      <c r="A44" s="194">
        <v>2</v>
      </c>
      <c r="B44" s="59" t="s">
        <v>83</v>
      </c>
      <c r="C44" s="57">
        <f>'2024年'!C44</f>
        <v>16.564680000000003</v>
      </c>
      <c r="D44" s="57">
        <f>'2024年'!D44</f>
        <v>14.382000000000001</v>
      </c>
      <c r="E44" s="57">
        <f>'2024年'!E44</f>
        <v>11.2424</v>
      </c>
      <c r="F44" s="57">
        <f>'2024年'!F44</f>
        <v>3.726442</v>
      </c>
      <c r="G44" s="57">
        <f>'2024年'!G44</f>
        <v>0</v>
      </c>
      <c r="H44" s="57">
        <f>'2024年'!H44</f>
        <v>0</v>
      </c>
      <c r="I44" s="57">
        <f>'2024年'!I44</f>
        <v>0</v>
      </c>
      <c r="J44" s="58"/>
      <c r="U44" s="51" t="s">
        <v>83</v>
      </c>
      <c r="AK44" s="51" t="s">
        <v>22</v>
      </c>
      <c r="AL44" s="51" t="s">
        <v>83</v>
      </c>
    </row>
    <row r="45" spans="1:38">
      <c r="A45" s="194">
        <v>3</v>
      </c>
      <c r="B45" s="59" t="s">
        <v>84</v>
      </c>
      <c r="C45" s="57">
        <f>'2024年'!C45</f>
        <v>57.447719999999997</v>
      </c>
      <c r="D45" s="57">
        <f>'2024年'!D45</f>
        <v>49.877999999999993</v>
      </c>
      <c r="E45" s="57">
        <f>'2024年'!E45</f>
        <v>38.989599999999996</v>
      </c>
      <c r="F45" s="57">
        <f>'2024年'!F45</f>
        <v>12.923617999999999</v>
      </c>
      <c r="G45" s="57">
        <f>'2024年'!G45</f>
        <v>0</v>
      </c>
      <c r="H45" s="57">
        <f>'2024年'!H45</f>
        <v>0</v>
      </c>
      <c r="I45" s="57">
        <f>'2024年'!I45</f>
        <v>0</v>
      </c>
      <c r="J45" s="58"/>
      <c r="U45" s="51" t="s">
        <v>84</v>
      </c>
      <c r="AK45" s="51" t="s">
        <v>68</v>
      </c>
      <c r="AL45" s="51" t="s">
        <v>84</v>
      </c>
    </row>
    <row r="46" spans="1:38" s="46" customFormat="1">
      <c r="A46" s="194">
        <v>4</v>
      </c>
      <c r="B46" s="59" t="s">
        <v>85</v>
      </c>
      <c r="C46" s="64">
        <f>C21/C6</f>
        <v>0.70808531746031744</v>
      </c>
      <c r="D46" s="64">
        <f t="shared" ref="D46:I46" si="23">D21/D6</f>
        <v>0.70808531746031744</v>
      </c>
      <c r="E46" s="64">
        <f t="shared" si="23"/>
        <v>0.70808531746031744</v>
      </c>
      <c r="F46" s="64">
        <f t="shared" si="23"/>
        <v>0.70808531746031744</v>
      </c>
      <c r="G46" s="64" t="e">
        <f t="shared" si="23"/>
        <v>#DIV/0!</v>
      </c>
      <c r="H46" s="64" t="e">
        <f t="shared" si="23"/>
        <v>#DIV/0!</v>
      </c>
      <c r="I46" s="64" t="e">
        <f t="shared" si="23"/>
        <v>#DIV/0!</v>
      </c>
      <c r="J46" s="64"/>
      <c r="U46" s="59" t="s">
        <v>87</v>
      </c>
      <c r="AK46" s="59" t="s">
        <v>28</v>
      </c>
      <c r="AL46" s="59" t="s">
        <v>87</v>
      </c>
    </row>
    <row r="47" spans="1:38" s="46" customFormat="1">
      <c r="A47" s="194">
        <v>5</v>
      </c>
      <c r="B47" s="59" t="s">
        <v>87</v>
      </c>
      <c r="C47" s="64">
        <f>'2024年'!C47</f>
        <v>88.110000000000014</v>
      </c>
      <c r="D47" s="64">
        <f>'2024年'!D47</f>
        <v>76.5</v>
      </c>
      <c r="E47" s="64">
        <f>'2024年'!E47</f>
        <v>59.800000000000004</v>
      </c>
      <c r="F47" s="64">
        <f>'2024年'!F47</f>
        <v>19.8215</v>
      </c>
      <c r="G47" s="64">
        <f>'2024年'!G47</f>
        <v>0</v>
      </c>
      <c r="H47" s="64">
        <f>'2024年'!H47</f>
        <v>0</v>
      </c>
      <c r="I47" s="64">
        <f>'2024年'!I47</f>
        <v>0</v>
      </c>
      <c r="J47" s="64"/>
      <c r="U47" s="59" t="s">
        <v>87</v>
      </c>
      <c r="AK47" s="59" t="s">
        <v>28</v>
      </c>
      <c r="AL47" s="59" t="s">
        <v>87</v>
      </c>
    </row>
    <row r="48" spans="1:38">
      <c r="A48" s="51" t="s">
        <v>80</v>
      </c>
      <c r="B48" s="54" t="s">
        <v>98</v>
      </c>
      <c r="C48" s="58">
        <f>C40-C43-C44-C45-C47-C46</f>
        <v>106.7845472898296</v>
      </c>
      <c r="D48" s="58">
        <f t="shared" ref="D48:I48" si="24">D40-D43-D44-D45-D47-D46</f>
        <v>56.272234402028332</v>
      </c>
      <c r="E48" s="58">
        <f t="shared" si="24"/>
        <v>-28.475404348296301</v>
      </c>
      <c r="F48" s="58">
        <f t="shared" si="24"/>
        <v>21.524748706094144</v>
      </c>
      <c r="G48" s="58" t="e">
        <f t="shared" si="24"/>
        <v>#DIV/0!</v>
      </c>
      <c r="H48" s="58" t="e">
        <f t="shared" si="24"/>
        <v>#DIV/0!</v>
      </c>
      <c r="I48" s="58" t="e">
        <f t="shared" si="24"/>
        <v>#DIV/0!</v>
      </c>
      <c r="J48" s="58"/>
      <c r="U48" s="54" t="s">
        <v>98</v>
      </c>
      <c r="AK48" s="51" t="s">
        <v>97</v>
      </c>
      <c r="AL48" s="54" t="s">
        <v>98</v>
      </c>
    </row>
    <row r="51" spans="2:15">
      <c r="C51" s="65"/>
      <c r="D51" s="65"/>
      <c r="E51" s="65"/>
      <c r="F51" s="65"/>
      <c r="G51" s="65"/>
      <c r="H51" s="65"/>
      <c r="I51" s="65"/>
    </row>
    <row r="54" spans="2:15">
      <c r="B54" s="66"/>
      <c r="C54" s="67"/>
      <c r="D54" s="67"/>
      <c r="E54" s="67"/>
      <c r="F54" s="67"/>
      <c r="G54" s="67"/>
      <c r="H54" s="67"/>
      <c r="I54" s="67"/>
      <c r="J54" s="67"/>
      <c r="K54" s="66"/>
      <c r="L54" s="66"/>
      <c r="M54" s="66"/>
      <c r="N54" s="66"/>
      <c r="O54" s="66"/>
    </row>
    <row r="55" spans="2:15">
      <c r="B55" s="66"/>
      <c r="C55" s="67"/>
      <c r="D55" s="67"/>
      <c r="E55" s="67"/>
      <c r="F55" s="67"/>
      <c r="G55" s="67"/>
      <c r="H55" s="67"/>
      <c r="I55" s="67"/>
      <c r="J55" s="67"/>
      <c r="K55" s="66"/>
      <c r="L55" s="66"/>
      <c r="M55" s="66"/>
      <c r="N55" s="66"/>
      <c r="O55" s="66"/>
    </row>
    <row r="56" spans="2:15">
      <c r="B56" s="66"/>
      <c r="C56" s="67"/>
      <c r="D56" s="67"/>
      <c r="E56" s="67"/>
      <c r="F56" s="67"/>
      <c r="G56" s="67"/>
      <c r="H56" s="67"/>
      <c r="I56" s="67"/>
      <c r="J56" s="67"/>
      <c r="K56" s="66"/>
      <c r="L56" s="66"/>
      <c r="M56" s="66"/>
      <c r="N56" s="66"/>
      <c r="O56" s="66"/>
    </row>
    <row r="57" spans="2:15">
      <c r="B57" s="66"/>
      <c r="C57" s="67"/>
      <c r="D57" s="67"/>
      <c r="E57" s="67"/>
      <c r="F57" s="67"/>
      <c r="G57" s="67"/>
      <c r="H57" s="67"/>
      <c r="I57" s="67"/>
      <c r="J57" s="67"/>
      <c r="K57" s="66"/>
      <c r="L57" s="66"/>
      <c r="M57" s="66"/>
      <c r="N57" s="66"/>
      <c r="O57" s="66"/>
    </row>
    <row r="58" spans="2:15">
      <c r="B58" s="66"/>
      <c r="C58" s="67"/>
      <c r="D58" s="67"/>
      <c r="E58" s="67"/>
      <c r="F58" s="67"/>
      <c r="G58" s="67"/>
      <c r="H58" s="67"/>
      <c r="I58" s="67"/>
      <c r="J58" s="67"/>
      <c r="K58" s="66"/>
      <c r="L58" s="66"/>
      <c r="M58" s="66"/>
      <c r="N58" s="66"/>
      <c r="O58" s="66"/>
    </row>
    <row r="59" spans="2:15">
      <c r="B59" s="66"/>
      <c r="C59" s="67"/>
      <c r="D59" s="67"/>
      <c r="E59" s="67"/>
      <c r="F59" s="67"/>
      <c r="G59" s="67"/>
      <c r="H59" s="67"/>
      <c r="I59" s="67"/>
      <c r="J59" s="67"/>
      <c r="K59" s="66"/>
      <c r="L59" s="66"/>
      <c r="M59" s="66"/>
      <c r="N59" s="66"/>
      <c r="O59" s="66"/>
    </row>
    <row r="60" spans="2:15">
      <c r="B60" s="66"/>
      <c r="C60" s="67"/>
      <c r="D60" s="67"/>
      <c r="E60" s="67"/>
      <c r="F60" s="67"/>
      <c r="G60" s="67"/>
      <c r="H60" s="67"/>
      <c r="I60" s="67"/>
      <c r="J60" s="67"/>
      <c r="K60" s="66"/>
      <c r="L60" s="66"/>
      <c r="M60" s="66"/>
      <c r="N60" s="66"/>
      <c r="O60" s="66"/>
    </row>
    <row r="61" spans="2:15">
      <c r="B61" s="66"/>
      <c r="C61" s="67"/>
      <c r="D61" s="67"/>
      <c r="E61" s="67"/>
      <c r="F61" s="67"/>
      <c r="G61" s="67"/>
      <c r="H61" s="67"/>
      <c r="I61" s="67"/>
      <c r="J61" s="67"/>
      <c r="K61" s="66"/>
      <c r="L61" s="66"/>
      <c r="M61" s="66"/>
      <c r="N61" s="66"/>
      <c r="O61" s="66"/>
    </row>
    <row r="62" spans="2:15">
      <c r="B62" s="66"/>
      <c r="C62" s="67"/>
      <c r="D62" s="67"/>
      <c r="E62" s="67"/>
      <c r="F62" s="67"/>
      <c r="G62" s="67"/>
      <c r="H62" s="67"/>
      <c r="I62" s="67"/>
      <c r="J62" s="67"/>
      <c r="K62" s="66"/>
      <c r="L62" s="66"/>
      <c r="M62" s="66"/>
      <c r="N62" s="66"/>
      <c r="O62" s="66"/>
    </row>
    <row r="63" spans="2:15">
      <c r="B63" s="66"/>
      <c r="C63" s="67"/>
      <c r="D63" s="67"/>
      <c r="E63" s="67"/>
      <c r="F63" s="67"/>
      <c r="G63" s="67"/>
      <c r="H63" s="67"/>
      <c r="I63" s="67"/>
      <c r="J63" s="67"/>
      <c r="K63" s="66"/>
      <c r="L63" s="66"/>
      <c r="M63" s="66"/>
      <c r="N63" s="66"/>
      <c r="O63" s="66"/>
    </row>
    <row r="64" spans="2:15">
      <c r="B64" s="66"/>
      <c r="C64" s="67"/>
      <c r="D64" s="67"/>
      <c r="E64" s="67"/>
      <c r="F64" s="67"/>
      <c r="G64" s="67"/>
      <c r="H64" s="67"/>
      <c r="I64" s="67"/>
      <c r="J64" s="67"/>
      <c r="K64" s="66"/>
      <c r="L64" s="66"/>
      <c r="M64" s="66"/>
      <c r="N64" s="66"/>
      <c r="O64" s="66"/>
    </row>
    <row r="65" spans="2:15">
      <c r="B65" s="66"/>
      <c r="C65" s="67"/>
      <c r="D65" s="67"/>
      <c r="E65" s="67"/>
      <c r="F65" s="67"/>
      <c r="G65" s="67"/>
      <c r="H65" s="67"/>
      <c r="I65" s="67"/>
      <c r="J65" s="67"/>
      <c r="K65" s="66"/>
      <c r="L65" s="66"/>
      <c r="M65" s="66"/>
      <c r="N65" s="66"/>
      <c r="O65" s="66"/>
    </row>
    <row r="66" spans="2:15">
      <c r="B66" s="66"/>
      <c r="C66" s="67"/>
      <c r="D66" s="67"/>
      <c r="E66" s="67"/>
      <c r="F66" s="67"/>
      <c r="G66" s="67"/>
      <c r="H66" s="67"/>
      <c r="I66" s="67"/>
      <c r="J66" s="67"/>
      <c r="K66" s="66"/>
      <c r="L66" s="66"/>
      <c r="M66" s="66"/>
      <c r="N66" s="66"/>
      <c r="O66" s="66"/>
    </row>
    <row r="67" spans="2:15">
      <c r="B67" s="66"/>
      <c r="C67" s="67"/>
      <c r="D67" s="67"/>
      <c r="E67" s="67"/>
      <c r="F67" s="67"/>
      <c r="G67" s="67"/>
      <c r="H67" s="67"/>
      <c r="I67" s="67"/>
      <c r="J67" s="67"/>
      <c r="K67" s="66"/>
    </row>
    <row r="68" spans="2:15">
      <c r="B68" s="66"/>
      <c r="C68" s="67"/>
      <c r="D68" s="67"/>
      <c r="E68" s="67"/>
      <c r="F68" s="67"/>
      <c r="G68" s="67"/>
      <c r="H68" s="67"/>
      <c r="I68" s="67"/>
      <c r="J68" s="67"/>
      <c r="K68" s="66"/>
    </row>
    <row r="69" spans="2:15">
      <c r="B69" s="66"/>
      <c r="C69" s="67"/>
      <c r="D69" s="67"/>
      <c r="E69" s="67"/>
      <c r="F69" s="67"/>
      <c r="G69" s="67"/>
      <c r="H69" s="67"/>
      <c r="I69" s="67"/>
      <c r="J69" s="67"/>
      <c r="K69" s="66"/>
    </row>
    <row r="70" spans="2:15">
      <c r="B70" s="66"/>
      <c r="C70" s="67"/>
      <c r="D70" s="67"/>
      <c r="E70" s="67"/>
      <c r="F70" s="67"/>
      <c r="G70" s="67"/>
      <c r="H70" s="67"/>
      <c r="I70" s="67"/>
      <c r="J70" s="67"/>
      <c r="K70" s="66"/>
    </row>
    <row r="71" spans="2:15">
      <c r="B71" s="66"/>
      <c r="C71" s="67"/>
      <c r="D71" s="67"/>
      <c r="E71" s="67"/>
      <c r="F71" s="67"/>
      <c r="G71" s="67"/>
      <c r="H71" s="67"/>
      <c r="I71" s="67"/>
      <c r="J71" s="67"/>
      <c r="K71" s="66"/>
    </row>
    <row r="72" spans="2:15">
      <c r="B72" s="66"/>
      <c r="C72" s="67"/>
      <c r="D72" s="67"/>
      <c r="E72" s="67"/>
      <c r="F72" s="67"/>
      <c r="G72" s="67"/>
      <c r="H72" s="67"/>
      <c r="I72" s="67"/>
      <c r="J72" s="67"/>
      <c r="K72" s="66"/>
    </row>
    <row r="73" spans="2:15">
      <c r="B73" s="66"/>
      <c r="C73" s="67"/>
      <c r="D73" s="67"/>
      <c r="E73" s="67"/>
      <c r="F73" s="67"/>
      <c r="G73" s="67"/>
      <c r="H73" s="67"/>
      <c r="I73" s="67"/>
      <c r="J73" s="67"/>
      <c r="K73" s="66"/>
    </row>
    <row r="74" spans="2:15">
      <c r="B74" s="66"/>
      <c r="C74" s="67"/>
      <c r="D74" s="67"/>
      <c r="E74" s="67"/>
      <c r="F74" s="67"/>
      <c r="G74" s="67"/>
      <c r="H74" s="67"/>
      <c r="I74" s="67"/>
      <c r="J74" s="67"/>
      <c r="K74" s="66"/>
    </row>
  </sheetData>
  <mergeCells count="8">
    <mergeCell ref="A1:B1"/>
    <mergeCell ref="C1:J1"/>
    <mergeCell ref="A2:B2"/>
    <mergeCell ref="C2:J2"/>
    <mergeCell ref="A3:B3"/>
    <mergeCell ref="J3:J5"/>
    <mergeCell ref="A4:B4"/>
    <mergeCell ref="A5:B5"/>
  </mergeCells>
  <phoneticPr fontId="38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16</vt:i4>
      </vt:variant>
      <vt:variant>
        <vt:lpstr>命名范围</vt:lpstr>
      </vt:variant>
      <vt:variant>
        <vt:i4>10</vt:i4>
      </vt:variant>
    </vt:vector>
  </HeadingPairs>
  <TitlesOfParts>
    <vt:vector size="26" baseType="lpstr">
      <vt:lpstr>假设条件</vt:lpstr>
      <vt:lpstr>损益表</vt:lpstr>
      <vt:lpstr>现金</vt:lpstr>
      <vt:lpstr>2024年</vt:lpstr>
      <vt:lpstr>2025年</vt:lpstr>
      <vt:lpstr>2026年</vt:lpstr>
      <vt:lpstr>2027年</vt:lpstr>
      <vt:lpstr>2028年</vt:lpstr>
      <vt:lpstr>2029年</vt:lpstr>
      <vt:lpstr>2030年</vt:lpstr>
      <vt:lpstr>2031年</vt:lpstr>
      <vt:lpstr>项目投资</vt:lpstr>
      <vt:lpstr>销量</vt:lpstr>
      <vt:lpstr>材料成本</vt:lpstr>
      <vt:lpstr>其他</vt:lpstr>
      <vt:lpstr>标准成本</vt:lpstr>
      <vt:lpstr>'2024年'!Print_Area</vt:lpstr>
      <vt:lpstr>'2025年'!Print_Area</vt:lpstr>
      <vt:lpstr>'2026年'!Print_Area</vt:lpstr>
      <vt:lpstr>'2027年'!Print_Area</vt:lpstr>
      <vt:lpstr>'2028年'!Print_Area</vt:lpstr>
      <vt:lpstr>'2029年'!Print_Area</vt:lpstr>
      <vt:lpstr>'2030年'!Print_Area</vt:lpstr>
      <vt:lpstr>'2031年'!Print_Area</vt:lpstr>
      <vt:lpstr>损益表!Print_Area</vt:lpstr>
      <vt:lpstr>项目投资!Print_Area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zzf</cp:lastModifiedBy>
  <dcterms:created xsi:type="dcterms:W3CDTF">2006-09-13T11:21:00Z</dcterms:created>
  <dcterms:modified xsi:type="dcterms:W3CDTF">2023-12-07T01:41:43Z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2052-11.1.0.9501</vt:lpwstr>
  </property>
</Properties>
</file>