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 tabRatio="810" activeTab="1"/>
  </bookViews>
  <sheets>
    <sheet name="假设条件" sheetId="34" r:id="rId1"/>
    <sheet name="损益表" sheetId="2" r:id="rId2"/>
    <sheet name="现金" sheetId="36" state="hidden" r:id="rId3"/>
    <sheet name="2024年" sheetId="43" r:id="rId4"/>
    <sheet name="2025年" sheetId="56" r:id="rId5"/>
    <sheet name="2026年" sheetId="57" r:id="rId6"/>
    <sheet name="2027年" sheetId="68" r:id="rId7"/>
    <sheet name="2028年" sheetId="6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'2024年'!$A$1:$G$48</definedName>
    <definedName name="_xlnm.Print_Area" localSheetId="4">'2025年'!$A$1:$G$48</definedName>
    <definedName name="_xlnm.Print_Area" localSheetId="5">'2026年'!$A$1:$G$48</definedName>
    <definedName name="_xlnm.Print_Area" localSheetId="6">'2027年'!$A$1:$G$48</definedName>
    <definedName name="_xlnm.Print_Area" localSheetId="7">'2028年'!$A$1:$G$48</definedName>
    <definedName name="_xlnm.Print_Area" localSheetId="1">损益表!$A$1:$H$62</definedName>
    <definedName name="_xlnm.Print_Area" localSheetId="8">项目投资!$A$1:$C$32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<sst xmlns="http://schemas.openxmlformats.org/spreadsheetml/2006/main" count="1421" uniqueCount="277">
  <si>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</si>
  <si>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</si>
  <si>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</si>
  <si>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</si>
  <si>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</si>
  <si>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</si>
  <si>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销售价格（未税）：由营销或项目经理提供，包括无年降。</t>
  </si>
  <si>
    <t>材料成本</t>
  </si>
  <si>
    <t>成本预估根据工艺BOM计算。供应商年度降价无。</t>
  </si>
  <si>
    <t>单台材料成本为未税价格。</t>
  </si>
  <si>
    <t>变动费用</t>
  </si>
  <si>
    <t>变动费用参考西安工厂2023年实际及集团汇总数据。</t>
  </si>
  <si>
    <t>固定费用</t>
  </si>
  <si>
    <t>预测工厂产能满足客户订单。</t>
  </si>
  <si>
    <t>研发费用按照产销量摊销。</t>
  </si>
  <si>
    <t>财务费用按集团平均水平。</t>
  </si>
  <si>
    <t>如有产线改造按照产销量摊销，无净残值。</t>
  </si>
  <si>
    <t>投资回收期</t>
  </si>
  <si>
    <t>投资仅指此项目研发费用及模夹检具工装、生产地产线改造投入。</t>
  </si>
  <si>
    <t>陕汽X5000S车型第三座椅项目</t>
  </si>
  <si>
    <t>投资收益分析</t>
  </si>
  <si>
    <t>单位：未税、元</t>
  </si>
  <si>
    <t>序号</t>
  </si>
  <si>
    <r>
      <t>2024</t>
    </r>
    <r>
      <rPr>
        <b/>
        <sz val="10"/>
        <rFont val="宋体"/>
        <charset val="134"/>
      </rPr>
      <t>年</t>
    </r>
  </si>
  <si>
    <r>
      <t>2025</t>
    </r>
    <r>
      <rPr>
        <b/>
        <sz val="10"/>
        <rFont val="宋体"/>
        <charset val="134"/>
      </rPr>
      <t>年</t>
    </r>
  </si>
  <si>
    <r>
      <t>2026</t>
    </r>
    <r>
      <rPr>
        <b/>
        <sz val="10"/>
        <rFont val="宋体"/>
        <charset val="134"/>
      </rPr>
      <t>年</t>
    </r>
  </si>
  <si>
    <r>
      <t>2027</t>
    </r>
    <r>
      <rPr>
        <b/>
        <sz val="10"/>
        <rFont val="宋体"/>
        <charset val="134"/>
      </rPr>
      <t>年</t>
    </r>
  </si>
  <si>
    <r>
      <t>2028</t>
    </r>
    <r>
      <rPr>
        <b/>
        <sz val="10"/>
        <rFont val="宋体"/>
        <charset val="134"/>
      </rPr>
      <t>年</t>
    </r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</si>
  <si>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</si>
  <si>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</si>
  <si>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</si>
  <si>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</si>
  <si>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</si>
  <si>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</si>
  <si>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</si>
  <si>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</si>
  <si>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</si>
  <si>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</si>
  <si>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</si>
  <si>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</si>
  <si>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</si>
  <si>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</si>
  <si>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</si>
  <si>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</si>
  <si>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</si>
  <si>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</si>
  <si>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</si>
  <si>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</si>
  <si>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</si>
  <si>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</si>
  <si>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</si>
  <si>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</si>
  <si>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</si>
  <si>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</si>
  <si>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</si>
  <si>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</si>
  <si>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</si>
  <si>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</si>
  <si>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</si>
  <si>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</si>
  <si>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</si>
  <si>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</si>
  <si>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</si>
  <si>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</si>
  <si>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</si>
  <si>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</si>
  <si>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</si>
  <si>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所得税15%</t>
  </si>
  <si>
    <t>20、</t>
  </si>
  <si>
    <t>所得税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</si>
  <si>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</si>
  <si>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</si>
  <si>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</si>
  <si>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</si>
  <si>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</si>
  <si>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</si>
  <si>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</si>
  <si>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</si>
  <si>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</si>
  <si>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</si>
  <si>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</si>
  <si>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</si>
  <si>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</si>
  <si>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</si>
  <si>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</si>
  <si>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</si>
  <si>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</si>
  <si>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</si>
  <si>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</si>
  <si>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</si>
  <si>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</si>
  <si>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</si>
  <si>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</si>
  <si>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</si>
  <si>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</si>
  <si>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</si>
  <si>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</si>
  <si>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</si>
  <si>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</si>
  <si>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</si>
  <si>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</si>
  <si>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</si>
  <si>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</si>
  <si>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</si>
  <si>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</si>
  <si>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</si>
  <si>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</si>
  <si>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</si>
  <si>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</si>
  <si>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</si>
  <si>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</si>
  <si>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</si>
  <si>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</si>
  <si>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</si>
  <si>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</si>
  <si>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</si>
  <si>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</si>
  <si>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</si>
  <si>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</si>
  <si>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</si>
  <si>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</si>
  <si>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</si>
  <si>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</si>
  <si>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</si>
  <si>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</si>
  <si>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</si>
  <si>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</si>
  <si>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</si>
  <si>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</si>
  <si>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</si>
  <si>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</si>
  <si>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</si>
  <si>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</si>
  <si>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</si>
  <si>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</si>
  <si>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</si>
  <si>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</si>
  <si>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</si>
  <si>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</si>
  <si>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</si>
  <si>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</si>
  <si>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</si>
  <si>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</si>
  <si>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</si>
  <si>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</si>
  <si>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</si>
  <si>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</si>
  <si>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</si>
  <si>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</si>
  <si>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</si>
  <si>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</si>
  <si>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</si>
  <si>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 xml:space="preserve">2024年  </t>
  </si>
  <si>
    <t>客户全称</t>
  </si>
  <si>
    <t>陕西重型汽车有限公司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</si>
  <si>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</si>
  <si>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</si>
  <si>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</si>
  <si>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</si>
  <si>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</si>
  <si>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</si>
  <si>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所得税(税率15%）</t>
  </si>
  <si>
    <t>单位：元</t>
  </si>
  <si>
    <t>单件销售收入净额</t>
  </si>
  <si>
    <t xml:space="preserve">2025年  </t>
  </si>
  <si>
    <t xml:space="preserve">2026年  </t>
  </si>
  <si>
    <t xml:space="preserve">2027年  </t>
  </si>
  <si>
    <t xml:space="preserve">2028年  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</si>
  <si>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</si>
  <si>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</si>
  <si>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</si>
  <si>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</si>
  <si>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</si>
  <si>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</si>
  <si>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</si>
  <si>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</si>
  <si>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</si>
  <si>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</si>
  <si>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</si>
  <si>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</si>
  <si>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</si>
  <si>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</si>
  <si>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</si>
  <si>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</si>
  <si>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</si>
  <si>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</si>
  <si>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</si>
  <si>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</si>
  <si>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</si>
  <si>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</si>
  <si>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</si>
  <si>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</si>
  <si>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</si>
  <si>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</si>
  <si>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</si>
  <si>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</si>
  <si>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</si>
  <si>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</si>
  <si>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</si>
  <si>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前期样件订单+内部实验需求</t>
  </si>
  <si>
    <t>试验费</t>
  </si>
  <si>
    <t>强检实验+DVP实验</t>
  </si>
  <si>
    <t>维修费</t>
  </si>
  <si>
    <t>注：生产线改造、机器人及生产设备等投入费用预算由工厂参与策划预算。</t>
  </si>
  <si>
    <t>摊余系数</t>
  </si>
  <si>
    <t>2024年</t>
  </si>
  <si>
    <t>2025年</t>
  </si>
  <si>
    <t>2026年</t>
  </si>
  <si>
    <t>2027年</t>
  </si>
  <si>
    <t>2028年</t>
  </si>
  <si>
    <t>预计净残值</t>
  </si>
  <si>
    <t>研发费用分摊</t>
  </si>
  <si>
    <t>产品量价规划</t>
  </si>
  <si>
    <t>一、销量、售价</t>
  </si>
  <si>
    <t>预计销价年降</t>
  </si>
  <si>
    <t>4  年</t>
  </si>
  <si>
    <t>新开发产品</t>
  </si>
  <si>
    <t>第三座椅总成/两点式安全带/X5000S</t>
  </si>
  <si>
    <t>DZ16251510113</t>
  </si>
  <si>
    <t>配置</t>
  </si>
  <si>
    <t>标配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</si>
  <si>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</si>
  <si>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</si>
  <si>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</si>
  <si>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</si>
  <si>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</si>
  <si>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供应商年降：    4  年0%</t>
  </si>
  <si>
    <t>模块</t>
  </si>
  <si>
    <t>项目名称</t>
  </si>
  <si>
    <t>项目编号</t>
  </si>
  <si>
    <t>ZY2358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</si>
  <si>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</si>
  <si>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</si>
  <si>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</si>
  <si>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</si>
  <si>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</si>
  <si>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</si>
  <si>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</si>
  <si>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西安</t>
  </si>
  <si>
    <t>送货地点</t>
  </si>
  <si>
    <t>客户付款方式</t>
  </si>
  <si>
    <t>承兑、卡信</t>
  </si>
  <si>
    <t>现汇或承兑的比例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</si>
  <si>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</si>
  <si>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</si>
  <si>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</si>
  <si>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</si>
  <si>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</si>
  <si>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</si>
  <si>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千分之八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</si>
  <si>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</si>
  <si>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</si>
  <si>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</si>
  <si>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</si>
  <si>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</si>
  <si>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已分担至单价中</t>
  </si>
  <si>
    <t>产品应用场景</t>
  </si>
  <si>
    <t>X5000S/X6000</t>
  </si>
  <si>
    <t>三包周期</t>
  </si>
  <si>
    <t>2年</t>
  </si>
  <si>
    <t>涂红色处为必填项</t>
  </si>
  <si>
    <t>单位：元、%、未税</t>
  </si>
  <si>
    <t>科目</t>
  </si>
  <si>
    <t>西安工厂平均值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</si>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</sst>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_ * #,##0_ ;_ * \-#,##0_ ;_ * &quot;-&quot;??_ ;_ @_ "/>
    <numFmt numFmtId="178" formatCode="0_ "/>
    <numFmt numFmtId="179" formatCode="0.00_ "/>
    <numFmt numFmtId="180" formatCode="&quot;$&quot;#,##0.00_);[Red]\(&quot;$&quot;#,##0.00\)"/>
  </numFmts>
  <fonts count="6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b/>
      <sz val="11"/>
      <name val="微软雅黑"/>
      <charset val="134"/>
    </font>
    <font>
      <sz val="9"/>
      <color theme="1"/>
      <name val="微软雅黑"/>
      <charset val="134"/>
    </font>
    <font>
      <sz val="11"/>
      <name val="微软雅黑"/>
      <charset val="134"/>
    </font>
    <font>
      <sz val="11"/>
      <name val="宋体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微软雅黑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0"/>
      <name val="宋体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4"/>
      <name val="宋体"/>
      <charset val="134"/>
    </font>
    <font>
      <sz val="12"/>
      <color theme="1"/>
      <name val="微软雅黑"/>
      <charset val="134"/>
    </font>
    <font>
      <sz val="18"/>
      <color theme="1"/>
      <name val="微软雅黑"/>
      <charset val="134"/>
    </font>
    <font>
      <b/>
      <sz val="10"/>
      <name val="CorpoS"/>
      <charset val="134"/>
    </font>
    <font>
      <b/>
      <sz val="10"/>
      <name val="微软雅黑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0"/>
      <name val="MS Sans Serif"/>
      <charset val="134"/>
    </font>
    <font>
      <sz val="9"/>
      <name val="Arial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2"/>
      <name val="仿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3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1" fillId="0" borderId="2" applyNumberFormat="0" applyFill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0"/>
    <xf numFmtId="9" fontId="2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26" borderId="20" applyNumberFormat="0" applyFont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60" fillId="25" borderId="23" applyNumberFormat="0" applyAlignment="0" applyProtection="0">
      <alignment vertical="center"/>
    </xf>
    <xf numFmtId="0" fontId="53" fillId="25" borderId="17" applyNumberFormat="0" applyAlignment="0" applyProtection="0">
      <alignment vertical="center"/>
    </xf>
    <xf numFmtId="0" fontId="59" fillId="33" borderId="22" applyNumberFormat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48" fillId="0" borderId="0"/>
    <xf numFmtId="0" fontId="55" fillId="27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0" borderId="0"/>
    <xf numFmtId="1" fontId="61" fillId="0" borderId="2" applyBorder="0"/>
    <xf numFmtId="43" fontId="62" fillId="0" borderId="0" applyFont="0" applyFill="0" applyBorder="0" applyAlignment="0" applyProtection="0">
      <alignment vertical="center"/>
    </xf>
    <xf numFmtId="0" fontId="52" fillId="0" borderId="0"/>
  </cellStyleXfs>
  <cellXfs count="2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13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8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76" fontId="0" fillId="0" borderId="2" xfId="13" applyNumberFormat="1" applyFon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8" applyFont="1" applyFill="1" applyBorder="1">
      <alignment vertical="center"/>
    </xf>
    <xf numFmtId="9" fontId="0" fillId="0" borderId="2" xfId="13" applyFont="1" applyFill="1" applyBorder="1" applyAlignment="1">
      <alignment horizontal="center" vertical="center"/>
    </xf>
    <xf numFmtId="10" fontId="0" fillId="0" borderId="2" xfId="13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10" fontId="1" fillId="0" borderId="0" xfId="13" applyNumberFormat="1" applyFont="1" applyFill="1" applyAlignment="1">
      <alignment horizontal="center" vertical="center"/>
    </xf>
    <xf numFmtId="10" fontId="2" fillId="0" borderId="0" xfId="13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43" fontId="0" fillId="0" borderId="0" xfId="8" applyFont="1" applyFill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43" fontId="0" fillId="0" borderId="0" xfId="8" applyFont="1" applyFill="1">
      <alignment vertical="center"/>
    </xf>
    <xf numFmtId="10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43" fontId="0" fillId="0" borderId="2" xfId="8" applyFont="1" applyBorder="1" applyAlignment="1"/>
    <xf numFmtId="43" fontId="5" fillId="5" borderId="2" xfId="8" applyFont="1" applyFill="1" applyBorder="1">
      <alignment vertical="center"/>
    </xf>
    <xf numFmtId="43" fontId="8" fillId="5" borderId="2" xfId="8" applyFont="1" applyFill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8" fillId="0" borderId="2" xfId="8" applyFont="1" applyBorder="1">
      <alignment vertical="center"/>
    </xf>
    <xf numFmtId="43" fontId="5" fillId="0" borderId="0" xfId="0" applyNumberFormat="1" applyFont="1">
      <alignment vertical="center"/>
    </xf>
    <xf numFmtId="43" fontId="5" fillId="0" borderId="0" xfId="0" applyNumberFormat="1" applyFont="1" applyBorder="1">
      <alignment vertical="center"/>
    </xf>
    <xf numFmtId="0" fontId="5" fillId="5" borderId="5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/>
    </xf>
    <xf numFmtId="43" fontId="5" fillId="0" borderId="11" xfId="0" applyNumberFormat="1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43" fontId="8" fillId="0" borderId="2" xfId="8" applyFont="1" applyFill="1" applyBorder="1">
      <alignment vertical="center"/>
    </xf>
    <xf numFmtId="0" fontId="5" fillId="0" borderId="2" xfId="0" applyFont="1" applyBorder="1">
      <alignment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77" fontId="5" fillId="0" borderId="0" xfId="8" applyNumberFormat="1" applyFont="1">
      <alignment vertical="center"/>
    </xf>
    <xf numFmtId="0" fontId="10" fillId="0" borderId="0" xfId="0" applyFont="1" applyAlignment="1">
      <alignment vertical="center"/>
    </xf>
    <xf numFmtId="0" fontId="5" fillId="5" borderId="0" xfId="0" applyFont="1" applyFill="1">
      <alignment vertical="center"/>
    </xf>
    <xf numFmtId="10" fontId="5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readingOrder="1"/>
    </xf>
    <xf numFmtId="0" fontId="13" fillId="5" borderId="2" xfId="0" applyFont="1" applyFill="1" applyBorder="1" applyAlignment="1">
      <alignment horizontal="center" vertical="center" wrapText="1" readingOrder="1"/>
    </xf>
    <xf numFmtId="0" fontId="13" fillId="6" borderId="2" xfId="0" applyFont="1" applyFill="1" applyBorder="1" applyAlignment="1">
      <alignment horizontal="center" vertical="center" wrapText="1" readingOrder="1"/>
    </xf>
    <xf numFmtId="177" fontId="14" fillId="6" borderId="2" xfId="0" applyNumberFormat="1" applyFont="1" applyFill="1" applyBorder="1" applyAlignment="1">
      <alignment horizontal="center" wrapText="1" readingOrder="1"/>
    </xf>
    <xf numFmtId="43" fontId="5" fillId="0" borderId="0" xfId="8" applyFo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13" applyNumberFormat="1" applyFont="1">
      <alignment vertical="center"/>
    </xf>
    <xf numFmtId="0" fontId="13" fillId="6" borderId="6" xfId="0" applyFont="1" applyFill="1" applyBorder="1" applyAlignment="1">
      <alignment horizontal="center" vertical="center" wrapText="1" readingOrder="1"/>
    </xf>
    <xf numFmtId="0" fontId="13" fillId="6" borderId="11" xfId="0" applyFont="1" applyFill="1" applyBorder="1" applyAlignment="1">
      <alignment horizontal="center" vertical="center" wrapText="1" readingOrder="1"/>
    </xf>
    <xf numFmtId="0" fontId="13" fillId="6" borderId="7" xfId="0" applyFont="1" applyFill="1" applyBorder="1" applyAlignment="1">
      <alignment horizontal="center" vertical="center" wrapText="1" readingOrder="1"/>
    </xf>
    <xf numFmtId="43" fontId="13" fillId="6" borderId="2" xfId="8" applyFont="1" applyFill="1" applyBorder="1" applyAlignment="1">
      <alignment horizontal="center" vertical="center" wrapText="1" readingOrder="1"/>
    </xf>
    <xf numFmtId="177" fontId="13" fillId="6" borderId="2" xfId="8" applyNumberFormat="1" applyFont="1" applyFill="1" applyBorder="1" applyAlignment="1">
      <alignment horizontal="center" vertical="center" wrapText="1" readingOrder="1"/>
    </xf>
    <xf numFmtId="43" fontId="0" fillId="0" borderId="0" xfId="8" applyFont="1">
      <alignment vertical="center"/>
    </xf>
    <xf numFmtId="0" fontId="15" fillId="7" borderId="1" xfId="12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8" fontId="16" fillId="8" borderId="2" xfId="34" applyNumberFormat="1" applyFont="1" applyFill="1" applyBorder="1" applyAlignment="1">
      <alignment horizontal="center" vertical="center" wrapText="1"/>
    </xf>
    <xf numFmtId="43" fontId="16" fillId="8" borderId="2" xfId="8" applyFont="1" applyFill="1" applyBorder="1" applyAlignment="1">
      <alignment horizontal="center" vertical="center" wrapText="1"/>
    </xf>
    <xf numFmtId="0" fontId="16" fillId="8" borderId="2" xfId="12" applyNumberFormat="1" applyFont="1" applyFill="1" applyBorder="1" applyAlignment="1" applyProtection="1">
      <alignment horizontal="center" vertical="center"/>
    </xf>
    <xf numFmtId="0" fontId="17" fillId="0" borderId="2" xfId="0" applyFont="1" applyBorder="1" applyAlignment="1">
      <alignment horizontal="center" vertical="center"/>
    </xf>
    <xf numFmtId="43" fontId="17" fillId="0" borderId="2" xfId="8" applyFont="1" applyBorder="1" applyAlignment="1" applyProtection="1">
      <alignment horizontal="center" vertical="center"/>
    </xf>
    <xf numFmtId="178" fontId="18" fillId="0" borderId="2" xfId="34" applyNumberFormat="1" applyFont="1" applyFill="1" applyBorder="1" applyAlignment="1">
      <alignment horizontal="left" vertical="center"/>
    </xf>
    <xf numFmtId="43" fontId="18" fillId="5" borderId="2" xfId="8" applyFont="1" applyFill="1" applyBorder="1" applyAlignment="1">
      <alignment horizontal="center" vertical="center"/>
    </xf>
    <xf numFmtId="0" fontId="19" fillId="7" borderId="2" xfId="12" applyNumberFormat="1" applyFont="1" applyFill="1" applyBorder="1" applyAlignment="1" applyProtection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0" borderId="2" xfId="0" applyFont="1" applyBorder="1">
      <alignment vertical="center"/>
    </xf>
    <xf numFmtId="43" fontId="17" fillId="9" borderId="2" xfId="8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0" fillId="7" borderId="2" xfId="12" applyNumberFormat="1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3" fontId="18" fillId="0" borderId="2" xfId="8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17" fillId="10" borderId="2" xfId="0" applyFont="1" applyFill="1" applyBorder="1">
      <alignment vertical="center"/>
    </xf>
    <xf numFmtId="0" fontId="17" fillId="10" borderId="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178" fontId="18" fillId="0" borderId="3" xfId="34" applyNumberFormat="1" applyFont="1" applyFill="1" applyBorder="1" applyAlignment="1">
      <alignment horizontal="center" vertical="center"/>
    </xf>
    <xf numFmtId="178" fontId="18" fillId="0" borderId="3" xfId="34" applyNumberFormat="1" applyFont="1" applyFill="1" applyBorder="1" applyAlignment="1">
      <alignment horizontal="left" vertical="center" wrapText="1"/>
    </xf>
    <xf numFmtId="0" fontId="19" fillId="7" borderId="2" xfId="12" applyNumberFormat="1" applyFont="1" applyFill="1" applyBorder="1" applyAlignment="1" applyProtection="1">
      <alignment horizontal="center" vertical="center" wrapText="1"/>
    </xf>
    <xf numFmtId="43" fontId="9" fillId="9" borderId="2" xfId="8" applyFont="1" applyFill="1" applyBorder="1" applyAlignment="1" applyProtection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43" fontId="17" fillId="3" borderId="2" xfId="8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43" fontId="2" fillId="0" borderId="2" xfId="8" applyBorder="1" applyAlignment="1" applyProtection="1">
      <alignment horizontal="center" vertical="center"/>
    </xf>
    <xf numFmtId="0" fontId="2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readingOrder="1"/>
    </xf>
    <xf numFmtId="43" fontId="8" fillId="0" borderId="2" xfId="0" applyNumberFormat="1" applyFont="1" applyBorder="1">
      <alignment vertical="center"/>
    </xf>
    <xf numFmtId="43" fontId="8" fillId="0" borderId="2" xfId="8" applyNumberFormat="1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24" fillId="0" borderId="0" xfId="0" applyFont="1" applyFill="1">
      <alignment vertical="center"/>
    </xf>
    <xf numFmtId="0" fontId="25" fillId="0" borderId="0" xfId="0" applyFont="1" applyFill="1">
      <alignment vertical="center"/>
    </xf>
    <xf numFmtId="0" fontId="26" fillId="0" borderId="0" xfId="0" applyFont="1" applyFill="1">
      <alignment vertical="center"/>
    </xf>
    <xf numFmtId="43" fontId="26" fillId="0" borderId="0" xfId="8" applyFont="1" applyFill="1">
      <alignment vertical="center"/>
    </xf>
    <xf numFmtId="0" fontId="26" fillId="0" borderId="2" xfId="0" applyFont="1" applyFill="1" applyBorder="1" applyAlignment="1">
      <alignment horizontal="center" vertical="center"/>
    </xf>
    <xf numFmtId="43" fontId="26" fillId="0" borderId="3" xfId="8" applyFont="1" applyFill="1" applyBorder="1" applyAlignment="1">
      <alignment horizontal="center" vertical="center"/>
    </xf>
    <xf numFmtId="43" fontId="26" fillId="0" borderId="4" xfId="8" applyFont="1" applyFill="1" applyBorder="1" applyAlignment="1">
      <alignment horizontal="center" vertical="center"/>
    </xf>
    <xf numFmtId="43" fontId="26" fillId="0" borderId="5" xfId="8" applyFont="1" applyFill="1" applyBorder="1" applyAlignment="1">
      <alignment horizontal="center" vertical="center"/>
    </xf>
    <xf numFmtId="43" fontId="26" fillId="5" borderId="2" xfId="8" applyFont="1" applyFill="1" applyBorder="1" applyAlignment="1">
      <alignment horizontal="center" vertical="center"/>
    </xf>
    <xf numFmtId="43" fontId="27" fillId="0" borderId="6" xfId="8" applyFont="1" applyFill="1" applyBorder="1" applyAlignment="1">
      <alignment horizontal="center" vertical="center" wrapText="1"/>
    </xf>
    <xf numFmtId="43" fontId="27" fillId="0" borderId="11" xfId="8" applyFont="1" applyFill="1" applyBorder="1" applyAlignment="1">
      <alignment horizontal="center" vertical="center" wrapText="1"/>
    </xf>
    <xf numFmtId="43" fontId="27" fillId="0" borderId="2" xfId="8" applyFont="1" applyFill="1" applyBorder="1" applyAlignment="1">
      <alignment horizontal="center" vertical="center" wrapText="1"/>
    </xf>
    <xf numFmtId="43" fontId="27" fillId="0" borderId="7" xfId="8" applyFont="1" applyFill="1" applyBorder="1" applyAlignment="1">
      <alignment horizontal="center" vertical="center" wrapText="1"/>
    </xf>
    <xf numFmtId="0" fontId="26" fillId="0" borderId="2" xfId="0" applyFont="1" applyFill="1" applyBorder="1">
      <alignment vertical="center"/>
    </xf>
    <xf numFmtId="0" fontId="28" fillId="0" borderId="2" xfId="0" applyFont="1" applyFill="1" applyBorder="1" applyAlignment="1">
      <alignment horizontal="center" vertical="center"/>
    </xf>
    <xf numFmtId="43" fontId="26" fillId="0" borderId="2" xfId="8" applyFont="1" applyFill="1" applyBorder="1" applyAlignment="1">
      <alignment horizontal="center" vertical="center"/>
    </xf>
    <xf numFmtId="43" fontId="26" fillId="0" borderId="0" xfId="0" applyNumberFormat="1" applyFont="1" applyFill="1">
      <alignment vertical="center"/>
    </xf>
    <xf numFmtId="0" fontId="28" fillId="0" borderId="2" xfId="0" applyFont="1" applyFill="1" applyBorder="1">
      <alignment vertical="center"/>
    </xf>
    <xf numFmtId="9" fontId="26" fillId="0" borderId="2" xfId="13" applyFont="1" applyFill="1" applyBorder="1" applyAlignment="1">
      <alignment horizontal="center" vertical="center"/>
    </xf>
    <xf numFmtId="0" fontId="24" fillId="0" borderId="2" xfId="0" applyFont="1" applyFill="1" applyBorder="1">
      <alignment vertical="center"/>
    </xf>
    <xf numFmtId="43" fontId="24" fillId="0" borderId="2" xfId="8" applyFont="1" applyFill="1" applyBorder="1">
      <alignment vertical="center"/>
    </xf>
    <xf numFmtId="0" fontId="29" fillId="0" borderId="0" xfId="0" applyFont="1" applyFill="1">
      <alignment vertical="center"/>
    </xf>
    <xf numFmtId="43" fontId="26" fillId="0" borderId="2" xfId="8" applyFont="1" applyFill="1" applyBorder="1">
      <alignment vertical="center"/>
    </xf>
    <xf numFmtId="0" fontId="25" fillId="0" borderId="2" xfId="0" applyFont="1" applyFill="1" applyBorder="1">
      <alignment vertical="center"/>
    </xf>
    <xf numFmtId="10" fontId="26" fillId="0" borderId="2" xfId="13" applyNumberFormat="1" applyFont="1" applyFill="1" applyBorder="1">
      <alignment vertical="center"/>
    </xf>
    <xf numFmtId="43" fontId="24" fillId="0" borderId="2" xfId="8" applyFont="1" applyFill="1" applyBorder="1" applyAlignment="1">
      <alignment horizontal="center" vertical="center"/>
    </xf>
    <xf numFmtId="43" fontId="26" fillId="0" borderId="2" xfId="0" applyNumberFormat="1" applyFont="1" applyFill="1" applyBorder="1">
      <alignment vertical="center"/>
    </xf>
    <xf numFmtId="43" fontId="25" fillId="0" borderId="2" xfId="8" applyFont="1" applyFill="1" applyBorder="1">
      <alignment vertical="center"/>
    </xf>
    <xf numFmtId="43" fontId="26" fillId="0" borderId="0" xfId="8" applyFont="1" applyFill="1" applyAlignment="1">
      <alignment horizontal="center" vertical="center"/>
    </xf>
    <xf numFmtId="179" fontId="26" fillId="0" borderId="0" xfId="0" applyNumberFormat="1" applyFont="1" applyFill="1">
      <alignment vertical="center"/>
    </xf>
    <xf numFmtId="43" fontId="26" fillId="11" borderId="0" xfId="0" applyNumberFormat="1" applyFont="1" applyFill="1">
      <alignment vertical="center"/>
    </xf>
    <xf numFmtId="0" fontId="29" fillId="11" borderId="0" xfId="0" applyFont="1" applyFill="1">
      <alignment vertical="center"/>
    </xf>
    <xf numFmtId="0" fontId="24" fillId="11" borderId="0" xfId="0" applyFont="1" applyFill="1">
      <alignment vertical="center"/>
    </xf>
    <xf numFmtId="0" fontId="26" fillId="11" borderId="0" xfId="0" applyFont="1" applyFill="1">
      <alignment vertical="center"/>
    </xf>
    <xf numFmtId="1" fontId="18" fillId="7" borderId="0" xfId="12" applyNumberFormat="1" applyFont="1" applyFill="1" applyProtection="1"/>
    <xf numFmtId="0" fontId="18" fillId="7" borderId="0" xfId="12" applyFont="1" applyFill="1" applyProtection="1"/>
    <xf numFmtId="0" fontId="30" fillId="7" borderId="0" xfId="12" applyFont="1" applyFill="1" applyAlignment="1" applyProtection="1">
      <alignment horizontal="centerContinuous"/>
    </xf>
    <xf numFmtId="0" fontId="18" fillId="7" borderId="0" xfId="12" applyFont="1" applyFill="1" applyAlignment="1">
      <alignment horizontal="centerContinuous"/>
    </xf>
    <xf numFmtId="0" fontId="18" fillId="7" borderId="0" xfId="12" applyFont="1" applyFill="1" applyAlignment="1" applyProtection="1">
      <alignment horizontal="centerContinuous"/>
    </xf>
    <xf numFmtId="9" fontId="18" fillId="7" borderId="0" xfId="12" applyNumberFormat="1" applyFont="1" applyFill="1" applyProtection="1"/>
    <xf numFmtId="0" fontId="18" fillId="7" borderId="6" xfId="12" applyFont="1" applyFill="1" applyBorder="1" applyAlignment="1" applyProtection="1">
      <alignment horizontal="center"/>
    </xf>
    <xf numFmtId="0" fontId="20" fillId="7" borderId="2" xfId="12" applyFont="1" applyFill="1" applyBorder="1" applyAlignment="1" applyProtection="1">
      <alignment horizontal="center"/>
    </xf>
    <xf numFmtId="0" fontId="20" fillId="7" borderId="4" xfId="12" applyFont="1" applyFill="1" applyBorder="1" applyAlignment="1" applyProtection="1">
      <alignment horizontal="center"/>
    </xf>
    <xf numFmtId="1" fontId="20" fillId="7" borderId="4" xfId="54" applyFont="1" applyFill="1" applyBorder="1"/>
    <xf numFmtId="1" fontId="18" fillId="7" borderId="4" xfId="54" applyFont="1" applyFill="1" applyBorder="1"/>
    <xf numFmtId="0" fontId="18" fillId="7" borderId="7" xfId="12" applyFont="1" applyFill="1" applyBorder="1" applyProtection="1"/>
    <xf numFmtId="0" fontId="18" fillId="7" borderId="2" xfId="12" applyFont="1" applyFill="1" applyBorder="1" applyAlignment="1" applyProtection="1">
      <alignment horizontal="center"/>
    </xf>
    <xf numFmtId="0" fontId="18" fillId="7" borderId="2" xfId="12" applyFont="1" applyFill="1" applyBorder="1" applyAlignment="1" applyProtection="1">
      <alignment horizontal="left"/>
    </xf>
    <xf numFmtId="0" fontId="18" fillId="12" borderId="2" xfId="12" applyFont="1" applyFill="1" applyBorder="1" applyProtection="1"/>
    <xf numFmtId="177" fontId="18" fillId="12" borderId="2" xfId="8" applyNumberFormat="1" applyFont="1" applyFill="1" applyBorder="1" applyAlignment="1" applyProtection="1"/>
    <xf numFmtId="0" fontId="18" fillId="7" borderId="2" xfId="12" applyFont="1" applyFill="1" applyBorder="1" applyProtection="1"/>
    <xf numFmtId="177" fontId="18" fillId="7" borderId="2" xfId="8" applyNumberFormat="1" applyFont="1" applyFill="1" applyBorder="1" applyAlignment="1" applyProtection="1"/>
    <xf numFmtId="0" fontId="18" fillId="7" borderId="2" xfId="12" applyNumberFormat="1" applyFont="1" applyFill="1" applyBorder="1" applyAlignment="1" applyProtection="1">
      <alignment horizontal="left"/>
    </xf>
    <xf numFmtId="1" fontId="18" fillId="7" borderId="2" xfId="12" applyNumberFormat="1" applyFont="1" applyFill="1" applyBorder="1" applyProtection="1"/>
    <xf numFmtId="1" fontId="18" fillId="7" borderId="2" xfId="12" applyNumberFormat="1" applyFont="1" applyFill="1" applyBorder="1" applyAlignment="1" applyProtection="1">
      <alignment horizontal="left"/>
    </xf>
    <xf numFmtId="0" fontId="18" fillId="7" borderId="8" xfId="12" applyFont="1" applyFill="1" applyBorder="1" applyProtection="1"/>
    <xf numFmtId="0" fontId="18" fillId="7" borderId="9" xfId="12" applyFont="1" applyFill="1" applyBorder="1" applyProtection="1"/>
    <xf numFmtId="0" fontId="18" fillId="7" borderId="12" xfId="12" applyFont="1" applyFill="1" applyBorder="1" applyProtection="1"/>
    <xf numFmtId="0" fontId="18" fillId="7" borderId="0" xfId="12" applyFont="1" applyFill="1" applyBorder="1" applyProtection="1"/>
    <xf numFmtId="180" fontId="18" fillId="7" borderId="0" xfId="12" applyNumberFormat="1" applyFont="1" applyFill="1" applyBorder="1" applyProtection="1"/>
    <xf numFmtId="10" fontId="18" fillId="7" borderId="0" xfId="12" applyNumberFormat="1" applyFont="1" applyFill="1" applyBorder="1" applyProtection="1"/>
    <xf numFmtId="1" fontId="18" fillId="7" borderId="0" xfId="12" applyNumberFormat="1" applyFont="1" applyFill="1" applyBorder="1" applyProtection="1"/>
    <xf numFmtId="0" fontId="18" fillId="7" borderId="13" xfId="12" applyFont="1" applyFill="1" applyBorder="1" applyProtection="1"/>
    <xf numFmtId="0" fontId="18" fillId="7" borderId="1" xfId="12" applyFont="1" applyFill="1" applyBorder="1" applyProtection="1"/>
    <xf numFmtId="2" fontId="18" fillId="7" borderId="1" xfId="12" applyNumberFormat="1" applyFont="1" applyFill="1" applyBorder="1" applyProtection="1"/>
    <xf numFmtId="0" fontId="18" fillId="7" borderId="5" xfId="12" applyFont="1" applyFill="1" applyBorder="1"/>
    <xf numFmtId="1" fontId="18" fillId="7" borderId="7" xfId="54" applyFont="1" applyFill="1" applyBorder="1" applyAlignment="1">
      <alignment horizontal="center"/>
    </xf>
    <xf numFmtId="0" fontId="18" fillId="7" borderId="10" xfId="12" applyFont="1" applyFill="1" applyBorder="1" applyProtection="1"/>
    <xf numFmtId="0" fontId="18" fillId="7" borderId="14" xfId="12" applyFont="1" applyFill="1" applyBorder="1" applyProtection="1"/>
    <xf numFmtId="0" fontId="18" fillId="7" borderId="15" xfId="12" applyFont="1" applyFill="1" applyBorder="1" applyProtection="1"/>
    <xf numFmtId="0" fontId="31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 applyBorder="1">
      <alignment vertical="center"/>
    </xf>
    <xf numFmtId="0" fontId="26" fillId="0" borderId="0" xfId="0" applyFont="1">
      <alignment vertical="center"/>
    </xf>
    <xf numFmtId="43" fontId="26" fillId="0" borderId="0" xfId="8" applyFont="1">
      <alignment vertical="center"/>
    </xf>
    <xf numFmtId="0" fontId="32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43" fontId="33" fillId="0" borderId="2" xfId="8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/>
    </xf>
    <xf numFmtId="177" fontId="26" fillId="0" borderId="2" xfId="8" applyNumberFormat="1" applyFont="1" applyFill="1" applyBorder="1" applyAlignment="1">
      <alignment horizontal="center" vertical="center"/>
    </xf>
    <xf numFmtId="177" fontId="26" fillId="11" borderId="2" xfId="8" applyNumberFormat="1" applyFont="1" applyFill="1" applyBorder="1" applyAlignment="1">
      <alignment horizontal="center" vertical="center"/>
    </xf>
    <xf numFmtId="177" fontId="25" fillId="0" borderId="2" xfId="8" applyNumberFormat="1" applyFont="1" applyFill="1" applyBorder="1" applyAlignment="1">
      <alignment horizontal="center" vertical="center"/>
    </xf>
    <xf numFmtId="0" fontId="26" fillId="6" borderId="2" xfId="0" applyFont="1" applyFill="1" applyBorder="1">
      <alignment vertical="center"/>
    </xf>
    <xf numFmtId="0" fontId="28" fillId="12" borderId="2" xfId="0" applyFont="1" applyFill="1" applyBorder="1">
      <alignment vertical="center"/>
    </xf>
    <xf numFmtId="177" fontId="25" fillId="12" borderId="2" xfId="8" applyNumberFormat="1" applyFont="1" applyFill="1" applyBorder="1" applyAlignment="1">
      <alignment horizontal="center" vertical="center"/>
    </xf>
    <xf numFmtId="0" fontId="34" fillId="0" borderId="2" xfId="0" applyFont="1" applyFill="1" applyBorder="1">
      <alignment vertical="center"/>
    </xf>
    <xf numFmtId="0" fontId="26" fillId="0" borderId="2" xfId="0" applyFont="1" applyBorder="1">
      <alignment vertical="center"/>
    </xf>
    <xf numFmtId="10" fontId="25" fillId="0" borderId="2" xfId="13" applyNumberFormat="1" applyFont="1" applyBorder="1" applyAlignment="1">
      <alignment vertical="center"/>
    </xf>
    <xf numFmtId="177" fontId="25" fillId="0" borderId="2" xfId="8" applyNumberFormat="1" applyFont="1" applyBorder="1" applyAlignment="1">
      <alignment horizontal="center" vertical="center"/>
    </xf>
    <xf numFmtId="43" fontId="25" fillId="0" borderId="2" xfId="8" applyFont="1" applyFill="1" applyBorder="1" applyAlignment="1">
      <alignment horizontal="center" vertical="center"/>
    </xf>
    <xf numFmtId="0" fontId="34" fillId="12" borderId="2" xfId="0" applyFont="1" applyFill="1" applyBorder="1">
      <alignment vertical="center"/>
    </xf>
    <xf numFmtId="177" fontId="26" fillId="0" borderId="2" xfId="8" applyNumberFormat="1" applyFont="1" applyBorder="1" applyAlignment="1">
      <alignment horizontal="center" vertical="center"/>
    </xf>
    <xf numFmtId="10" fontId="26" fillId="0" borderId="2" xfId="13" applyNumberFormat="1" applyFont="1" applyBorder="1">
      <alignment vertical="center"/>
    </xf>
    <xf numFmtId="10" fontId="26" fillId="0" borderId="0" xfId="13" applyNumberFormat="1" applyFont="1" applyBorder="1">
      <alignment vertical="center"/>
    </xf>
    <xf numFmtId="43" fontId="26" fillId="0" borderId="0" xfId="8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10" fontId="26" fillId="0" borderId="2" xfId="13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43" fontId="26" fillId="0" borderId="2" xfId="8" applyFont="1" applyBorder="1">
      <alignment vertical="center"/>
    </xf>
    <xf numFmtId="177" fontId="26" fillId="0" borderId="2" xfId="8" applyNumberFormat="1" applyFont="1" applyBorder="1">
      <alignment vertical="center"/>
    </xf>
    <xf numFmtId="0" fontId="26" fillId="0" borderId="0" xfId="0" applyFont="1" applyFill="1" applyBorder="1">
      <alignment vertical="center"/>
    </xf>
    <xf numFmtId="43" fontId="26" fillId="0" borderId="0" xfId="0" applyNumberFormat="1" applyFont="1" applyFill="1" applyBorder="1">
      <alignment vertical="center"/>
    </xf>
    <xf numFmtId="0" fontId="25" fillId="0" borderId="2" xfId="0" applyFont="1" applyBorder="1">
      <alignment vertical="center"/>
    </xf>
    <xf numFmtId="0" fontId="34" fillId="0" borderId="2" xfId="0" applyFont="1" applyBorder="1">
      <alignment vertical="center"/>
    </xf>
    <xf numFmtId="0" fontId="26" fillId="0" borderId="6" xfId="0" applyFont="1" applyBorder="1">
      <alignment vertical="center"/>
    </xf>
    <xf numFmtId="43" fontId="26" fillId="0" borderId="0" xfId="8" applyFont="1" applyAlignment="1">
      <alignment vertical="center" wrapText="1"/>
    </xf>
    <xf numFmtId="0" fontId="35" fillId="0" borderId="0" xfId="0" applyFont="1">
      <alignment vertical="center"/>
    </xf>
    <xf numFmtId="0" fontId="36" fillId="0" borderId="2" xfId="0" applyFont="1" applyBorder="1" applyAlignment="1">
      <alignment horizontal="center" vertical="center" wrapText="1" readingOrder="1"/>
    </xf>
    <xf numFmtId="0" fontId="35" fillId="0" borderId="0" xfId="0" applyFont="1" applyFill="1">
      <alignment vertical="center"/>
    </xf>
    <xf numFmtId="0" fontId="13" fillId="0" borderId="2" xfId="0" applyFont="1" applyBorder="1" applyAlignment="1">
      <alignment horizontal="center" vertical="center" wrapText="1" readingOrder="1"/>
    </xf>
    <xf numFmtId="0" fontId="37" fillId="0" borderId="2" xfId="0" applyFont="1" applyBorder="1" applyAlignment="1">
      <alignment horizontal="left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37" fillId="0" borderId="2" xfId="0" applyFont="1" applyFill="1" applyBorder="1" applyAlignment="1">
      <alignment horizontal="left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37" fillId="0" borderId="2" xfId="0" applyFont="1" applyBorder="1" applyAlignment="1">
      <alignment horizontal="center" vertical="center" wrapText="1" readingOrder="1"/>
    </xf>
    <xf numFmtId="0" fontId="37" fillId="0" borderId="0" xfId="0" applyFont="1" applyFill="1" applyBorder="1" applyAlignment="1">
      <alignment horizontal="left" vertical="center" wrapText="1" readingOrder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_x000a_mouse.drv=lm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_20061221C2项目损益分析（概念稿）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1 2" xfId="52"/>
    <cellStyle name="常规 2" xfId="53"/>
    <cellStyle name="普通_销售收入.XLS" xfId="54"/>
    <cellStyle name="千位分隔 2 25" xfId="55"/>
    <cellStyle name="样式 1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11" sqref="C11"/>
    </sheetView>
  </sheetViews>
  <sheetFormatPr defaultColWidth="9" defaultRowHeight="14" outlineLevelCol="3"/>
  <cols>
    <col min="1" max="1" width="8.87272727272727" customWidth="1"/>
    <col min="2" max="2" width="16.3727272727273" customWidth="1"/>
    <col min="3" max="3" width="89.7545454545455" customWidth="1"/>
  </cols>
  <sheetData>
    <row r="2" s="249" customFormat="1" ht="35.25" customHeight="1" spans="1:4">
      <c r="A2" s="250" t="s">
        <v>0</v>
      </c>
      <c r="B2" s="250" t="s">
        <v>1</v>
      </c>
      <c r="C2" s="250" t="s">
        <v>2</v>
      </c>
      <c r="D2" s="251"/>
    </row>
    <row r="3" s="249" customFormat="1" ht="33.75" customHeight="1" spans="1:4">
      <c r="A3" s="252">
        <v>1</v>
      </c>
      <c r="B3" s="252" t="s">
        <v>3</v>
      </c>
      <c r="C3" s="253" t="s">
        <v>4</v>
      </c>
      <c r="D3" s="251"/>
    </row>
    <row r="4" s="249" customFormat="1" ht="33.75" customHeight="1" spans="1:3">
      <c r="A4" s="252">
        <v>2</v>
      </c>
      <c r="B4" s="252" t="s">
        <v>5</v>
      </c>
      <c r="C4" s="253" t="s">
        <v>6</v>
      </c>
    </row>
    <row r="5" s="249" customFormat="1" ht="33.75" customHeight="1" spans="1:3">
      <c r="A5" s="252">
        <v>3</v>
      </c>
      <c r="B5" s="254" t="s">
        <v>7</v>
      </c>
      <c r="C5" s="255" t="s">
        <v>8</v>
      </c>
    </row>
    <row r="6" s="249" customFormat="1" ht="33.75" customHeight="1" spans="1:3">
      <c r="A6" s="252">
        <v>4</v>
      </c>
      <c r="B6" s="256"/>
      <c r="C6" s="253" t="s">
        <v>9</v>
      </c>
    </row>
    <row r="7" s="249" customFormat="1" ht="33.75" customHeight="1" spans="1:3">
      <c r="A7" s="252">
        <v>5</v>
      </c>
      <c r="B7" s="257" t="s">
        <v>10</v>
      </c>
      <c r="C7" s="253" t="s">
        <v>11</v>
      </c>
    </row>
    <row r="8" s="249" customFormat="1" ht="33.75" customHeight="1" spans="1:3">
      <c r="A8" s="252">
        <v>6</v>
      </c>
      <c r="B8" s="254" t="s">
        <v>12</v>
      </c>
      <c r="C8" s="253" t="s">
        <v>13</v>
      </c>
    </row>
    <row r="9" s="249" customFormat="1" ht="33.75" customHeight="1" spans="1:3">
      <c r="A9" s="252">
        <v>7</v>
      </c>
      <c r="B9" s="256"/>
      <c r="C9" s="253" t="s">
        <v>14</v>
      </c>
    </row>
    <row r="10" s="249" customFormat="1" ht="33.75" customHeight="1" spans="1:3">
      <c r="A10" s="252">
        <v>8</v>
      </c>
      <c r="B10" s="256"/>
      <c r="C10" s="255" t="s">
        <v>15</v>
      </c>
    </row>
    <row r="11" s="249" customFormat="1" ht="33.75" customHeight="1" spans="1:3">
      <c r="A11" s="252">
        <v>9</v>
      </c>
      <c r="B11" s="256"/>
      <c r="C11" s="253" t="s">
        <v>16</v>
      </c>
    </row>
    <row r="12" s="249" customFormat="1" ht="33.75" customHeight="1" spans="1:3">
      <c r="A12" s="252">
        <v>10</v>
      </c>
      <c r="B12" s="257" t="s">
        <v>17</v>
      </c>
      <c r="C12" s="253" t="s">
        <v>18</v>
      </c>
    </row>
    <row r="13" ht="33.75" customHeight="1"/>
    <row r="14" ht="33.75" customHeight="1"/>
    <row r="15" ht="33.75" customHeight="1" spans="3:3">
      <c r="C15" s="258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="80" zoomScaleNormal="80" topLeftCell="A4" workbookViewId="0">
      <selection activeCell="F23" sqref="F23"/>
    </sheetView>
  </sheetViews>
  <sheetFormatPr defaultColWidth="9" defaultRowHeight="16.5"/>
  <cols>
    <col min="1" max="1" width="14" style="40" customWidth="1"/>
    <col min="2" max="2" width="14.1272727272727" style="40" customWidth="1"/>
    <col min="3" max="8" width="18.2545454545455" style="40" customWidth="1"/>
    <col min="9" max="9" width="11.6272727272727" style="40" customWidth="1"/>
    <col min="10" max="10" width="9.25454545454545" style="40" customWidth="1"/>
    <col min="11" max="11" width="9.12727272727273" style="40" customWidth="1"/>
    <col min="12" max="16384" width="9" style="40"/>
  </cols>
  <sheetData>
    <row r="1" ht="29.25" customHeight="1" spans="1:9">
      <c r="A1" s="72" t="s">
        <v>212</v>
      </c>
      <c r="E1" s="73"/>
      <c r="F1" s="73"/>
      <c r="G1" s="73"/>
      <c r="H1" s="73"/>
      <c r="I1" s="73"/>
    </row>
    <row r="2" ht="24" customHeight="1" spans="1:9">
      <c r="A2" s="74" t="s">
        <v>213</v>
      </c>
      <c r="E2" s="73"/>
      <c r="F2" s="73"/>
      <c r="G2" s="73"/>
      <c r="H2" s="73"/>
      <c r="I2" s="73"/>
    </row>
    <row r="3" spans="3:5">
      <c r="C3" s="40" t="s">
        <v>214</v>
      </c>
      <c r="D3" s="75" t="s">
        <v>215</v>
      </c>
      <c r="E3" s="76">
        <v>0</v>
      </c>
    </row>
    <row r="5" ht="30.75" customHeight="1" spans="1:9">
      <c r="A5" s="77" t="s">
        <v>216</v>
      </c>
      <c r="B5" s="46" t="s">
        <v>155</v>
      </c>
      <c r="C5" s="78" t="s">
        <v>217</v>
      </c>
      <c r="D5" s="79"/>
      <c r="E5" s="80"/>
      <c r="F5" s="80"/>
      <c r="G5" s="69"/>
      <c r="H5" s="69"/>
      <c r="I5" s="91" t="s">
        <v>28</v>
      </c>
    </row>
    <row r="6" ht="24" customHeight="1" spans="1:11">
      <c r="A6" s="77"/>
      <c r="B6" s="46" t="s">
        <v>156</v>
      </c>
      <c r="C6" s="81" t="s">
        <v>218</v>
      </c>
      <c r="D6" s="82"/>
      <c r="E6" s="80"/>
      <c r="F6" s="80"/>
      <c r="G6" s="69"/>
      <c r="H6" s="69"/>
      <c r="I6" s="92"/>
      <c r="K6" s="40">
        <v>100</v>
      </c>
    </row>
    <row r="7" spans="1:12">
      <c r="A7" s="77"/>
      <c r="B7" s="83" t="s">
        <v>219</v>
      </c>
      <c r="C7" s="81" t="s">
        <v>220</v>
      </c>
      <c r="D7" s="84"/>
      <c r="E7" s="84"/>
      <c r="F7" s="84"/>
      <c r="G7" s="84"/>
      <c r="H7" s="84"/>
      <c r="I7" s="93"/>
      <c r="K7" s="40">
        <f>K6*(1-$E$3)</f>
        <v>100</v>
      </c>
      <c r="L7" s="40">
        <f>K7/$K$6</f>
        <v>1</v>
      </c>
    </row>
    <row r="8" ht="33" spans="1:12">
      <c r="A8" s="77"/>
      <c r="B8" s="83" t="s">
        <v>221</v>
      </c>
      <c r="C8" s="81">
        <v>895</v>
      </c>
      <c r="D8" s="84"/>
      <c r="E8" s="84"/>
      <c r="F8" s="84"/>
      <c r="G8" s="84"/>
      <c r="H8" s="84"/>
      <c r="I8" s="94">
        <f>SUM(C8:H8)</f>
        <v>895</v>
      </c>
      <c r="K8" s="40">
        <f>K7*(1-$E$3)</f>
        <v>100</v>
      </c>
      <c r="L8" s="40">
        <f t="shared" ref="L8:L10" si="0">K8/$K$6</f>
        <v>1</v>
      </c>
    </row>
    <row r="9" spans="1:12">
      <c r="A9" s="77" t="s">
        <v>222</v>
      </c>
      <c r="B9" s="77" t="s">
        <v>205</v>
      </c>
      <c r="C9" s="85">
        <v>1500</v>
      </c>
      <c r="D9" s="85"/>
      <c r="E9" s="85"/>
      <c r="F9" s="85"/>
      <c r="G9" s="85"/>
      <c r="H9" s="85"/>
      <c r="I9" s="95">
        <f>SUM(C9:H9)</f>
        <v>1500</v>
      </c>
      <c r="K9" s="40">
        <f t="shared" ref="K9:K10" si="1">K8*(1-$E$3)</f>
        <v>100</v>
      </c>
      <c r="L9" s="40">
        <f t="shared" si="0"/>
        <v>1</v>
      </c>
    </row>
    <row r="10" spans="1:12">
      <c r="A10" s="77"/>
      <c r="B10" s="77" t="s">
        <v>206</v>
      </c>
      <c r="C10" s="85">
        <v>1500</v>
      </c>
      <c r="D10" s="85"/>
      <c r="E10" s="85"/>
      <c r="F10" s="85"/>
      <c r="G10" s="85"/>
      <c r="H10" s="85"/>
      <c r="I10" s="95">
        <f t="shared" ref="I10:I14" si="2">SUM(C10:H10)</f>
        <v>1500</v>
      </c>
      <c r="K10" s="40">
        <f t="shared" si="1"/>
        <v>100</v>
      </c>
      <c r="L10" s="40">
        <f t="shared" si="0"/>
        <v>1</v>
      </c>
    </row>
    <row r="11" spans="1:9">
      <c r="A11" s="77"/>
      <c r="B11" s="77" t="s">
        <v>207</v>
      </c>
      <c r="C11" s="85">
        <v>1500</v>
      </c>
      <c r="D11" s="85"/>
      <c r="E11" s="85"/>
      <c r="F11" s="85"/>
      <c r="G11" s="85"/>
      <c r="H11" s="85"/>
      <c r="I11" s="95">
        <f t="shared" si="2"/>
        <v>1500</v>
      </c>
    </row>
    <row r="12" spans="1:9">
      <c r="A12" s="77"/>
      <c r="B12" s="77" t="s">
        <v>208</v>
      </c>
      <c r="C12" s="85">
        <v>1500</v>
      </c>
      <c r="D12" s="85"/>
      <c r="E12" s="85"/>
      <c r="F12" s="85"/>
      <c r="G12" s="85"/>
      <c r="H12" s="85"/>
      <c r="I12" s="95">
        <f t="shared" si="2"/>
        <v>1500</v>
      </c>
    </row>
    <row r="13" spans="1:9">
      <c r="A13" s="77"/>
      <c r="B13" s="77" t="s">
        <v>209</v>
      </c>
      <c r="C13" s="85">
        <v>1500</v>
      </c>
      <c r="D13" s="85"/>
      <c r="E13" s="85"/>
      <c r="F13" s="85"/>
      <c r="G13" s="85"/>
      <c r="H13" s="85"/>
      <c r="I13" s="95">
        <f t="shared" si="2"/>
        <v>1500</v>
      </c>
    </row>
    <row r="14" spans="1:9">
      <c r="A14" s="77"/>
      <c r="B14" s="77"/>
      <c r="C14" s="85"/>
      <c r="D14" s="85"/>
      <c r="E14" s="85"/>
      <c r="F14" s="85"/>
      <c r="G14" s="85"/>
      <c r="H14" s="85"/>
      <c r="I14" s="95">
        <f t="shared" si="2"/>
        <v>0</v>
      </c>
    </row>
    <row r="15" spans="1:9">
      <c r="A15" s="86" t="s">
        <v>28</v>
      </c>
      <c r="B15" s="86"/>
      <c r="C15" s="87">
        <f t="shared" ref="C15:I15" si="3">SUM(C9:C14)</f>
        <v>7500</v>
      </c>
      <c r="D15" s="87">
        <f t="shared" si="3"/>
        <v>0</v>
      </c>
      <c r="E15" s="87">
        <f t="shared" si="3"/>
        <v>0</v>
      </c>
      <c r="F15" s="87">
        <f t="shared" si="3"/>
        <v>0</v>
      </c>
      <c r="G15" s="87">
        <f t="shared" si="3"/>
        <v>0</v>
      </c>
      <c r="H15" s="87">
        <f t="shared" si="3"/>
        <v>0</v>
      </c>
      <c r="I15" s="87">
        <f t="shared" si="3"/>
        <v>7500</v>
      </c>
    </row>
    <row r="16" spans="1:9">
      <c r="A16" s="88"/>
      <c r="B16" s="89" t="s">
        <v>223</v>
      </c>
      <c r="C16" s="88">
        <f>材料成本!D12</f>
        <v>264</v>
      </c>
      <c r="D16" s="88">
        <f>材料成本!E12</f>
        <v>0</v>
      </c>
      <c r="E16" s="88">
        <f>材料成本!F12</f>
        <v>0</v>
      </c>
      <c r="F16" s="88">
        <f>材料成本!G12</f>
        <v>0</v>
      </c>
      <c r="G16" s="88">
        <f>材料成本!H12</f>
        <v>0</v>
      </c>
      <c r="H16" s="88">
        <f>材料成本!I12</f>
        <v>0</v>
      </c>
      <c r="I16" s="88">
        <f>SUM(C16:H16)</f>
        <v>264</v>
      </c>
    </row>
    <row r="17" spans="2:9">
      <c r="B17" s="89" t="s">
        <v>77</v>
      </c>
      <c r="C17" s="88">
        <f>C8-C16</f>
        <v>631</v>
      </c>
      <c r="D17" s="88">
        <f t="shared" ref="D17:I17" si="4">D8-D16</f>
        <v>0</v>
      </c>
      <c r="E17" s="88">
        <f t="shared" si="4"/>
        <v>0</v>
      </c>
      <c r="F17" s="88">
        <f t="shared" si="4"/>
        <v>0</v>
      </c>
      <c r="G17" s="88">
        <f t="shared" si="4"/>
        <v>0</v>
      </c>
      <c r="H17" s="88">
        <f t="shared" si="4"/>
        <v>0</v>
      </c>
      <c r="I17" s="88">
        <f t="shared" si="4"/>
        <v>631</v>
      </c>
    </row>
    <row r="18" spans="2:9">
      <c r="B18" s="89" t="s">
        <v>224</v>
      </c>
      <c r="C18" s="90">
        <f>C17/C8</f>
        <v>0.705027932960894</v>
      </c>
      <c r="D18" s="90" t="e">
        <f t="shared" ref="D18:I18" si="5">D17/D8</f>
        <v>#DIV/0!</v>
      </c>
      <c r="E18" s="90" t="e">
        <f t="shared" si="5"/>
        <v>#DIV/0!</v>
      </c>
      <c r="F18" s="90" t="e">
        <f t="shared" si="5"/>
        <v>#DIV/0!</v>
      </c>
      <c r="G18" s="90" t="e">
        <f t="shared" si="5"/>
        <v>#DIV/0!</v>
      </c>
      <c r="H18" s="90" t="e">
        <f t="shared" si="5"/>
        <v>#DIV/0!</v>
      </c>
      <c r="I18" s="90">
        <f t="shared" si="5"/>
        <v>0.705027932960894</v>
      </c>
    </row>
  </sheetData>
  <mergeCells count="4">
    <mergeCell ref="A15:B15"/>
    <mergeCell ref="A5:A8"/>
    <mergeCell ref="A9:A14"/>
    <mergeCell ref="I5:I7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pane xSplit="3" ySplit="5" topLeftCell="D9" activePane="bottomRight" state="frozen"/>
      <selection/>
      <selection pane="topRight"/>
      <selection pane="bottomLeft"/>
      <selection pane="bottomRight" activeCell="E19" sqref="E19"/>
    </sheetView>
  </sheetViews>
  <sheetFormatPr defaultColWidth="9" defaultRowHeight="16.5"/>
  <cols>
    <col min="1" max="1" width="8.37272727272727" style="40" customWidth="1"/>
    <col min="2" max="2" width="8.87272727272727" style="40" customWidth="1"/>
    <col min="3" max="3" width="14" style="40" customWidth="1"/>
    <col min="4" max="4" width="16.6272727272727" style="40" customWidth="1"/>
    <col min="5" max="5" width="15.7545454545455" style="40" customWidth="1"/>
    <col min="6" max="6" width="12.1272727272727" style="40" customWidth="1"/>
    <col min="7" max="9" width="14.3727272727273" style="40" customWidth="1"/>
    <col min="10" max="10" width="17.3727272727273" style="40" customWidth="1"/>
    <col min="11" max="11" width="16" style="40" customWidth="1"/>
    <col min="12" max="16384" width="9" style="40"/>
  </cols>
  <sheetData>
    <row r="1" s="39" customFormat="1" ht="28.5" customHeight="1" spans="1:11">
      <c r="A1" s="41" t="s">
        <v>7</v>
      </c>
      <c r="B1" s="41"/>
      <c r="C1" s="41"/>
      <c r="K1" s="62"/>
    </row>
    <row r="2" spans="1:10">
      <c r="A2" s="42" t="s">
        <v>225</v>
      </c>
      <c r="B2" s="42"/>
      <c r="C2" s="43"/>
      <c r="D2" s="43"/>
      <c r="E2" s="44" t="s">
        <v>226</v>
      </c>
      <c r="F2" s="45"/>
      <c r="G2" s="45"/>
      <c r="H2" s="45"/>
      <c r="I2" s="45"/>
      <c r="J2" s="63"/>
    </row>
    <row r="3" spans="1:10">
      <c r="A3" s="46" t="s">
        <v>22</v>
      </c>
      <c r="B3" s="46" t="s">
        <v>227</v>
      </c>
      <c r="C3" s="46" t="s">
        <v>228</v>
      </c>
      <c r="D3" s="47" t="str">
        <f>损益表!A1</f>
        <v>陕汽X5000S车型第三座椅项目</v>
      </c>
      <c r="E3" s="47"/>
      <c r="F3" s="46" t="s">
        <v>229</v>
      </c>
      <c r="G3" s="48" t="s">
        <v>230</v>
      </c>
      <c r="H3" s="49"/>
      <c r="I3" s="64"/>
      <c r="J3" s="65" t="s">
        <v>171</v>
      </c>
    </row>
    <row r="4" ht="26" customHeight="1" spans="1:10">
      <c r="A4" s="46"/>
      <c r="B4" s="46"/>
      <c r="C4" s="46" t="s">
        <v>155</v>
      </c>
      <c r="D4" s="50" t="str">
        <f>销量!C5</f>
        <v>第三座椅总成/两点式安全带/X5000S</v>
      </c>
      <c r="E4" s="50">
        <f>销量!D5</f>
        <v>0</v>
      </c>
      <c r="F4" s="50">
        <f>销量!E5</f>
        <v>0</v>
      </c>
      <c r="G4" s="50">
        <f>销量!F5</f>
        <v>0</v>
      </c>
      <c r="H4" s="50">
        <f>销量!G5</f>
        <v>0</v>
      </c>
      <c r="I4" s="50">
        <f>销量!H5</f>
        <v>0</v>
      </c>
      <c r="J4" s="66"/>
    </row>
    <row r="5" spans="1:10">
      <c r="A5" s="46"/>
      <c r="B5" s="46"/>
      <c r="C5" s="46" t="s">
        <v>156</v>
      </c>
      <c r="D5" s="50" t="str">
        <f>销量!C6</f>
        <v>DZ16251510113</v>
      </c>
      <c r="E5" s="50">
        <f>销量!D6</f>
        <v>0</v>
      </c>
      <c r="F5" s="50">
        <f>销量!E6</f>
        <v>0</v>
      </c>
      <c r="G5" s="50">
        <f>销量!F6</f>
        <v>0</v>
      </c>
      <c r="H5" s="50">
        <f>销量!G6</f>
        <v>0</v>
      </c>
      <c r="I5" s="50">
        <f>销量!H6</f>
        <v>0</v>
      </c>
      <c r="J5" s="67"/>
    </row>
    <row r="6" customHeight="1" spans="1:10">
      <c r="A6" s="51">
        <v>1</v>
      </c>
      <c r="B6" s="52" t="s">
        <v>7</v>
      </c>
      <c r="C6" s="53"/>
      <c r="D6" s="54">
        <v>264</v>
      </c>
      <c r="E6" s="55"/>
      <c r="F6" s="56"/>
      <c r="G6" s="55"/>
      <c r="H6" s="56"/>
      <c r="I6" s="56"/>
      <c r="J6" s="68"/>
    </row>
    <row r="7" customHeight="1" spans="1:10">
      <c r="A7" s="51">
        <v>2</v>
      </c>
      <c r="B7" s="52"/>
      <c r="C7" s="53"/>
      <c r="D7" s="55"/>
      <c r="E7" s="55"/>
      <c r="F7" s="56"/>
      <c r="G7" s="55"/>
      <c r="H7" s="55"/>
      <c r="I7" s="55"/>
      <c r="J7" s="69"/>
    </row>
    <row r="8" customHeight="1" spans="1:10">
      <c r="A8" s="51">
        <v>3</v>
      </c>
      <c r="B8" s="52"/>
      <c r="C8" s="53"/>
      <c r="D8" s="56"/>
      <c r="E8" s="55"/>
      <c r="F8" s="56"/>
      <c r="G8" s="55"/>
      <c r="H8" s="56"/>
      <c r="I8" s="56"/>
      <c r="J8" s="69"/>
    </row>
    <row r="9" spans="1:10">
      <c r="A9" s="51">
        <v>4</v>
      </c>
      <c r="B9" s="52"/>
      <c r="C9" s="53"/>
      <c r="D9" s="56"/>
      <c r="E9" s="55"/>
      <c r="F9" s="56"/>
      <c r="G9" s="55"/>
      <c r="H9" s="55"/>
      <c r="I9" s="55"/>
      <c r="J9" s="69"/>
    </row>
    <row r="10" customHeight="1" spans="1:12">
      <c r="A10" s="51">
        <v>5</v>
      </c>
      <c r="B10" s="52"/>
      <c r="C10" s="53"/>
      <c r="D10" s="56"/>
      <c r="E10" s="56"/>
      <c r="F10" s="56"/>
      <c r="G10" s="55"/>
      <c r="H10" s="55"/>
      <c r="I10" s="55"/>
      <c r="J10" s="69"/>
      <c r="K10" s="70"/>
      <c r="L10" s="71"/>
    </row>
    <row r="11" customHeight="1" spans="1:12">
      <c r="A11" s="51">
        <v>6</v>
      </c>
      <c r="B11" s="52"/>
      <c r="C11" s="53"/>
      <c r="D11" s="56"/>
      <c r="E11" s="55"/>
      <c r="F11" s="56"/>
      <c r="G11" s="55"/>
      <c r="H11" s="55"/>
      <c r="I11" s="55"/>
      <c r="J11" s="69"/>
      <c r="K11" s="70"/>
      <c r="L11" s="71"/>
    </row>
    <row r="12" ht="22.5" customHeight="1" spans="1:10">
      <c r="A12" s="57" t="s">
        <v>231</v>
      </c>
      <c r="B12" s="58"/>
      <c r="C12" s="59"/>
      <c r="D12" s="60">
        <f t="shared" ref="D12:I12" si="0">SUM(D6:D11)</f>
        <v>264</v>
      </c>
      <c r="E12" s="60">
        <f t="shared" si="0"/>
        <v>0</v>
      </c>
      <c r="F12" s="60">
        <f t="shared" si="0"/>
        <v>0</v>
      </c>
      <c r="G12" s="60">
        <f t="shared" si="0"/>
        <v>0</v>
      </c>
      <c r="H12" s="60">
        <f t="shared" si="0"/>
        <v>0</v>
      </c>
      <c r="I12" s="60">
        <f t="shared" si="0"/>
        <v>0</v>
      </c>
      <c r="J12" s="69"/>
    </row>
    <row r="13" spans="3:9">
      <c r="C13" s="40" t="s">
        <v>206</v>
      </c>
      <c r="D13" s="61">
        <f>D12*1</f>
        <v>264</v>
      </c>
      <c r="E13" s="61">
        <f>E12*1</f>
        <v>0</v>
      </c>
      <c r="F13" s="61">
        <f>F12*1</f>
        <v>0</v>
      </c>
      <c r="G13" s="61">
        <f>G12*1</f>
        <v>0</v>
      </c>
      <c r="H13" s="61">
        <f>H12*1</f>
        <v>0</v>
      </c>
      <c r="I13" s="61">
        <f>I12*1</f>
        <v>0</v>
      </c>
    </row>
    <row r="14" spans="3:9">
      <c r="C14" s="40" t="s">
        <v>207</v>
      </c>
      <c r="D14" s="61">
        <f>D13*1</f>
        <v>264</v>
      </c>
      <c r="E14" s="61">
        <f>E13*1</f>
        <v>0</v>
      </c>
      <c r="F14" s="61">
        <f>F13*1</f>
        <v>0</v>
      </c>
      <c r="G14" s="61">
        <f>G13*1</f>
        <v>0</v>
      </c>
      <c r="H14" s="61">
        <f>H13*1</f>
        <v>0</v>
      </c>
      <c r="I14" s="61">
        <f>I13*1</f>
        <v>0</v>
      </c>
    </row>
    <row r="15" spans="3:9">
      <c r="C15" s="40" t="s">
        <v>208</v>
      </c>
      <c r="D15" s="61">
        <f>D14*1</f>
        <v>264</v>
      </c>
      <c r="E15" s="61">
        <f>E14*1</f>
        <v>0</v>
      </c>
      <c r="F15" s="61">
        <f>F14*1</f>
        <v>0</v>
      </c>
      <c r="G15" s="61">
        <f>G14*1</f>
        <v>0</v>
      </c>
      <c r="H15" s="61">
        <f>H14*1</f>
        <v>0</v>
      </c>
      <c r="I15" s="61">
        <f>I14*1</f>
        <v>0</v>
      </c>
    </row>
    <row r="16" spans="3:9">
      <c r="C16" s="40" t="s">
        <v>209</v>
      </c>
      <c r="D16" s="61">
        <f>D15*1</f>
        <v>264</v>
      </c>
      <c r="E16" s="61">
        <f>E15*1</f>
        <v>0</v>
      </c>
      <c r="F16" s="61">
        <f>F15*1</f>
        <v>0</v>
      </c>
      <c r="G16" s="61">
        <f>G15*1</f>
        <v>0</v>
      </c>
      <c r="H16" s="61">
        <f>H15*1</f>
        <v>0</v>
      </c>
      <c r="I16" s="61">
        <f>I15*1</f>
        <v>0</v>
      </c>
    </row>
  </sheetData>
  <mergeCells count="17">
    <mergeCell ref="A1:B1"/>
    <mergeCell ref="A2:D2"/>
    <mergeCell ref="E2:J2"/>
    <mergeCell ref="D3:E3"/>
    <mergeCell ref="G3:I3"/>
    <mergeCell ref="B6:C6"/>
    <mergeCell ref="B7:C7"/>
    <mergeCell ref="B8:C8"/>
    <mergeCell ref="B9:C9"/>
    <mergeCell ref="B10:C10"/>
    <mergeCell ref="K10:L10"/>
    <mergeCell ref="B11:C11"/>
    <mergeCell ref="K11:L11"/>
    <mergeCell ref="A12:C12"/>
    <mergeCell ref="A3:A5"/>
    <mergeCell ref="B3:B5"/>
    <mergeCell ref="J3:J5"/>
  </mergeCells>
  <pageMargins left="0.708661417322835" right="0.118110236220472" top="0.354330708661417" bottom="0.354330708661417" header="0.31496062992126" footer="0.31496062992126"/>
  <pageSetup paperSize="9" orientation="portrait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14" outlineLevelCol="3"/>
  <cols>
    <col min="1" max="1" width="5" style="31" customWidth="1"/>
    <col min="2" max="2" width="29.6272727272727" style="31" customWidth="1"/>
    <col min="3" max="3" width="25.5" style="31" customWidth="1"/>
    <col min="4" max="4" width="18.6272727272727" style="31" customWidth="1"/>
    <col min="5" max="16384" width="9" style="31"/>
  </cols>
  <sheetData>
    <row r="1" ht="27" customHeight="1" spans="1:4">
      <c r="A1" s="32" t="s">
        <v>22</v>
      </c>
      <c r="B1" s="32" t="s">
        <v>232</v>
      </c>
      <c r="C1" s="32" t="s">
        <v>233</v>
      </c>
      <c r="D1" s="32" t="s">
        <v>234</v>
      </c>
    </row>
    <row r="2" spans="1:4">
      <c r="A2" s="32">
        <v>1</v>
      </c>
      <c r="B2" s="33" t="s">
        <v>235</v>
      </c>
      <c r="C2" s="34" t="s">
        <v>236</v>
      </c>
      <c r="D2" s="32"/>
    </row>
    <row r="3" spans="1:4">
      <c r="A3" s="32">
        <v>2</v>
      </c>
      <c r="B3" s="33" t="s">
        <v>237</v>
      </c>
      <c r="C3" s="35" t="s">
        <v>238</v>
      </c>
      <c r="D3" s="32" t="s">
        <v>239</v>
      </c>
    </row>
    <row r="4" spans="1:4">
      <c r="A4" s="32">
        <v>3</v>
      </c>
      <c r="B4" s="33" t="s">
        <v>240</v>
      </c>
      <c r="C4" s="34" t="s">
        <v>241</v>
      </c>
      <c r="D4" s="32" t="s">
        <v>242</v>
      </c>
    </row>
    <row r="5" spans="1:4">
      <c r="A5" s="32">
        <v>4</v>
      </c>
      <c r="B5" s="33" t="s">
        <v>243</v>
      </c>
      <c r="C5" s="34"/>
      <c r="D5" s="32"/>
    </row>
    <row r="6" spans="1:4">
      <c r="A6" s="32">
        <v>5</v>
      </c>
      <c r="B6" s="33" t="s">
        <v>244</v>
      </c>
      <c r="C6" s="34"/>
      <c r="D6" s="32"/>
    </row>
    <row r="7" spans="1:4">
      <c r="A7" s="32">
        <v>6</v>
      </c>
      <c r="B7" s="32" t="s">
        <v>245</v>
      </c>
      <c r="C7" s="35" t="s">
        <v>191</v>
      </c>
      <c r="D7" s="32"/>
    </row>
    <row r="8" spans="1:4">
      <c r="A8" s="32">
        <v>7</v>
      </c>
      <c r="B8" s="33" t="s">
        <v>246</v>
      </c>
      <c r="C8" s="36" t="s">
        <v>247</v>
      </c>
      <c r="D8" s="32"/>
    </row>
    <row r="9" spans="1:4">
      <c r="A9" s="32">
        <v>8</v>
      </c>
      <c r="B9" s="32" t="s">
        <v>248</v>
      </c>
      <c r="C9" s="36" t="s">
        <v>249</v>
      </c>
      <c r="D9" s="32"/>
    </row>
    <row r="10" spans="1:4">
      <c r="A10" s="32">
        <v>9</v>
      </c>
      <c r="B10" s="32" t="s">
        <v>250</v>
      </c>
      <c r="C10" s="36"/>
      <c r="D10" s="32"/>
    </row>
    <row r="11" spans="1:4">
      <c r="A11" s="32">
        <v>10</v>
      </c>
      <c r="B11" s="32" t="s">
        <v>251</v>
      </c>
      <c r="C11" s="36"/>
      <c r="D11" s="32" t="s">
        <v>252</v>
      </c>
    </row>
    <row r="12" spans="1:4">
      <c r="A12" s="32">
        <v>11</v>
      </c>
      <c r="B12" s="32" t="s">
        <v>253</v>
      </c>
      <c r="C12" s="36"/>
      <c r="D12" s="32"/>
    </row>
    <row r="13" spans="1:4">
      <c r="A13" s="32">
        <v>12</v>
      </c>
      <c r="B13" s="33" t="s">
        <v>254</v>
      </c>
      <c r="C13" s="36" t="s">
        <v>255</v>
      </c>
      <c r="D13" s="32"/>
    </row>
    <row r="14" spans="1:4">
      <c r="A14" s="32">
        <v>13</v>
      </c>
      <c r="B14" s="33" t="s">
        <v>256</v>
      </c>
      <c r="C14" s="36" t="s">
        <v>257</v>
      </c>
      <c r="D14" s="32"/>
    </row>
    <row r="15" spans="1:4">
      <c r="A15" s="32">
        <v>14</v>
      </c>
      <c r="B15" s="33" t="s">
        <v>258</v>
      </c>
      <c r="C15" s="36" t="s">
        <v>259</v>
      </c>
      <c r="D15" s="32"/>
    </row>
    <row r="16" spans="1:4">
      <c r="A16" s="32">
        <v>15</v>
      </c>
      <c r="B16" s="32" t="s">
        <v>139</v>
      </c>
      <c r="C16" s="32"/>
      <c r="D16" s="32"/>
    </row>
    <row r="17" ht="16.5" spans="1:4">
      <c r="A17" s="37"/>
      <c r="B17" s="38" t="s">
        <v>260</v>
      </c>
      <c r="C17" s="37"/>
      <c r="D17" s="37"/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78"/>
  <sheetViews>
    <sheetView workbookViewId="0">
      <selection activeCell="K8" sqref="K8"/>
    </sheetView>
  </sheetViews>
  <sheetFormatPr defaultColWidth="9" defaultRowHeight="14"/>
  <cols>
    <col min="1" max="2" width="9" style="2"/>
    <col min="3" max="5" width="15.7545454545455" style="2" customWidth="1"/>
    <col min="6" max="8" width="11.1272727272727" style="2" customWidth="1"/>
    <col min="9" max="9" width="12.8727272727273" style="3" customWidth="1"/>
    <col min="10" max="16384" width="9" style="2"/>
  </cols>
  <sheetData>
    <row r="1" s="1" customFormat="1" ht="18.75" customHeight="1" spans="7:9">
      <c r="G1" s="4" t="s">
        <v>261</v>
      </c>
      <c r="H1" s="4"/>
      <c r="I1" s="24"/>
    </row>
    <row r="2" ht="21.75" customHeight="1" spans="1:12">
      <c r="A2" s="5" t="s">
        <v>262</v>
      </c>
      <c r="B2" s="5"/>
      <c r="C2" s="6" t="s">
        <v>263</v>
      </c>
      <c r="D2" s="7"/>
      <c r="E2" s="7"/>
      <c r="F2" s="7"/>
      <c r="G2" s="7"/>
      <c r="H2" s="8"/>
      <c r="I2" s="25" t="s">
        <v>264</v>
      </c>
      <c r="K2" s="26"/>
      <c r="L2" s="26"/>
    </row>
    <row r="3" ht="34.5" customHeight="1" spans="1:9">
      <c r="A3" s="5"/>
      <c r="B3" s="5"/>
      <c r="C3" s="9" t="s">
        <v>265</v>
      </c>
      <c r="D3" s="9" t="s">
        <v>266</v>
      </c>
      <c r="E3" s="9" t="s">
        <v>267</v>
      </c>
      <c r="F3" s="10" t="s">
        <v>268</v>
      </c>
      <c r="G3" s="10" t="s">
        <v>269</v>
      </c>
      <c r="H3" s="10" t="s">
        <v>270</v>
      </c>
      <c r="I3" s="27">
        <f>销量!C8</f>
        <v>895</v>
      </c>
    </row>
    <row r="4" ht="24" customHeight="1" spans="1:12">
      <c r="A4" s="11" t="s">
        <v>271</v>
      </c>
      <c r="B4" s="11"/>
      <c r="C4" s="12"/>
      <c r="D4" s="13"/>
      <c r="E4" s="14">
        <f>$I$3*F4</f>
        <v>24.165</v>
      </c>
      <c r="F4" s="15">
        <v>0.027</v>
      </c>
      <c r="G4" s="14"/>
      <c r="H4" s="16">
        <v>0.0448</v>
      </c>
      <c r="J4" s="28"/>
      <c r="K4" s="29"/>
      <c r="L4" s="29"/>
    </row>
    <row r="5" ht="24" customHeight="1" spans="1:12">
      <c r="A5" s="11" t="s">
        <v>272</v>
      </c>
      <c r="B5" s="11" t="s">
        <v>273</v>
      </c>
      <c r="C5" s="12"/>
      <c r="D5" s="13"/>
      <c r="E5" s="14">
        <f t="shared" ref="E5:E11" si="0">$I$3*F5</f>
        <v>68.915</v>
      </c>
      <c r="F5" s="16">
        <v>0.077</v>
      </c>
      <c r="G5" s="16"/>
      <c r="H5" s="16">
        <v>0.0404</v>
      </c>
      <c r="J5" s="30"/>
      <c r="K5" s="29"/>
      <c r="L5" s="29"/>
    </row>
    <row r="6" ht="24" customHeight="1" spans="1:12">
      <c r="A6" s="11"/>
      <c r="B6" s="11" t="s">
        <v>274</v>
      </c>
      <c r="C6" s="12"/>
      <c r="D6" s="13"/>
      <c r="E6" s="14">
        <f t="shared" si="0"/>
        <v>11.635</v>
      </c>
      <c r="F6" s="15">
        <v>0.013</v>
      </c>
      <c r="G6" s="14"/>
      <c r="H6" s="16">
        <v>0.0166</v>
      </c>
      <c r="J6" s="28"/>
      <c r="K6" s="29"/>
      <c r="L6" s="29"/>
    </row>
    <row r="7" ht="24" customHeight="1" spans="1:12">
      <c r="A7" s="6" t="s">
        <v>275</v>
      </c>
      <c r="B7" s="8"/>
      <c r="C7" s="17"/>
      <c r="D7" s="18"/>
      <c r="E7" s="14">
        <f t="shared" si="0"/>
        <v>104.715</v>
      </c>
      <c r="F7" s="19">
        <f>SUM(F4:F6)</f>
        <v>0.117</v>
      </c>
      <c r="G7" s="14"/>
      <c r="H7" s="20">
        <f>SUM(H4:H6)</f>
        <v>0.1018</v>
      </c>
      <c r="J7" s="28"/>
      <c r="K7" s="29"/>
      <c r="L7" s="29"/>
    </row>
    <row r="8" ht="24" customHeight="1" spans="1:12">
      <c r="A8" s="11" t="s">
        <v>58</v>
      </c>
      <c r="B8" s="11"/>
      <c r="C8" s="12"/>
      <c r="D8" s="13"/>
      <c r="E8" s="14">
        <f t="shared" si="0"/>
        <v>20.585</v>
      </c>
      <c r="F8" s="21">
        <v>0.023</v>
      </c>
      <c r="G8" s="14"/>
      <c r="H8" s="16">
        <f>1.97%+0.75%</f>
        <v>0.0272</v>
      </c>
      <c r="J8" s="30"/>
      <c r="K8" s="29"/>
      <c r="L8" s="29"/>
    </row>
    <row r="9" ht="24" customHeight="1" spans="1:12">
      <c r="A9" s="22" t="s">
        <v>276</v>
      </c>
      <c r="B9" s="11" t="s">
        <v>273</v>
      </c>
      <c r="C9" s="12"/>
      <c r="D9" s="13"/>
      <c r="E9" s="14">
        <f t="shared" si="0"/>
        <v>15.215</v>
      </c>
      <c r="F9" s="16">
        <v>0.017</v>
      </c>
      <c r="G9" s="14"/>
      <c r="H9" s="16">
        <v>0.0053</v>
      </c>
      <c r="J9" s="3"/>
      <c r="K9" s="29"/>
      <c r="L9" s="29"/>
    </row>
    <row r="10" ht="24" customHeight="1" spans="1:12">
      <c r="A10" s="23"/>
      <c r="B10" s="11" t="s">
        <v>274</v>
      </c>
      <c r="C10" s="12"/>
      <c r="D10" s="13"/>
      <c r="E10" s="14">
        <f t="shared" si="0"/>
        <v>25.955</v>
      </c>
      <c r="F10" s="3">
        <v>0.029</v>
      </c>
      <c r="G10" s="14"/>
      <c r="H10" s="16">
        <v>0.0341</v>
      </c>
      <c r="J10" s="3"/>
      <c r="K10" s="29"/>
      <c r="L10" s="29"/>
    </row>
    <row r="11" ht="24" customHeight="1" spans="1:12">
      <c r="A11" s="11" t="s">
        <v>61</v>
      </c>
      <c r="B11" s="11"/>
      <c r="C11" s="12"/>
      <c r="D11" s="13"/>
      <c r="E11" s="14">
        <f t="shared" si="0"/>
        <v>44.75</v>
      </c>
      <c r="F11" s="16">
        <v>0.05</v>
      </c>
      <c r="G11" s="14"/>
      <c r="H11" s="16">
        <v>0.011</v>
      </c>
      <c r="J11" s="3"/>
      <c r="K11" s="29"/>
      <c r="L11" s="29"/>
    </row>
    <row r="15" spans="1:9">
      <c r="A15" s="1"/>
      <c r="B15" s="1"/>
      <c r="C15" s="1"/>
      <c r="D15" s="1"/>
      <c r="E15" s="1"/>
      <c r="F15" s="1"/>
      <c r="G15" s="4" t="s">
        <v>261</v>
      </c>
      <c r="H15" s="4"/>
      <c r="I15" s="24"/>
    </row>
    <row r="16" spans="1:9">
      <c r="A16" s="5" t="s">
        <v>262</v>
      </c>
      <c r="B16" s="5"/>
      <c r="C16" s="6" t="str">
        <f>C2</f>
        <v>西安工厂平均值</v>
      </c>
      <c r="D16" s="7"/>
      <c r="E16" s="7"/>
      <c r="F16" s="7"/>
      <c r="G16" s="7"/>
      <c r="H16" s="8"/>
      <c r="I16" s="25" t="s">
        <v>264</v>
      </c>
    </row>
    <row r="17" ht="28" spans="1:9">
      <c r="A17" s="5"/>
      <c r="B17" s="5"/>
      <c r="C17" s="9" t="s">
        <v>265</v>
      </c>
      <c r="D17" s="9" t="s">
        <v>266</v>
      </c>
      <c r="E17" s="9" t="s">
        <v>267</v>
      </c>
      <c r="F17" s="10" t="s">
        <v>268</v>
      </c>
      <c r="G17" s="10" t="s">
        <v>269</v>
      </c>
      <c r="H17" s="10" t="s">
        <v>270</v>
      </c>
      <c r="I17" s="27">
        <f>销量!D8</f>
        <v>0</v>
      </c>
    </row>
    <row r="18" spans="1:8">
      <c r="A18" s="11" t="s">
        <v>271</v>
      </c>
      <c r="B18" s="11"/>
      <c r="C18" s="12"/>
      <c r="D18" s="13"/>
      <c r="E18" s="14">
        <f>$I$17*F18</f>
        <v>0</v>
      </c>
      <c r="F18" s="15">
        <f t="shared" ref="F18:F25" si="1">F4</f>
        <v>0.027</v>
      </c>
      <c r="G18" s="14"/>
      <c r="H18" s="16">
        <v>0.0448</v>
      </c>
    </row>
    <row r="19" spans="1:8">
      <c r="A19" s="11" t="s">
        <v>272</v>
      </c>
      <c r="B19" s="11" t="s">
        <v>273</v>
      </c>
      <c r="C19" s="12"/>
      <c r="D19" s="13"/>
      <c r="E19" s="14">
        <f t="shared" ref="E19:E25" si="2">$I$17*F19</f>
        <v>0</v>
      </c>
      <c r="F19" s="16">
        <f t="shared" si="1"/>
        <v>0.077</v>
      </c>
      <c r="G19" s="14"/>
      <c r="H19" s="16">
        <v>0.0404</v>
      </c>
    </row>
    <row r="20" spans="1:8">
      <c r="A20" s="11"/>
      <c r="B20" s="11" t="s">
        <v>274</v>
      </c>
      <c r="C20" s="12"/>
      <c r="D20" s="13"/>
      <c r="E20" s="14">
        <f t="shared" si="2"/>
        <v>0</v>
      </c>
      <c r="F20" s="15">
        <f t="shared" si="1"/>
        <v>0.013</v>
      </c>
      <c r="G20" s="14"/>
      <c r="H20" s="16">
        <v>0.0166</v>
      </c>
    </row>
    <row r="21" spans="1:8">
      <c r="A21" s="6" t="s">
        <v>275</v>
      </c>
      <c r="B21" s="8"/>
      <c r="C21" s="17"/>
      <c r="D21" s="18"/>
      <c r="E21" s="14">
        <f t="shared" si="2"/>
        <v>0</v>
      </c>
      <c r="F21" s="19">
        <f t="shared" si="1"/>
        <v>0.117</v>
      </c>
      <c r="G21" s="14"/>
      <c r="H21" s="20">
        <f>SUM(H18:H20)</f>
        <v>0.1018</v>
      </c>
    </row>
    <row r="22" spans="1:8">
      <c r="A22" s="11" t="s">
        <v>58</v>
      </c>
      <c r="B22" s="11"/>
      <c r="C22" s="12"/>
      <c r="D22" s="13"/>
      <c r="E22" s="14">
        <f t="shared" si="2"/>
        <v>0</v>
      </c>
      <c r="F22" s="21">
        <f t="shared" si="1"/>
        <v>0.023</v>
      </c>
      <c r="G22" s="14"/>
      <c r="H22" s="16">
        <f>1.97%+0.75%</f>
        <v>0.0272</v>
      </c>
    </row>
    <row r="23" spans="1:8">
      <c r="A23" s="22" t="s">
        <v>276</v>
      </c>
      <c r="B23" s="11" t="s">
        <v>273</v>
      </c>
      <c r="C23" s="12"/>
      <c r="D23" s="13"/>
      <c r="E23" s="14">
        <f t="shared" si="2"/>
        <v>0</v>
      </c>
      <c r="F23" s="16">
        <f t="shared" si="1"/>
        <v>0.017</v>
      </c>
      <c r="G23" s="14"/>
      <c r="H23" s="16">
        <v>0.0053</v>
      </c>
    </row>
    <row r="24" spans="1:8">
      <c r="A24" s="23"/>
      <c r="B24" s="11" t="s">
        <v>274</v>
      </c>
      <c r="C24" s="12"/>
      <c r="D24" s="13"/>
      <c r="E24" s="14">
        <f t="shared" si="2"/>
        <v>0</v>
      </c>
      <c r="F24" s="3">
        <f t="shared" si="1"/>
        <v>0.029</v>
      </c>
      <c r="G24" s="14"/>
      <c r="H24" s="16">
        <v>0.0341</v>
      </c>
    </row>
    <row r="25" spans="1:8">
      <c r="A25" s="11" t="s">
        <v>61</v>
      </c>
      <c r="B25" s="11"/>
      <c r="C25" s="12"/>
      <c r="D25" s="13"/>
      <c r="E25" s="14">
        <f t="shared" si="2"/>
        <v>0</v>
      </c>
      <c r="F25" s="16">
        <f t="shared" si="1"/>
        <v>0.05</v>
      </c>
      <c r="G25" s="14"/>
      <c r="H25" s="16">
        <v>0.011</v>
      </c>
    </row>
    <row r="29" spans="1:9">
      <c r="A29" s="1"/>
      <c r="B29" s="1"/>
      <c r="C29" s="1"/>
      <c r="D29" s="1"/>
      <c r="E29" s="1"/>
      <c r="F29" s="1"/>
      <c r="G29" s="4" t="s">
        <v>261</v>
      </c>
      <c r="H29" s="4"/>
      <c r="I29" s="24"/>
    </row>
    <row r="30" spans="1:9">
      <c r="A30" s="5" t="s">
        <v>262</v>
      </c>
      <c r="B30" s="5"/>
      <c r="C30" s="6" t="str">
        <f>C2</f>
        <v>西安工厂平均值</v>
      </c>
      <c r="D30" s="7"/>
      <c r="E30" s="7"/>
      <c r="F30" s="7"/>
      <c r="G30" s="7"/>
      <c r="H30" s="8"/>
      <c r="I30" s="25" t="s">
        <v>264</v>
      </c>
    </row>
    <row r="31" ht="28" spans="1:9">
      <c r="A31" s="5"/>
      <c r="B31" s="5"/>
      <c r="C31" s="9" t="s">
        <v>265</v>
      </c>
      <c r="D31" s="9" t="s">
        <v>266</v>
      </c>
      <c r="E31" s="9" t="s">
        <v>267</v>
      </c>
      <c r="F31" s="10" t="s">
        <v>268</v>
      </c>
      <c r="G31" s="10" t="s">
        <v>269</v>
      </c>
      <c r="H31" s="10" t="s">
        <v>270</v>
      </c>
      <c r="I31" s="27">
        <f>销量!E8</f>
        <v>0</v>
      </c>
    </row>
    <row r="32" spans="1:8">
      <c r="A32" s="11" t="s">
        <v>271</v>
      </c>
      <c r="B32" s="11"/>
      <c r="C32" s="12"/>
      <c r="D32" s="13"/>
      <c r="E32" s="14">
        <f>$I$31*F32</f>
        <v>0</v>
      </c>
      <c r="F32" s="15">
        <f t="shared" ref="F32:F39" si="3">F4</f>
        <v>0.027</v>
      </c>
      <c r="G32" s="14"/>
      <c r="H32" s="16">
        <v>0.0448</v>
      </c>
    </row>
    <row r="33" spans="1:8">
      <c r="A33" s="11" t="s">
        <v>272</v>
      </c>
      <c r="B33" s="11" t="s">
        <v>273</v>
      </c>
      <c r="C33" s="12"/>
      <c r="D33" s="13"/>
      <c r="E33" s="14">
        <f t="shared" ref="E33:E39" si="4">$I$31*F33</f>
        <v>0</v>
      </c>
      <c r="F33" s="16">
        <f t="shared" si="3"/>
        <v>0.077</v>
      </c>
      <c r="G33" s="14"/>
      <c r="H33" s="16">
        <v>0.0404</v>
      </c>
    </row>
    <row r="34" spans="1:8">
      <c r="A34" s="11"/>
      <c r="B34" s="11" t="s">
        <v>274</v>
      </c>
      <c r="C34" s="12"/>
      <c r="D34" s="13"/>
      <c r="E34" s="14">
        <f t="shared" si="4"/>
        <v>0</v>
      </c>
      <c r="F34" s="15">
        <f t="shared" si="3"/>
        <v>0.013</v>
      </c>
      <c r="G34" s="14"/>
      <c r="H34" s="16">
        <v>0.0166</v>
      </c>
    </row>
    <row r="35" spans="1:8">
      <c r="A35" s="6" t="s">
        <v>275</v>
      </c>
      <c r="B35" s="8"/>
      <c r="C35" s="17"/>
      <c r="D35" s="18"/>
      <c r="E35" s="14">
        <f t="shared" si="4"/>
        <v>0</v>
      </c>
      <c r="F35" s="19">
        <f t="shared" si="3"/>
        <v>0.117</v>
      </c>
      <c r="G35" s="20"/>
      <c r="H35" s="20">
        <f>SUM(H32:H34)</f>
        <v>0.1018</v>
      </c>
    </row>
    <row r="36" spans="1:8">
      <c r="A36" s="11" t="s">
        <v>58</v>
      </c>
      <c r="B36" s="11"/>
      <c r="C36" s="12"/>
      <c r="D36" s="13"/>
      <c r="E36" s="14">
        <f t="shared" si="4"/>
        <v>0</v>
      </c>
      <c r="F36" s="21">
        <f t="shared" si="3"/>
        <v>0.023</v>
      </c>
      <c r="G36" s="14"/>
      <c r="H36" s="16">
        <f>1.97%+0.75%</f>
        <v>0.0272</v>
      </c>
    </row>
    <row r="37" spans="1:8">
      <c r="A37" s="22" t="s">
        <v>276</v>
      </c>
      <c r="B37" s="11" t="s">
        <v>273</v>
      </c>
      <c r="C37" s="12"/>
      <c r="D37" s="13"/>
      <c r="E37" s="14">
        <f t="shared" si="4"/>
        <v>0</v>
      </c>
      <c r="F37" s="16">
        <f t="shared" si="3"/>
        <v>0.017</v>
      </c>
      <c r="G37" s="14"/>
      <c r="H37" s="16">
        <v>0.0053</v>
      </c>
    </row>
    <row r="38" spans="1:8">
      <c r="A38" s="23"/>
      <c r="B38" s="11" t="s">
        <v>274</v>
      </c>
      <c r="C38" s="12"/>
      <c r="D38" s="13"/>
      <c r="E38" s="14">
        <f t="shared" si="4"/>
        <v>0</v>
      </c>
      <c r="F38" s="3">
        <f t="shared" si="3"/>
        <v>0.029</v>
      </c>
      <c r="G38" s="14"/>
      <c r="H38" s="16">
        <v>0.0341</v>
      </c>
    </row>
    <row r="39" spans="1:8">
      <c r="A39" s="11" t="s">
        <v>61</v>
      </c>
      <c r="B39" s="11"/>
      <c r="C39" s="12"/>
      <c r="D39" s="13"/>
      <c r="E39" s="14">
        <f t="shared" si="4"/>
        <v>0</v>
      </c>
      <c r="F39" s="16">
        <f t="shared" si="3"/>
        <v>0.05</v>
      </c>
      <c r="G39" s="14"/>
      <c r="H39" s="16">
        <v>0.011</v>
      </c>
    </row>
    <row r="42" spans="1:9">
      <c r="A42" s="1"/>
      <c r="B42" s="1"/>
      <c r="C42" s="1"/>
      <c r="D42" s="1"/>
      <c r="E42" s="1"/>
      <c r="F42" s="1"/>
      <c r="G42" s="4" t="s">
        <v>261</v>
      </c>
      <c r="H42" s="4"/>
      <c r="I42" s="24"/>
    </row>
    <row r="43" spans="1:9">
      <c r="A43" s="5" t="s">
        <v>262</v>
      </c>
      <c r="B43" s="5"/>
      <c r="C43" s="6" t="str">
        <f>C2</f>
        <v>西安工厂平均值</v>
      </c>
      <c r="D43" s="7"/>
      <c r="E43" s="7"/>
      <c r="F43" s="7"/>
      <c r="G43" s="7"/>
      <c r="H43" s="8"/>
      <c r="I43" s="25" t="s">
        <v>264</v>
      </c>
    </row>
    <row r="44" ht="28" spans="1:9">
      <c r="A44" s="5"/>
      <c r="B44" s="5"/>
      <c r="C44" s="9" t="s">
        <v>265</v>
      </c>
      <c r="D44" s="9" t="s">
        <v>266</v>
      </c>
      <c r="E44" s="9" t="s">
        <v>267</v>
      </c>
      <c r="F44" s="10" t="s">
        <v>268</v>
      </c>
      <c r="G44" s="10" t="s">
        <v>269</v>
      </c>
      <c r="H44" s="10" t="s">
        <v>270</v>
      </c>
      <c r="I44" s="27">
        <f>销量!F8</f>
        <v>0</v>
      </c>
    </row>
    <row r="45" spans="1:8">
      <c r="A45" s="11" t="s">
        <v>271</v>
      </c>
      <c r="B45" s="11"/>
      <c r="C45" s="12"/>
      <c r="D45" s="13"/>
      <c r="E45" s="14">
        <f>$I$44*F45</f>
        <v>0</v>
      </c>
      <c r="F45" s="15">
        <f t="shared" ref="F45:F52" si="5">F4</f>
        <v>0.027</v>
      </c>
      <c r="G45" s="14"/>
      <c r="H45" s="16">
        <v>0.0448</v>
      </c>
    </row>
    <row r="46" spans="1:8">
      <c r="A46" s="11" t="s">
        <v>272</v>
      </c>
      <c r="B46" s="11" t="s">
        <v>273</v>
      </c>
      <c r="C46" s="12"/>
      <c r="D46" s="13"/>
      <c r="E46" s="14">
        <f t="shared" ref="E46:E52" si="6">$I$44*F46</f>
        <v>0</v>
      </c>
      <c r="F46" s="16">
        <f t="shared" si="5"/>
        <v>0.077</v>
      </c>
      <c r="G46" s="14"/>
      <c r="H46" s="16">
        <v>0.0404</v>
      </c>
    </row>
    <row r="47" spans="1:8">
      <c r="A47" s="11"/>
      <c r="B47" s="11" t="s">
        <v>274</v>
      </c>
      <c r="C47" s="12"/>
      <c r="D47" s="13"/>
      <c r="E47" s="14">
        <f t="shared" si="6"/>
        <v>0</v>
      </c>
      <c r="F47" s="15">
        <f t="shared" si="5"/>
        <v>0.013</v>
      </c>
      <c r="G47" s="14"/>
      <c r="H47" s="16">
        <v>0.0166</v>
      </c>
    </row>
    <row r="48" spans="1:8">
      <c r="A48" s="6" t="s">
        <v>275</v>
      </c>
      <c r="B48" s="8"/>
      <c r="C48" s="17"/>
      <c r="D48" s="18"/>
      <c r="E48" s="14">
        <f t="shared" si="6"/>
        <v>0</v>
      </c>
      <c r="F48" s="19">
        <f t="shared" si="5"/>
        <v>0.117</v>
      </c>
      <c r="G48" s="20"/>
      <c r="H48" s="20">
        <f>SUM(H45:H47)</f>
        <v>0.1018</v>
      </c>
    </row>
    <row r="49" spans="1:8">
      <c r="A49" s="11" t="s">
        <v>58</v>
      </c>
      <c r="B49" s="11"/>
      <c r="C49" s="12"/>
      <c r="D49" s="13"/>
      <c r="E49" s="14">
        <f t="shared" si="6"/>
        <v>0</v>
      </c>
      <c r="F49" s="21">
        <f t="shared" si="5"/>
        <v>0.023</v>
      </c>
      <c r="G49" s="14"/>
      <c r="H49" s="16">
        <f>1.97%+0.75%</f>
        <v>0.0272</v>
      </c>
    </row>
    <row r="50" spans="1:8">
      <c r="A50" s="22" t="s">
        <v>276</v>
      </c>
      <c r="B50" s="11" t="s">
        <v>273</v>
      </c>
      <c r="C50" s="12"/>
      <c r="D50" s="13"/>
      <c r="E50" s="14">
        <f t="shared" si="6"/>
        <v>0</v>
      </c>
      <c r="F50" s="16">
        <f t="shared" si="5"/>
        <v>0.017</v>
      </c>
      <c r="G50" s="14"/>
      <c r="H50" s="16">
        <v>0.0053</v>
      </c>
    </row>
    <row r="51" spans="1:8">
      <c r="A51" s="23"/>
      <c r="B51" s="11" t="s">
        <v>274</v>
      </c>
      <c r="C51" s="12"/>
      <c r="D51" s="13"/>
      <c r="E51" s="14">
        <f t="shared" si="6"/>
        <v>0</v>
      </c>
      <c r="F51" s="3">
        <f t="shared" si="5"/>
        <v>0.029</v>
      </c>
      <c r="G51" s="14"/>
      <c r="H51" s="16">
        <v>0.0341</v>
      </c>
    </row>
    <row r="52" spans="1:8">
      <c r="A52" s="11" t="s">
        <v>61</v>
      </c>
      <c r="B52" s="11"/>
      <c r="C52" s="12"/>
      <c r="D52" s="13"/>
      <c r="E52" s="14">
        <f t="shared" si="6"/>
        <v>0</v>
      </c>
      <c r="F52" s="16">
        <f t="shared" si="5"/>
        <v>0.05</v>
      </c>
      <c r="G52" s="14"/>
      <c r="H52" s="16">
        <v>0.011</v>
      </c>
    </row>
    <row r="55" spans="1:9">
      <c r="A55" s="1"/>
      <c r="B55" s="1"/>
      <c r="C55" s="1"/>
      <c r="D55" s="1"/>
      <c r="E55" s="1"/>
      <c r="F55" s="1"/>
      <c r="G55" s="4" t="s">
        <v>261</v>
      </c>
      <c r="H55" s="4"/>
      <c r="I55" s="24"/>
    </row>
    <row r="56" spans="1:9">
      <c r="A56" s="5" t="s">
        <v>262</v>
      </c>
      <c r="B56" s="5"/>
      <c r="C56" s="6" t="str">
        <f>C2</f>
        <v>西安工厂平均值</v>
      </c>
      <c r="D56" s="7"/>
      <c r="E56" s="7"/>
      <c r="F56" s="7"/>
      <c r="G56" s="7"/>
      <c r="H56" s="8"/>
      <c r="I56" s="25" t="s">
        <v>264</v>
      </c>
    </row>
    <row r="57" ht="28" spans="1:9">
      <c r="A57" s="5"/>
      <c r="B57" s="5"/>
      <c r="C57" s="9" t="s">
        <v>265</v>
      </c>
      <c r="D57" s="9" t="s">
        <v>266</v>
      </c>
      <c r="E57" s="9" t="s">
        <v>267</v>
      </c>
      <c r="F57" s="10" t="s">
        <v>268</v>
      </c>
      <c r="G57" s="10" t="s">
        <v>269</v>
      </c>
      <c r="H57" s="10" t="s">
        <v>270</v>
      </c>
      <c r="I57" s="27">
        <f>销量!G8</f>
        <v>0</v>
      </c>
    </row>
    <row r="58" spans="1:8">
      <c r="A58" s="11" t="s">
        <v>271</v>
      </c>
      <c r="B58" s="11"/>
      <c r="C58" s="12"/>
      <c r="D58" s="13"/>
      <c r="E58" s="14">
        <f>$I$57*F58</f>
        <v>0</v>
      </c>
      <c r="F58" s="15">
        <f t="shared" ref="F58:F65" si="7">F4</f>
        <v>0.027</v>
      </c>
      <c r="G58" s="14"/>
      <c r="H58" s="16">
        <v>0.0448</v>
      </c>
    </row>
    <row r="59" spans="1:8">
      <c r="A59" s="11" t="s">
        <v>272</v>
      </c>
      <c r="B59" s="11" t="s">
        <v>273</v>
      </c>
      <c r="C59" s="12"/>
      <c r="D59" s="13"/>
      <c r="E59" s="14">
        <f t="shared" ref="E59:E65" si="8">$I$57*F59</f>
        <v>0</v>
      </c>
      <c r="F59" s="16">
        <f t="shared" si="7"/>
        <v>0.077</v>
      </c>
      <c r="G59" s="14"/>
      <c r="H59" s="16">
        <v>0.0404</v>
      </c>
    </row>
    <row r="60" spans="1:8">
      <c r="A60" s="11"/>
      <c r="B60" s="11" t="s">
        <v>274</v>
      </c>
      <c r="C60" s="12"/>
      <c r="D60" s="13"/>
      <c r="E60" s="14">
        <f t="shared" si="8"/>
        <v>0</v>
      </c>
      <c r="F60" s="15">
        <f t="shared" si="7"/>
        <v>0.013</v>
      </c>
      <c r="G60" s="14"/>
      <c r="H60" s="16">
        <v>0.0166</v>
      </c>
    </row>
    <row r="61" spans="1:8">
      <c r="A61" s="6" t="s">
        <v>275</v>
      </c>
      <c r="B61" s="8"/>
      <c r="C61" s="17"/>
      <c r="D61" s="18"/>
      <c r="E61" s="14">
        <f t="shared" si="8"/>
        <v>0</v>
      </c>
      <c r="F61" s="19">
        <f t="shared" si="7"/>
        <v>0.117</v>
      </c>
      <c r="G61" s="20"/>
      <c r="H61" s="20">
        <f>SUM(H58:H60)</f>
        <v>0.1018</v>
      </c>
    </row>
    <row r="62" spans="1:8">
      <c r="A62" s="11" t="s">
        <v>58</v>
      </c>
      <c r="B62" s="11"/>
      <c r="C62" s="12"/>
      <c r="D62" s="13"/>
      <c r="E62" s="14">
        <f t="shared" si="8"/>
        <v>0</v>
      </c>
      <c r="F62" s="21">
        <f t="shared" si="7"/>
        <v>0.023</v>
      </c>
      <c r="G62" s="14"/>
      <c r="H62" s="16">
        <f>1.97%+0.75%</f>
        <v>0.0272</v>
      </c>
    </row>
    <row r="63" spans="1:8">
      <c r="A63" s="22" t="s">
        <v>276</v>
      </c>
      <c r="B63" s="11" t="s">
        <v>273</v>
      </c>
      <c r="C63" s="12"/>
      <c r="D63" s="13"/>
      <c r="E63" s="14">
        <f t="shared" si="8"/>
        <v>0</v>
      </c>
      <c r="F63" s="16">
        <f t="shared" si="7"/>
        <v>0.017</v>
      </c>
      <c r="G63" s="14"/>
      <c r="H63" s="16">
        <v>0.0053</v>
      </c>
    </row>
    <row r="64" spans="1:8">
      <c r="A64" s="23"/>
      <c r="B64" s="11" t="s">
        <v>274</v>
      </c>
      <c r="C64" s="12"/>
      <c r="D64" s="13"/>
      <c r="E64" s="14">
        <f t="shared" si="8"/>
        <v>0</v>
      </c>
      <c r="F64" s="3">
        <f t="shared" si="7"/>
        <v>0.029</v>
      </c>
      <c r="G64" s="14"/>
      <c r="H64" s="16">
        <v>0.0341</v>
      </c>
    </row>
    <row r="65" spans="1:8">
      <c r="A65" s="11" t="s">
        <v>61</v>
      </c>
      <c r="B65" s="11"/>
      <c r="C65" s="12"/>
      <c r="D65" s="13"/>
      <c r="E65" s="14">
        <f t="shared" si="8"/>
        <v>0</v>
      </c>
      <c r="F65" s="16">
        <f t="shared" si="7"/>
        <v>0.05</v>
      </c>
      <c r="G65" s="14"/>
      <c r="H65" s="16">
        <v>0.011</v>
      </c>
    </row>
    <row r="68" spans="1:9">
      <c r="A68" s="1"/>
      <c r="B68" s="1"/>
      <c r="C68" s="1"/>
      <c r="D68" s="1"/>
      <c r="E68" s="1"/>
      <c r="F68" s="1"/>
      <c r="G68" s="4" t="s">
        <v>261</v>
      </c>
      <c r="H68" s="4"/>
      <c r="I68" s="24"/>
    </row>
    <row r="69" spans="1:9">
      <c r="A69" s="5" t="s">
        <v>262</v>
      </c>
      <c r="B69" s="5"/>
      <c r="C69" s="6" t="str">
        <f>C2</f>
        <v>西安工厂平均值</v>
      </c>
      <c r="D69" s="7"/>
      <c r="E69" s="7"/>
      <c r="F69" s="7"/>
      <c r="G69" s="7"/>
      <c r="H69" s="8"/>
      <c r="I69" s="25" t="s">
        <v>264</v>
      </c>
    </row>
    <row r="70" ht="28" spans="1:9">
      <c r="A70" s="5"/>
      <c r="B70" s="5"/>
      <c r="C70" s="9" t="s">
        <v>265</v>
      </c>
      <c r="D70" s="9" t="s">
        <v>266</v>
      </c>
      <c r="E70" s="9" t="s">
        <v>267</v>
      </c>
      <c r="F70" s="10" t="s">
        <v>268</v>
      </c>
      <c r="G70" s="10" t="s">
        <v>269</v>
      </c>
      <c r="H70" s="10" t="s">
        <v>270</v>
      </c>
      <c r="I70" s="27">
        <f>销量!H8</f>
        <v>0</v>
      </c>
    </row>
    <row r="71" spans="1:8">
      <c r="A71" s="11" t="s">
        <v>271</v>
      </c>
      <c r="B71" s="11"/>
      <c r="C71" s="12"/>
      <c r="D71" s="13"/>
      <c r="E71" s="14">
        <f>$I$70*F71</f>
        <v>0</v>
      </c>
      <c r="F71" s="15">
        <f t="shared" ref="F71:F78" si="9">F4</f>
        <v>0.027</v>
      </c>
      <c r="G71" s="14"/>
      <c r="H71" s="16">
        <v>0.0448</v>
      </c>
    </row>
    <row r="72" spans="1:8">
      <c r="A72" s="11" t="s">
        <v>272</v>
      </c>
      <c r="B72" s="11" t="s">
        <v>273</v>
      </c>
      <c r="C72" s="12"/>
      <c r="D72" s="13"/>
      <c r="E72" s="14">
        <f t="shared" ref="E72:E78" si="10">$I$70*F72</f>
        <v>0</v>
      </c>
      <c r="F72" s="16">
        <f t="shared" si="9"/>
        <v>0.077</v>
      </c>
      <c r="G72" s="14"/>
      <c r="H72" s="16">
        <v>0.0404</v>
      </c>
    </row>
    <row r="73" spans="1:8">
      <c r="A73" s="11"/>
      <c r="B73" s="11" t="s">
        <v>274</v>
      </c>
      <c r="C73" s="12"/>
      <c r="D73" s="13"/>
      <c r="E73" s="14">
        <f t="shared" si="10"/>
        <v>0</v>
      </c>
      <c r="F73" s="15">
        <f t="shared" si="9"/>
        <v>0.013</v>
      </c>
      <c r="G73" s="14"/>
      <c r="H73" s="16">
        <v>0.0166</v>
      </c>
    </row>
    <row r="74" spans="1:8">
      <c r="A74" s="6" t="s">
        <v>275</v>
      </c>
      <c r="B74" s="8"/>
      <c r="C74" s="17"/>
      <c r="D74" s="18"/>
      <c r="E74" s="14">
        <f t="shared" si="10"/>
        <v>0</v>
      </c>
      <c r="F74" s="19">
        <f t="shared" si="9"/>
        <v>0.117</v>
      </c>
      <c r="G74" s="20"/>
      <c r="H74" s="20">
        <f>SUM(H71:H73)</f>
        <v>0.1018</v>
      </c>
    </row>
    <row r="75" spans="1:8">
      <c r="A75" s="11" t="s">
        <v>58</v>
      </c>
      <c r="B75" s="11"/>
      <c r="C75" s="12"/>
      <c r="D75" s="13"/>
      <c r="E75" s="14">
        <f t="shared" si="10"/>
        <v>0</v>
      </c>
      <c r="F75" s="21">
        <f t="shared" si="9"/>
        <v>0.023</v>
      </c>
      <c r="G75" s="14"/>
      <c r="H75" s="16">
        <f>1.97%+0.75%</f>
        <v>0.0272</v>
      </c>
    </row>
    <row r="76" spans="1:8">
      <c r="A76" s="22" t="s">
        <v>276</v>
      </c>
      <c r="B76" s="11" t="s">
        <v>273</v>
      </c>
      <c r="C76" s="12"/>
      <c r="D76" s="13"/>
      <c r="E76" s="14">
        <f t="shared" si="10"/>
        <v>0</v>
      </c>
      <c r="F76" s="16">
        <f t="shared" si="9"/>
        <v>0.017</v>
      </c>
      <c r="G76" s="14"/>
      <c r="H76" s="16">
        <v>0.0053</v>
      </c>
    </row>
    <row r="77" spans="1:8">
      <c r="A77" s="23"/>
      <c r="B77" s="11" t="s">
        <v>274</v>
      </c>
      <c r="C77" s="12"/>
      <c r="D77" s="13"/>
      <c r="E77" s="14">
        <f t="shared" si="10"/>
        <v>0</v>
      </c>
      <c r="F77" s="3">
        <f t="shared" si="9"/>
        <v>0.029</v>
      </c>
      <c r="G77" s="14"/>
      <c r="H77" s="16">
        <v>0.0341</v>
      </c>
    </row>
    <row r="78" spans="1:8">
      <c r="A78" s="11" t="s">
        <v>61</v>
      </c>
      <c r="B78" s="11"/>
      <c r="C78" s="12"/>
      <c r="D78" s="13"/>
      <c r="E78" s="14">
        <f t="shared" si="10"/>
        <v>0</v>
      </c>
      <c r="F78" s="16">
        <f t="shared" si="9"/>
        <v>0.05</v>
      </c>
      <c r="G78" s="14"/>
      <c r="H78" s="16">
        <v>0.011</v>
      </c>
    </row>
  </sheetData>
  <mergeCells count="54">
    <mergeCell ref="G1:H1"/>
    <mergeCell ref="C2:H2"/>
    <mergeCell ref="A4:B4"/>
    <mergeCell ref="A7:B7"/>
    <mergeCell ref="A8:B8"/>
    <mergeCell ref="A11:B11"/>
    <mergeCell ref="G15:H15"/>
    <mergeCell ref="C16:H16"/>
    <mergeCell ref="A18:B18"/>
    <mergeCell ref="A21:B21"/>
    <mergeCell ref="A22:B22"/>
    <mergeCell ref="A25:B25"/>
    <mergeCell ref="G29:H29"/>
    <mergeCell ref="C30:H30"/>
    <mergeCell ref="A32:B32"/>
    <mergeCell ref="A35:B35"/>
    <mergeCell ref="A36:B36"/>
    <mergeCell ref="A39:B39"/>
    <mergeCell ref="G42:H42"/>
    <mergeCell ref="C43:H43"/>
    <mergeCell ref="A45:B45"/>
    <mergeCell ref="A48:B48"/>
    <mergeCell ref="A49:B49"/>
    <mergeCell ref="A52:B52"/>
    <mergeCell ref="G55:H55"/>
    <mergeCell ref="C56:H56"/>
    <mergeCell ref="A58:B58"/>
    <mergeCell ref="A61:B61"/>
    <mergeCell ref="A62:B62"/>
    <mergeCell ref="A65:B65"/>
    <mergeCell ref="G68:H68"/>
    <mergeCell ref="C69:H69"/>
    <mergeCell ref="A71:B71"/>
    <mergeCell ref="A74:B74"/>
    <mergeCell ref="A75:B75"/>
    <mergeCell ref="A78:B78"/>
    <mergeCell ref="A5:A6"/>
    <mergeCell ref="A9:A10"/>
    <mergeCell ref="A19:A20"/>
    <mergeCell ref="A23:A24"/>
    <mergeCell ref="A33:A34"/>
    <mergeCell ref="A37:A38"/>
    <mergeCell ref="A46:A47"/>
    <mergeCell ref="A50:A51"/>
    <mergeCell ref="A59:A60"/>
    <mergeCell ref="A63:A64"/>
    <mergeCell ref="A72:A73"/>
    <mergeCell ref="A76:A77"/>
    <mergeCell ref="A69:B70"/>
    <mergeCell ref="A56:B57"/>
    <mergeCell ref="A43:B44"/>
    <mergeCell ref="A30:B31"/>
    <mergeCell ref="A16:B17"/>
    <mergeCell ref="A2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9"/>
  <sheetViews>
    <sheetView tabSelected="1" workbookViewId="0">
      <pane xSplit="3" ySplit="7" topLeftCell="D14" activePane="bottomRight" state="frozen"/>
      <selection/>
      <selection pane="topRight"/>
      <selection pane="bottomLeft"/>
      <selection pane="bottomRight" activeCell="A1" sqref="A1:H1"/>
    </sheetView>
  </sheetViews>
  <sheetFormatPr defaultColWidth="9" defaultRowHeight="14.5"/>
  <cols>
    <col min="1" max="1" width="5.12727272727273" style="213" customWidth="1"/>
    <col min="2" max="2" width="35.7545454545455" style="213" customWidth="1"/>
    <col min="3" max="7" width="15.0909090909091" style="214" customWidth="1"/>
    <col min="8" max="8" width="16.5" style="214" customWidth="1"/>
    <col min="9" max="9" width="15.5" style="213" customWidth="1"/>
    <col min="10" max="35" width="9" style="213"/>
    <col min="36" max="36" width="4.37272727272727" style="213" customWidth="1"/>
    <col min="37" max="37" width="13.8727272727273" style="213" customWidth="1"/>
    <col min="38" max="16384" width="9" style="213"/>
  </cols>
  <sheetData>
    <row r="1" ht="27" customHeight="1" spans="1:8">
      <c r="A1" s="215" t="s">
        <v>19</v>
      </c>
      <c r="B1" s="215"/>
      <c r="C1" s="215"/>
      <c r="D1" s="215"/>
      <c r="E1" s="215"/>
      <c r="F1" s="215"/>
      <c r="G1" s="215"/>
      <c r="H1" s="215"/>
    </row>
    <row r="2" s="210" customFormat="1" ht="27" customHeight="1" spans="1:8">
      <c r="A2" s="216"/>
      <c r="B2" s="217"/>
      <c r="C2" s="217"/>
      <c r="D2" s="217" t="s">
        <v>20</v>
      </c>
      <c r="E2" s="217"/>
      <c r="F2" s="217"/>
      <c r="G2" s="217" t="s">
        <v>21</v>
      </c>
      <c r="H2" s="217"/>
    </row>
    <row r="3" ht="15.75" customHeight="1" spans="1:38">
      <c r="A3" s="218" t="s">
        <v>22</v>
      </c>
      <c r="B3" s="154" t="s">
        <v>1</v>
      </c>
      <c r="C3" s="219" t="s">
        <v>23</v>
      </c>
      <c r="D3" s="219" t="s">
        <v>24</v>
      </c>
      <c r="E3" s="219" t="s">
        <v>25</v>
      </c>
      <c r="F3" s="219" t="s">
        <v>26</v>
      </c>
      <c r="G3" s="219" t="s">
        <v>27</v>
      </c>
      <c r="H3" s="151" t="s">
        <v>28</v>
      </c>
      <c r="AL3" s="213" t="s">
        <v>29</v>
      </c>
    </row>
    <row r="4" s="142" customFormat="1" ht="15.75" customHeight="1" spans="1:38">
      <c r="A4" s="220"/>
      <c r="B4" s="154" t="s">
        <v>3</v>
      </c>
      <c r="C4" s="221">
        <f>'2024年'!G6</f>
        <v>1500</v>
      </c>
      <c r="D4" s="221">
        <f>'2025年'!G6</f>
        <v>1500</v>
      </c>
      <c r="E4" s="221">
        <f>'2026年'!G6</f>
        <v>1500</v>
      </c>
      <c r="F4" s="221">
        <f>'2027年'!G6</f>
        <v>1500</v>
      </c>
      <c r="G4" s="221">
        <f>'2028年'!G6</f>
        <v>1500</v>
      </c>
      <c r="H4" s="222">
        <f t="shared" ref="H4:H12" si="0">SUM(C4:G4)</f>
        <v>7500</v>
      </c>
      <c r="I4" s="156"/>
      <c r="AJ4" s="153" t="s">
        <v>22</v>
      </c>
      <c r="AK4" s="154" t="s">
        <v>3</v>
      </c>
      <c r="AL4" s="142" t="s">
        <v>30</v>
      </c>
    </row>
    <row r="5" s="142" customFormat="1" ht="15.75" customHeight="1" spans="1:38">
      <c r="A5" s="144">
        <v>1</v>
      </c>
      <c r="B5" s="154" t="s">
        <v>31</v>
      </c>
      <c r="C5" s="221">
        <f>'2024年'!G7</f>
        <v>1342500</v>
      </c>
      <c r="D5" s="221">
        <f>'2025年'!G7</f>
        <v>1342500</v>
      </c>
      <c r="E5" s="221">
        <f>'2026年'!G7</f>
        <v>1342500</v>
      </c>
      <c r="F5" s="221">
        <f>'2027年'!G7</f>
        <v>1342500</v>
      </c>
      <c r="G5" s="221">
        <f>'2028年'!G7</f>
        <v>1342500</v>
      </c>
      <c r="H5" s="221">
        <f t="shared" si="0"/>
        <v>6712500</v>
      </c>
      <c r="I5" s="156"/>
      <c r="AJ5" s="153" t="s">
        <v>32</v>
      </c>
      <c r="AK5" s="154" t="s">
        <v>31</v>
      </c>
      <c r="AL5" s="142" t="s">
        <v>30</v>
      </c>
    </row>
    <row r="6" s="142" customFormat="1" ht="15.75" customHeight="1" spans="1:38">
      <c r="A6" s="144">
        <v>2</v>
      </c>
      <c r="B6" s="144" t="s">
        <v>33</v>
      </c>
      <c r="C6" s="221">
        <f>'2024年'!G8</f>
        <v>0</v>
      </c>
      <c r="D6" s="221">
        <f>'2025年'!G8</f>
        <v>0</v>
      </c>
      <c r="E6" s="221">
        <f>'2026年'!G8</f>
        <v>0</v>
      </c>
      <c r="F6" s="221">
        <f>'2027年'!G8</f>
        <v>0</v>
      </c>
      <c r="G6" s="221">
        <f>'2028年'!G8</f>
        <v>0</v>
      </c>
      <c r="H6" s="221">
        <f t="shared" si="0"/>
        <v>0</v>
      </c>
      <c r="I6" s="156"/>
      <c r="AJ6" s="153" t="s">
        <v>34</v>
      </c>
      <c r="AK6" s="144" t="s">
        <v>35</v>
      </c>
      <c r="AL6" s="142" t="s">
        <v>30</v>
      </c>
    </row>
    <row r="7" s="142" customFormat="1" ht="15.75" customHeight="1" spans="1:38">
      <c r="A7" s="144">
        <v>3</v>
      </c>
      <c r="B7" s="154" t="s">
        <v>36</v>
      </c>
      <c r="C7" s="223">
        <f>+C5-C6</f>
        <v>1342500</v>
      </c>
      <c r="D7" s="223">
        <f>'2025年'!G9</f>
        <v>1342500</v>
      </c>
      <c r="E7" s="223">
        <f>'2026年'!G9</f>
        <v>1342500</v>
      </c>
      <c r="F7" s="223">
        <f>'2027年'!G9</f>
        <v>1342500</v>
      </c>
      <c r="G7" s="221">
        <f>'2028年'!G9</f>
        <v>1342500</v>
      </c>
      <c r="H7" s="221">
        <f t="shared" si="0"/>
        <v>6712500</v>
      </c>
      <c r="I7" s="156"/>
      <c r="AJ7" s="153" t="s">
        <v>37</v>
      </c>
      <c r="AK7" s="154" t="s">
        <v>36</v>
      </c>
      <c r="AL7" s="142" t="s">
        <v>38</v>
      </c>
    </row>
    <row r="8" s="142" customFormat="1" ht="15.75" customHeight="1" spans="1:38">
      <c r="A8" s="144">
        <v>4</v>
      </c>
      <c r="B8" s="153" t="s">
        <v>39</v>
      </c>
      <c r="C8" s="221">
        <f>'2024年'!G10</f>
        <v>396000</v>
      </c>
      <c r="D8" s="221">
        <f>'2025年'!G10</f>
        <v>396000</v>
      </c>
      <c r="E8" s="221">
        <f>'2026年'!G10</f>
        <v>396000</v>
      </c>
      <c r="F8" s="221">
        <f>'2027年'!G10</f>
        <v>396000</v>
      </c>
      <c r="G8" s="221">
        <f>'2028年'!G10</f>
        <v>396000</v>
      </c>
      <c r="H8" s="221">
        <f t="shared" si="0"/>
        <v>1980000</v>
      </c>
      <c r="I8" s="156"/>
      <c r="AJ8" s="153" t="s">
        <v>40</v>
      </c>
      <c r="AK8" s="153" t="s">
        <v>39</v>
      </c>
      <c r="AL8" s="142" t="s">
        <v>41</v>
      </c>
    </row>
    <row r="9" s="142" customFormat="1" ht="15.75" customHeight="1" spans="1:37">
      <c r="A9" s="144">
        <v>5</v>
      </c>
      <c r="B9" s="153" t="s">
        <v>42</v>
      </c>
      <c r="C9" s="221">
        <f>'2024年'!G11</f>
        <v>36247.5</v>
      </c>
      <c r="D9" s="221">
        <f>'2025年'!G11</f>
        <v>36247.5</v>
      </c>
      <c r="E9" s="221">
        <f>'2026年'!G11</f>
        <v>36247.5</v>
      </c>
      <c r="F9" s="221">
        <f>'2027年'!G11</f>
        <v>36247.5</v>
      </c>
      <c r="G9" s="221">
        <f>'2028年'!G11</f>
        <v>36247.5</v>
      </c>
      <c r="H9" s="221">
        <f t="shared" si="0"/>
        <v>181237.5</v>
      </c>
      <c r="I9" s="156"/>
      <c r="AJ9" s="153" t="s">
        <v>43</v>
      </c>
      <c r="AK9" s="153" t="s">
        <v>42</v>
      </c>
    </row>
    <row r="10" s="142" customFormat="1" ht="15.75" customHeight="1" spans="1:37">
      <c r="A10" s="144">
        <v>6</v>
      </c>
      <c r="B10" s="153" t="s">
        <v>44</v>
      </c>
      <c r="C10" s="221">
        <f>'2024年'!G12</f>
        <v>17452.5</v>
      </c>
      <c r="D10" s="221">
        <f>'2025年'!G12</f>
        <v>17452.5</v>
      </c>
      <c r="E10" s="221">
        <f>'2026年'!G12</f>
        <v>17452.5</v>
      </c>
      <c r="F10" s="221">
        <f>'2027年'!G12</f>
        <v>17452.5</v>
      </c>
      <c r="G10" s="221">
        <f>'2028年'!G12</f>
        <v>17452.5</v>
      </c>
      <c r="H10" s="221">
        <f t="shared" si="0"/>
        <v>87262.5</v>
      </c>
      <c r="I10" s="156"/>
      <c r="AJ10" s="153" t="s">
        <v>45</v>
      </c>
      <c r="AK10" s="153" t="s">
        <v>44</v>
      </c>
    </row>
    <row r="11" s="142" customFormat="1" ht="15.75" customHeight="1" spans="1:38">
      <c r="A11" s="144">
        <v>7</v>
      </c>
      <c r="B11" s="224" t="s">
        <v>46</v>
      </c>
      <c r="C11" s="221">
        <f>'2024年'!G13</f>
        <v>38932.5</v>
      </c>
      <c r="D11" s="221">
        <f>'2025年'!G13</f>
        <v>38932.5</v>
      </c>
      <c r="E11" s="221">
        <f>'2026年'!G13</f>
        <v>38932.5</v>
      </c>
      <c r="F11" s="221">
        <f>'2027年'!G13</f>
        <v>38932.5</v>
      </c>
      <c r="G11" s="221">
        <f>'2028年'!G13</f>
        <v>38932.5</v>
      </c>
      <c r="H11" s="221">
        <f t="shared" si="0"/>
        <v>194662.5</v>
      </c>
      <c r="I11" s="156"/>
      <c r="AJ11" s="153" t="s">
        <v>47</v>
      </c>
      <c r="AK11" s="153" t="s">
        <v>46</v>
      </c>
      <c r="AL11" s="142" t="s">
        <v>30</v>
      </c>
    </row>
    <row r="12" s="142" customFormat="1" ht="15.75" customHeight="1" spans="1:37">
      <c r="A12" s="144">
        <v>8</v>
      </c>
      <c r="B12" s="225" t="s">
        <v>48</v>
      </c>
      <c r="C12" s="226">
        <f>'2024年'!G14</f>
        <v>92632.5</v>
      </c>
      <c r="D12" s="226">
        <f>'2025年'!G14</f>
        <v>92632.5</v>
      </c>
      <c r="E12" s="226">
        <f>'2026年'!G14</f>
        <v>92632.5</v>
      </c>
      <c r="F12" s="226">
        <f>'2027年'!G14</f>
        <v>92632.5</v>
      </c>
      <c r="G12" s="226">
        <f>'2028年'!G14</f>
        <v>92632.5</v>
      </c>
      <c r="H12" s="226">
        <f t="shared" si="0"/>
        <v>463162.5</v>
      </c>
      <c r="I12" s="156"/>
      <c r="AJ12" s="153" t="s">
        <v>49</v>
      </c>
      <c r="AK12" s="157" t="s">
        <v>48</v>
      </c>
    </row>
    <row r="13" s="142" customFormat="1" ht="15.75" customHeight="1" spans="1:37">
      <c r="A13" s="144">
        <v>9</v>
      </c>
      <c r="B13" s="227" t="s">
        <v>50</v>
      </c>
      <c r="C13" s="221">
        <f>'2024年'!G15</f>
        <v>853867.5</v>
      </c>
      <c r="D13" s="221">
        <f>'2025年'!G15</f>
        <v>853867.5</v>
      </c>
      <c r="E13" s="221">
        <f>'2026年'!G15</f>
        <v>853867.5</v>
      </c>
      <c r="F13" s="221">
        <f>'2027年'!G15</f>
        <v>853867.5</v>
      </c>
      <c r="G13" s="221">
        <f>'2028年'!G15</f>
        <v>853867.5</v>
      </c>
      <c r="H13" s="221">
        <f>H7-H8-H12</f>
        <v>4269337.5</v>
      </c>
      <c r="I13" s="156"/>
      <c r="K13" s="213"/>
      <c r="L13" s="213"/>
      <c r="M13" s="213"/>
      <c r="N13" s="213"/>
      <c r="O13" s="213"/>
      <c r="P13" s="213"/>
      <c r="AJ13" s="153" t="s">
        <v>51</v>
      </c>
      <c r="AK13" s="157" t="s">
        <v>50</v>
      </c>
    </row>
    <row r="14" ht="15.75" customHeight="1" spans="1:37">
      <c r="A14" s="144">
        <v>10</v>
      </c>
      <c r="B14" s="228" t="s">
        <v>52</v>
      </c>
      <c r="C14" s="229">
        <f>+C13/C7</f>
        <v>0.636027932960894</v>
      </c>
      <c r="D14" s="229">
        <f>'2025年'!G16</f>
        <v>0.636027932960894</v>
      </c>
      <c r="E14" s="229">
        <f>'2026年'!G16</f>
        <v>0.636027932960894</v>
      </c>
      <c r="F14" s="229">
        <f>'2027年'!G16</f>
        <v>0.636027932960894</v>
      </c>
      <c r="G14" s="229">
        <f>'2028年'!G16</f>
        <v>0.636027932960894</v>
      </c>
      <c r="H14" s="229">
        <f>+H13/H7</f>
        <v>0.636027932960894</v>
      </c>
      <c r="I14" s="156"/>
      <c r="AJ14" s="228" t="s">
        <v>53</v>
      </c>
      <c r="AK14" s="228" t="s">
        <v>52</v>
      </c>
    </row>
    <row r="15" ht="15.75" customHeight="1" spans="1:37">
      <c r="A15" s="144">
        <v>11</v>
      </c>
      <c r="B15" s="228" t="s">
        <v>54</v>
      </c>
      <c r="C15" s="221">
        <f>'2024年'!G17</f>
        <v>135672.5</v>
      </c>
      <c r="D15" s="221">
        <f>'2025年'!G17</f>
        <v>135672.5</v>
      </c>
      <c r="E15" s="221">
        <f>'2026年'!G17</f>
        <v>135672.5</v>
      </c>
      <c r="F15" s="221">
        <f>'2027年'!G17</f>
        <v>135672.5</v>
      </c>
      <c r="G15" s="221">
        <f>'2028年'!G17</f>
        <v>135672.5</v>
      </c>
      <c r="H15" s="221">
        <f>SUM(C15:G15)</f>
        <v>678362.5</v>
      </c>
      <c r="I15" s="156"/>
      <c r="AJ15" s="228" t="s">
        <v>55</v>
      </c>
      <c r="AK15" s="228" t="s">
        <v>54</v>
      </c>
    </row>
    <row r="16" ht="15.75" hidden="1" customHeight="1" spans="1:37">
      <c r="A16" s="144"/>
      <c r="B16" s="228"/>
      <c r="C16" s="221"/>
      <c r="D16" s="221"/>
      <c r="E16" s="221"/>
      <c r="F16" s="221">
        <f>'2027年'!G18</f>
        <v>32300</v>
      </c>
      <c r="G16" s="221">
        <f>'2028年'!G18</f>
        <v>32300</v>
      </c>
      <c r="H16" s="221"/>
      <c r="I16" s="156"/>
      <c r="AJ16" s="228"/>
      <c r="AK16" s="228"/>
    </row>
    <row r="17" ht="15.75" customHeight="1" spans="1:38">
      <c r="A17" s="144">
        <v>12</v>
      </c>
      <c r="B17" s="228" t="s">
        <v>56</v>
      </c>
      <c r="C17" s="230">
        <f>'2024年'!G19</f>
        <v>22822.5</v>
      </c>
      <c r="D17" s="230">
        <f>'2025年'!G19</f>
        <v>22822.5</v>
      </c>
      <c r="E17" s="230">
        <f>'2026年'!G19</f>
        <v>22822.5</v>
      </c>
      <c r="F17" s="230">
        <f>'2027年'!G19</f>
        <v>22822.5</v>
      </c>
      <c r="G17" s="221">
        <f>'2028年'!G19</f>
        <v>22822.5</v>
      </c>
      <c r="H17" s="221">
        <f>SUM(C17:G17)</f>
        <v>114112.5</v>
      </c>
      <c r="I17" s="156"/>
      <c r="Q17" s="156"/>
      <c r="AJ17" s="228" t="s">
        <v>57</v>
      </c>
      <c r="AK17" s="228" t="s">
        <v>56</v>
      </c>
      <c r="AL17" s="213" t="s">
        <v>30</v>
      </c>
    </row>
    <row r="18" ht="15.75" customHeight="1" spans="1:37">
      <c r="A18" s="144">
        <v>13</v>
      </c>
      <c r="B18" s="228" t="s">
        <v>58</v>
      </c>
      <c r="C18" s="230">
        <f>'2024年'!G20</f>
        <v>30877.5</v>
      </c>
      <c r="D18" s="230">
        <f>'2025年'!G20</f>
        <v>30877.5</v>
      </c>
      <c r="E18" s="230">
        <f>'2026年'!G20</f>
        <v>30877.5</v>
      </c>
      <c r="F18" s="230">
        <f>'2027年'!G20</f>
        <v>30877.5</v>
      </c>
      <c r="G18" s="221">
        <f>'2028年'!G20</f>
        <v>30877.5</v>
      </c>
      <c r="H18" s="221">
        <f>SUM(C18:G18)</f>
        <v>154387.5</v>
      </c>
      <c r="I18" s="156"/>
      <c r="J18" s="213"/>
      <c r="AJ18" s="228" t="s">
        <v>59</v>
      </c>
      <c r="AK18" s="228" t="s">
        <v>58</v>
      </c>
    </row>
    <row r="19" s="141" customFormat="1" ht="15.75" customHeight="1" spans="1:37">
      <c r="A19" s="144">
        <v>14</v>
      </c>
      <c r="B19" s="163" t="s">
        <v>60</v>
      </c>
      <c r="C19" s="231">
        <f>'2024年'!G21</f>
        <v>31000</v>
      </c>
      <c r="D19" s="231">
        <f>'2025年'!G21</f>
        <v>31000</v>
      </c>
      <c r="E19" s="231">
        <f>'2026年'!G21</f>
        <v>31000</v>
      </c>
      <c r="F19" s="231">
        <f>'2027年'!G21</f>
        <v>31000</v>
      </c>
      <c r="G19" s="231">
        <f>'2028年'!G21</f>
        <v>31000</v>
      </c>
      <c r="H19" s="221">
        <f>SUM(C19:G19)</f>
        <v>155000</v>
      </c>
      <c r="I19" s="156"/>
      <c r="AJ19" s="163"/>
      <c r="AK19" s="163"/>
    </row>
    <row r="20" s="142" customFormat="1" ht="15.75" customHeight="1" spans="1:37">
      <c r="A20" s="144">
        <v>15</v>
      </c>
      <c r="B20" s="153" t="s">
        <v>61</v>
      </c>
      <c r="C20" s="230">
        <f>'2024年'!G22</f>
        <v>67125</v>
      </c>
      <c r="D20" s="230">
        <f>'2025年'!G22</f>
        <v>67125</v>
      </c>
      <c r="E20" s="230">
        <f>'2026年'!G22</f>
        <v>67125</v>
      </c>
      <c r="F20" s="230">
        <f>'2027年'!G22</f>
        <v>67125</v>
      </c>
      <c r="G20" s="221">
        <f>'2028年'!G22</f>
        <v>67125</v>
      </c>
      <c r="H20" s="221">
        <f>SUM(C20:G20)</f>
        <v>335625</v>
      </c>
      <c r="I20" s="156"/>
      <c r="AJ20" s="153" t="s">
        <v>62</v>
      </c>
      <c r="AK20" s="153" t="s">
        <v>61</v>
      </c>
    </row>
    <row r="21" s="211" customFormat="1" ht="15.75" customHeight="1" spans="1:37">
      <c r="A21" s="144">
        <v>16</v>
      </c>
      <c r="B21" s="232" t="s">
        <v>63</v>
      </c>
      <c r="C21" s="226">
        <f t="shared" ref="C21" si="1">+C20+C19+C18+C17+C15</f>
        <v>287497.5</v>
      </c>
      <c r="D21" s="226">
        <f>'2025年'!G23</f>
        <v>287497.5</v>
      </c>
      <c r="E21" s="226">
        <f>'2026年'!G23</f>
        <v>287497.5</v>
      </c>
      <c r="F21" s="226">
        <f>'2027年'!G23</f>
        <v>287497.5</v>
      </c>
      <c r="G21" s="226">
        <f>'2028年'!G23</f>
        <v>287497.5</v>
      </c>
      <c r="H21" s="226">
        <f>SUM(C21:G21)</f>
        <v>1437487.5</v>
      </c>
      <c r="I21" s="156"/>
      <c r="AJ21" s="245" t="s">
        <v>64</v>
      </c>
      <c r="AK21" s="246" t="s">
        <v>63</v>
      </c>
    </row>
    <row r="22" ht="15.75" customHeight="1" spans="1:37">
      <c r="A22" s="144">
        <v>17</v>
      </c>
      <c r="B22" s="228" t="s">
        <v>65</v>
      </c>
      <c r="C22" s="233">
        <f>+C13-C21</f>
        <v>566370</v>
      </c>
      <c r="D22" s="233">
        <f>'2025年'!G24</f>
        <v>566370</v>
      </c>
      <c r="E22" s="233">
        <f>'2026年'!G24</f>
        <v>566370</v>
      </c>
      <c r="F22" s="233">
        <f>'2027年'!G24</f>
        <v>566370</v>
      </c>
      <c r="G22" s="221">
        <f>'2028年'!G24</f>
        <v>566370</v>
      </c>
      <c r="H22" s="233">
        <f>+H13-H21</f>
        <v>2831850</v>
      </c>
      <c r="I22" s="156"/>
      <c r="AJ22" s="228" t="s">
        <v>66</v>
      </c>
      <c r="AK22" s="228" t="s">
        <v>65</v>
      </c>
    </row>
    <row r="23" ht="15.75" customHeight="1" spans="1:37">
      <c r="A23" s="144">
        <v>18</v>
      </c>
      <c r="B23" s="228" t="s">
        <v>67</v>
      </c>
      <c r="C23" s="233">
        <f>IF(C22&lt;0,0,C22*0.15)</f>
        <v>84955.5</v>
      </c>
      <c r="D23" s="233">
        <f>'2025年'!G25</f>
        <v>84955.5</v>
      </c>
      <c r="E23" s="233">
        <f>'2026年'!G25</f>
        <v>84955.5</v>
      </c>
      <c r="F23" s="233">
        <f>'2027年'!G25</f>
        <v>84955.5</v>
      </c>
      <c r="G23" s="221">
        <f>'2028年'!G25</f>
        <v>84955.5</v>
      </c>
      <c r="H23" s="233">
        <f>IF(H22&lt;0,0,H22*0.15)</f>
        <v>424777.5</v>
      </c>
      <c r="I23" s="156"/>
      <c r="AJ23" s="228" t="s">
        <v>68</v>
      </c>
      <c r="AK23" s="228" t="s">
        <v>69</v>
      </c>
    </row>
    <row r="24" ht="15.75" customHeight="1" spans="1:37">
      <c r="A24" s="144">
        <v>19</v>
      </c>
      <c r="B24" s="228" t="s">
        <v>70</v>
      </c>
      <c r="C24" s="233">
        <f>C22-C23</f>
        <v>481414.5</v>
      </c>
      <c r="D24" s="233">
        <f>'2025年'!G26</f>
        <v>481414.5</v>
      </c>
      <c r="E24" s="233">
        <f>'2026年'!G26</f>
        <v>481414.5</v>
      </c>
      <c r="F24" s="233">
        <f>'2027年'!G26</f>
        <v>481414.5</v>
      </c>
      <c r="G24" s="221">
        <f>'2028年'!G26</f>
        <v>481414.5</v>
      </c>
      <c r="H24" s="222">
        <f>H22-H23</f>
        <v>2407072.5</v>
      </c>
      <c r="I24" s="156"/>
      <c r="AJ24" s="228" t="s">
        <v>71</v>
      </c>
      <c r="AK24" s="228" t="s">
        <v>70</v>
      </c>
    </row>
    <row r="25" ht="15.75" customHeight="1" spans="1:37">
      <c r="A25" s="144">
        <v>20</v>
      </c>
      <c r="B25" s="228" t="s">
        <v>72</v>
      </c>
      <c r="C25" s="234">
        <f>(C24/C5)*100%</f>
        <v>0.358595530726257</v>
      </c>
      <c r="D25" s="234">
        <f>'2025年'!G27</f>
        <v>0.358595530726257</v>
      </c>
      <c r="E25" s="234">
        <f>'2026年'!G27</f>
        <v>0.358595530726257</v>
      </c>
      <c r="F25" s="234">
        <f>'2027年'!G27</f>
        <v>0.358595530726257</v>
      </c>
      <c r="G25" s="234">
        <f>'2028年'!G27</f>
        <v>0.358595530726257</v>
      </c>
      <c r="H25" s="234">
        <f>(H24/H5)*100%</f>
        <v>0.358595530726257</v>
      </c>
      <c r="I25" s="156"/>
      <c r="AJ25" s="247" t="s">
        <v>73</v>
      </c>
      <c r="AK25" s="247" t="s">
        <v>74</v>
      </c>
    </row>
    <row r="26" s="212" customFormat="1" ht="15.75" customHeight="1" spans="3:9">
      <c r="C26" s="235"/>
      <c r="D26" s="235"/>
      <c r="E26" s="235"/>
      <c r="F26" s="235"/>
      <c r="G26" s="235"/>
      <c r="H26" s="235"/>
      <c r="I26" s="244"/>
    </row>
    <row r="27" s="212" customFormat="1" ht="15.75" customHeight="1" spans="1:36">
      <c r="A27" s="212" t="s">
        <v>75</v>
      </c>
      <c r="C27" s="236"/>
      <c r="D27" s="236"/>
      <c r="E27" s="236"/>
      <c r="F27" s="236"/>
      <c r="G27" s="236"/>
      <c r="H27" s="236"/>
      <c r="I27" s="244"/>
      <c r="AJ27" s="212" t="s">
        <v>75</v>
      </c>
    </row>
    <row r="28" ht="15.75" customHeight="1" spans="1:38">
      <c r="A28" s="228" t="s">
        <v>22</v>
      </c>
      <c r="B28" s="237" t="s">
        <v>1</v>
      </c>
      <c r="C28" s="219" t="str">
        <f>C3</f>
        <v>2024年</v>
      </c>
      <c r="D28" s="219" t="str">
        <f>D3</f>
        <v>2025年</v>
      </c>
      <c r="E28" s="219" t="str">
        <f>E3</f>
        <v>2026年</v>
      </c>
      <c r="F28" s="219" t="str">
        <f>F3</f>
        <v>2027年</v>
      </c>
      <c r="G28" s="219" t="str">
        <f>G3</f>
        <v>2028年</v>
      </c>
      <c r="H28" s="151" t="s">
        <v>28</v>
      </c>
      <c r="AL28" s="213" t="s">
        <v>29</v>
      </c>
    </row>
    <row r="29" s="142" customFormat="1" ht="15.75" customHeight="1" spans="1:37">
      <c r="A29" s="153" t="s">
        <v>76</v>
      </c>
      <c r="B29" s="157" t="s">
        <v>77</v>
      </c>
      <c r="C29" s="162"/>
      <c r="D29" s="162"/>
      <c r="E29" s="162"/>
      <c r="F29" s="162"/>
      <c r="G29" s="162"/>
      <c r="H29" s="162"/>
      <c r="I29" s="156"/>
      <c r="AJ29" s="153" t="s">
        <v>78</v>
      </c>
      <c r="AK29" s="157" t="s">
        <v>77</v>
      </c>
    </row>
    <row r="30" s="142" customFormat="1" ht="15.75" customHeight="1" spans="1:37">
      <c r="A30" s="153" t="s">
        <v>32</v>
      </c>
      <c r="B30" s="153" t="s">
        <v>79</v>
      </c>
      <c r="C30" s="155">
        <f>+C7/C4</f>
        <v>895</v>
      </c>
      <c r="D30" s="155">
        <f t="shared" ref="D30:E30" si="2">+D7/D4</f>
        <v>895</v>
      </c>
      <c r="E30" s="155">
        <f t="shared" si="2"/>
        <v>895</v>
      </c>
      <c r="F30" s="155">
        <f t="shared" ref="F30:H30" si="3">+F7/F4</f>
        <v>895</v>
      </c>
      <c r="G30" s="155">
        <f t="shared" si="3"/>
        <v>895</v>
      </c>
      <c r="H30" s="155">
        <f t="shared" si="3"/>
        <v>895</v>
      </c>
      <c r="I30" s="156"/>
      <c r="AJ30" s="153" t="s">
        <v>32</v>
      </c>
      <c r="AK30" s="153" t="s">
        <v>79</v>
      </c>
    </row>
    <row r="31" s="142" customFormat="1" ht="15.75" customHeight="1" spans="1:37">
      <c r="A31" s="153" t="s">
        <v>34</v>
      </c>
      <c r="B31" s="153" t="s">
        <v>80</v>
      </c>
      <c r="C31" s="155">
        <f>+C8/C4</f>
        <v>264</v>
      </c>
      <c r="D31" s="155">
        <f t="shared" ref="D31:E31" si="4">+D8/D4</f>
        <v>264</v>
      </c>
      <c r="E31" s="155">
        <f t="shared" si="4"/>
        <v>264</v>
      </c>
      <c r="F31" s="155">
        <f t="shared" ref="F31:H31" si="5">+F8/F4</f>
        <v>264</v>
      </c>
      <c r="G31" s="155">
        <f t="shared" si="5"/>
        <v>264</v>
      </c>
      <c r="H31" s="155">
        <f t="shared" si="5"/>
        <v>264</v>
      </c>
      <c r="I31" s="156"/>
      <c r="AJ31" s="153" t="s">
        <v>34</v>
      </c>
      <c r="AK31" s="153" t="s">
        <v>80</v>
      </c>
    </row>
    <row r="32" s="142" customFormat="1" ht="15.75" customHeight="1" spans="1:37">
      <c r="A32" s="153" t="s">
        <v>81</v>
      </c>
      <c r="B32" s="153" t="s">
        <v>82</v>
      </c>
      <c r="C32" s="162">
        <f t="shared" ref="C32:H32" si="6">C30-C31</f>
        <v>631</v>
      </c>
      <c r="D32" s="162">
        <f t="shared" si="6"/>
        <v>631</v>
      </c>
      <c r="E32" s="162">
        <f t="shared" si="6"/>
        <v>631</v>
      </c>
      <c r="F32" s="162">
        <f t="shared" ref="F32:G32" si="7">F30-F31</f>
        <v>631</v>
      </c>
      <c r="G32" s="162">
        <f t="shared" si="7"/>
        <v>631</v>
      </c>
      <c r="H32" s="162">
        <f t="shared" si="6"/>
        <v>631</v>
      </c>
      <c r="I32" s="156"/>
      <c r="AJ32" s="153" t="s">
        <v>81</v>
      </c>
      <c r="AK32" s="153" t="s">
        <v>82</v>
      </c>
    </row>
    <row r="33" s="142" customFormat="1" ht="15.75" customHeight="1" spans="1:37">
      <c r="A33" s="153">
        <v>3.1</v>
      </c>
      <c r="B33" s="153" t="s">
        <v>83</v>
      </c>
      <c r="C33" s="238">
        <f t="shared" ref="C33:H33" si="8">C32/C30</f>
        <v>0.705027932960894</v>
      </c>
      <c r="D33" s="238">
        <f t="shared" si="8"/>
        <v>0.705027932960894</v>
      </c>
      <c r="E33" s="238">
        <f t="shared" si="8"/>
        <v>0.705027932960894</v>
      </c>
      <c r="F33" s="238">
        <f t="shared" ref="F33:G33" si="9">F32/F30</f>
        <v>0.705027932960894</v>
      </c>
      <c r="G33" s="238">
        <f t="shared" si="9"/>
        <v>0.705027932960894</v>
      </c>
      <c r="H33" s="238">
        <f t="shared" si="8"/>
        <v>0.705027932960894</v>
      </c>
      <c r="I33" s="156"/>
      <c r="AJ33" s="153"/>
      <c r="AK33" s="153"/>
    </row>
    <row r="34" s="142" customFormat="1" ht="15.75" customHeight="1" spans="1:37">
      <c r="A34" s="153" t="s">
        <v>78</v>
      </c>
      <c r="B34" s="157" t="s">
        <v>10</v>
      </c>
      <c r="C34" s="162"/>
      <c r="D34" s="162"/>
      <c r="E34" s="162"/>
      <c r="F34" s="162"/>
      <c r="G34" s="162"/>
      <c r="H34" s="162"/>
      <c r="I34" s="156"/>
      <c r="AJ34" s="153" t="s">
        <v>84</v>
      </c>
      <c r="AK34" s="157" t="s">
        <v>10</v>
      </c>
    </row>
    <row r="35" s="142" customFormat="1" ht="15.75" customHeight="1" spans="1:37">
      <c r="A35" s="153" t="s">
        <v>32</v>
      </c>
      <c r="B35" s="163" t="s">
        <v>85</v>
      </c>
      <c r="C35" s="155">
        <f>+C9/C4</f>
        <v>24.165</v>
      </c>
      <c r="D35" s="155">
        <f t="shared" ref="D35:E35" si="10">+D9/D4</f>
        <v>24.165</v>
      </c>
      <c r="E35" s="155">
        <f t="shared" si="10"/>
        <v>24.165</v>
      </c>
      <c r="F35" s="155">
        <f t="shared" ref="F35:H35" si="11">+F9/F4</f>
        <v>24.165</v>
      </c>
      <c r="G35" s="155">
        <f t="shared" si="11"/>
        <v>24.165</v>
      </c>
      <c r="H35" s="155">
        <f t="shared" si="11"/>
        <v>24.165</v>
      </c>
      <c r="I35" s="156"/>
      <c r="AJ35" s="153" t="s">
        <v>81</v>
      </c>
      <c r="AK35" s="153" t="s">
        <v>85</v>
      </c>
    </row>
    <row r="36" s="142" customFormat="1" ht="15.75" customHeight="1" spans="1:37">
      <c r="A36" s="153" t="s">
        <v>34</v>
      </c>
      <c r="B36" s="163" t="s">
        <v>86</v>
      </c>
      <c r="C36" s="155">
        <f>+C10/C4</f>
        <v>11.635</v>
      </c>
      <c r="D36" s="155">
        <f t="shared" ref="D36:E36" si="12">+D10/D4</f>
        <v>11.635</v>
      </c>
      <c r="E36" s="155">
        <f t="shared" si="12"/>
        <v>11.635</v>
      </c>
      <c r="F36" s="155">
        <f t="shared" ref="F36:H36" si="13">+F10/F4</f>
        <v>11.635</v>
      </c>
      <c r="G36" s="155">
        <f t="shared" si="13"/>
        <v>11.635</v>
      </c>
      <c r="H36" s="155">
        <f t="shared" si="13"/>
        <v>11.635</v>
      </c>
      <c r="I36" s="156"/>
      <c r="AJ36" s="153" t="s">
        <v>37</v>
      </c>
      <c r="AK36" s="153" t="s">
        <v>86</v>
      </c>
    </row>
    <row r="37" s="142" customFormat="1" ht="15.75" customHeight="1" spans="1:37">
      <c r="A37" s="153" t="s">
        <v>81</v>
      </c>
      <c r="B37" s="163" t="s">
        <v>87</v>
      </c>
      <c r="C37" s="155">
        <f>+C11/C4</f>
        <v>25.955</v>
      </c>
      <c r="D37" s="155">
        <f t="shared" ref="D37:E37" si="14">+D11/D4</f>
        <v>25.955</v>
      </c>
      <c r="E37" s="155">
        <f t="shared" si="14"/>
        <v>25.955</v>
      </c>
      <c r="F37" s="155">
        <f t="shared" ref="F37:H37" si="15">+F11/F4</f>
        <v>25.955</v>
      </c>
      <c r="G37" s="155">
        <f t="shared" si="15"/>
        <v>25.955</v>
      </c>
      <c r="H37" s="155">
        <f t="shared" si="15"/>
        <v>25.955</v>
      </c>
      <c r="I37" s="156"/>
      <c r="AJ37" s="153" t="s">
        <v>43</v>
      </c>
      <c r="AK37" s="153" t="s">
        <v>87</v>
      </c>
    </row>
    <row r="38" s="142" customFormat="1" ht="15.75" customHeight="1" spans="1:37">
      <c r="A38" s="153" t="s">
        <v>88</v>
      </c>
      <c r="B38" s="227" t="s">
        <v>89</v>
      </c>
      <c r="C38" s="155"/>
      <c r="D38" s="155"/>
      <c r="E38" s="155"/>
      <c r="F38" s="155"/>
      <c r="G38" s="155"/>
      <c r="H38" s="155"/>
      <c r="I38" s="156"/>
      <c r="AJ38" s="153" t="s">
        <v>88</v>
      </c>
      <c r="AK38" s="157" t="s">
        <v>89</v>
      </c>
    </row>
    <row r="39" s="142" customFormat="1" spans="1:37">
      <c r="A39" s="153" t="s">
        <v>32</v>
      </c>
      <c r="B39" s="163" t="s">
        <v>90</v>
      </c>
      <c r="C39" s="155">
        <f>+C13/C4</f>
        <v>569.245</v>
      </c>
      <c r="D39" s="155">
        <f t="shared" ref="D39:G39" si="16">+D13/D4</f>
        <v>569.245</v>
      </c>
      <c r="E39" s="155">
        <f t="shared" si="16"/>
        <v>569.245</v>
      </c>
      <c r="F39" s="155">
        <f t="shared" ref="F39:H39" si="17">+F13/F4</f>
        <v>569.245</v>
      </c>
      <c r="G39" s="155">
        <f t="shared" si="17"/>
        <v>569.245</v>
      </c>
      <c r="H39" s="155">
        <f t="shared" si="17"/>
        <v>569.245</v>
      </c>
      <c r="I39" s="156"/>
      <c r="AJ39" s="153" t="s">
        <v>32</v>
      </c>
      <c r="AK39" s="153" t="s">
        <v>91</v>
      </c>
    </row>
    <row r="40" s="142" customFormat="1" ht="15.75" customHeight="1" spans="1:37">
      <c r="A40" s="153" t="s">
        <v>34</v>
      </c>
      <c r="B40" s="163" t="s">
        <v>92</v>
      </c>
      <c r="C40" s="221">
        <f t="shared" ref="C40:G40" si="18">+C21/C39</f>
        <v>505.05054941194</v>
      </c>
      <c r="D40" s="221">
        <f t="shared" si="18"/>
        <v>505.05054941194</v>
      </c>
      <c r="E40" s="221">
        <f t="shared" si="18"/>
        <v>505.05054941194</v>
      </c>
      <c r="F40" s="221">
        <f t="shared" ref="F40:G40" si="19">+F21/F39</f>
        <v>505.05054941194</v>
      </c>
      <c r="G40" s="221">
        <f t="shared" si="19"/>
        <v>505.05054941194</v>
      </c>
      <c r="H40" s="222">
        <f t="shared" ref="H40" si="20">+H21/H39</f>
        <v>2525.2527470597</v>
      </c>
      <c r="I40" s="156"/>
      <c r="AJ40" s="153" t="s">
        <v>34</v>
      </c>
      <c r="AK40" s="153" t="s">
        <v>92</v>
      </c>
    </row>
    <row r="41" s="142" customFormat="1" ht="15.75" customHeight="1" spans="1:37">
      <c r="A41" s="153" t="s">
        <v>93</v>
      </c>
      <c r="B41" s="157" t="s">
        <v>94</v>
      </c>
      <c r="C41" s="162"/>
      <c r="D41" s="162"/>
      <c r="E41" s="162"/>
      <c r="F41" s="162"/>
      <c r="G41" s="162"/>
      <c r="H41" s="162"/>
      <c r="I41" s="156"/>
      <c r="AJ41" s="153" t="s">
        <v>93</v>
      </c>
      <c r="AK41" s="157" t="s">
        <v>94</v>
      </c>
    </row>
    <row r="42" s="142" customFormat="1" ht="15.75" customHeight="1" spans="1:37">
      <c r="A42" s="153" t="s">
        <v>32</v>
      </c>
      <c r="B42" s="153" t="s">
        <v>95</v>
      </c>
      <c r="C42" s="162">
        <f>+C15/C4</f>
        <v>90.4483333333333</v>
      </c>
      <c r="D42" s="162">
        <f t="shared" ref="D42:E42" si="21">+D15/D4</f>
        <v>90.4483333333333</v>
      </c>
      <c r="E42" s="162">
        <f t="shared" si="21"/>
        <v>90.4483333333333</v>
      </c>
      <c r="F42" s="162">
        <f t="shared" ref="F42:H42" si="22">+F15/F4</f>
        <v>90.4483333333333</v>
      </c>
      <c r="G42" s="162">
        <f t="shared" si="22"/>
        <v>90.4483333333333</v>
      </c>
      <c r="H42" s="162">
        <f t="shared" si="22"/>
        <v>90.4483333333333</v>
      </c>
      <c r="I42" s="156"/>
      <c r="AJ42" s="153" t="s">
        <v>32</v>
      </c>
      <c r="AK42" s="153" t="s">
        <v>95</v>
      </c>
    </row>
    <row r="43" s="142" customFormat="1" ht="15.75" customHeight="1" spans="1:37">
      <c r="A43" s="153" t="s">
        <v>34</v>
      </c>
      <c r="B43" s="153" t="s">
        <v>96</v>
      </c>
      <c r="C43" s="162">
        <f>+C17/C4</f>
        <v>15.215</v>
      </c>
      <c r="D43" s="162">
        <f t="shared" ref="D43:E43" si="23">+D17/D4</f>
        <v>15.215</v>
      </c>
      <c r="E43" s="162">
        <f t="shared" si="23"/>
        <v>15.215</v>
      </c>
      <c r="F43" s="162">
        <f t="shared" ref="F43:H43" si="24">+F17/F4</f>
        <v>15.215</v>
      </c>
      <c r="G43" s="162">
        <f t="shared" si="24"/>
        <v>15.215</v>
      </c>
      <c r="H43" s="162">
        <f t="shared" si="24"/>
        <v>15.215</v>
      </c>
      <c r="I43" s="156"/>
      <c r="AJ43" s="153" t="s">
        <v>34</v>
      </c>
      <c r="AK43" s="153" t="s">
        <v>96</v>
      </c>
    </row>
    <row r="44" s="142" customFormat="1" ht="15.75" customHeight="1" spans="1:37">
      <c r="A44" s="153" t="s">
        <v>81</v>
      </c>
      <c r="B44" s="153" t="s">
        <v>97</v>
      </c>
      <c r="C44" s="162">
        <f>+C18/C4</f>
        <v>20.585</v>
      </c>
      <c r="D44" s="162">
        <f t="shared" ref="D44:E44" si="25">+D18/D4</f>
        <v>20.585</v>
      </c>
      <c r="E44" s="162">
        <f t="shared" si="25"/>
        <v>20.585</v>
      </c>
      <c r="F44" s="162">
        <f t="shared" ref="F44:H44" si="26">+F18/F4</f>
        <v>20.585</v>
      </c>
      <c r="G44" s="162">
        <f t="shared" si="26"/>
        <v>20.585</v>
      </c>
      <c r="H44" s="162">
        <f t="shared" si="26"/>
        <v>20.585</v>
      </c>
      <c r="I44" s="156"/>
      <c r="AJ44" s="153" t="s">
        <v>81</v>
      </c>
      <c r="AK44" s="153" t="s">
        <v>97</v>
      </c>
    </row>
    <row r="45" s="142" customFormat="1" ht="15.75" customHeight="1" spans="1:37">
      <c r="A45" s="153" t="s">
        <v>37</v>
      </c>
      <c r="B45" s="153" t="s">
        <v>98</v>
      </c>
      <c r="C45" s="162"/>
      <c r="D45" s="162"/>
      <c r="E45" s="162"/>
      <c r="F45" s="162"/>
      <c r="G45" s="162"/>
      <c r="H45" s="162"/>
      <c r="I45" s="156"/>
      <c r="AJ45" s="153" t="s">
        <v>37</v>
      </c>
      <c r="AK45" s="153" t="s">
        <v>99</v>
      </c>
    </row>
    <row r="46" s="142" customFormat="1" ht="15.75" customHeight="1" spans="1:37">
      <c r="A46" s="153" t="s">
        <v>40</v>
      </c>
      <c r="B46" s="153" t="s">
        <v>100</v>
      </c>
      <c r="C46" s="162"/>
      <c r="D46" s="162"/>
      <c r="E46" s="162"/>
      <c r="F46" s="162"/>
      <c r="G46" s="162"/>
      <c r="H46" s="162"/>
      <c r="I46" s="156"/>
      <c r="AJ46" s="153" t="s">
        <v>40</v>
      </c>
      <c r="AK46" s="153" t="s">
        <v>100</v>
      </c>
    </row>
    <row r="47" s="142" customFormat="1" ht="15.75" customHeight="1" spans="1:37">
      <c r="A47" s="153" t="s">
        <v>101</v>
      </c>
      <c r="B47" s="157" t="s">
        <v>102</v>
      </c>
      <c r="C47" s="162"/>
      <c r="D47" s="162"/>
      <c r="E47" s="162"/>
      <c r="F47" s="162"/>
      <c r="G47" s="162"/>
      <c r="H47" s="162"/>
      <c r="I47" s="156"/>
      <c r="AJ47" s="153" t="s">
        <v>101</v>
      </c>
      <c r="AK47" s="157" t="s">
        <v>102</v>
      </c>
    </row>
    <row r="48" s="142" customFormat="1" ht="15.75" customHeight="1" spans="1:37">
      <c r="A48" s="153" t="s">
        <v>32</v>
      </c>
      <c r="B48" s="153" t="s">
        <v>103</v>
      </c>
      <c r="C48" s="164">
        <f>+(C11+C17)/C7</f>
        <v>0.046</v>
      </c>
      <c r="D48" s="164">
        <f t="shared" ref="D48:E48" si="27">+(D11+D17)/D7</f>
        <v>0.046</v>
      </c>
      <c r="E48" s="164">
        <f t="shared" si="27"/>
        <v>0.046</v>
      </c>
      <c r="F48" s="164">
        <f t="shared" ref="F48:H48" si="28">+(F11+F17)/F7</f>
        <v>0.046</v>
      </c>
      <c r="G48" s="164">
        <f t="shared" si="28"/>
        <v>0.046</v>
      </c>
      <c r="H48" s="164">
        <f t="shared" si="28"/>
        <v>0.046</v>
      </c>
      <c r="I48" s="156"/>
      <c r="AJ48" s="153" t="s">
        <v>32</v>
      </c>
      <c r="AK48" s="153" t="s">
        <v>103</v>
      </c>
    </row>
    <row r="49" s="142" customFormat="1" ht="15.75" customHeight="1" spans="1:37">
      <c r="A49" s="153" t="s">
        <v>34</v>
      </c>
      <c r="B49" s="153" t="s">
        <v>104</v>
      </c>
      <c r="C49" s="164">
        <f>+(C9+C10+C15)/C7</f>
        <v>0.141059590316574</v>
      </c>
      <c r="D49" s="164">
        <f t="shared" ref="D49:E49" si="29">+(D9+D10+D15)/D7</f>
        <v>0.141059590316574</v>
      </c>
      <c r="E49" s="164">
        <f t="shared" si="29"/>
        <v>0.141059590316574</v>
      </c>
      <c r="F49" s="164">
        <f t="shared" ref="F49:H49" si="30">+(F9+F10+F15)/F7</f>
        <v>0.141059590316574</v>
      </c>
      <c r="G49" s="164">
        <f t="shared" si="30"/>
        <v>0.141059590316574</v>
      </c>
      <c r="H49" s="164">
        <f t="shared" si="30"/>
        <v>0.141059590316574</v>
      </c>
      <c r="I49" s="156"/>
      <c r="AJ49" s="153" t="s">
        <v>34</v>
      </c>
      <c r="AK49" s="153" t="s">
        <v>104</v>
      </c>
    </row>
    <row r="50" s="142" customFormat="1" ht="15.75" customHeight="1" spans="1:37">
      <c r="A50" s="153" t="s">
        <v>81</v>
      </c>
      <c r="B50" s="153" t="s">
        <v>105</v>
      </c>
      <c r="C50" s="164">
        <f>+C18/C7</f>
        <v>0.023</v>
      </c>
      <c r="D50" s="164">
        <f t="shared" ref="D50:E50" si="31">+D18/D7</f>
        <v>0.023</v>
      </c>
      <c r="E50" s="164">
        <f t="shared" si="31"/>
        <v>0.023</v>
      </c>
      <c r="F50" s="164">
        <f t="shared" ref="F50:H50" si="32">+F18/F7</f>
        <v>0.023</v>
      </c>
      <c r="G50" s="164">
        <f t="shared" si="32"/>
        <v>0.023</v>
      </c>
      <c r="H50" s="164">
        <f t="shared" si="32"/>
        <v>0.023</v>
      </c>
      <c r="I50" s="156"/>
      <c r="AJ50" s="153" t="s">
        <v>81</v>
      </c>
      <c r="AK50" s="153" t="s">
        <v>105</v>
      </c>
    </row>
    <row r="51" s="142" customFormat="1" ht="15.75" customHeight="1" spans="1:37">
      <c r="A51" s="153" t="s">
        <v>37</v>
      </c>
      <c r="B51" s="153" t="s">
        <v>106</v>
      </c>
      <c r="C51" s="164">
        <f>+C19/C7</f>
        <v>0.0230912476722533</v>
      </c>
      <c r="D51" s="164">
        <f t="shared" ref="D51:E51" si="33">+D19/D7</f>
        <v>0.0230912476722533</v>
      </c>
      <c r="E51" s="164">
        <f t="shared" si="33"/>
        <v>0.0230912476722533</v>
      </c>
      <c r="F51" s="164">
        <f t="shared" ref="F51:H51" si="34">+F19/F7</f>
        <v>0.0230912476722533</v>
      </c>
      <c r="G51" s="164">
        <f t="shared" si="34"/>
        <v>0.0230912476722533</v>
      </c>
      <c r="H51" s="164">
        <f t="shared" si="34"/>
        <v>0.0230912476722533</v>
      </c>
      <c r="I51" s="156"/>
      <c r="AJ51" s="153" t="s">
        <v>37</v>
      </c>
      <c r="AK51" s="153" t="s">
        <v>106</v>
      </c>
    </row>
    <row r="52" s="142" customFormat="1" ht="15.75" customHeight="1" spans="1:37">
      <c r="A52" s="153" t="s">
        <v>40</v>
      </c>
      <c r="B52" s="153" t="s">
        <v>107</v>
      </c>
      <c r="C52" s="164">
        <f>+C20/C7</f>
        <v>0.05</v>
      </c>
      <c r="D52" s="164">
        <f t="shared" ref="D52:E52" si="35">+D20/D7</f>
        <v>0.05</v>
      </c>
      <c r="E52" s="164">
        <f t="shared" si="35"/>
        <v>0.05</v>
      </c>
      <c r="F52" s="164">
        <f t="shared" ref="F52:H52" si="36">+F20/F7</f>
        <v>0.05</v>
      </c>
      <c r="G52" s="164">
        <f t="shared" si="36"/>
        <v>0.05</v>
      </c>
      <c r="H52" s="164">
        <f t="shared" si="36"/>
        <v>0.05</v>
      </c>
      <c r="I52" s="156"/>
      <c r="AJ52" s="153" t="s">
        <v>40</v>
      </c>
      <c r="AK52" s="153" t="s">
        <v>107</v>
      </c>
    </row>
    <row r="53" s="142" customFormat="1" ht="15.75" customHeight="1" spans="1:37">
      <c r="A53" s="153" t="s">
        <v>43</v>
      </c>
      <c r="B53" s="153" t="s">
        <v>108</v>
      </c>
      <c r="C53" s="164">
        <f>+C24/C7</f>
        <v>0.358595530726257</v>
      </c>
      <c r="D53" s="164">
        <f t="shared" ref="D53:E53" si="37">+D24/D7</f>
        <v>0.358595530726257</v>
      </c>
      <c r="E53" s="164">
        <f t="shared" si="37"/>
        <v>0.358595530726257</v>
      </c>
      <c r="F53" s="164">
        <f t="shared" ref="F53:H53" si="38">+F24/F7</f>
        <v>0.358595530726257</v>
      </c>
      <c r="G53" s="164">
        <f t="shared" si="38"/>
        <v>0.358595530726257</v>
      </c>
      <c r="H53" s="164">
        <f t="shared" si="38"/>
        <v>0.358595530726257</v>
      </c>
      <c r="I53" s="156"/>
      <c r="AJ53" s="153" t="s">
        <v>43</v>
      </c>
      <c r="AK53" s="153" t="s">
        <v>109</v>
      </c>
    </row>
    <row r="54" s="142" customFormat="1" ht="15.75" customHeight="1" spans="1:37">
      <c r="A54" s="153" t="s">
        <v>110</v>
      </c>
      <c r="B54" s="157" t="s">
        <v>111</v>
      </c>
      <c r="C54" s="162">
        <f>+C22/C4</f>
        <v>377.58</v>
      </c>
      <c r="D54" s="162">
        <f t="shared" ref="D54:E54" si="39">+D22/D4</f>
        <v>377.58</v>
      </c>
      <c r="E54" s="162">
        <f t="shared" si="39"/>
        <v>377.58</v>
      </c>
      <c r="F54" s="162">
        <f t="shared" ref="F54:H54" si="40">+F22/F4</f>
        <v>377.58</v>
      </c>
      <c r="G54" s="162">
        <f t="shared" si="40"/>
        <v>377.58</v>
      </c>
      <c r="H54" s="162">
        <f t="shared" si="40"/>
        <v>377.58</v>
      </c>
      <c r="I54" s="156"/>
      <c r="AJ54" s="153" t="s">
        <v>110</v>
      </c>
      <c r="AK54" s="157" t="s">
        <v>111</v>
      </c>
    </row>
    <row r="55" s="142" customFormat="1" ht="15.75" customHeight="1" spans="1:37">
      <c r="A55" s="153" t="s">
        <v>112</v>
      </c>
      <c r="B55" s="239" t="s">
        <v>113</v>
      </c>
      <c r="C55" s="162"/>
      <c r="D55" s="162"/>
      <c r="E55" s="162"/>
      <c r="F55" s="162"/>
      <c r="G55" s="162"/>
      <c r="H55" s="162"/>
      <c r="I55" s="156"/>
      <c r="AJ55" s="153"/>
      <c r="AK55" s="157"/>
    </row>
    <row r="56" s="142" customFormat="1" ht="15.75" customHeight="1" spans="1:9">
      <c r="A56" s="153" t="s">
        <v>32</v>
      </c>
      <c r="B56" s="153" t="s">
        <v>114</v>
      </c>
      <c r="C56" s="162">
        <f>C57+C58</f>
        <v>325000</v>
      </c>
      <c r="D56" s="162"/>
      <c r="E56" s="162"/>
      <c r="F56" s="162"/>
      <c r="G56" s="162"/>
      <c r="H56" s="162"/>
      <c r="I56" s="156"/>
    </row>
    <row r="57" s="142" customFormat="1" ht="15.75" customHeight="1" spans="1:9">
      <c r="A57" s="153">
        <v>1.1</v>
      </c>
      <c r="B57" s="240" t="s">
        <v>115</v>
      </c>
      <c r="C57" s="162">
        <f>项目投资!B27</f>
        <v>155000</v>
      </c>
      <c r="D57" s="162"/>
      <c r="E57" s="162"/>
      <c r="F57" s="162"/>
      <c r="G57" s="162"/>
      <c r="H57" s="162"/>
      <c r="I57" s="156"/>
    </row>
    <row r="58" s="142" customFormat="1" ht="15.75" customHeight="1" spans="1:9">
      <c r="A58" s="153">
        <v>1.2</v>
      </c>
      <c r="B58" s="153" t="s">
        <v>116</v>
      </c>
      <c r="C58" s="162">
        <f>项目投资!B26</f>
        <v>170000</v>
      </c>
      <c r="D58" s="162"/>
      <c r="E58" s="162"/>
      <c r="F58" s="162"/>
      <c r="G58" s="162"/>
      <c r="H58" s="162"/>
      <c r="I58" s="156"/>
    </row>
    <row r="59" ht="15.75" customHeight="1" spans="1:9">
      <c r="A59" s="228" t="s">
        <v>34</v>
      </c>
      <c r="B59" s="228" t="s">
        <v>117</v>
      </c>
      <c r="C59" s="241">
        <f>C60+C61</f>
        <v>513714.5</v>
      </c>
      <c r="D59" s="241">
        <f>D60+D61</f>
        <v>513714.5</v>
      </c>
      <c r="E59" s="241">
        <f>E60+E61</f>
        <v>513714.5</v>
      </c>
      <c r="F59" s="241">
        <f>F60+F61</f>
        <v>513714.5</v>
      </c>
      <c r="G59" s="241">
        <f>G60+G61</f>
        <v>513714.5</v>
      </c>
      <c r="H59" s="241">
        <f t="shared" ref="H59" si="41">H60+H61</f>
        <v>2568572.5</v>
      </c>
      <c r="I59" s="156"/>
    </row>
    <row r="60" ht="15.75" customHeight="1" spans="1:9">
      <c r="A60" s="228" t="s">
        <v>81</v>
      </c>
      <c r="B60" s="228" t="s">
        <v>118</v>
      </c>
      <c r="C60" s="241">
        <f t="shared" ref="C60:G60" si="42">C24</f>
        <v>481414.5</v>
      </c>
      <c r="D60" s="241">
        <f t="shared" si="42"/>
        <v>481414.5</v>
      </c>
      <c r="E60" s="241">
        <f t="shared" si="42"/>
        <v>481414.5</v>
      </c>
      <c r="F60" s="241">
        <f t="shared" ref="F60:G60" si="43">F24</f>
        <v>481414.5</v>
      </c>
      <c r="G60" s="241">
        <f t="shared" si="43"/>
        <v>481414.5</v>
      </c>
      <c r="H60" s="241">
        <f t="shared" ref="H60" si="44">H24</f>
        <v>2407072.5</v>
      </c>
      <c r="I60" s="156"/>
    </row>
    <row r="61" ht="15.75" customHeight="1" spans="1:9">
      <c r="A61" s="228" t="s">
        <v>37</v>
      </c>
      <c r="B61" s="228" t="s">
        <v>119</v>
      </c>
      <c r="C61" s="241">
        <f>'2024年'!G18</f>
        <v>32300</v>
      </c>
      <c r="D61" s="241">
        <f>'2025年'!G18</f>
        <v>32300</v>
      </c>
      <c r="E61" s="241">
        <f>'2026年'!G18</f>
        <v>32300</v>
      </c>
      <c r="F61" s="241">
        <f>'2027年'!G18</f>
        <v>32300</v>
      </c>
      <c r="G61" s="214">
        <f>'2028年'!G18</f>
        <v>32300</v>
      </c>
      <c r="H61" s="241">
        <f>项目投资!I26</f>
        <v>161500</v>
      </c>
      <c r="I61" s="156"/>
    </row>
    <row r="62" ht="15.75" customHeight="1" spans="1:9">
      <c r="A62" s="228" t="s">
        <v>40</v>
      </c>
      <c r="B62" s="228" t="s">
        <v>120</v>
      </c>
      <c r="C62" s="242"/>
      <c r="D62" s="242"/>
      <c r="E62" s="242"/>
      <c r="F62" s="242"/>
      <c r="G62" s="242"/>
      <c r="H62" s="241"/>
      <c r="I62" s="156"/>
    </row>
    <row r="64" spans="2:2">
      <c r="B64" s="243"/>
    </row>
    <row r="69" spans="7:7">
      <c r="G69" s="248"/>
    </row>
  </sheetData>
  <mergeCells count="2">
    <mergeCell ref="A1:H1"/>
    <mergeCell ref="A3:A4"/>
  </mergeCells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727272727273" defaultRowHeight="19.9" customHeight="1"/>
  <cols>
    <col min="1" max="1" width="8" style="175" customWidth="1"/>
    <col min="2" max="2" width="28.5" style="175" customWidth="1"/>
    <col min="3" max="4" width="9.12727272727273" style="175"/>
    <col min="5" max="5" width="13.8727272727273" style="175" customWidth="1"/>
    <col min="6" max="12" width="16.1272727272727" style="175" customWidth="1"/>
    <col min="13" max="13" width="10.6272727272727" style="175" customWidth="1"/>
    <col min="14" max="254" width="9.12727272727273" style="175"/>
    <col min="255" max="255" width="8" style="175" customWidth="1"/>
    <col min="256" max="256" width="28.5" style="175" customWidth="1"/>
    <col min="257" max="268" width="9.12727272727273" style="175"/>
    <col min="269" max="269" width="10.6272727272727" style="175" customWidth="1"/>
    <col min="270" max="510" width="9.12727272727273" style="175"/>
    <col min="511" max="511" width="8" style="175" customWidth="1"/>
    <col min="512" max="512" width="28.5" style="175" customWidth="1"/>
    <col min="513" max="524" width="9.12727272727273" style="175"/>
    <col min="525" max="525" width="10.6272727272727" style="175" customWidth="1"/>
    <col min="526" max="766" width="9.12727272727273" style="175"/>
    <col min="767" max="767" width="8" style="175" customWidth="1"/>
    <col min="768" max="768" width="28.5" style="175" customWidth="1"/>
    <col min="769" max="780" width="9.12727272727273" style="175"/>
    <col min="781" max="781" width="10.6272727272727" style="175" customWidth="1"/>
    <col min="782" max="1022" width="9.12727272727273" style="175"/>
    <col min="1023" max="1023" width="8" style="175" customWidth="1"/>
    <col min="1024" max="1024" width="28.5" style="175" customWidth="1"/>
    <col min="1025" max="1036" width="9.12727272727273" style="175"/>
    <col min="1037" max="1037" width="10.6272727272727" style="175" customWidth="1"/>
    <col min="1038" max="1278" width="9.12727272727273" style="175"/>
    <col min="1279" max="1279" width="8" style="175" customWidth="1"/>
    <col min="1280" max="1280" width="28.5" style="175" customWidth="1"/>
    <col min="1281" max="1292" width="9.12727272727273" style="175"/>
    <col min="1293" max="1293" width="10.6272727272727" style="175" customWidth="1"/>
    <col min="1294" max="1534" width="9.12727272727273" style="175"/>
    <col min="1535" max="1535" width="8" style="175" customWidth="1"/>
    <col min="1536" max="1536" width="28.5" style="175" customWidth="1"/>
    <col min="1537" max="1548" width="9.12727272727273" style="175"/>
    <col min="1549" max="1549" width="10.6272727272727" style="175" customWidth="1"/>
    <col min="1550" max="1790" width="9.12727272727273" style="175"/>
    <col min="1791" max="1791" width="8" style="175" customWidth="1"/>
    <col min="1792" max="1792" width="28.5" style="175" customWidth="1"/>
    <col min="1793" max="1804" width="9.12727272727273" style="175"/>
    <col min="1805" max="1805" width="10.6272727272727" style="175" customWidth="1"/>
    <col min="1806" max="2046" width="9.12727272727273" style="175"/>
    <col min="2047" max="2047" width="8" style="175" customWidth="1"/>
    <col min="2048" max="2048" width="28.5" style="175" customWidth="1"/>
    <col min="2049" max="2060" width="9.12727272727273" style="175"/>
    <col min="2061" max="2061" width="10.6272727272727" style="175" customWidth="1"/>
    <col min="2062" max="2302" width="9.12727272727273" style="175"/>
    <col min="2303" max="2303" width="8" style="175" customWidth="1"/>
    <col min="2304" max="2304" width="28.5" style="175" customWidth="1"/>
    <col min="2305" max="2316" width="9.12727272727273" style="175"/>
    <col min="2317" max="2317" width="10.6272727272727" style="175" customWidth="1"/>
    <col min="2318" max="2558" width="9.12727272727273" style="175"/>
    <col min="2559" max="2559" width="8" style="175" customWidth="1"/>
    <col min="2560" max="2560" width="28.5" style="175" customWidth="1"/>
    <col min="2561" max="2572" width="9.12727272727273" style="175"/>
    <col min="2573" max="2573" width="10.6272727272727" style="175" customWidth="1"/>
    <col min="2574" max="2814" width="9.12727272727273" style="175"/>
    <col min="2815" max="2815" width="8" style="175" customWidth="1"/>
    <col min="2816" max="2816" width="28.5" style="175" customWidth="1"/>
    <col min="2817" max="2828" width="9.12727272727273" style="175"/>
    <col min="2829" max="2829" width="10.6272727272727" style="175" customWidth="1"/>
    <col min="2830" max="3070" width="9.12727272727273" style="175"/>
    <col min="3071" max="3071" width="8" style="175" customWidth="1"/>
    <col min="3072" max="3072" width="28.5" style="175" customWidth="1"/>
    <col min="3073" max="3084" width="9.12727272727273" style="175"/>
    <col min="3085" max="3085" width="10.6272727272727" style="175" customWidth="1"/>
    <col min="3086" max="3326" width="9.12727272727273" style="175"/>
    <col min="3327" max="3327" width="8" style="175" customWidth="1"/>
    <col min="3328" max="3328" width="28.5" style="175" customWidth="1"/>
    <col min="3329" max="3340" width="9.12727272727273" style="175"/>
    <col min="3341" max="3341" width="10.6272727272727" style="175" customWidth="1"/>
    <col min="3342" max="3582" width="9.12727272727273" style="175"/>
    <col min="3583" max="3583" width="8" style="175" customWidth="1"/>
    <col min="3584" max="3584" width="28.5" style="175" customWidth="1"/>
    <col min="3585" max="3596" width="9.12727272727273" style="175"/>
    <col min="3597" max="3597" width="10.6272727272727" style="175" customWidth="1"/>
    <col min="3598" max="3838" width="9.12727272727273" style="175"/>
    <col min="3839" max="3839" width="8" style="175" customWidth="1"/>
    <col min="3840" max="3840" width="28.5" style="175" customWidth="1"/>
    <col min="3841" max="3852" width="9.12727272727273" style="175"/>
    <col min="3853" max="3853" width="10.6272727272727" style="175" customWidth="1"/>
    <col min="3854" max="4094" width="9.12727272727273" style="175"/>
    <col min="4095" max="4095" width="8" style="175" customWidth="1"/>
    <col min="4096" max="4096" width="28.5" style="175" customWidth="1"/>
    <col min="4097" max="4108" width="9.12727272727273" style="175"/>
    <col min="4109" max="4109" width="10.6272727272727" style="175" customWidth="1"/>
    <col min="4110" max="4350" width="9.12727272727273" style="175"/>
    <col min="4351" max="4351" width="8" style="175" customWidth="1"/>
    <col min="4352" max="4352" width="28.5" style="175" customWidth="1"/>
    <col min="4353" max="4364" width="9.12727272727273" style="175"/>
    <col min="4365" max="4365" width="10.6272727272727" style="175" customWidth="1"/>
    <col min="4366" max="4606" width="9.12727272727273" style="175"/>
    <col min="4607" max="4607" width="8" style="175" customWidth="1"/>
    <col min="4608" max="4608" width="28.5" style="175" customWidth="1"/>
    <col min="4609" max="4620" width="9.12727272727273" style="175"/>
    <col min="4621" max="4621" width="10.6272727272727" style="175" customWidth="1"/>
    <col min="4622" max="4862" width="9.12727272727273" style="175"/>
    <col min="4863" max="4863" width="8" style="175" customWidth="1"/>
    <col min="4864" max="4864" width="28.5" style="175" customWidth="1"/>
    <col min="4865" max="4876" width="9.12727272727273" style="175"/>
    <col min="4877" max="4877" width="10.6272727272727" style="175" customWidth="1"/>
    <col min="4878" max="5118" width="9.12727272727273" style="175"/>
    <col min="5119" max="5119" width="8" style="175" customWidth="1"/>
    <col min="5120" max="5120" width="28.5" style="175" customWidth="1"/>
    <col min="5121" max="5132" width="9.12727272727273" style="175"/>
    <col min="5133" max="5133" width="10.6272727272727" style="175" customWidth="1"/>
    <col min="5134" max="5374" width="9.12727272727273" style="175"/>
    <col min="5375" max="5375" width="8" style="175" customWidth="1"/>
    <col min="5376" max="5376" width="28.5" style="175" customWidth="1"/>
    <col min="5377" max="5388" width="9.12727272727273" style="175"/>
    <col min="5389" max="5389" width="10.6272727272727" style="175" customWidth="1"/>
    <col min="5390" max="5630" width="9.12727272727273" style="175"/>
    <col min="5631" max="5631" width="8" style="175" customWidth="1"/>
    <col min="5632" max="5632" width="28.5" style="175" customWidth="1"/>
    <col min="5633" max="5644" width="9.12727272727273" style="175"/>
    <col min="5645" max="5645" width="10.6272727272727" style="175" customWidth="1"/>
    <col min="5646" max="5886" width="9.12727272727273" style="175"/>
    <col min="5887" max="5887" width="8" style="175" customWidth="1"/>
    <col min="5888" max="5888" width="28.5" style="175" customWidth="1"/>
    <col min="5889" max="5900" width="9.12727272727273" style="175"/>
    <col min="5901" max="5901" width="10.6272727272727" style="175" customWidth="1"/>
    <col min="5902" max="6142" width="9.12727272727273" style="175"/>
    <col min="6143" max="6143" width="8" style="175" customWidth="1"/>
    <col min="6144" max="6144" width="28.5" style="175" customWidth="1"/>
    <col min="6145" max="6156" width="9.12727272727273" style="175"/>
    <col min="6157" max="6157" width="10.6272727272727" style="175" customWidth="1"/>
    <col min="6158" max="6398" width="9.12727272727273" style="175"/>
    <col min="6399" max="6399" width="8" style="175" customWidth="1"/>
    <col min="6400" max="6400" width="28.5" style="175" customWidth="1"/>
    <col min="6401" max="6412" width="9.12727272727273" style="175"/>
    <col min="6413" max="6413" width="10.6272727272727" style="175" customWidth="1"/>
    <col min="6414" max="6654" width="9.12727272727273" style="175"/>
    <col min="6655" max="6655" width="8" style="175" customWidth="1"/>
    <col min="6656" max="6656" width="28.5" style="175" customWidth="1"/>
    <col min="6657" max="6668" width="9.12727272727273" style="175"/>
    <col min="6669" max="6669" width="10.6272727272727" style="175" customWidth="1"/>
    <col min="6670" max="6910" width="9.12727272727273" style="175"/>
    <col min="6911" max="6911" width="8" style="175" customWidth="1"/>
    <col min="6912" max="6912" width="28.5" style="175" customWidth="1"/>
    <col min="6913" max="6924" width="9.12727272727273" style="175"/>
    <col min="6925" max="6925" width="10.6272727272727" style="175" customWidth="1"/>
    <col min="6926" max="7166" width="9.12727272727273" style="175"/>
    <col min="7167" max="7167" width="8" style="175" customWidth="1"/>
    <col min="7168" max="7168" width="28.5" style="175" customWidth="1"/>
    <col min="7169" max="7180" width="9.12727272727273" style="175"/>
    <col min="7181" max="7181" width="10.6272727272727" style="175" customWidth="1"/>
    <col min="7182" max="7422" width="9.12727272727273" style="175"/>
    <col min="7423" max="7423" width="8" style="175" customWidth="1"/>
    <col min="7424" max="7424" width="28.5" style="175" customWidth="1"/>
    <col min="7425" max="7436" width="9.12727272727273" style="175"/>
    <col min="7437" max="7437" width="10.6272727272727" style="175" customWidth="1"/>
    <col min="7438" max="7678" width="9.12727272727273" style="175"/>
    <col min="7679" max="7679" width="8" style="175" customWidth="1"/>
    <col min="7680" max="7680" width="28.5" style="175" customWidth="1"/>
    <col min="7681" max="7692" width="9.12727272727273" style="175"/>
    <col min="7693" max="7693" width="10.6272727272727" style="175" customWidth="1"/>
    <col min="7694" max="7934" width="9.12727272727273" style="175"/>
    <col min="7935" max="7935" width="8" style="175" customWidth="1"/>
    <col min="7936" max="7936" width="28.5" style="175" customWidth="1"/>
    <col min="7937" max="7948" width="9.12727272727273" style="175"/>
    <col min="7949" max="7949" width="10.6272727272727" style="175" customWidth="1"/>
    <col min="7950" max="8190" width="9.12727272727273" style="175"/>
    <col min="8191" max="8191" width="8" style="175" customWidth="1"/>
    <col min="8192" max="8192" width="28.5" style="175" customWidth="1"/>
    <col min="8193" max="8204" width="9.12727272727273" style="175"/>
    <col min="8205" max="8205" width="10.6272727272727" style="175" customWidth="1"/>
    <col min="8206" max="8446" width="9.12727272727273" style="175"/>
    <col min="8447" max="8447" width="8" style="175" customWidth="1"/>
    <col min="8448" max="8448" width="28.5" style="175" customWidth="1"/>
    <col min="8449" max="8460" width="9.12727272727273" style="175"/>
    <col min="8461" max="8461" width="10.6272727272727" style="175" customWidth="1"/>
    <col min="8462" max="8702" width="9.12727272727273" style="175"/>
    <col min="8703" max="8703" width="8" style="175" customWidth="1"/>
    <col min="8704" max="8704" width="28.5" style="175" customWidth="1"/>
    <col min="8705" max="8716" width="9.12727272727273" style="175"/>
    <col min="8717" max="8717" width="10.6272727272727" style="175" customWidth="1"/>
    <col min="8718" max="8958" width="9.12727272727273" style="175"/>
    <col min="8959" max="8959" width="8" style="175" customWidth="1"/>
    <col min="8960" max="8960" width="28.5" style="175" customWidth="1"/>
    <col min="8961" max="8972" width="9.12727272727273" style="175"/>
    <col min="8973" max="8973" width="10.6272727272727" style="175" customWidth="1"/>
    <col min="8974" max="9214" width="9.12727272727273" style="175"/>
    <col min="9215" max="9215" width="8" style="175" customWidth="1"/>
    <col min="9216" max="9216" width="28.5" style="175" customWidth="1"/>
    <col min="9217" max="9228" width="9.12727272727273" style="175"/>
    <col min="9229" max="9229" width="10.6272727272727" style="175" customWidth="1"/>
    <col min="9230" max="9470" width="9.12727272727273" style="175"/>
    <col min="9471" max="9471" width="8" style="175" customWidth="1"/>
    <col min="9472" max="9472" width="28.5" style="175" customWidth="1"/>
    <col min="9473" max="9484" width="9.12727272727273" style="175"/>
    <col min="9485" max="9485" width="10.6272727272727" style="175" customWidth="1"/>
    <col min="9486" max="9726" width="9.12727272727273" style="175"/>
    <col min="9727" max="9727" width="8" style="175" customWidth="1"/>
    <col min="9728" max="9728" width="28.5" style="175" customWidth="1"/>
    <col min="9729" max="9740" width="9.12727272727273" style="175"/>
    <col min="9741" max="9741" width="10.6272727272727" style="175" customWidth="1"/>
    <col min="9742" max="9982" width="9.12727272727273" style="175"/>
    <col min="9983" max="9983" width="8" style="175" customWidth="1"/>
    <col min="9984" max="9984" width="28.5" style="175" customWidth="1"/>
    <col min="9985" max="9996" width="9.12727272727273" style="175"/>
    <col min="9997" max="9997" width="10.6272727272727" style="175" customWidth="1"/>
    <col min="9998" max="10238" width="9.12727272727273" style="175"/>
    <col min="10239" max="10239" width="8" style="175" customWidth="1"/>
    <col min="10240" max="10240" width="28.5" style="175" customWidth="1"/>
    <col min="10241" max="10252" width="9.12727272727273" style="175"/>
    <col min="10253" max="10253" width="10.6272727272727" style="175" customWidth="1"/>
    <col min="10254" max="10494" width="9.12727272727273" style="175"/>
    <col min="10495" max="10495" width="8" style="175" customWidth="1"/>
    <col min="10496" max="10496" width="28.5" style="175" customWidth="1"/>
    <col min="10497" max="10508" width="9.12727272727273" style="175"/>
    <col min="10509" max="10509" width="10.6272727272727" style="175" customWidth="1"/>
    <col min="10510" max="10750" width="9.12727272727273" style="175"/>
    <col min="10751" max="10751" width="8" style="175" customWidth="1"/>
    <col min="10752" max="10752" width="28.5" style="175" customWidth="1"/>
    <col min="10753" max="10764" width="9.12727272727273" style="175"/>
    <col min="10765" max="10765" width="10.6272727272727" style="175" customWidth="1"/>
    <col min="10766" max="11006" width="9.12727272727273" style="175"/>
    <col min="11007" max="11007" width="8" style="175" customWidth="1"/>
    <col min="11008" max="11008" width="28.5" style="175" customWidth="1"/>
    <col min="11009" max="11020" width="9.12727272727273" style="175"/>
    <col min="11021" max="11021" width="10.6272727272727" style="175" customWidth="1"/>
    <col min="11022" max="11262" width="9.12727272727273" style="175"/>
    <col min="11263" max="11263" width="8" style="175" customWidth="1"/>
    <col min="11264" max="11264" width="28.5" style="175" customWidth="1"/>
    <col min="11265" max="11276" width="9.12727272727273" style="175"/>
    <col min="11277" max="11277" width="10.6272727272727" style="175" customWidth="1"/>
    <col min="11278" max="11518" width="9.12727272727273" style="175"/>
    <col min="11519" max="11519" width="8" style="175" customWidth="1"/>
    <col min="11520" max="11520" width="28.5" style="175" customWidth="1"/>
    <col min="11521" max="11532" width="9.12727272727273" style="175"/>
    <col min="11533" max="11533" width="10.6272727272727" style="175" customWidth="1"/>
    <col min="11534" max="11774" width="9.12727272727273" style="175"/>
    <col min="11775" max="11775" width="8" style="175" customWidth="1"/>
    <col min="11776" max="11776" width="28.5" style="175" customWidth="1"/>
    <col min="11777" max="11788" width="9.12727272727273" style="175"/>
    <col min="11789" max="11789" width="10.6272727272727" style="175" customWidth="1"/>
    <col min="11790" max="12030" width="9.12727272727273" style="175"/>
    <col min="12031" max="12031" width="8" style="175" customWidth="1"/>
    <col min="12032" max="12032" width="28.5" style="175" customWidth="1"/>
    <col min="12033" max="12044" width="9.12727272727273" style="175"/>
    <col min="12045" max="12045" width="10.6272727272727" style="175" customWidth="1"/>
    <col min="12046" max="12286" width="9.12727272727273" style="175"/>
    <col min="12287" max="12287" width="8" style="175" customWidth="1"/>
    <col min="12288" max="12288" width="28.5" style="175" customWidth="1"/>
    <col min="12289" max="12300" width="9.12727272727273" style="175"/>
    <col min="12301" max="12301" width="10.6272727272727" style="175" customWidth="1"/>
    <col min="12302" max="12542" width="9.12727272727273" style="175"/>
    <col min="12543" max="12543" width="8" style="175" customWidth="1"/>
    <col min="12544" max="12544" width="28.5" style="175" customWidth="1"/>
    <col min="12545" max="12556" width="9.12727272727273" style="175"/>
    <col min="12557" max="12557" width="10.6272727272727" style="175" customWidth="1"/>
    <col min="12558" max="12798" width="9.12727272727273" style="175"/>
    <col min="12799" max="12799" width="8" style="175" customWidth="1"/>
    <col min="12800" max="12800" width="28.5" style="175" customWidth="1"/>
    <col min="12801" max="12812" width="9.12727272727273" style="175"/>
    <col min="12813" max="12813" width="10.6272727272727" style="175" customWidth="1"/>
    <col min="12814" max="13054" width="9.12727272727273" style="175"/>
    <col min="13055" max="13055" width="8" style="175" customWidth="1"/>
    <col min="13056" max="13056" width="28.5" style="175" customWidth="1"/>
    <col min="13057" max="13068" width="9.12727272727273" style="175"/>
    <col min="13069" max="13069" width="10.6272727272727" style="175" customWidth="1"/>
    <col min="13070" max="13310" width="9.12727272727273" style="175"/>
    <col min="13311" max="13311" width="8" style="175" customWidth="1"/>
    <col min="13312" max="13312" width="28.5" style="175" customWidth="1"/>
    <col min="13313" max="13324" width="9.12727272727273" style="175"/>
    <col min="13325" max="13325" width="10.6272727272727" style="175" customWidth="1"/>
    <col min="13326" max="13566" width="9.12727272727273" style="175"/>
    <col min="13567" max="13567" width="8" style="175" customWidth="1"/>
    <col min="13568" max="13568" width="28.5" style="175" customWidth="1"/>
    <col min="13569" max="13580" width="9.12727272727273" style="175"/>
    <col min="13581" max="13581" width="10.6272727272727" style="175" customWidth="1"/>
    <col min="13582" max="13822" width="9.12727272727273" style="175"/>
    <col min="13823" max="13823" width="8" style="175" customWidth="1"/>
    <col min="13824" max="13824" width="28.5" style="175" customWidth="1"/>
    <col min="13825" max="13836" width="9.12727272727273" style="175"/>
    <col min="13837" max="13837" width="10.6272727272727" style="175" customWidth="1"/>
    <col min="13838" max="14078" width="9.12727272727273" style="175"/>
    <col min="14079" max="14079" width="8" style="175" customWidth="1"/>
    <col min="14080" max="14080" width="28.5" style="175" customWidth="1"/>
    <col min="14081" max="14092" width="9.12727272727273" style="175"/>
    <col min="14093" max="14093" width="10.6272727272727" style="175" customWidth="1"/>
    <col min="14094" max="14334" width="9.12727272727273" style="175"/>
    <col min="14335" max="14335" width="8" style="175" customWidth="1"/>
    <col min="14336" max="14336" width="28.5" style="175" customWidth="1"/>
    <col min="14337" max="14348" width="9.12727272727273" style="175"/>
    <col min="14349" max="14349" width="10.6272727272727" style="175" customWidth="1"/>
    <col min="14350" max="14590" width="9.12727272727273" style="175"/>
    <col min="14591" max="14591" width="8" style="175" customWidth="1"/>
    <col min="14592" max="14592" width="28.5" style="175" customWidth="1"/>
    <col min="14593" max="14604" width="9.12727272727273" style="175"/>
    <col min="14605" max="14605" width="10.6272727272727" style="175" customWidth="1"/>
    <col min="14606" max="14846" width="9.12727272727273" style="175"/>
    <col min="14847" max="14847" width="8" style="175" customWidth="1"/>
    <col min="14848" max="14848" width="28.5" style="175" customWidth="1"/>
    <col min="14849" max="14860" width="9.12727272727273" style="175"/>
    <col min="14861" max="14861" width="10.6272727272727" style="175" customWidth="1"/>
    <col min="14862" max="15102" width="9.12727272727273" style="175"/>
    <col min="15103" max="15103" width="8" style="175" customWidth="1"/>
    <col min="15104" max="15104" width="28.5" style="175" customWidth="1"/>
    <col min="15105" max="15116" width="9.12727272727273" style="175"/>
    <col min="15117" max="15117" width="10.6272727272727" style="175" customWidth="1"/>
    <col min="15118" max="15358" width="9.12727272727273" style="175"/>
    <col min="15359" max="15359" width="8" style="175" customWidth="1"/>
    <col min="15360" max="15360" width="28.5" style="175" customWidth="1"/>
    <col min="15361" max="15372" width="9.12727272727273" style="175"/>
    <col min="15373" max="15373" width="10.6272727272727" style="175" customWidth="1"/>
    <col min="15374" max="15614" width="9.12727272727273" style="175"/>
    <col min="15615" max="15615" width="8" style="175" customWidth="1"/>
    <col min="15616" max="15616" width="28.5" style="175" customWidth="1"/>
    <col min="15617" max="15628" width="9.12727272727273" style="175"/>
    <col min="15629" max="15629" width="10.6272727272727" style="175" customWidth="1"/>
    <col min="15630" max="15870" width="9.12727272727273" style="175"/>
    <col min="15871" max="15871" width="8" style="175" customWidth="1"/>
    <col min="15872" max="15872" width="28.5" style="175" customWidth="1"/>
    <col min="15873" max="15884" width="9.12727272727273" style="175"/>
    <col min="15885" max="15885" width="10.6272727272727" style="175" customWidth="1"/>
    <col min="15886" max="16126" width="9.12727272727273" style="175"/>
    <col min="16127" max="16127" width="8" style="175" customWidth="1"/>
    <col min="16128" max="16128" width="28.5" style="175" customWidth="1"/>
    <col min="16129" max="16140" width="9.12727272727273" style="175"/>
    <col min="16141" max="16141" width="10.6272727272727" style="175" customWidth="1"/>
    <col min="16142" max="16384" width="9.12727272727273" style="175"/>
  </cols>
  <sheetData>
    <row r="1" ht="17.5" spans="1:13">
      <c r="A1" s="176" t="s">
        <v>121</v>
      </c>
      <c r="B1" s="177"/>
      <c r="C1" s="178"/>
      <c r="D1" s="178"/>
      <c r="E1" s="177"/>
      <c r="F1" s="178"/>
      <c r="G1" s="178"/>
      <c r="H1" s="177"/>
      <c r="I1" s="178"/>
      <c r="J1" s="178"/>
      <c r="K1" s="178"/>
      <c r="L1" s="178"/>
      <c r="M1" s="178"/>
    </row>
    <row r="2" ht="14" spans="1:2">
      <c r="A2" s="175" t="s">
        <v>122</v>
      </c>
      <c r="B2" s="179"/>
    </row>
    <row r="3" ht="16.9" customHeight="1" spans="1:13">
      <c r="A3" s="180" t="s">
        <v>22</v>
      </c>
      <c r="B3" s="180" t="s">
        <v>123</v>
      </c>
      <c r="C3" s="181" t="s">
        <v>124</v>
      </c>
      <c r="D3" s="181"/>
      <c r="E3" s="181"/>
      <c r="F3" s="182"/>
      <c r="G3" s="183"/>
      <c r="H3" s="184"/>
      <c r="I3" s="184"/>
      <c r="J3" s="184" t="s">
        <v>125</v>
      </c>
      <c r="K3" s="184"/>
      <c r="L3" s="184"/>
      <c r="M3" s="205"/>
    </row>
    <row r="4" ht="16.15" customHeight="1" spans="1:13">
      <c r="A4" s="185"/>
      <c r="B4" s="185" t="s">
        <v>126</v>
      </c>
      <c r="C4" s="181">
        <v>2017</v>
      </c>
      <c r="D4" s="181">
        <f t="shared" ref="D4:L4" si="0">C4+1</f>
        <v>2018</v>
      </c>
      <c r="E4" s="181">
        <f t="shared" si="0"/>
        <v>2019</v>
      </c>
      <c r="F4" s="181">
        <f t="shared" si="0"/>
        <v>2020</v>
      </c>
      <c r="G4" s="181">
        <f t="shared" si="0"/>
        <v>2021</v>
      </c>
      <c r="H4" s="186">
        <f t="shared" si="0"/>
        <v>2022</v>
      </c>
      <c r="I4" s="186">
        <f t="shared" si="0"/>
        <v>2023</v>
      </c>
      <c r="J4" s="186">
        <f t="shared" si="0"/>
        <v>2024</v>
      </c>
      <c r="K4" s="186">
        <f t="shared" si="0"/>
        <v>2025</v>
      </c>
      <c r="L4" s="186">
        <f t="shared" si="0"/>
        <v>2026</v>
      </c>
      <c r="M4" s="206" t="s">
        <v>127</v>
      </c>
    </row>
    <row r="5" ht="15.6" customHeight="1" spans="1:13">
      <c r="A5" s="187">
        <v>1</v>
      </c>
      <c r="B5" s="188" t="s">
        <v>128</v>
      </c>
      <c r="C5" s="189">
        <f>SUM(C6:C9)</f>
        <v>0</v>
      </c>
      <c r="D5" s="189">
        <f t="shared" ref="D5:L5" si="1">SUM(D6:D9)</f>
        <v>0</v>
      </c>
      <c r="E5" s="189" t="e">
        <f t="shared" si="1"/>
        <v>#REF!</v>
      </c>
      <c r="F5" s="189">
        <f t="shared" si="1"/>
        <v>1342500</v>
      </c>
      <c r="G5" s="189">
        <f t="shared" si="1"/>
        <v>1342500</v>
      </c>
      <c r="H5" s="189">
        <f t="shared" si="1"/>
        <v>1342500</v>
      </c>
      <c r="I5" s="189" t="e">
        <f t="shared" si="1"/>
        <v>#REF!</v>
      </c>
      <c r="J5" s="189" t="e">
        <f t="shared" si="1"/>
        <v>#REF!</v>
      </c>
      <c r="K5" s="189" t="e">
        <f t="shared" si="1"/>
        <v>#REF!</v>
      </c>
      <c r="L5" s="189">
        <f t="shared" si="1"/>
        <v>6712500</v>
      </c>
      <c r="M5" s="193" t="e">
        <f t="shared" ref="M5:M17" si="2">SUM(C5:L5)</f>
        <v>#REF!</v>
      </c>
    </row>
    <row r="6" ht="15.6" customHeight="1" spans="1:13">
      <c r="A6" s="187">
        <v>1.1</v>
      </c>
      <c r="B6" s="190" t="s">
        <v>129</v>
      </c>
      <c r="C6" s="191"/>
      <c r="D6" s="191"/>
      <c r="E6" s="191" t="e">
        <f>损益表!#REF!</f>
        <v>#REF!</v>
      </c>
      <c r="F6" s="191">
        <f>损益表!C5</f>
        <v>1342500</v>
      </c>
      <c r="G6" s="191">
        <f>损益表!D5</f>
        <v>1342500</v>
      </c>
      <c r="H6" s="191">
        <f>损益表!E5</f>
        <v>1342500</v>
      </c>
      <c r="I6" s="191" t="e">
        <f>损益表!#REF!</f>
        <v>#REF!</v>
      </c>
      <c r="J6" s="191" t="e">
        <f>损益表!#REF!</f>
        <v>#REF!</v>
      </c>
      <c r="K6" s="191" t="e">
        <f>损益表!#REF!</f>
        <v>#REF!</v>
      </c>
      <c r="L6" s="191">
        <f>损益表!H5</f>
        <v>6712500</v>
      </c>
      <c r="M6" s="193" t="e">
        <f t="shared" si="2"/>
        <v>#REF!</v>
      </c>
    </row>
    <row r="7" ht="15.6" customHeight="1" spans="1:13">
      <c r="A7" s="187">
        <v>1.2</v>
      </c>
      <c r="B7" s="190" t="s">
        <v>130</v>
      </c>
      <c r="C7" s="191"/>
      <c r="D7" s="191"/>
      <c r="E7" s="191">
        <f>[1]折、摊!G18</f>
        <v>0</v>
      </c>
      <c r="F7" s="191">
        <f>[1]折、摊!H18</f>
        <v>0</v>
      </c>
      <c r="G7" s="191">
        <f>[1]折、摊!I18</f>
        <v>0</v>
      </c>
      <c r="H7" s="191">
        <f>[1]折、摊!J18</f>
        <v>0</v>
      </c>
      <c r="I7" s="191">
        <f>[1]折、摊!K18</f>
        <v>0</v>
      </c>
      <c r="J7" s="191">
        <f>[1]折、摊!L18</f>
        <v>0</v>
      </c>
      <c r="K7" s="191">
        <f>[1]折、摊!M18</f>
        <v>0</v>
      </c>
      <c r="L7" s="191">
        <f>[1]折、摊!N18</f>
        <v>0</v>
      </c>
      <c r="M7" s="193">
        <f t="shared" si="2"/>
        <v>0</v>
      </c>
    </row>
    <row r="8" ht="15.6" customHeight="1" spans="1:13">
      <c r="A8" s="187">
        <v>1.3</v>
      </c>
      <c r="B8" s="190" t="s">
        <v>131</v>
      </c>
      <c r="C8" s="191" t="s">
        <v>132</v>
      </c>
      <c r="D8" s="191" t="s">
        <v>132</v>
      </c>
      <c r="E8" s="191" t="s">
        <v>132</v>
      </c>
      <c r="F8" s="191" t="s">
        <v>132</v>
      </c>
      <c r="G8" s="191" t="s">
        <v>132</v>
      </c>
      <c r="H8" s="191" t="s">
        <v>132</v>
      </c>
      <c r="I8" s="191" t="s">
        <v>132</v>
      </c>
      <c r="J8" s="191" t="s">
        <v>132</v>
      </c>
      <c r="K8" s="191" t="s">
        <v>132</v>
      </c>
      <c r="L8" s="191"/>
      <c r="M8" s="193">
        <f t="shared" si="2"/>
        <v>0</v>
      </c>
    </row>
    <row r="9" s="174" customFormat="1" ht="15.6" customHeight="1" spans="1:13">
      <c r="A9" s="192">
        <v>1.4</v>
      </c>
      <c r="B9" s="193" t="s">
        <v>133</v>
      </c>
      <c r="C9" s="191" t="s">
        <v>132</v>
      </c>
      <c r="D9" s="191" t="s">
        <v>132</v>
      </c>
      <c r="E9" s="191" t="s">
        <v>132</v>
      </c>
      <c r="F9" s="191" t="s">
        <v>132</v>
      </c>
      <c r="G9" s="191" t="s">
        <v>132</v>
      </c>
      <c r="H9" s="191" t="s">
        <v>132</v>
      </c>
      <c r="I9" s="191" t="s">
        <v>132</v>
      </c>
      <c r="J9" s="191" t="s">
        <v>132</v>
      </c>
      <c r="K9" s="191" t="s">
        <v>132</v>
      </c>
      <c r="L9" s="191" t="s">
        <v>132</v>
      </c>
      <c r="M9" s="193">
        <f t="shared" si="2"/>
        <v>0</v>
      </c>
    </row>
    <row r="10" ht="15.6" customHeight="1" spans="1:13">
      <c r="A10" s="192">
        <v>2</v>
      </c>
      <c r="B10" s="188" t="s">
        <v>134</v>
      </c>
      <c r="C10" s="189">
        <f t="shared" ref="C10:L10" si="3">SUM(C11:C16)</f>
        <v>0</v>
      </c>
      <c r="D10" s="189">
        <f t="shared" si="3"/>
        <v>0</v>
      </c>
      <c r="E10" s="189">
        <f t="shared" si="3"/>
        <v>0</v>
      </c>
      <c r="F10" s="189">
        <f t="shared" si="3"/>
        <v>0</v>
      </c>
      <c r="G10" s="189">
        <f t="shared" si="3"/>
        <v>0</v>
      </c>
      <c r="H10" s="189">
        <f t="shared" si="3"/>
        <v>0</v>
      </c>
      <c r="I10" s="189">
        <f t="shared" si="3"/>
        <v>0</v>
      </c>
      <c r="J10" s="189">
        <f t="shared" si="3"/>
        <v>0</v>
      </c>
      <c r="K10" s="189">
        <f t="shared" si="3"/>
        <v>0</v>
      </c>
      <c r="L10" s="189">
        <f t="shared" si="3"/>
        <v>0</v>
      </c>
      <c r="M10" s="193">
        <f t="shared" si="2"/>
        <v>0</v>
      </c>
    </row>
    <row r="11" ht="15" customHeight="1" spans="1:13">
      <c r="A11" s="187">
        <v>2.1</v>
      </c>
      <c r="B11" s="187" t="s">
        <v>135</v>
      </c>
      <c r="C11" s="191">
        <f>([1]计划!C6-[1]计划!C7)</f>
        <v>0</v>
      </c>
      <c r="D11" s="191">
        <f>([1]计划!D6-[1]计划!D7)</f>
        <v>0</v>
      </c>
      <c r="E11" s="191">
        <f>([1]计划!E6-[1]计划!E7)</f>
        <v>0</v>
      </c>
      <c r="F11" s="191">
        <f>([1]计划!F6-[1]计划!F7)</f>
        <v>0</v>
      </c>
      <c r="G11" s="191">
        <f>([1]计划!G6-[1]计划!G7)</f>
        <v>0</v>
      </c>
      <c r="H11" s="191">
        <f>([1]计划!H6-[1]计划!H7)</f>
        <v>0</v>
      </c>
      <c r="I11" s="191">
        <f>([1]计划!I6-[1]计划!I7)</f>
        <v>0</v>
      </c>
      <c r="J11" s="191">
        <f>([1]计划!J6-[1]计划!J7)</f>
        <v>0</v>
      </c>
      <c r="K11" s="191">
        <f>([1]计划!K6-[1]计划!K7)</f>
        <v>0</v>
      </c>
      <c r="L11" s="191">
        <f>([1]计划!L6-[1]计划!L7)</f>
        <v>0</v>
      </c>
      <c r="M11" s="193">
        <f t="shared" si="2"/>
        <v>0</v>
      </c>
    </row>
    <row r="12" s="174" customFormat="1" ht="15" customHeight="1" spans="1:13">
      <c r="A12" s="187">
        <v>2.2</v>
      </c>
      <c r="B12" s="193" t="s">
        <v>136</v>
      </c>
      <c r="C12" s="191">
        <f>[1]计划!C8</f>
        <v>0</v>
      </c>
      <c r="D12" s="191">
        <f>[1]计划!D8</f>
        <v>0</v>
      </c>
      <c r="E12" s="191">
        <f>[1]计划!E8</f>
        <v>0</v>
      </c>
      <c r="F12" s="191">
        <f>[1]计划!F8</f>
        <v>0</v>
      </c>
      <c r="G12" s="191">
        <f>[1]计划!G8</f>
        <v>0</v>
      </c>
      <c r="H12" s="191">
        <f>[1]计划!H8</f>
        <v>0</v>
      </c>
      <c r="I12" s="191">
        <f>[1]计划!I8</f>
        <v>0</v>
      </c>
      <c r="J12" s="191">
        <f>[1]计划!J8</f>
        <v>0</v>
      </c>
      <c r="K12" s="191">
        <f>[1]计划!K8</f>
        <v>0</v>
      </c>
      <c r="L12" s="191">
        <f>[1]计划!L8</f>
        <v>0</v>
      </c>
      <c r="M12" s="193">
        <f t="shared" si="2"/>
        <v>0</v>
      </c>
    </row>
    <row r="13" ht="15" customHeight="1" spans="1:13">
      <c r="A13" s="187">
        <v>2.3</v>
      </c>
      <c r="B13" s="190" t="s">
        <v>137</v>
      </c>
      <c r="C13" s="191">
        <f>[1]总成本!C22</f>
        <v>0</v>
      </c>
      <c r="D13" s="191">
        <f>[1]总成本!D22</f>
        <v>0</v>
      </c>
      <c r="E13" s="191">
        <f>[1]总成本!E22</f>
        <v>0</v>
      </c>
      <c r="F13" s="191">
        <f>[1]总成本!F22</f>
        <v>0</v>
      </c>
      <c r="G13" s="191">
        <f>[1]总成本!G22</f>
        <v>0</v>
      </c>
      <c r="H13" s="191">
        <f>[1]总成本!H22</f>
        <v>0</v>
      </c>
      <c r="I13" s="191">
        <f>[1]总成本!I22</f>
        <v>0</v>
      </c>
      <c r="J13" s="191">
        <f>[1]总成本!J22</f>
        <v>0</v>
      </c>
      <c r="K13" s="191">
        <f>[1]总成本!K22</f>
        <v>0</v>
      </c>
      <c r="L13" s="191">
        <f>[1]总成本!L22</f>
        <v>0</v>
      </c>
      <c r="M13" s="193">
        <f t="shared" si="2"/>
        <v>0</v>
      </c>
    </row>
    <row r="14" ht="15" customHeight="1" spans="1:13">
      <c r="A14" s="187">
        <v>2.4</v>
      </c>
      <c r="B14" s="190" t="s">
        <v>138</v>
      </c>
      <c r="C14" s="191">
        <f>[1]价格!D15</f>
        <v>0</v>
      </c>
      <c r="D14" s="191">
        <f>[1]价格!E15</f>
        <v>0</v>
      </c>
      <c r="E14" s="191">
        <f>[1]价格!F15</f>
        <v>0</v>
      </c>
      <c r="F14" s="191">
        <f>[1]价格!G15</f>
        <v>0</v>
      </c>
      <c r="G14" s="191">
        <f>[1]价格!H15</f>
        <v>0</v>
      </c>
      <c r="H14" s="191">
        <f>[1]价格!I15</f>
        <v>0</v>
      </c>
      <c r="I14" s="191">
        <f>[1]价格!J15</f>
        <v>0</v>
      </c>
      <c r="J14" s="191">
        <f>[1]价格!K15</f>
        <v>0</v>
      </c>
      <c r="K14" s="191">
        <f>[1]价格!L15</f>
        <v>0</v>
      </c>
      <c r="L14" s="191">
        <f>[1]价格!M15</f>
        <v>0</v>
      </c>
      <c r="M14" s="193">
        <f t="shared" si="2"/>
        <v>0</v>
      </c>
    </row>
    <row r="15" ht="15" customHeight="1" spans="1:13">
      <c r="A15" s="187">
        <v>2.5</v>
      </c>
      <c r="B15" s="190" t="s">
        <v>69</v>
      </c>
      <c r="C15" s="191">
        <f>[1]利润!C13</f>
        <v>0</v>
      </c>
      <c r="D15" s="191">
        <f>[1]利润!D13</f>
        <v>0</v>
      </c>
      <c r="E15" s="191">
        <f>[1]利润!E13</f>
        <v>0</v>
      </c>
      <c r="F15" s="191">
        <f>[1]利润!F13</f>
        <v>0</v>
      </c>
      <c r="G15" s="191">
        <f>[1]利润!G13</f>
        <v>0</v>
      </c>
      <c r="H15" s="191">
        <f>[1]利润!H13</f>
        <v>0</v>
      </c>
      <c r="I15" s="191">
        <f>[1]利润!I13</f>
        <v>0</v>
      </c>
      <c r="J15" s="191">
        <f>[1]利润!J13</f>
        <v>0</v>
      </c>
      <c r="K15" s="191">
        <f>[1]利润!K13</f>
        <v>0</v>
      </c>
      <c r="L15" s="191">
        <f>[1]利润!L13</f>
        <v>0</v>
      </c>
      <c r="M15" s="193">
        <f t="shared" si="2"/>
        <v>0</v>
      </c>
    </row>
    <row r="16" ht="15" customHeight="1" spans="1:13">
      <c r="A16" s="187">
        <v>2.6</v>
      </c>
      <c r="B16" s="190" t="s">
        <v>139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3">
        <f t="shared" si="2"/>
        <v>0</v>
      </c>
    </row>
    <row r="17" ht="14" spans="1:13">
      <c r="A17" s="187">
        <v>3</v>
      </c>
      <c r="B17" s="188" t="s">
        <v>140</v>
      </c>
      <c r="C17" s="189">
        <f t="shared" ref="C17:L17" si="4">C5-C10</f>
        <v>0</v>
      </c>
      <c r="D17" s="189">
        <f t="shared" si="4"/>
        <v>0</v>
      </c>
      <c r="E17" s="189" t="e">
        <f t="shared" si="4"/>
        <v>#REF!</v>
      </c>
      <c r="F17" s="189">
        <f t="shared" si="4"/>
        <v>1342500</v>
      </c>
      <c r="G17" s="189">
        <f t="shared" si="4"/>
        <v>1342500</v>
      </c>
      <c r="H17" s="189">
        <f t="shared" si="4"/>
        <v>1342500</v>
      </c>
      <c r="I17" s="189" t="e">
        <f t="shared" si="4"/>
        <v>#REF!</v>
      </c>
      <c r="J17" s="189" t="e">
        <f t="shared" si="4"/>
        <v>#REF!</v>
      </c>
      <c r="K17" s="189" t="e">
        <f t="shared" si="4"/>
        <v>#REF!</v>
      </c>
      <c r="L17" s="189">
        <f t="shared" si="4"/>
        <v>6712500</v>
      </c>
      <c r="M17" s="193" t="e">
        <f t="shared" si="2"/>
        <v>#REF!</v>
      </c>
    </row>
    <row r="18" ht="14" spans="1:13">
      <c r="A18" s="194">
        <v>4</v>
      </c>
      <c r="B18" s="190" t="s">
        <v>141</v>
      </c>
      <c r="C18" s="191">
        <f>C17</f>
        <v>0</v>
      </c>
      <c r="D18" s="191">
        <f t="shared" ref="D18:L18" si="5">C18+D17</f>
        <v>0</v>
      </c>
      <c r="E18" s="191" t="e">
        <f t="shared" si="5"/>
        <v>#REF!</v>
      </c>
      <c r="F18" s="191" t="e">
        <f t="shared" si="5"/>
        <v>#REF!</v>
      </c>
      <c r="G18" s="191" t="e">
        <f t="shared" si="5"/>
        <v>#REF!</v>
      </c>
      <c r="H18" s="191" t="e">
        <f t="shared" si="5"/>
        <v>#REF!</v>
      </c>
      <c r="I18" s="191" t="e">
        <f t="shared" si="5"/>
        <v>#REF!</v>
      </c>
      <c r="J18" s="191" t="e">
        <f t="shared" si="5"/>
        <v>#REF!</v>
      </c>
      <c r="K18" s="191" t="e">
        <f t="shared" si="5"/>
        <v>#REF!</v>
      </c>
      <c r="L18" s="191" t="e">
        <f t="shared" si="5"/>
        <v>#REF!</v>
      </c>
      <c r="M18" s="190" t="s">
        <v>132</v>
      </c>
    </row>
    <row r="19" s="174" customFormat="1" ht="13" spans="1:13">
      <c r="A19" s="194">
        <v>5</v>
      </c>
      <c r="B19" s="190" t="s">
        <v>142</v>
      </c>
      <c r="C19" s="191">
        <f t="shared" ref="C19:L19" si="6">C17+C15</f>
        <v>0</v>
      </c>
      <c r="D19" s="191">
        <f t="shared" si="6"/>
        <v>0</v>
      </c>
      <c r="E19" s="191" t="e">
        <f t="shared" si="6"/>
        <v>#REF!</v>
      </c>
      <c r="F19" s="191">
        <f t="shared" si="6"/>
        <v>1342500</v>
      </c>
      <c r="G19" s="191">
        <f t="shared" si="6"/>
        <v>1342500</v>
      </c>
      <c r="H19" s="191">
        <f t="shared" si="6"/>
        <v>1342500</v>
      </c>
      <c r="I19" s="191" t="e">
        <f t="shared" si="6"/>
        <v>#REF!</v>
      </c>
      <c r="J19" s="191" t="e">
        <f t="shared" si="6"/>
        <v>#REF!</v>
      </c>
      <c r="K19" s="191" t="e">
        <f t="shared" si="6"/>
        <v>#REF!</v>
      </c>
      <c r="L19" s="191">
        <f t="shared" si="6"/>
        <v>6712500</v>
      </c>
      <c r="M19" s="193" t="e">
        <f>SUM(C19:L19)</f>
        <v>#REF!</v>
      </c>
    </row>
    <row r="20" s="174" customFormat="1" ht="13" spans="1:13">
      <c r="A20" s="187">
        <v>6</v>
      </c>
      <c r="B20" s="190" t="s">
        <v>143</v>
      </c>
      <c r="C20" s="191">
        <f>C19</f>
        <v>0</v>
      </c>
      <c r="D20" s="191">
        <f t="shared" ref="D20:L20" si="7">C20+D19</f>
        <v>0</v>
      </c>
      <c r="E20" s="191" t="e">
        <f t="shared" si="7"/>
        <v>#REF!</v>
      </c>
      <c r="F20" s="191" t="e">
        <f t="shared" si="7"/>
        <v>#REF!</v>
      </c>
      <c r="G20" s="191" t="e">
        <f t="shared" si="7"/>
        <v>#REF!</v>
      </c>
      <c r="H20" s="191" t="e">
        <f t="shared" si="7"/>
        <v>#REF!</v>
      </c>
      <c r="I20" s="191" t="e">
        <f t="shared" si="7"/>
        <v>#REF!</v>
      </c>
      <c r="J20" s="191" t="e">
        <f t="shared" si="7"/>
        <v>#REF!</v>
      </c>
      <c r="K20" s="191" t="e">
        <f t="shared" si="7"/>
        <v>#REF!</v>
      </c>
      <c r="L20" s="191" t="e">
        <f t="shared" si="7"/>
        <v>#REF!</v>
      </c>
      <c r="M20" s="190" t="s">
        <v>132</v>
      </c>
    </row>
    <row r="21" ht="14" spans="1:13">
      <c r="A21" s="195"/>
      <c r="B21" s="196" t="s">
        <v>144</v>
      </c>
      <c r="C21" s="196"/>
      <c r="D21" s="196"/>
      <c r="E21" s="196" t="s">
        <v>145</v>
      </c>
      <c r="F21" s="196"/>
      <c r="G21" s="196"/>
      <c r="H21" s="196"/>
      <c r="I21" s="196" t="s">
        <v>146</v>
      </c>
      <c r="J21" s="196"/>
      <c r="K21" s="196"/>
      <c r="L21" s="196"/>
      <c r="M21" s="207"/>
    </row>
    <row r="22" ht="14" spans="1:13">
      <c r="A22" s="197"/>
      <c r="B22" s="198" t="s">
        <v>147</v>
      </c>
      <c r="C22" s="198"/>
      <c r="D22" s="199" t="s">
        <v>148</v>
      </c>
      <c r="E22" s="200" t="e">
        <f>IRR(C17:L17,0.15)</f>
        <v>#VALUE!</v>
      </c>
      <c r="F22" s="198"/>
      <c r="G22" s="198"/>
      <c r="H22" s="198"/>
      <c r="I22" s="200" t="e">
        <f>IRR(C19:L19,0.15)</f>
        <v>#VALUE!</v>
      </c>
      <c r="J22" s="198"/>
      <c r="K22" s="198"/>
      <c r="L22" s="198"/>
      <c r="M22" s="208"/>
    </row>
    <row r="23" ht="14" spans="1:18">
      <c r="A23" s="197"/>
      <c r="B23" s="198" t="s">
        <v>149</v>
      </c>
      <c r="C23" s="198"/>
      <c r="D23" s="198"/>
      <c r="E23" s="201" t="e">
        <f>NPV(0.12,C17:L17)</f>
        <v>#REF!</v>
      </c>
      <c r="F23" s="198"/>
      <c r="G23" s="198"/>
      <c r="H23" s="198"/>
      <c r="I23" s="201" t="e">
        <f>NPV(0.12,C19:L19)</f>
        <v>#REF!</v>
      </c>
      <c r="J23" s="198"/>
      <c r="K23" s="198"/>
      <c r="L23" s="198"/>
      <c r="M23" s="208"/>
      <c r="R23" s="175">
        <f>30.9-29.82</f>
        <v>1.08</v>
      </c>
    </row>
    <row r="24" ht="14" spans="1:13">
      <c r="A24" s="202"/>
      <c r="B24" s="203" t="s">
        <v>150</v>
      </c>
      <c r="C24" s="203"/>
      <c r="D24" s="203"/>
      <c r="E24" s="204" t="e">
        <f>6-H18/I17</f>
        <v>#REF!</v>
      </c>
      <c r="F24" s="203"/>
      <c r="G24" s="203"/>
      <c r="H24" s="203"/>
      <c r="I24" s="204" t="e">
        <f>6-H20/I19</f>
        <v>#REF!</v>
      </c>
      <c r="J24" s="203"/>
      <c r="K24" s="203"/>
      <c r="L24" s="203"/>
      <c r="M24" s="209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74"/>
  <sheetViews>
    <sheetView workbookViewId="0">
      <pane xSplit="2" ySplit="7" topLeftCell="C17" activePane="bottomRight" state="frozen"/>
      <selection/>
      <selection pane="topRight"/>
      <selection pane="bottomLeft"/>
      <selection pane="bottomRight" activeCell="C43" sqref="C43"/>
    </sheetView>
  </sheetViews>
  <sheetFormatPr defaultColWidth="9" defaultRowHeight="14.5"/>
  <cols>
    <col min="1" max="1" width="5.12727272727273" style="142" customWidth="1"/>
    <col min="2" max="2" width="17.5" style="142" customWidth="1"/>
    <col min="3" max="4" width="13.2545454545455" style="143" customWidth="1"/>
    <col min="5" max="6" width="12.8727272727273" style="143" customWidth="1"/>
    <col min="7" max="7" width="18.7545454545455" style="143" customWidth="1"/>
    <col min="8" max="8" width="12.3727272727273" style="142" customWidth="1"/>
    <col min="9" max="9" width="10.1272727272727" style="142" customWidth="1"/>
    <col min="10" max="16" width="9" style="142" customWidth="1"/>
    <col min="17" max="33" width="9" style="142"/>
    <col min="34" max="34" width="4.37272727272727" style="142" customWidth="1"/>
    <col min="35" max="35" width="13.8727272727273" style="142" customWidth="1"/>
    <col min="36" max="16384" width="9" style="142"/>
  </cols>
  <sheetData>
    <row r="1" spans="1:7">
      <c r="A1" s="144" t="s">
        <v>151</v>
      </c>
      <c r="B1" s="144"/>
      <c r="C1" s="145" t="s">
        <v>152</v>
      </c>
      <c r="D1" s="146"/>
      <c r="E1" s="146"/>
      <c r="F1" s="146"/>
      <c r="G1" s="147"/>
    </row>
    <row r="2" spans="1:7">
      <c r="A2" s="144" t="s">
        <v>153</v>
      </c>
      <c r="B2" s="144"/>
      <c r="C2" s="148" t="s">
        <v>154</v>
      </c>
      <c r="D2" s="148"/>
      <c r="E2" s="148"/>
      <c r="F2" s="148"/>
      <c r="G2" s="148"/>
    </row>
    <row r="3" ht="26" spans="1:7">
      <c r="A3" s="144" t="s">
        <v>155</v>
      </c>
      <c r="B3" s="144"/>
      <c r="C3" s="50" t="str">
        <f>销量!C5</f>
        <v>第三座椅总成/两点式安全带/X5000S</v>
      </c>
      <c r="D3" s="50">
        <f>销量!D5</f>
        <v>0</v>
      </c>
      <c r="E3" s="50">
        <f>销量!E5</f>
        <v>0</v>
      </c>
      <c r="F3" s="50">
        <f>销量!F5</f>
        <v>0</v>
      </c>
      <c r="G3" s="149" t="s">
        <v>28</v>
      </c>
    </row>
    <row r="4" ht="39" customHeight="1" spans="1:7">
      <c r="A4" s="144" t="s">
        <v>156</v>
      </c>
      <c r="B4" s="144"/>
      <c r="C4" s="50" t="str">
        <f>销量!C6</f>
        <v>DZ16251510113</v>
      </c>
      <c r="D4" s="50">
        <f>销量!D6</f>
        <v>0</v>
      </c>
      <c r="E4" s="50">
        <f>销量!E6</f>
        <v>0</v>
      </c>
      <c r="F4" s="50">
        <f>销量!F6</f>
        <v>0</v>
      </c>
      <c r="G4" s="150"/>
    </row>
    <row r="5" spans="1:36">
      <c r="A5" s="144" t="s">
        <v>157</v>
      </c>
      <c r="B5" s="144"/>
      <c r="C5" s="151"/>
      <c r="D5" s="151"/>
      <c r="E5" s="151"/>
      <c r="F5" s="152"/>
      <c r="G5" s="152"/>
      <c r="AJ5" s="142" t="s">
        <v>29</v>
      </c>
    </row>
    <row r="6" ht="16.5" spans="1:36">
      <c r="A6" s="153" t="s">
        <v>22</v>
      </c>
      <c r="B6" s="154" t="s">
        <v>158</v>
      </c>
      <c r="C6" s="85">
        <f>销量!C9</f>
        <v>1500</v>
      </c>
      <c r="D6" s="85">
        <f>销量!D9</f>
        <v>0</v>
      </c>
      <c r="E6" s="85">
        <f>销量!E9</f>
        <v>0</v>
      </c>
      <c r="F6" s="85">
        <f>销量!F9</f>
        <v>0</v>
      </c>
      <c r="G6" s="155">
        <f t="shared" ref="G6:G15" si="0">SUM(C6:F6)</f>
        <v>1500</v>
      </c>
      <c r="R6" s="154" t="s">
        <v>3</v>
      </c>
      <c r="AH6" s="153" t="s">
        <v>22</v>
      </c>
      <c r="AI6" s="154" t="s">
        <v>3</v>
      </c>
      <c r="AJ6" s="142" t="s">
        <v>30</v>
      </c>
    </row>
    <row r="7" spans="1:36">
      <c r="A7" s="144">
        <v>1</v>
      </c>
      <c r="B7" s="154" t="s">
        <v>31</v>
      </c>
      <c r="C7" s="155">
        <f>C6*销量!C8</f>
        <v>1342500</v>
      </c>
      <c r="D7" s="155">
        <f>D6*销量!D8</f>
        <v>0</v>
      </c>
      <c r="E7" s="155">
        <f>E6*销量!E8</f>
        <v>0</v>
      </c>
      <c r="F7" s="155">
        <f>F6*销量!F8</f>
        <v>0</v>
      </c>
      <c r="G7" s="155">
        <f t="shared" si="0"/>
        <v>1342500</v>
      </c>
      <c r="H7" s="143"/>
      <c r="R7" s="154" t="s">
        <v>31</v>
      </c>
      <c r="AH7" s="153" t="s">
        <v>32</v>
      </c>
      <c r="AI7" s="154" t="s">
        <v>31</v>
      </c>
      <c r="AJ7" s="142" t="s">
        <v>30</v>
      </c>
    </row>
    <row r="8" spans="1:36">
      <c r="A8" s="144">
        <v>2</v>
      </c>
      <c r="B8" s="144" t="s">
        <v>33</v>
      </c>
      <c r="C8" s="155"/>
      <c r="D8" s="155"/>
      <c r="E8" s="155"/>
      <c r="F8" s="155"/>
      <c r="G8" s="155">
        <f t="shared" si="0"/>
        <v>0</v>
      </c>
      <c r="H8" s="156"/>
      <c r="R8" s="144" t="s">
        <v>35</v>
      </c>
      <c r="AH8" s="153" t="s">
        <v>34</v>
      </c>
      <c r="AI8" s="144" t="s">
        <v>35</v>
      </c>
      <c r="AJ8" s="142" t="s">
        <v>30</v>
      </c>
    </row>
    <row r="9" spans="1:36">
      <c r="A9" s="144">
        <v>3</v>
      </c>
      <c r="B9" s="154" t="s">
        <v>36</v>
      </c>
      <c r="C9" s="155">
        <f>+C7-C8</f>
        <v>1342500</v>
      </c>
      <c r="D9" s="155">
        <f t="shared" ref="D9:F9" si="1">+D7-D8</f>
        <v>0</v>
      </c>
      <c r="E9" s="155">
        <f t="shared" si="1"/>
        <v>0</v>
      </c>
      <c r="F9" s="155">
        <f t="shared" si="1"/>
        <v>0</v>
      </c>
      <c r="G9" s="155">
        <f t="shared" si="0"/>
        <v>1342500</v>
      </c>
      <c r="R9" s="154" t="s">
        <v>36</v>
      </c>
      <c r="AH9" s="153" t="s">
        <v>37</v>
      </c>
      <c r="AI9" s="154" t="s">
        <v>36</v>
      </c>
      <c r="AJ9" s="142" t="s">
        <v>38</v>
      </c>
    </row>
    <row r="10" spans="1:36">
      <c r="A10" s="144">
        <v>4</v>
      </c>
      <c r="B10" s="153" t="s">
        <v>39</v>
      </c>
      <c r="C10" s="155">
        <f>C6*C33</f>
        <v>396000</v>
      </c>
      <c r="D10" s="155">
        <f t="shared" ref="D10:F10" si="2">D6*D33</f>
        <v>0</v>
      </c>
      <c r="E10" s="155">
        <f t="shared" si="2"/>
        <v>0</v>
      </c>
      <c r="F10" s="155">
        <f t="shared" si="2"/>
        <v>0</v>
      </c>
      <c r="G10" s="155">
        <f t="shared" si="0"/>
        <v>396000</v>
      </c>
      <c r="R10" s="153" t="s">
        <v>39</v>
      </c>
      <c r="AH10" s="153" t="s">
        <v>40</v>
      </c>
      <c r="AI10" s="153" t="s">
        <v>39</v>
      </c>
      <c r="AJ10" s="142" t="s">
        <v>41</v>
      </c>
    </row>
    <row r="11" spans="1:35">
      <c r="A11" s="144">
        <v>5</v>
      </c>
      <c r="B11" s="153" t="s">
        <v>42</v>
      </c>
      <c r="C11" s="155">
        <f>+C6*C36</f>
        <v>36247.5</v>
      </c>
      <c r="D11" s="155">
        <f t="shared" ref="D11:F11" si="3">+D6*D36</f>
        <v>0</v>
      </c>
      <c r="E11" s="155">
        <f t="shared" si="3"/>
        <v>0</v>
      </c>
      <c r="F11" s="155">
        <f t="shared" si="3"/>
        <v>0</v>
      </c>
      <c r="G11" s="155">
        <f t="shared" si="0"/>
        <v>36247.5</v>
      </c>
      <c r="R11" s="153" t="s">
        <v>42</v>
      </c>
      <c r="AH11" s="153" t="s">
        <v>43</v>
      </c>
      <c r="AI11" s="153" t="s">
        <v>42</v>
      </c>
    </row>
    <row r="12" spans="1:35">
      <c r="A12" s="144">
        <v>6</v>
      </c>
      <c r="B12" s="153" t="s">
        <v>44</v>
      </c>
      <c r="C12" s="155">
        <f>+C6*C37</f>
        <v>17452.5</v>
      </c>
      <c r="D12" s="155">
        <f t="shared" ref="D12:F12" si="4">+D6*D37</f>
        <v>0</v>
      </c>
      <c r="E12" s="155">
        <f t="shared" si="4"/>
        <v>0</v>
      </c>
      <c r="F12" s="155">
        <f t="shared" si="4"/>
        <v>0</v>
      </c>
      <c r="G12" s="155">
        <f t="shared" si="0"/>
        <v>17452.5</v>
      </c>
      <c r="R12" s="153" t="s">
        <v>44</v>
      </c>
      <c r="AH12" s="153" t="s">
        <v>45</v>
      </c>
      <c r="AI12" s="153" t="s">
        <v>44</v>
      </c>
    </row>
    <row r="13" spans="1:36">
      <c r="A13" s="144">
        <v>7</v>
      </c>
      <c r="B13" s="153" t="s">
        <v>46</v>
      </c>
      <c r="C13" s="155">
        <f>+C6*C38</f>
        <v>38932.5</v>
      </c>
      <c r="D13" s="155">
        <f t="shared" ref="D13:F13" si="5">+D6*D38</f>
        <v>0</v>
      </c>
      <c r="E13" s="155">
        <f t="shared" si="5"/>
        <v>0</v>
      </c>
      <c r="F13" s="155">
        <f t="shared" si="5"/>
        <v>0</v>
      </c>
      <c r="G13" s="155">
        <f t="shared" si="0"/>
        <v>38932.5</v>
      </c>
      <c r="R13" s="153" t="s">
        <v>46</v>
      </c>
      <c r="AH13" s="153" t="s">
        <v>47</v>
      </c>
      <c r="AI13" s="153" t="s">
        <v>46</v>
      </c>
      <c r="AJ13" s="142" t="s">
        <v>30</v>
      </c>
    </row>
    <row r="14" spans="1:35">
      <c r="A14" s="144">
        <v>8</v>
      </c>
      <c r="B14" s="157" t="s">
        <v>48</v>
      </c>
      <c r="C14" s="155">
        <f>SUM(C11:C13)</f>
        <v>92632.5</v>
      </c>
      <c r="D14" s="155">
        <f t="shared" ref="D14:F14" si="6">SUM(D11:D13)</f>
        <v>0</v>
      </c>
      <c r="E14" s="155">
        <f t="shared" si="6"/>
        <v>0</v>
      </c>
      <c r="F14" s="155">
        <f t="shared" si="6"/>
        <v>0</v>
      </c>
      <c r="G14" s="155">
        <f t="shared" si="0"/>
        <v>92632.5</v>
      </c>
      <c r="R14" s="157" t="s">
        <v>48</v>
      </c>
      <c r="AH14" s="153" t="s">
        <v>49</v>
      </c>
      <c r="AI14" s="157" t="s">
        <v>48</v>
      </c>
    </row>
    <row r="15" spans="1:35">
      <c r="A15" s="144">
        <v>9</v>
      </c>
      <c r="B15" s="157" t="s">
        <v>50</v>
      </c>
      <c r="C15" s="155">
        <f>+C9-C10-C14</f>
        <v>853867.5</v>
      </c>
      <c r="D15" s="155">
        <f t="shared" ref="D15:F15" si="7">+D9-D10-D14</f>
        <v>0</v>
      </c>
      <c r="E15" s="155">
        <f t="shared" si="7"/>
        <v>0</v>
      </c>
      <c r="F15" s="155">
        <f t="shared" si="7"/>
        <v>0</v>
      </c>
      <c r="G15" s="155">
        <f t="shared" si="0"/>
        <v>853867.5</v>
      </c>
      <c r="R15" s="157" t="s">
        <v>50</v>
      </c>
      <c r="AH15" s="153" t="s">
        <v>51</v>
      </c>
      <c r="AI15" s="157" t="s">
        <v>50</v>
      </c>
    </row>
    <row r="16" spans="1:35">
      <c r="A16" s="144">
        <v>10</v>
      </c>
      <c r="B16" s="153" t="s">
        <v>52</v>
      </c>
      <c r="C16" s="158">
        <f>+C15/C9</f>
        <v>0.636027932960894</v>
      </c>
      <c r="D16" s="158" t="e">
        <f t="shared" ref="D16:F16" si="8">+D15/D9</f>
        <v>#DIV/0!</v>
      </c>
      <c r="E16" s="158" t="e">
        <f t="shared" si="8"/>
        <v>#DIV/0!</v>
      </c>
      <c r="F16" s="158" t="e">
        <f t="shared" si="8"/>
        <v>#DIV/0!</v>
      </c>
      <c r="G16" s="158">
        <f t="shared" ref="G16" si="9">+G15/G9</f>
        <v>0.636027932960894</v>
      </c>
      <c r="R16" s="153" t="s">
        <v>52</v>
      </c>
      <c r="AH16" s="153" t="s">
        <v>53</v>
      </c>
      <c r="AI16" s="153" t="s">
        <v>52</v>
      </c>
    </row>
    <row r="17" spans="1:35">
      <c r="A17" s="144">
        <v>11</v>
      </c>
      <c r="B17" s="153" t="s">
        <v>54</v>
      </c>
      <c r="C17" s="155">
        <f>C6*C43+C18</f>
        <v>135672.5</v>
      </c>
      <c r="D17" s="155">
        <f t="shared" ref="D17:F17" si="10">D6*D43+D18</f>
        <v>0</v>
      </c>
      <c r="E17" s="155">
        <f t="shared" si="10"/>
        <v>0</v>
      </c>
      <c r="F17" s="155">
        <f t="shared" si="10"/>
        <v>0</v>
      </c>
      <c r="G17" s="155">
        <f>SUM(C17:F17)</f>
        <v>135672.5</v>
      </c>
      <c r="H17" s="170"/>
      <c r="I17" s="173"/>
      <c r="J17" s="173"/>
      <c r="R17" s="153" t="s">
        <v>54</v>
      </c>
      <c r="AH17" s="153" t="s">
        <v>55</v>
      </c>
      <c r="AI17" s="153" t="s">
        <v>54</v>
      </c>
    </row>
    <row r="18" s="140" customFormat="1" spans="1:10">
      <c r="A18" s="144">
        <v>12</v>
      </c>
      <c r="B18" s="159" t="s">
        <v>159</v>
      </c>
      <c r="C18" s="160">
        <f>$G$18/$G$6*C6</f>
        <v>32300</v>
      </c>
      <c r="D18" s="160">
        <f>$G$18/$G$6*D6</f>
        <v>0</v>
      </c>
      <c r="E18" s="160">
        <f>$G$18/$G$6*E6</f>
        <v>0</v>
      </c>
      <c r="F18" s="160">
        <f>$G$18/$G$6*F6</f>
        <v>0</v>
      </c>
      <c r="G18" s="160">
        <f>项目投资!D26</f>
        <v>32300</v>
      </c>
      <c r="H18" s="171" t="s">
        <v>160</v>
      </c>
      <c r="I18" s="171"/>
      <c r="J18" s="171"/>
    </row>
    <row r="19" spans="1:36">
      <c r="A19" s="144">
        <v>13</v>
      </c>
      <c r="B19" s="153" t="s">
        <v>56</v>
      </c>
      <c r="C19" s="155">
        <f>C6*C44</f>
        <v>22822.5</v>
      </c>
      <c r="D19" s="155">
        <f t="shared" ref="D19:F19" si="11">D6*D44</f>
        <v>0</v>
      </c>
      <c r="E19" s="155">
        <f t="shared" si="11"/>
        <v>0</v>
      </c>
      <c r="F19" s="155">
        <f t="shared" si="11"/>
        <v>0</v>
      </c>
      <c r="G19" s="155">
        <f>SUM(C19:F19)</f>
        <v>22822.5</v>
      </c>
      <c r="H19" s="172"/>
      <c r="I19" s="173"/>
      <c r="J19" s="173"/>
      <c r="R19" s="153" t="s">
        <v>56</v>
      </c>
      <c r="AH19" s="153" t="s">
        <v>57</v>
      </c>
      <c r="AI19" s="153" t="s">
        <v>56</v>
      </c>
      <c r="AJ19" s="142" t="s">
        <v>30</v>
      </c>
    </row>
    <row r="20" spans="1:35">
      <c r="A20" s="144">
        <v>14</v>
      </c>
      <c r="B20" s="153" t="s">
        <v>58</v>
      </c>
      <c r="C20" s="155">
        <f>C6*C45</f>
        <v>30877.5</v>
      </c>
      <c r="D20" s="155">
        <f t="shared" ref="D20:F20" si="12">D6*D45</f>
        <v>0</v>
      </c>
      <c r="E20" s="155">
        <f t="shared" si="12"/>
        <v>0</v>
      </c>
      <c r="F20" s="155">
        <f t="shared" si="12"/>
        <v>0</v>
      </c>
      <c r="G20" s="155">
        <f>SUM(C20:F20)</f>
        <v>30877.5</v>
      </c>
      <c r="R20" s="153" t="s">
        <v>58</v>
      </c>
      <c r="AH20" s="153" t="s">
        <v>59</v>
      </c>
      <c r="AI20" s="153" t="s">
        <v>58</v>
      </c>
    </row>
    <row r="21" spans="1:35">
      <c r="A21" s="144">
        <v>15</v>
      </c>
      <c r="B21" s="153" t="s">
        <v>60</v>
      </c>
      <c r="C21" s="162">
        <f>$G$21/$G$6*C6</f>
        <v>31000</v>
      </c>
      <c r="D21" s="162">
        <f>$G$21/$G$6*D6</f>
        <v>0</v>
      </c>
      <c r="E21" s="162">
        <f>$G$21/$G$6*E6</f>
        <v>0</v>
      </c>
      <c r="F21" s="162">
        <f>$G$21/$G$6*F6</f>
        <v>0</v>
      </c>
      <c r="G21" s="155">
        <f>项目投资!D27</f>
        <v>31000</v>
      </c>
      <c r="R21" s="153" t="s">
        <v>60</v>
      </c>
      <c r="AH21" s="153"/>
      <c r="AI21" s="153"/>
    </row>
    <row r="22" spans="1:35">
      <c r="A22" s="144">
        <v>16</v>
      </c>
      <c r="B22" s="153" t="s">
        <v>61</v>
      </c>
      <c r="C22" s="155">
        <f>C6*C47</f>
        <v>67125</v>
      </c>
      <c r="D22" s="155">
        <f t="shared" ref="D22:F22" si="13">D6*D47</f>
        <v>0</v>
      </c>
      <c r="E22" s="155">
        <f t="shared" si="13"/>
        <v>0</v>
      </c>
      <c r="F22" s="155">
        <f t="shared" si="13"/>
        <v>0</v>
      </c>
      <c r="G22" s="155">
        <f>SUM(C22:F22)</f>
        <v>67125</v>
      </c>
      <c r="R22" s="153" t="s">
        <v>61</v>
      </c>
      <c r="AH22" s="153" t="s">
        <v>62</v>
      </c>
      <c r="AI22" s="153" t="s">
        <v>61</v>
      </c>
    </row>
    <row r="23" spans="1:35">
      <c r="A23" s="144">
        <v>17</v>
      </c>
      <c r="B23" s="157" t="s">
        <v>63</v>
      </c>
      <c r="C23" s="162">
        <f>+C22+C21+C20+C19+C17</f>
        <v>287497.5</v>
      </c>
      <c r="D23" s="162">
        <f t="shared" ref="D23:F23" si="14">+D22+D21+D20+D19+D17</f>
        <v>0</v>
      </c>
      <c r="E23" s="162">
        <f t="shared" si="14"/>
        <v>0</v>
      </c>
      <c r="F23" s="162">
        <f t="shared" si="14"/>
        <v>0</v>
      </c>
      <c r="G23" s="162">
        <f t="shared" ref="G23" si="15">+G22+G21+G20+G19+G17</f>
        <v>287497.5</v>
      </c>
      <c r="R23" s="157" t="s">
        <v>63</v>
      </c>
      <c r="AH23" s="153" t="s">
        <v>64</v>
      </c>
      <c r="AI23" s="157" t="s">
        <v>63</v>
      </c>
    </row>
    <row r="24" spans="1:35">
      <c r="A24" s="144">
        <v>18</v>
      </c>
      <c r="B24" s="163" t="s">
        <v>65</v>
      </c>
      <c r="C24" s="162">
        <f>+C15-C23</f>
        <v>566370</v>
      </c>
      <c r="D24" s="162">
        <f t="shared" ref="D24:F24" si="16">+D15-D23</f>
        <v>0</v>
      </c>
      <c r="E24" s="162">
        <f t="shared" si="16"/>
        <v>0</v>
      </c>
      <c r="F24" s="162">
        <f t="shared" si="16"/>
        <v>0</v>
      </c>
      <c r="G24" s="162">
        <f t="shared" ref="G24" si="17">+G15-G23</f>
        <v>566370</v>
      </c>
      <c r="I24" s="169"/>
      <c r="R24" s="153" t="s">
        <v>65</v>
      </c>
      <c r="AH24" s="153" t="s">
        <v>66</v>
      </c>
      <c r="AI24" s="153" t="s">
        <v>65</v>
      </c>
    </row>
    <row r="25" spans="1:35">
      <c r="A25" s="144">
        <v>19</v>
      </c>
      <c r="B25" s="153" t="s">
        <v>161</v>
      </c>
      <c r="C25" s="162">
        <f>IF(C24&lt;0,0,C24*0.15)</f>
        <v>84955.5</v>
      </c>
      <c r="D25" s="162">
        <f>IF(D24&lt;0,0,D24*0.15)</f>
        <v>0</v>
      </c>
      <c r="E25" s="162">
        <f>IF(E24&lt;0,0,E24*0.15)</f>
        <v>0</v>
      </c>
      <c r="F25" s="162">
        <f>IF(F24&lt;0,0,F24*0.15)</f>
        <v>0</v>
      </c>
      <c r="G25" s="162">
        <f>IF(G24&lt;0,0,G24*0.15)</f>
        <v>84955.5</v>
      </c>
      <c r="H25" s="2"/>
      <c r="I25" s="2"/>
      <c r="J25" s="2"/>
      <c r="R25" s="153" t="s">
        <v>69</v>
      </c>
      <c r="AH25" s="153" t="s">
        <v>68</v>
      </c>
      <c r="AI25" s="153" t="s">
        <v>69</v>
      </c>
    </row>
    <row r="26" spans="1:35">
      <c r="A26" s="144">
        <v>20</v>
      </c>
      <c r="B26" s="153" t="s">
        <v>70</v>
      </c>
      <c r="C26" s="162">
        <f t="shared" ref="C26:G26" si="18">C24-C25</f>
        <v>481414.5</v>
      </c>
      <c r="D26" s="162">
        <f t="shared" si="18"/>
        <v>0</v>
      </c>
      <c r="E26" s="162">
        <f t="shared" si="18"/>
        <v>0</v>
      </c>
      <c r="F26" s="162">
        <f t="shared" si="18"/>
        <v>0</v>
      </c>
      <c r="G26" s="155">
        <f t="shared" si="18"/>
        <v>481414.5</v>
      </c>
      <c r="H26" s="2"/>
      <c r="I26" s="2"/>
      <c r="J26" s="2"/>
      <c r="R26" s="153" t="s">
        <v>70</v>
      </c>
      <c r="AH26" s="153" t="s">
        <v>71</v>
      </c>
      <c r="AI26" s="153" t="s">
        <v>70</v>
      </c>
    </row>
    <row r="27" spans="1:35">
      <c r="A27" s="144">
        <v>21</v>
      </c>
      <c r="B27" s="153" t="s">
        <v>74</v>
      </c>
      <c r="C27" s="164">
        <f t="shared" ref="C27:G27" si="19">C26/C7</f>
        <v>0.358595530726257</v>
      </c>
      <c r="D27" s="164" t="e">
        <f t="shared" ref="D27:F27" si="20">D26/D7</f>
        <v>#DIV/0!</v>
      </c>
      <c r="E27" s="164" t="e">
        <f t="shared" si="20"/>
        <v>#DIV/0!</v>
      </c>
      <c r="F27" s="164" t="e">
        <f t="shared" si="20"/>
        <v>#DIV/0!</v>
      </c>
      <c r="G27" s="164">
        <f t="shared" si="19"/>
        <v>0.358595530726257</v>
      </c>
      <c r="H27" s="2"/>
      <c r="I27" s="2"/>
      <c r="J27" s="2"/>
      <c r="R27" s="153" t="s">
        <v>74</v>
      </c>
      <c r="AH27" s="153" t="s">
        <v>73</v>
      </c>
      <c r="AI27" s="153" t="s">
        <v>74</v>
      </c>
    </row>
    <row r="28" spans="8:18">
      <c r="H28" s="2"/>
      <c r="I28" s="2"/>
      <c r="J28" s="2"/>
      <c r="R28" s="153"/>
    </row>
    <row r="29" spans="1:34">
      <c r="A29" s="142" t="s">
        <v>75</v>
      </c>
      <c r="G29" s="143" t="s">
        <v>162</v>
      </c>
      <c r="H29" s="2"/>
      <c r="I29" s="2"/>
      <c r="J29" s="2"/>
      <c r="R29" s="153"/>
      <c r="AH29" s="142" t="s">
        <v>75</v>
      </c>
    </row>
    <row r="30" spans="1:35">
      <c r="A30" s="153" t="s">
        <v>76</v>
      </c>
      <c r="B30" s="157" t="s">
        <v>77</v>
      </c>
      <c r="C30" s="162"/>
      <c r="D30" s="162"/>
      <c r="E30" s="162"/>
      <c r="F30" s="162"/>
      <c r="G30" s="162"/>
      <c r="H30" s="2"/>
      <c r="I30" s="2"/>
      <c r="J30" s="2"/>
      <c r="L30" s="2"/>
      <c r="R30" s="157" t="s">
        <v>77</v>
      </c>
      <c r="AH30" s="153" t="s">
        <v>78</v>
      </c>
      <c r="AI30" s="157" t="s">
        <v>77</v>
      </c>
    </row>
    <row r="31" spans="1:35">
      <c r="A31" s="144">
        <v>1</v>
      </c>
      <c r="B31" s="159" t="s">
        <v>79</v>
      </c>
      <c r="C31" s="165">
        <f>销量!C8</f>
        <v>895</v>
      </c>
      <c r="D31" s="165">
        <f>销量!D8</f>
        <v>0</v>
      </c>
      <c r="E31" s="165">
        <f>销量!E8</f>
        <v>0</v>
      </c>
      <c r="F31" s="165">
        <f>销量!F8</f>
        <v>0</v>
      </c>
      <c r="G31" s="162"/>
      <c r="H31" s="2"/>
      <c r="I31" s="2"/>
      <c r="J31" s="2"/>
      <c r="L31" s="2"/>
      <c r="R31" s="153" t="s">
        <v>79</v>
      </c>
      <c r="AH31" s="153" t="s">
        <v>32</v>
      </c>
      <c r="AI31" s="153" t="s">
        <v>79</v>
      </c>
    </row>
    <row r="32" spans="1:35">
      <c r="A32" s="144">
        <v>2</v>
      </c>
      <c r="B32" s="153" t="s">
        <v>163</v>
      </c>
      <c r="C32" s="155">
        <f>C31*1</f>
        <v>895</v>
      </c>
      <c r="D32" s="155">
        <f t="shared" ref="D32:F32" si="21">D31*1</f>
        <v>0</v>
      </c>
      <c r="E32" s="155">
        <f t="shared" si="21"/>
        <v>0</v>
      </c>
      <c r="F32" s="155">
        <f t="shared" si="21"/>
        <v>0</v>
      </c>
      <c r="G32" s="162"/>
      <c r="H32" s="2"/>
      <c r="I32" s="2"/>
      <c r="J32" s="2"/>
      <c r="K32" s="2"/>
      <c r="L32" s="2"/>
      <c r="M32" s="2"/>
      <c r="N32" s="2"/>
      <c r="AH32" s="153"/>
      <c r="AI32" s="153"/>
    </row>
    <row r="33" spans="1:35">
      <c r="A33" s="144">
        <v>3</v>
      </c>
      <c r="B33" s="159" t="s">
        <v>80</v>
      </c>
      <c r="C33" s="155">
        <f>材料成本!D12</f>
        <v>264</v>
      </c>
      <c r="D33" s="155">
        <f>材料成本!E12</f>
        <v>0</v>
      </c>
      <c r="E33" s="155">
        <f>材料成本!F12</f>
        <v>0</v>
      </c>
      <c r="F33" s="155">
        <f>材料成本!G12</f>
        <v>0</v>
      </c>
      <c r="G33" s="162"/>
      <c r="I33" s="2"/>
      <c r="J33" s="2"/>
      <c r="K33" s="2"/>
      <c r="L33" s="2"/>
      <c r="M33" s="2"/>
      <c r="N33" s="2"/>
      <c r="R33" s="153" t="s">
        <v>80</v>
      </c>
      <c r="AH33" s="153" t="s">
        <v>34</v>
      </c>
      <c r="AI33" s="153" t="s">
        <v>80</v>
      </c>
    </row>
    <row r="34" ht="17.25" customHeight="1" spans="1:35">
      <c r="A34" s="144">
        <v>4</v>
      </c>
      <c r="B34" s="153" t="s">
        <v>82</v>
      </c>
      <c r="C34" s="166">
        <f>C32-C33</f>
        <v>631</v>
      </c>
      <c r="D34" s="166">
        <f t="shared" ref="D34:F34" si="22">D32-D33</f>
        <v>0</v>
      </c>
      <c r="E34" s="166">
        <f t="shared" si="22"/>
        <v>0</v>
      </c>
      <c r="F34" s="166">
        <f t="shared" si="22"/>
        <v>0</v>
      </c>
      <c r="G34" s="162"/>
      <c r="I34" s="2"/>
      <c r="J34" s="2"/>
      <c r="K34" s="2"/>
      <c r="L34" s="2"/>
      <c r="M34" s="2"/>
      <c r="N34" s="2"/>
      <c r="R34" s="153" t="s">
        <v>82</v>
      </c>
      <c r="AH34" s="153" t="s">
        <v>81</v>
      </c>
      <c r="AI34" s="153" t="s">
        <v>82</v>
      </c>
    </row>
    <row r="35" spans="1:35">
      <c r="A35" s="153" t="s">
        <v>78</v>
      </c>
      <c r="B35" s="157" t="s">
        <v>10</v>
      </c>
      <c r="C35" s="162"/>
      <c r="D35" s="162"/>
      <c r="E35" s="162"/>
      <c r="F35" s="162"/>
      <c r="G35" s="162"/>
      <c r="H35" s="2"/>
      <c r="I35" s="2"/>
      <c r="J35" s="2"/>
      <c r="K35" s="2"/>
      <c r="L35" s="2"/>
      <c r="M35" s="2"/>
      <c r="N35" s="2"/>
      <c r="O35" s="2"/>
      <c r="P35" s="2"/>
      <c r="Q35" s="2"/>
      <c r="R35" s="157" t="s">
        <v>10</v>
      </c>
      <c r="AH35" s="153" t="s">
        <v>84</v>
      </c>
      <c r="AI35" s="157" t="s">
        <v>10</v>
      </c>
    </row>
    <row r="36" spans="1:35">
      <c r="A36" s="144">
        <v>1</v>
      </c>
      <c r="B36" s="153" t="s">
        <v>85</v>
      </c>
      <c r="C36" s="160">
        <f>标准成本!E4</f>
        <v>24.165</v>
      </c>
      <c r="D36" s="160">
        <f>标准成本!E18</f>
        <v>0</v>
      </c>
      <c r="E36" s="160">
        <f>标准成本!E32</f>
        <v>0</v>
      </c>
      <c r="F36" s="160">
        <f>标准成本!E45</f>
        <v>0</v>
      </c>
      <c r="G36" s="165"/>
      <c r="H36" s="2"/>
      <c r="I36" s="2"/>
      <c r="J36" s="2"/>
      <c r="K36" s="2"/>
      <c r="L36" s="2"/>
      <c r="M36" s="2"/>
      <c r="N36" s="2"/>
      <c r="O36" s="2"/>
      <c r="P36" s="2"/>
      <c r="Q36" s="2"/>
      <c r="R36" s="153" t="s">
        <v>85</v>
      </c>
      <c r="AH36" s="153" t="s">
        <v>81</v>
      </c>
      <c r="AI36" s="153" t="s">
        <v>85</v>
      </c>
    </row>
    <row r="37" spans="1:35">
      <c r="A37" s="144">
        <v>2</v>
      </c>
      <c r="B37" s="153" t="s">
        <v>86</v>
      </c>
      <c r="C37" s="160">
        <f>标准成本!E6</f>
        <v>11.635</v>
      </c>
      <c r="D37" s="160">
        <f>标准成本!E20</f>
        <v>0</v>
      </c>
      <c r="E37" s="160">
        <f>标准成本!E34</f>
        <v>0</v>
      </c>
      <c r="F37" s="160">
        <f>标准成本!E47</f>
        <v>0</v>
      </c>
      <c r="G37" s="165"/>
      <c r="H37" s="2"/>
      <c r="I37" s="2"/>
      <c r="J37" s="2"/>
      <c r="K37" s="2"/>
      <c r="L37" s="2"/>
      <c r="M37" s="2"/>
      <c r="N37" s="2"/>
      <c r="O37" s="2"/>
      <c r="P37" s="2"/>
      <c r="Q37" s="2"/>
      <c r="R37" s="153" t="s">
        <v>86</v>
      </c>
      <c r="AH37" s="153" t="s">
        <v>37</v>
      </c>
      <c r="AI37" s="153" t="s">
        <v>86</v>
      </c>
    </row>
    <row r="38" spans="1:35">
      <c r="A38" s="144">
        <v>3</v>
      </c>
      <c r="B38" s="153" t="s">
        <v>87</v>
      </c>
      <c r="C38" s="160">
        <f>标准成本!E10</f>
        <v>25.955</v>
      </c>
      <c r="D38" s="160">
        <f>标准成本!E24</f>
        <v>0</v>
      </c>
      <c r="E38" s="160">
        <f>标准成本!E38</f>
        <v>0</v>
      </c>
      <c r="F38" s="160">
        <f>标准成本!E51</f>
        <v>0</v>
      </c>
      <c r="G38" s="165"/>
      <c r="H38" s="2"/>
      <c r="I38" s="2"/>
      <c r="J38" s="2"/>
      <c r="K38" s="2"/>
      <c r="L38" s="2"/>
      <c r="M38" s="2"/>
      <c r="N38" s="2"/>
      <c r="O38" s="2"/>
      <c r="P38" s="2"/>
      <c r="Q38" s="2"/>
      <c r="R38" s="153" t="s">
        <v>87</v>
      </c>
      <c r="AH38" s="153" t="s">
        <v>43</v>
      </c>
      <c r="AI38" s="153" t="s">
        <v>87</v>
      </c>
    </row>
    <row r="39" spans="1:35">
      <c r="A39" s="153" t="s">
        <v>84</v>
      </c>
      <c r="B39" s="157" t="s">
        <v>89</v>
      </c>
      <c r="C39" s="162"/>
      <c r="D39" s="162"/>
      <c r="E39" s="162"/>
      <c r="F39" s="162"/>
      <c r="G39" s="162"/>
      <c r="R39" s="157" t="s">
        <v>89</v>
      </c>
      <c r="AH39" s="153" t="s">
        <v>88</v>
      </c>
      <c r="AI39" s="157" t="s">
        <v>89</v>
      </c>
    </row>
    <row r="40" spans="1:35">
      <c r="A40" s="144">
        <v>1</v>
      </c>
      <c r="B40" s="153" t="s">
        <v>91</v>
      </c>
      <c r="C40" s="162">
        <f>C34-C36-C37-C38</f>
        <v>569.245</v>
      </c>
      <c r="D40" s="162">
        <f t="shared" ref="D40:F40" si="23">D34-D36-D37-D38</f>
        <v>0</v>
      </c>
      <c r="E40" s="162">
        <f t="shared" si="23"/>
        <v>0</v>
      </c>
      <c r="F40" s="162">
        <f t="shared" si="23"/>
        <v>0</v>
      </c>
      <c r="G40" s="162"/>
      <c r="R40" s="153" t="s">
        <v>91</v>
      </c>
      <c r="AH40" s="153" t="s">
        <v>32</v>
      </c>
      <c r="AI40" s="153" t="s">
        <v>91</v>
      </c>
    </row>
    <row r="41" spans="1:35">
      <c r="A41" s="144">
        <v>2</v>
      </c>
      <c r="B41" s="153" t="s">
        <v>92</v>
      </c>
      <c r="C41" s="162"/>
      <c r="D41" s="162"/>
      <c r="E41" s="162"/>
      <c r="F41" s="162"/>
      <c r="G41" s="162"/>
      <c r="R41" s="153" t="s">
        <v>92</v>
      </c>
      <c r="AH41" s="153" t="s">
        <v>34</v>
      </c>
      <c r="AI41" s="153" t="s">
        <v>92</v>
      </c>
    </row>
    <row r="42" spans="1:35">
      <c r="A42" s="153" t="s">
        <v>88</v>
      </c>
      <c r="B42" s="157" t="s">
        <v>94</v>
      </c>
      <c r="C42" s="162"/>
      <c r="D42" s="162"/>
      <c r="E42" s="162"/>
      <c r="F42" s="162"/>
      <c r="G42" s="162"/>
      <c r="R42" s="157" t="s">
        <v>94</v>
      </c>
      <c r="AH42" s="153" t="s">
        <v>93</v>
      </c>
      <c r="AI42" s="157" t="s">
        <v>94</v>
      </c>
    </row>
    <row r="43" spans="1:35">
      <c r="A43" s="144">
        <v>1</v>
      </c>
      <c r="B43" s="163" t="s">
        <v>95</v>
      </c>
      <c r="C43" s="160">
        <f>标准成本!E5</f>
        <v>68.915</v>
      </c>
      <c r="D43" s="160">
        <f>标准成本!E19</f>
        <v>0</v>
      </c>
      <c r="E43" s="160">
        <f>标准成本!E33</f>
        <v>0</v>
      </c>
      <c r="F43" s="160">
        <f>标准成本!E46</f>
        <v>0</v>
      </c>
      <c r="G43" s="162"/>
      <c r="R43" s="153" t="s">
        <v>95</v>
      </c>
      <c r="AH43" s="153" t="s">
        <v>32</v>
      </c>
      <c r="AI43" s="153" t="s">
        <v>95</v>
      </c>
    </row>
    <row r="44" spans="1:35">
      <c r="A44" s="144">
        <v>2</v>
      </c>
      <c r="B44" s="163" t="s">
        <v>96</v>
      </c>
      <c r="C44" s="160">
        <f>标准成本!E9</f>
        <v>15.215</v>
      </c>
      <c r="D44" s="160">
        <f>标准成本!E23</f>
        <v>0</v>
      </c>
      <c r="E44" s="160">
        <f>标准成本!E37</f>
        <v>0</v>
      </c>
      <c r="F44" s="160">
        <f>标准成本!E50</f>
        <v>0</v>
      </c>
      <c r="G44" s="162"/>
      <c r="R44" s="153" t="s">
        <v>96</v>
      </c>
      <c r="AH44" s="153" t="s">
        <v>34</v>
      </c>
      <c r="AI44" s="153" t="s">
        <v>96</v>
      </c>
    </row>
    <row r="45" spans="1:35">
      <c r="A45" s="144">
        <v>3</v>
      </c>
      <c r="B45" s="163" t="s">
        <v>97</v>
      </c>
      <c r="C45" s="167">
        <f>标准成本!E8</f>
        <v>20.585</v>
      </c>
      <c r="D45" s="167">
        <f>标准成本!E22</f>
        <v>0</v>
      </c>
      <c r="E45" s="167">
        <f>标准成本!E36</f>
        <v>0</v>
      </c>
      <c r="F45" s="167">
        <f>标准成本!E49</f>
        <v>0</v>
      </c>
      <c r="G45" s="162"/>
      <c r="R45" s="153" t="s">
        <v>97</v>
      </c>
      <c r="AH45" s="153" t="s">
        <v>81</v>
      </c>
      <c r="AI45" s="153" t="s">
        <v>97</v>
      </c>
    </row>
    <row r="46" s="141" customFormat="1" spans="1:35">
      <c r="A46" s="144">
        <v>4</v>
      </c>
      <c r="B46" s="163" t="s">
        <v>98</v>
      </c>
      <c r="C46" s="167">
        <f>C21/C6</f>
        <v>20.6666666666667</v>
      </c>
      <c r="D46" s="167" t="e">
        <f t="shared" ref="D46:F46" si="24">D21/D6</f>
        <v>#DIV/0!</v>
      </c>
      <c r="E46" s="167" t="e">
        <f t="shared" si="24"/>
        <v>#DIV/0!</v>
      </c>
      <c r="F46" s="167" t="e">
        <f t="shared" si="24"/>
        <v>#DIV/0!</v>
      </c>
      <c r="G46" s="167"/>
      <c r="R46" s="163" t="s">
        <v>100</v>
      </c>
      <c r="AH46" s="163" t="s">
        <v>40</v>
      </c>
      <c r="AI46" s="163" t="s">
        <v>100</v>
      </c>
    </row>
    <row r="47" s="141" customFormat="1" spans="1:35">
      <c r="A47" s="144">
        <v>5</v>
      </c>
      <c r="B47" s="163" t="s">
        <v>100</v>
      </c>
      <c r="C47" s="167">
        <f>标准成本!E11</f>
        <v>44.75</v>
      </c>
      <c r="D47" s="167">
        <f>标准成本!E25</f>
        <v>0</v>
      </c>
      <c r="E47" s="167">
        <f>标准成本!E39</f>
        <v>0</v>
      </c>
      <c r="F47" s="167">
        <f>标准成本!E52</f>
        <v>0</v>
      </c>
      <c r="G47" s="167"/>
      <c r="R47" s="163" t="s">
        <v>100</v>
      </c>
      <c r="AH47" s="163" t="s">
        <v>40</v>
      </c>
      <c r="AI47" s="163" t="s">
        <v>100</v>
      </c>
    </row>
    <row r="48" spans="1:35">
      <c r="A48" s="153" t="s">
        <v>93</v>
      </c>
      <c r="B48" s="157" t="s">
        <v>111</v>
      </c>
      <c r="C48" s="162">
        <f>C40-C43-C44-C45-C47-C46</f>
        <v>399.113333333333</v>
      </c>
      <c r="D48" s="162" t="e">
        <f t="shared" ref="D48:F48" si="25">D40-D43-D44-D45-D47-D46</f>
        <v>#DIV/0!</v>
      </c>
      <c r="E48" s="162" t="e">
        <f t="shared" si="25"/>
        <v>#DIV/0!</v>
      </c>
      <c r="F48" s="162" t="e">
        <f t="shared" si="25"/>
        <v>#DIV/0!</v>
      </c>
      <c r="G48" s="162"/>
      <c r="R48" s="157" t="s">
        <v>111</v>
      </c>
      <c r="AH48" s="153" t="s">
        <v>110</v>
      </c>
      <c r="AI48" s="157" t="s">
        <v>111</v>
      </c>
    </row>
    <row r="51" spans="3:6">
      <c r="C51" s="168"/>
      <c r="D51" s="168"/>
      <c r="E51" s="168"/>
      <c r="F51" s="168"/>
    </row>
    <row r="54" spans="2:12">
      <c r="B54" s="2"/>
      <c r="C54" s="29"/>
      <c r="D54" s="29"/>
      <c r="E54" s="29"/>
      <c r="F54" s="29"/>
      <c r="G54" s="29"/>
      <c r="H54" s="2"/>
      <c r="I54" s="2"/>
      <c r="J54" s="2"/>
      <c r="K54" s="2"/>
      <c r="L54" s="2"/>
    </row>
    <row r="55" spans="2:12">
      <c r="B55" s="2"/>
      <c r="C55" s="29"/>
      <c r="D55" s="29"/>
      <c r="E55" s="29"/>
      <c r="F55" s="29"/>
      <c r="G55" s="29"/>
      <c r="H55" s="2"/>
      <c r="I55" s="2"/>
      <c r="J55" s="2"/>
      <c r="K55" s="2"/>
      <c r="L55" s="2"/>
    </row>
    <row r="56" spans="2:12">
      <c r="B56" s="2"/>
      <c r="C56" s="29"/>
      <c r="D56" s="29"/>
      <c r="E56" s="29"/>
      <c r="F56" s="29"/>
      <c r="G56" s="29"/>
      <c r="H56" s="2"/>
      <c r="I56" s="2"/>
      <c r="J56" s="2"/>
      <c r="K56" s="2"/>
      <c r="L56" s="2"/>
    </row>
    <row r="57" spans="2:12">
      <c r="B57" s="2"/>
      <c r="C57" s="29"/>
      <c r="D57" s="29"/>
      <c r="E57" s="29"/>
      <c r="F57" s="29"/>
      <c r="G57" s="29"/>
      <c r="H57" s="2"/>
      <c r="I57" s="2"/>
      <c r="J57" s="2"/>
      <c r="K57" s="2"/>
      <c r="L57" s="2"/>
    </row>
    <row r="58" spans="2:12">
      <c r="B58" s="2"/>
      <c r="C58" s="29"/>
      <c r="D58" s="29"/>
      <c r="E58" s="29"/>
      <c r="F58" s="29"/>
      <c r="G58" s="29"/>
      <c r="H58" s="2"/>
      <c r="I58" s="2"/>
      <c r="J58" s="2"/>
      <c r="K58" s="2"/>
      <c r="L58" s="2"/>
    </row>
    <row r="59" spans="2:12">
      <c r="B59" s="2"/>
      <c r="C59" s="29"/>
      <c r="D59" s="29"/>
      <c r="E59" s="29"/>
      <c r="F59" s="29"/>
      <c r="G59" s="29"/>
      <c r="H59" s="2"/>
      <c r="I59" s="2"/>
      <c r="J59" s="2"/>
      <c r="K59" s="2"/>
      <c r="L59" s="2"/>
    </row>
    <row r="60" spans="2:12">
      <c r="B60" s="2"/>
      <c r="C60" s="29"/>
      <c r="D60" s="29"/>
      <c r="E60" s="29"/>
      <c r="F60" s="29"/>
      <c r="G60" s="29"/>
      <c r="H60" s="2"/>
      <c r="I60" s="2"/>
      <c r="J60" s="2"/>
      <c r="K60" s="2"/>
      <c r="L60" s="2"/>
    </row>
    <row r="61" spans="2:12">
      <c r="B61" s="2"/>
      <c r="C61" s="29"/>
      <c r="D61" s="29"/>
      <c r="E61" s="29"/>
      <c r="F61" s="29"/>
      <c r="G61" s="29"/>
      <c r="H61" s="2"/>
      <c r="I61" s="2"/>
      <c r="J61" s="2"/>
      <c r="K61" s="2"/>
      <c r="L61" s="2"/>
    </row>
    <row r="62" spans="2:12">
      <c r="B62" s="2"/>
      <c r="C62" s="29"/>
      <c r="D62" s="29"/>
      <c r="E62" s="29"/>
      <c r="F62" s="29"/>
      <c r="G62" s="29"/>
      <c r="H62" s="2"/>
      <c r="I62" s="2"/>
      <c r="J62" s="2"/>
      <c r="K62" s="2"/>
      <c r="L62" s="2"/>
    </row>
    <row r="63" spans="2:12">
      <c r="B63" s="2"/>
      <c r="C63" s="29"/>
      <c r="D63" s="29"/>
      <c r="E63" s="29"/>
      <c r="F63" s="29"/>
      <c r="G63" s="29"/>
      <c r="H63" s="2"/>
      <c r="I63" s="2"/>
      <c r="J63" s="2"/>
      <c r="K63" s="2"/>
      <c r="L63" s="2"/>
    </row>
    <row r="64" spans="2:12">
      <c r="B64" s="2"/>
      <c r="C64" s="29"/>
      <c r="D64" s="29"/>
      <c r="E64" s="29"/>
      <c r="F64" s="29"/>
      <c r="G64" s="29"/>
      <c r="H64" s="2"/>
      <c r="I64" s="2"/>
      <c r="J64" s="2"/>
      <c r="K64" s="2"/>
      <c r="L64" s="2"/>
    </row>
    <row r="65" spans="2:12">
      <c r="B65" s="2"/>
      <c r="C65" s="29"/>
      <c r="D65" s="29"/>
      <c r="E65" s="29"/>
      <c r="F65" s="29"/>
      <c r="G65" s="29"/>
      <c r="H65" s="2"/>
      <c r="I65" s="2"/>
      <c r="J65" s="2"/>
      <c r="K65" s="2"/>
      <c r="L65" s="2"/>
    </row>
    <row r="66" spans="2:12">
      <c r="B66" s="2"/>
      <c r="C66" s="29"/>
      <c r="D66" s="29"/>
      <c r="E66" s="29"/>
      <c r="F66" s="29"/>
      <c r="G66" s="29"/>
      <c r="H66" s="2"/>
      <c r="I66" s="2"/>
      <c r="J66" s="2"/>
      <c r="K66" s="2"/>
      <c r="L66" s="2"/>
    </row>
    <row r="67" spans="2:8">
      <c r="B67" s="2"/>
      <c r="C67" s="29"/>
      <c r="D67" s="29"/>
      <c r="E67" s="29"/>
      <c r="F67" s="29"/>
      <c r="G67" s="29"/>
      <c r="H67" s="2"/>
    </row>
    <row r="68" spans="2:8">
      <c r="B68" s="2"/>
      <c r="C68" s="29"/>
      <c r="D68" s="29"/>
      <c r="E68" s="29"/>
      <c r="F68" s="29"/>
      <c r="G68" s="29"/>
      <c r="H68" s="2"/>
    </row>
    <row r="69" spans="2:8">
      <c r="B69" s="2"/>
      <c r="C69" s="29"/>
      <c r="D69" s="29"/>
      <c r="E69" s="29"/>
      <c r="F69" s="29"/>
      <c r="G69" s="29"/>
      <c r="H69" s="2"/>
    </row>
    <row r="70" spans="2:8">
      <c r="B70" s="2"/>
      <c r="C70" s="29"/>
      <c r="D70" s="29"/>
      <c r="E70" s="29"/>
      <c r="F70" s="29"/>
      <c r="G70" s="29"/>
      <c r="H70" s="2"/>
    </row>
    <row r="71" spans="2:8">
      <c r="B71" s="2"/>
      <c r="C71" s="29"/>
      <c r="D71" s="29"/>
      <c r="E71" s="29"/>
      <c r="F71" s="29"/>
      <c r="G71" s="29"/>
      <c r="H71" s="2"/>
    </row>
    <row r="72" spans="2:8">
      <c r="B72" s="2"/>
      <c r="C72" s="29"/>
      <c r="D72" s="29"/>
      <c r="E72" s="29"/>
      <c r="F72" s="29"/>
      <c r="G72" s="29"/>
      <c r="H72" s="2"/>
    </row>
    <row r="73" spans="2:8">
      <c r="B73" s="2"/>
      <c r="C73" s="29"/>
      <c r="D73" s="29"/>
      <c r="E73" s="29"/>
      <c r="F73" s="29"/>
      <c r="G73" s="29"/>
      <c r="H73" s="2"/>
    </row>
    <row r="74" spans="2:8">
      <c r="B74" s="2"/>
      <c r="C74" s="29"/>
      <c r="D74" s="29"/>
      <c r="E74" s="29"/>
      <c r="F74" s="29"/>
      <c r="G74" s="29"/>
      <c r="H74" s="2"/>
    </row>
  </sheetData>
  <mergeCells count="8">
    <mergeCell ref="A1:B1"/>
    <mergeCell ref="C1:G1"/>
    <mergeCell ref="A2:B2"/>
    <mergeCell ref="C2:G2"/>
    <mergeCell ref="A3:B3"/>
    <mergeCell ref="A4:B4"/>
    <mergeCell ref="A5:B5"/>
    <mergeCell ref="G3:G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74"/>
  <sheetViews>
    <sheetView workbookViewId="0">
      <pane xSplit="2" ySplit="7" topLeftCell="C32" activePane="bottomRight" state="frozen"/>
      <selection/>
      <selection pane="topRight"/>
      <selection pane="bottomLeft"/>
      <selection pane="bottomRight" activeCell="C36" sqref="C36"/>
    </sheetView>
  </sheetViews>
  <sheetFormatPr defaultColWidth="9" defaultRowHeight="14.5"/>
  <cols>
    <col min="1" max="1" width="5.12727272727273" style="142" customWidth="1"/>
    <col min="2" max="2" width="17.5" style="142" customWidth="1"/>
    <col min="3" max="3" width="13.2545454545455" style="143" customWidth="1"/>
    <col min="4" max="4" width="16.7545454545455" style="143" customWidth="1"/>
    <col min="5" max="6" width="13.2545454545455" style="143" customWidth="1"/>
    <col min="7" max="7" width="18.7545454545455" style="143" customWidth="1"/>
    <col min="8" max="8" width="12.3727272727273" style="142" customWidth="1"/>
    <col min="9" max="9" width="10.1272727272727" style="142" customWidth="1"/>
    <col min="10" max="16" width="9" style="142" customWidth="1"/>
    <col min="17" max="33" width="9" style="142"/>
    <col min="34" max="34" width="4.37272727272727" style="142" customWidth="1"/>
    <col min="35" max="35" width="13.8727272727273" style="142" customWidth="1"/>
    <col min="36" max="16384" width="9" style="142"/>
  </cols>
  <sheetData>
    <row r="1" spans="1:7">
      <c r="A1" s="144" t="s">
        <v>151</v>
      </c>
      <c r="B1" s="144"/>
      <c r="C1" s="145" t="s">
        <v>164</v>
      </c>
      <c r="D1" s="146"/>
      <c r="E1" s="146"/>
      <c r="F1" s="146"/>
      <c r="G1" s="147"/>
    </row>
    <row r="2" spans="1:7">
      <c r="A2" s="144" t="s">
        <v>153</v>
      </c>
      <c r="B2" s="144"/>
      <c r="C2" s="148" t="str">
        <f>'2024年'!C2:G2</f>
        <v>陕西重型汽车有限公司</v>
      </c>
      <c r="D2" s="148"/>
      <c r="E2" s="148"/>
      <c r="F2" s="148"/>
      <c r="G2" s="148"/>
    </row>
    <row r="3" ht="26" spans="1:7">
      <c r="A3" s="144" t="s">
        <v>155</v>
      </c>
      <c r="B3" s="144"/>
      <c r="C3" s="50" t="str">
        <f>销量!C5</f>
        <v>第三座椅总成/两点式安全带/X5000S</v>
      </c>
      <c r="D3" s="50">
        <f>销量!D5</f>
        <v>0</v>
      </c>
      <c r="E3" s="50">
        <f>销量!E5</f>
        <v>0</v>
      </c>
      <c r="F3" s="50">
        <f>销量!F5</f>
        <v>0</v>
      </c>
      <c r="G3" s="149" t="s">
        <v>28</v>
      </c>
    </row>
    <row r="4" ht="26" spans="1:7">
      <c r="A4" s="144" t="s">
        <v>156</v>
      </c>
      <c r="B4" s="144"/>
      <c r="C4" s="50" t="str">
        <f>销量!C6</f>
        <v>DZ16251510113</v>
      </c>
      <c r="D4" s="50">
        <f>销量!D6</f>
        <v>0</v>
      </c>
      <c r="E4" s="50">
        <f>销量!E6</f>
        <v>0</v>
      </c>
      <c r="F4" s="50">
        <f>销量!F6</f>
        <v>0</v>
      </c>
      <c r="G4" s="150"/>
    </row>
    <row r="5" spans="1:36">
      <c r="A5" s="144" t="s">
        <v>157</v>
      </c>
      <c r="B5" s="144"/>
      <c r="C5" s="151"/>
      <c r="D5" s="151"/>
      <c r="E5" s="151"/>
      <c r="F5" s="152"/>
      <c r="G5" s="152"/>
      <c r="AJ5" s="142" t="s">
        <v>29</v>
      </c>
    </row>
    <row r="6" ht="16.5" spans="1:36">
      <c r="A6" s="153" t="s">
        <v>22</v>
      </c>
      <c r="B6" s="154" t="s">
        <v>158</v>
      </c>
      <c r="C6" s="85">
        <f>销量!C10</f>
        <v>1500</v>
      </c>
      <c r="D6" s="85">
        <f>销量!D10</f>
        <v>0</v>
      </c>
      <c r="E6" s="85">
        <f>销量!E10</f>
        <v>0</v>
      </c>
      <c r="F6" s="85">
        <f>销量!F10</f>
        <v>0</v>
      </c>
      <c r="G6" s="155">
        <f t="shared" ref="G6:G15" si="0">SUM(C6:F6)</f>
        <v>1500</v>
      </c>
      <c r="R6" s="154" t="s">
        <v>3</v>
      </c>
      <c r="AH6" s="153" t="s">
        <v>22</v>
      </c>
      <c r="AI6" s="154" t="s">
        <v>3</v>
      </c>
      <c r="AJ6" s="142" t="s">
        <v>30</v>
      </c>
    </row>
    <row r="7" spans="1:36">
      <c r="A7" s="144">
        <v>1</v>
      </c>
      <c r="B7" s="154" t="s">
        <v>31</v>
      </c>
      <c r="C7" s="155">
        <f>C6*销量!C8</f>
        <v>1342500</v>
      </c>
      <c r="D7" s="155">
        <f>D6*销量!D8</f>
        <v>0</v>
      </c>
      <c r="E7" s="155">
        <f>E6*销量!E8</f>
        <v>0</v>
      </c>
      <c r="F7" s="155">
        <f>F6*销量!F8</f>
        <v>0</v>
      </c>
      <c r="G7" s="155">
        <f t="shared" si="0"/>
        <v>1342500</v>
      </c>
      <c r="H7" s="143"/>
      <c r="R7" s="154" t="s">
        <v>31</v>
      </c>
      <c r="AH7" s="153" t="s">
        <v>32</v>
      </c>
      <c r="AI7" s="154" t="s">
        <v>31</v>
      </c>
      <c r="AJ7" s="142" t="s">
        <v>30</v>
      </c>
    </row>
    <row r="8" spans="1:36">
      <c r="A8" s="144">
        <v>2</v>
      </c>
      <c r="B8" s="144" t="s">
        <v>33</v>
      </c>
      <c r="C8" s="155">
        <f>C7*(1-销量!$L$7)</f>
        <v>0</v>
      </c>
      <c r="D8" s="155">
        <f>D7*(1-销量!$L$7)</f>
        <v>0</v>
      </c>
      <c r="E8" s="155">
        <f>E7*(1-销量!$L$7)</f>
        <v>0</v>
      </c>
      <c r="F8" s="155">
        <f>F7*(1-销量!$L$7)</f>
        <v>0</v>
      </c>
      <c r="G8" s="155">
        <f t="shared" si="0"/>
        <v>0</v>
      </c>
      <c r="H8" s="156"/>
      <c r="R8" s="144" t="s">
        <v>35</v>
      </c>
      <c r="AH8" s="153" t="s">
        <v>34</v>
      </c>
      <c r="AI8" s="144" t="s">
        <v>35</v>
      </c>
      <c r="AJ8" s="142" t="s">
        <v>30</v>
      </c>
    </row>
    <row r="9" spans="1:36">
      <c r="A9" s="144">
        <v>3</v>
      </c>
      <c r="B9" s="154" t="s">
        <v>36</v>
      </c>
      <c r="C9" s="155">
        <f>+C7-C8</f>
        <v>1342500</v>
      </c>
      <c r="D9" s="155">
        <f t="shared" ref="D9:F9" si="1">+D7-D8</f>
        <v>0</v>
      </c>
      <c r="E9" s="155">
        <f t="shared" si="1"/>
        <v>0</v>
      </c>
      <c r="F9" s="155">
        <f t="shared" si="1"/>
        <v>0</v>
      </c>
      <c r="G9" s="155">
        <f t="shared" si="0"/>
        <v>1342500</v>
      </c>
      <c r="R9" s="154" t="s">
        <v>36</v>
      </c>
      <c r="AH9" s="153" t="s">
        <v>37</v>
      </c>
      <c r="AI9" s="154" t="s">
        <v>36</v>
      </c>
      <c r="AJ9" s="142" t="s">
        <v>38</v>
      </c>
    </row>
    <row r="10" spans="1:36">
      <c r="A10" s="144">
        <v>4</v>
      </c>
      <c r="B10" s="153" t="s">
        <v>39</v>
      </c>
      <c r="C10" s="155">
        <f>C6*C33</f>
        <v>396000</v>
      </c>
      <c r="D10" s="155">
        <f t="shared" ref="D10:F10" si="2">D6*D33</f>
        <v>0</v>
      </c>
      <c r="E10" s="155">
        <f t="shared" si="2"/>
        <v>0</v>
      </c>
      <c r="F10" s="155">
        <f t="shared" si="2"/>
        <v>0</v>
      </c>
      <c r="G10" s="155">
        <f t="shared" si="0"/>
        <v>396000</v>
      </c>
      <c r="R10" s="153" t="s">
        <v>39</v>
      </c>
      <c r="AH10" s="153" t="s">
        <v>40</v>
      </c>
      <c r="AI10" s="153" t="s">
        <v>39</v>
      </c>
      <c r="AJ10" s="142" t="s">
        <v>41</v>
      </c>
    </row>
    <row r="11" spans="1:35">
      <c r="A11" s="144">
        <v>5</v>
      </c>
      <c r="B11" s="153" t="s">
        <v>42</v>
      </c>
      <c r="C11" s="155">
        <f>+C6*C36</f>
        <v>36247.5</v>
      </c>
      <c r="D11" s="155">
        <f>+D6*D36</f>
        <v>0</v>
      </c>
      <c r="E11" s="155">
        <f t="shared" ref="E11:F11" si="3">+E6*E36</f>
        <v>0</v>
      </c>
      <c r="F11" s="155">
        <f t="shared" si="3"/>
        <v>0</v>
      </c>
      <c r="G11" s="155">
        <f t="shared" si="0"/>
        <v>36247.5</v>
      </c>
      <c r="R11" s="153" t="s">
        <v>42</v>
      </c>
      <c r="AH11" s="153" t="s">
        <v>43</v>
      </c>
      <c r="AI11" s="153" t="s">
        <v>42</v>
      </c>
    </row>
    <row r="12" spans="1:35">
      <c r="A12" s="144">
        <v>6</v>
      </c>
      <c r="B12" s="153" t="s">
        <v>44</v>
      </c>
      <c r="C12" s="155">
        <f>+C6*C37</f>
        <v>17452.5</v>
      </c>
      <c r="D12" s="155">
        <f t="shared" ref="D12:E12" si="4">+D6*D37</f>
        <v>0</v>
      </c>
      <c r="E12" s="155">
        <f t="shared" si="4"/>
        <v>0</v>
      </c>
      <c r="F12" s="155">
        <f t="shared" ref="F12" si="5">+F6*F37</f>
        <v>0</v>
      </c>
      <c r="G12" s="155">
        <f t="shared" si="0"/>
        <v>17452.5</v>
      </c>
      <c r="R12" s="153" t="s">
        <v>44</v>
      </c>
      <c r="AH12" s="153" t="s">
        <v>45</v>
      </c>
      <c r="AI12" s="153" t="s">
        <v>44</v>
      </c>
    </row>
    <row r="13" spans="1:36">
      <c r="A13" s="144">
        <v>7</v>
      </c>
      <c r="B13" s="153" t="s">
        <v>46</v>
      </c>
      <c r="C13" s="155">
        <f>+C6*C38</f>
        <v>38932.5</v>
      </c>
      <c r="D13" s="155">
        <f t="shared" ref="D13:E13" si="6">+D6*D38</f>
        <v>0</v>
      </c>
      <c r="E13" s="155">
        <f t="shared" si="6"/>
        <v>0</v>
      </c>
      <c r="F13" s="155">
        <f t="shared" ref="F13" si="7">+F6*F38</f>
        <v>0</v>
      </c>
      <c r="G13" s="155">
        <f t="shared" si="0"/>
        <v>38932.5</v>
      </c>
      <c r="R13" s="153" t="s">
        <v>46</v>
      </c>
      <c r="AH13" s="153" t="s">
        <v>47</v>
      </c>
      <c r="AI13" s="153" t="s">
        <v>46</v>
      </c>
      <c r="AJ13" s="142" t="s">
        <v>30</v>
      </c>
    </row>
    <row r="14" spans="1:35">
      <c r="A14" s="144">
        <v>8</v>
      </c>
      <c r="B14" s="157" t="s">
        <v>48</v>
      </c>
      <c r="C14" s="155">
        <f>SUM(C11:C13)</f>
        <v>92632.5</v>
      </c>
      <c r="D14" s="155">
        <f t="shared" ref="D14:F14" si="8">SUM(D11:D13)</f>
        <v>0</v>
      </c>
      <c r="E14" s="155">
        <f t="shared" si="8"/>
        <v>0</v>
      </c>
      <c r="F14" s="155">
        <f t="shared" si="8"/>
        <v>0</v>
      </c>
      <c r="G14" s="155">
        <f t="shared" si="0"/>
        <v>92632.5</v>
      </c>
      <c r="R14" s="157" t="s">
        <v>48</v>
      </c>
      <c r="AH14" s="153" t="s">
        <v>49</v>
      </c>
      <c r="AI14" s="157" t="s">
        <v>48</v>
      </c>
    </row>
    <row r="15" spans="1:35">
      <c r="A15" s="144">
        <v>9</v>
      </c>
      <c r="B15" s="157" t="s">
        <v>50</v>
      </c>
      <c r="C15" s="155">
        <f>+C9-C10-C14</f>
        <v>853867.5</v>
      </c>
      <c r="D15" s="155">
        <f t="shared" ref="D15:F15" si="9">+D9-D10-D14</f>
        <v>0</v>
      </c>
      <c r="E15" s="155">
        <f t="shared" si="9"/>
        <v>0</v>
      </c>
      <c r="F15" s="155">
        <f t="shared" si="9"/>
        <v>0</v>
      </c>
      <c r="G15" s="155">
        <f t="shared" si="0"/>
        <v>853867.5</v>
      </c>
      <c r="R15" s="157" t="s">
        <v>50</v>
      </c>
      <c r="AH15" s="153" t="s">
        <v>51</v>
      </c>
      <c r="AI15" s="157" t="s">
        <v>50</v>
      </c>
    </row>
    <row r="16" spans="1:35">
      <c r="A16" s="144">
        <v>10</v>
      </c>
      <c r="B16" s="153" t="s">
        <v>52</v>
      </c>
      <c r="C16" s="158">
        <f>+C15/C9</f>
        <v>0.636027932960894</v>
      </c>
      <c r="D16" s="158" t="e">
        <f t="shared" ref="D16:F16" si="10">+D15/D9</f>
        <v>#DIV/0!</v>
      </c>
      <c r="E16" s="158" t="e">
        <f t="shared" si="10"/>
        <v>#DIV/0!</v>
      </c>
      <c r="F16" s="158" t="e">
        <f t="shared" si="10"/>
        <v>#DIV/0!</v>
      </c>
      <c r="G16" s="158">
        <f t="shared" ref="G16" si="11">+G15/G9</f>
        <v>0.636027932960894</v>
      </c>
      <c r="R16" s="153" t="s">
        <v>52</v>
      </c>
      <c r="AH16" s="153" t="s">
        <v>53</v>
      </c>
      <c r="AI16" s="153" t="s">
        <v>52</v>
      </c>
    </row>
    <row r="17" spans="1:35">
      <c r="A17" s="144">
        <v>11</v>
      </c>
      <c r="B17" s="153" t="s">
        <v>54</v>
      </c>
      <c r="C17" s="155">
        <f>C6*C43+C18</f>
        <v>135672.5</v>
      </c>
      <c r="D17" s="155">
        <f t="shared" ref="D17:F17" si="12">D6*D43+D18</f>
        <v>0</v>
      </c>
      <c r="E17" s="155">
        <f t="shared" si="12"/>
        <v>0</v>
      </c>
      <c r="F17" s="155">
        <f t="shared" si="12"/>
        <v>0</v>
      </c>
      <c r="G17" s="155">
        <f>SUM(C17:F17)</f>
        <v>135672.5</v>
      </c>
      <c r="H17" s="156"/>
      <c r="R17" s="153" t="s">
        <v>54</v>
      </c>
      <c r="AH17" s="153" t="s">
        <v>55</v>
      </c>
      <c r="AI17" s="153" t="s">
        <v>54</v>
      </c>
    </row>
    <row r="18" s="140" customFormat="1" spans="1:10">
      <c r="A18" s="144">
        <v>12</v>
      </c>
      <c r="B18" s="159" t="s">
        <v>159</v>
      </c>
      <c r="C18" s="160">
        <f>$G$18/$G$6*C6</f>
        <v>32300</v>
      </c>
      <c r="D18" s="160">
        <f>$G$18/$G$6*D6</f>
        <v>0</v>
      </c>
      <c r="E18" s="160">
        <f>$G$18/$G$6*E6</f>
        <v>0</v>
      </c>
      <c r="F18" s="160">
        <f>$G$18/$G$6*F6</f>
        <v>0</v>
      </c>
      <c r="G18" s="160">
        <f>项目投资!D26</f>
        <v>32300</v>
      </c>
      <c r="H18" s="161" t="s">
        <v>160</v>
      </c>
      <c r="I18" s="161"/>
      <c r="J18" s="161"/>
    </row>
    <row r="19" spans="1:36">
      <c r="A19" s="144">
        <v>13</v>
      </c>
      <c r="B19" s="153" t="s">
        <v>56</v>
      </c>
      <c r="C19" s="155">
        <f>C6*C44</f>
        <v>22822.5</v>
      </c>
      <c r="D19" s="155">
        <f t="shared" ref="D19:F19" si="13">D6*D44</f>
        <v>0</v>
      </c>
      <c r="E19" s="155">
        <f t="shared" si="13"/>
        <v>0</v>
      </c>
      <c r="F19" s="155">
        <f t="shared" si="13"/>
        <v>0</v>
      </c>
      <c r="G19" s="155">
        <f>SUM(C19:F19)</f>
        <v>22822.5</v>
      </c>
      <c r="H19" s="140"/>
      <c r="R19" s="153" t="s">
        <v>56</v>
      </c>
      <c r="AH19" s="153" t="s">
        <v>57</v>
      </c>
      <c r="AI19" s="153" t="s">
        <v>56</v>
      </c>
      <c r="AJ19" s="142" t="s">
        <v>30</v>
      </c>
    </row>
    <row r="20" spans="1:35">
      <c r="A20" s="144">
        <v>14</v>
      </c>
      <c r="B20" s="153" t="s">
        <v>58</v>
      </c>
      <c r="C20" s="155">
        <f>C6*C45</f>
        <v>30877.5</v>
      </c>
      <c r="D20" s="155">
        <f t="shared" ref="D20:F20" si="14">D6*D45</f>
        <v>0</v>
      </c>
      <c r="E20" s="155">
        <f t="shared" si="14"/>
        <v>0</v>
      </c>
      <c r="F20" s="155">
        <f t="shared" si="14"/>
        <v>0</v>
      </c>
      <c r="G20" s="155">
        <f>SUM(C20:F20)</f>
        <v>30877.5</v>
      </c>
      <c r="R20" s="153" t="s">
        <v>58</v>
      </c>
      <c r="AH20" s="153" t="s">
        <v>59</v>
      </c>
      <c r="AI20" s="153" t="s">
        <v>58</v>
      </c>
    </row>
    <row r="21" spans="1:35">
      <c r="A21" s="144">
        <v>15</v>
      </c>
      <c r="B21" s="153" t="s">
        <v>60</v>
      </c>
      <c r="C21" s="162">
        <f>$G$21/$G$6*C6</f>
        <v>31000</v>
      </c>
      <c r="D21" s="162">
        <f>$G$21/$G$6*D6</f>
        <v>0</v>
      </c>
      <c r="E21" s="162">
        <f>$G$21/$G$6*E6</f>
        <v>0</v>
      </c>
      <c r="F21" s="162">
        <f>$G$21/$G$6*F6</f>
        <v>0</v>
      </c>
      <c r="G21" s="155">
        <f>项目投资!D27</f>
        <v>31000</v>
      </c>
      <c r="R21" s="153" t="s">
        <v>60</v>
      </c>
      <c r="AH21" s="153"/>
      <c r="AI21" s="153"/>
    </row>
    <row r="22" spans="1:35">
      <c r="A22" s="144">
        <v>16</v>
      </c>
      <c r="B22" s="153" t="s">
        <v>61</v>
      </c>
      <c r="C22" s="155">
        <f>C6*C47</f>
        <v>67125</v>
      </c>
      <c r="D22" s="155">
        <f t="shared" ref="D22:F22" si="15">D6*D47</f>
        <v>0</v>
      </c>
      <c r="E22" s="155">
        <f t="shared" si="15"/>
        <v>0</v>
      </c>
      <c r="F22" s="155">
        <f t="shared" si="15"/>
        <v>0</v>
      </c>
      <c r="G22" s="155">
        <f>SUM(C22:F22)</f>
        <v>67125</v>
      </c>
      <c r="R22" s="153" t="s">
        <v>61</v>
      </c>
      <c r="AH22" s="153" t="s">
        <v>62</v>
      </c>
      <c r="AI22" s="153" t="s">
        <v>61</v>
      </c>
    </row>
    <row r="23" spans="1:35">
      <c r="A23" s="144">
        <v>17</v>
      </c>
      <c r="B23" s="157" t="s">
        <v>63</v>
      </c>
      <c r="C23" s="162">
        <f>+C22+C21+C20+C19+C17</f>
        <v>287497.5</v>
      </c>
      <c r="D23" s="162">
        <f t="shared" ref="D23:F23" si="16">+D22+D21+D20+D19+D17</f>
        <v>0</v>
      </c>
      <c r="E23" s="162">
        <f t="shared" si="16"/>
        <v>0</v>
      </c>
      <c r="F23" s="162">
        <f t="shared" si="16"/>
        <v>0</v>
      </c>
      <c r="G23" s="162">
        <f t="shared" ref="G23" si="17">+G22+G21+G20+G19+G17</f>
        <v>287497.5</v>
      </c>
      <c r="R23" s="157" t="s">
        <v>63</v>
      </c>
      <c r="AH23" s="153" t="s">
        <v>64</v>
      </c>
      <c r="AI23" s="157" t="s">
        <v>63</v>
      </c>
    </row>
    <row r="24" spans="1:35">
      <c r="A24" s="144">
        <v>18</v>
      </c>
      <c r="B24" s="163" t="s">
        <v>65</v>
      </c>
      <c r="C24" s="162">
        <f>+C15-C23</f>
        <v>566370</v>
      </c>
      <c r="D24" s="162">
        <f t="shared" ref="D24:F24" si="18">+D15-D23</f>
        <v>0</v>
      </c>
      <c r="E24" s="162">
        <f t="shared" si="18"/>
        <v>0</v>
      </c>
      <c r="F24" s="162">
        <f t="shared" si="18"/>
        <v>0</v>
      </c>
      <c r="G24" s="162">
        <f t="shared" ref="G24" si="19">+G15-G23</f>
        <v>566370</v>
      </c>
      <c r="I24" s="169"/>
      <c r="R24" s="153" t="s">
        <v>65</v>
      </c>
      <c r="AH24" s="153" t="s">
        <v>66</v>
      </c>
      <c r="AI24" s="153" t="s">
        <v>65</v>
      </c>
    </row>
    <row r="25" spans="1:35">
      <c r="A25" s="144">
        <v>19</v>
      </c>
      <c r="B25" s="153" t="s">
        <v>161</v>
      </c>
      <c r="C25" s="162">
        <f t="shared" ref="C25:G25" si="20">IF(C24&lt;0,0,C24*0.15)</f>
        <v>84955.5</v>
      </c>
      <c r="D25" s="162">
        <f t="shared" si="20"/>
        <v>0</v>
      </c>
      <c r="E25" s="162">
        <f t="shared" si="20"/>
        <v>0</v>
      </c>
      <c r="F25" s="162">
        <f t="shared" si="20"/>
        <v>0</v>
      </c>
      <c r="G25" s="162">
        <f t="shared" si="20"/>
        <v>84955.5</v>
      </c>
      <c r="H25" s="2"/>
      <c r="I25" s="2"/>
      <c r="J25" s="2"/>
      <c r="R25" s="153" t="s">
        <v>69</v>
      </c>
      <c r="AH25" s="153" t="s">
        <v>68</v>
      </c>
      <c r="AI25" s="153" t="s">
        <v>69</v>
      </c>
    </row>
    <row r="26" spans="1:35">
      <c r="A26" s="144">
        <v>20</v>
      </c>
      <c r="B26" s="153" t="s">
        <v>70</v>
      </c>
      <c r="C26" s="162">
        <f t="shared" ref="C26:G26" si="21">C24-C25</f>
        <v>481414.5</v>
      </c>
      <c r="D26" s="162">
        <f t="shared" si="21"/>
        <v>0</v>
      </c>
      <c r="E26" s="162">
        <f t="shared" si="21"/>
        <v>0</v>
      </c>
      <c r="F26" s="162">
        <f t="shared" si="21"/>
        <v>0</v>
      </c>
      <c r="G26" s="162">
        <f t="shared" si="21"/>
        <v>481414.5</v>
      </c>
      <c r="H26" s="2"/>
      <c r="I26" s="2"/>
      <c r="J26" s="2"/>
      <c r="R26" s="153" t="s">
        <v>70</v>
      </c>
      <c r="AH26" s="153" t="s">
        <v>71</v>
      </c>
      <c r="AI26" s="153" t="s">
        <v>70</v>
      </c>
    </row>
    <row r="27" spans="1:35">
      <c r="A27" s="144">
        <v>21</v>
      </c>
      <c r="B27" s="153" t="s">
        <v>74</v>
      </c>
      <c r="C27" s="164">
        <f t="shared" ref="C27:G27" si="22">C26/C7</f>
        <v>0.358595530726257</v>
      </c>
      <c r="D27" s="164" t="e">
        <f t="shared" ref="D27:F27" si="23">D26/D7</f>
        <v>#DIV/0!</v>
      </c>
      <c r="E27" s="164" t="e">
        <f t="shared" si="23"/>
        <v>#DIV/0!</v>
      </c>
      <c r="F27" s="164" t="e">
        <f t="shared" si="23"/>
        <v>#DIV/0!</v>
      </c>
      <c r="G27" s="164">
        <f t="shared" si="22"/>
        <v>0.358595530726257</v>
      </c>
      <c r="H27" s="2"/>
      <c r="I27" s="2"/>
      <c r="J27" s="2"/>
      <c r="R27" s="153" t="s">
        <v>74</v>
      </c>
      <c r="AH27" s="153" t="s">
        <v>73</v>
      </c>
      <c r="AI27" s="153" t="s">
        <v>74</v>
      </c>
    </row>
    <row r="28" spans="8:18">
      <c r="H28" s="2"/>
      <c r="I28" s="2"/>
      <c r="J28" s="2"/>
      <c r="R28" s="153"/>
    </row>
    <row r="29" spans="1:34">
      <c r="A29" s="142" t="s">
        <v>75</v>
      </c>
      <c r="G29" s="143" t="s">
        <v>162</v>
      </c>
      <c r="H29" s="2"/>
      <c r="I29" s="2"/>
      <c r="J29" s="2"/>
      <c r="R29" s="153"/>
      <c r="AH29" s="142" t="s">
        <v>75</v>
      </c>
    </row>
    <row r="30" spans="1:35">
      <c r="A30" s="153" t="s">
        <v>76</v>
      </c>
      <c r="B30" s="157" t="s">
        <v>77</v>
      </c>
      <c r="C30" s="162"/>
      <c r="D30" s="162"/>
      <c r="E30" s="162"/>
      <c r="F30" s="162"/>
      <c r="G30" s="162"/>
      <c r="H30" s="2"/>
      <c r="I30" s="2"/>
      <c r="J30" s="2"/>
      <c r="L30" s="2"/>
      <c r="R30" s="157" t="s">
        <v>77</v>
      </c>
      <c r="AH30" s="153" t="s">
        <v>78</v>
      </c>
      <c r="AI30" s="157" t="s">
        <v>77</v>
      </c>
    </row>
    <row r="31" spans="1:35">
      <c r="A31" s="144">
        <v>1</v>
      </c>
      <c r="B31" s="159" t="s">
        <v>79</v>
      </c>
      <c r="C31" s="165">
        <f>销量!C8</f>
        <v>895</v>
      </c>
      <c r="D31" s="165">
        <f>销量!D8</f>
        <v>0</v>
      </c>
      <c r="E31" s="165">
        <f>销量!E8</f>
        <v>0</v>
      </c>
      <c r="F31" s="165">
        <f>销量!F8</f>
        <v>0</v>
      </c>
      <c r="G31" s="162"/>
      <c r="H31" s="2"/>
      <c r="I31" s="2"/>
      <c r="J31" s="2"/>
      <c r="L31" s="2"/>
      <c r="R31" s="153" t="s">
        <v>79</v>
      </c>
      <c r="AH31" s="153" t="s">
        <v>32</v>
      </c>
      <c r="AI31" s="153" t="s">
        <v>79</v>
      </c>
    </row>
    <row r="32" spans="1:35">
      <c r="A32" s="144">
        <v>2</v>
      </c>
      <c r="B32" s="153" t="s">
        <v>163</v>
      </c>
      <c r="C32" s="155">
        <f>C9/C6</f>
        <v>895</v>
      </c>
      <c r="D32" s="155" t="e">
        <f t="shared" ref="D32:F32" si="24">D9/D6</f>
        <v>#DIV/0!</v>
      </c>
      <c r="E32" s="155" t="e">
        <f t="shared" si="24"/>
        <v>#DIV/0!</v>
      </c>
      <c r="F32" s="155" t="e">
        <f t="shared" si="24"/>
        <v>#DIV/0!</v>
      </c>
      <c r="G32" s="162"/>
      <c r="H32" s="2"/>
      <c r="I32" s="2"/>
      <c r="J32" s="2"/>
      <c r="K32" s="2"/>
      <c r="L32" s="2"/>
      <c r="M32" s="2"/>
      <c r="N32" s="2"/>
      <c r="AH32" s="153"/>
      <c r="AI32" s="153"/>
    </row>
    <row r="33" spans="1:35">
      <c r="A33" s="144">
        <v>3</v>
      </c>
      <c r="B33" s="159" t="s">
        <v>80</v>
      </c>
      <c r="C33" s="155">
        <f>材料成本!D13</f>
        <v>264</v>
      </c>
      <c r="D33" s="155">
        <f>材料成本!E13</f>
        <v>0</v>
      </c>
      <c r="E33" s="155">
        <f>材料成本!F13</f>
        <v>0</v>
      </c>
      <c r="F33" s="155">
        <f>材料成本!G13</f>
        <v>0</v>
      </c>
      <c r="G33" s="162"/>
      <c r="I33" s="2"/>
      <c r="J33" s="2"/>
      <c r="K33" s="2"/>
      <c r="L33" s="2"/>
      <c r="M33" s="2"/>
      <c r="N33" s="2"/>
      <c r="R33" s="153" t="s">
        <v>80</v>
      </c>
      <c r="AH33" s="153" t="s">
        <v>34</v>
      </c>
      <c r="AI33" s="153" t="s">
        <v>80</v>
      </c>
    </row>
    <row r="34" ht="17.25" customHeight="1" spans="1:35">
      <c r="A34" s="144">
        <v>4</v>
      </c>
      <c r="B34" s="153" t="s">
        <v>82</v>
      </c>
      <c r="C34" s="166">
        <f>C32-C33</f>
        <v>631</v>
      </c>
      <c r="D34" s="166" t="e">
        <f t="shared" ref="D34:F34" si="25">D32-D33</f>
        <v>#DIV/0!</v>
      </c>
      <c r="E34" s="166" t="e">
        <f t="shared" si="25"/>
        <v>#DIV/0!</v>
      </c>
      <c r="F34" s="166" t="e">
        <f t="shared" si="25"/>
        <v>#DIV/0!</v>
      </c>
      <c r="G34" s="162"/>
      <c r="I34" s="2"/>
      <c r="J34" s="2"/>
      <c r="K34" s="2"/>
      <c r="L34" s="2"/>
      <c r="M34" s="2"/>
      <c r="N34" s="2"/>
      <c r="R34" s="153" t="s">
        <v>82</v>
      </c>
      <c r="AH34" s="153" t="s">
        <v>81</v>
      </c>
      <c r="AI34" s="153" t="s">
        <v>82</v>
      </c>
    </row>
    <row r="35" spans="1:35">
      <c r="A35" s="153" t="s">
        <v>78</v>
      </c>
      <c r="B35" s="157" t="s">
        <v>10</v>
      </c>
      <c r="C35" s="162"/>
      <c r="D35" s="162"/>
      <c r="E35" s="162"/>
      <c r="F35" s="162"/>
      <c r="G35" s="162"/>
      <c r="H35" s="2"/>
      <c r="I35" s="2"/>
      <c r="J35" s="2"/>
      <c r="K35" s="2"/>
      <c r="L35" s="2"/>
      <c r="M35" s="2"/>
      <c r="N35" s="2"/>
      <c r="O35" s="2"/>
      <c r="P35" s="2"/>
      <c r="Q35" s="2"/>
      <c r="R35" s="157" t="s">
        <v>10</v>
      </c>
      <c r="AH35" s="153" t="s">
        <v>84</v>
      </c>
      <c r="AI35" s="157" t="s">
        <v>10</v>
      </c>
    </row>
    <row r="36" spans="1:35">
      <c r="A36" s="144">
        <v>1</v>
      </c>
      <c r="B36" s="153" t="s">
        <v>85</v>
      </c>
      <c r="C36" s="160">
        <f>'2024年'!C36</f>
        <v>24.165</v>
      </c>
      <c r="D36" s="160">
        <f>'2024年'!D36</f>
        <v>0</v>
      </c>
      <c r="E36" s="160">
        <f>'2024年'!E36</f>
        <v>0</v>
      </c>
      <c r="F36" s="160">
        <f>'2024年'!F36</f>
        <v>0</v>
      </c>
      <c r="G36" s="165"/>
      <c r="H36" s="2"/>
      <c r="I36" s="2"/>
      <c r="J36" s="2"/>
      <c r="K36" s="2"/>
      <c r="L36" s="2"/>
      <c r="M36" s="2"/>
      <c r="N36" s="2"/>
      <c r="O36" s="2"/>
      <c r="P36" s="2"/>
      <c r="Q36" s="2"/>
      <c r="R36" s="153" t="s">
        <v>85</v>
      </c>
      <c r="AH36" s="153" t="s">
        <v>81</v>
      </c>
      <c r="AI36" s="153" t="s">
        <v>85</v>
      </c>
    </row>
    <row r="37" spans="1:35">
      <c r="A37" s="144">
        <v>2</v>
      </c>
      <c r="B37" s="153" t="s">
        <v>86</v>
      </c>
      <c r="C37" s="160">
        <f>'2024年'!C37</f>
        <v>11.635</v>
      </c>
      <c r="D37" s="160">
        <f>'2024年'!D37</f>
        <v>0</v>
      </c>
      <c r="E37" s="160">
        <f>'2024年'!E37</f>
        <v>0</v>
      </c>
      <c r="F37" s="160">
        <f>'2024年'!F37</f>
        <v>0</v>
      </c>
      <c r="G37" s="165"/>
      <c r="H37" s="2"/>
      <c r="I37" s="2"/>
      <c r="J37" s="2"/>
      <c r="K37" s="2"/>
      <c r="L37" s="2"/>
      <c r="M37" s="2"/>
      <c r="N37" s="2"/>
      <c r="O37" s="2"/>
      <c r="P37" s="2"/>
      <c r="Q37" s="2"/>
      <c r="R37" s="153" t="s">
        <v>86</v>
      </c>
      <c r="AH37" s="153" t="s">
        <v>37</v>
      </c>
      <c r="AI37" s="153" t="s">
        <v>86</v>
      </c>
    </row>
    <row r="38" spans="1:35">
      <c r="A38" s="144">
        <v>3</v>
      </c>
      <c r="B38" s="153" t="s">
        <v>87</v>
      </c>
      <c r="C38" s="160">
        <f>'2024年'!C38</f>
        <v>25.955</v>
      </c>
      <c r="D38" s="160">
        <f>'2024年'!D38</f>
        <v>0</v>
      </c>
      <c r="E38" s="160">
        <f>'2024年'!E38</f>
        <v>0</v>
      </c>
      <c r="F38" s="160">
        <f>'2024年'!F38</f>
        <v>0</v>
      </c>
      <c r="G38" s="165"/>
      <c r="H38" s="2"/>
      <c r="I38" s="2"/>
      <c r="J38" s="2"/>
      <c r="K38" s="2"/>
      <c r="L38" s="2"/>
      <c r="M38" s="2"/>
      <c r="N38" s="2"/>
      <c r="O38" s="2"/>
      <c r="P38" s="2"/>
      <c r="Q38" s="2"/>
      <c r="R38" s="153" t="s">
        <v>87</v>
      </c>
      <c r="AH38" s="153" t="s">
        <v>43</v>
      </c>
      <c r="AI38" s="153" t="s">
        <v>87</v>
      </c>
    </row>
    <row r="39" spans="1:35">
      <c r="A39" s="153" t="s">
        <v>84</v>
      </c>
      <c r="B39" s="157" t="s">
        <v>89</v>
      </c>
      <c r="C39" s="162"/>
      <c r="D39" s="162"/>
      <c r="E39" s="162"/>
      <c r="F39" s="162"/>
      <c r="G39" s="162"/>
      <c r="R39" s="157" t="s">
        <v>89</v>
      </c>
      <c r="AH39" s="153" t="s">
        <v>88</v>
      </c>
      <c r="AI39" s="157" t="s">
        <v>89</v>
      </c>
    </row>
    <row r="40" spans="1:35">
      <c r="A40" s="144">
        <v>1</v>
      </c>
      <c r="B40" s="153" t="s">
        <v>91</v>
      </c>
      <c r="C40" s="162">
        <f>C34-C36-C37-C38</f>
        <v>569.245</v>
      </c>
      <c r="D40" s="162" t="e">
        <f t="shared" ref="D40:F40" si="26">D34-D36-D37-D38</f>
        <v>#DIV/0!</v>
      </c>
      <c r="E40" s="162" t="e">
        <f t="shared" si="26"/>
        <v>#DIV/0!</v>
      </c>
      <c r="F40" s="162" t="e">
        <f t="shared" si="26"/>
        <v>#DIV/0!</v>
      </c>
      <c r="G40" s="162"/>
      <c r="R40" s="153" t="s">
        <v>91</v>
      </c>
      <c r="AH40" s="153" t="s">
        <v>32</v>
      </c>
      <c r="AI40" s="153" t="s">
        <v>91</v>
      </c>
    </row>
    <row r="41" spans="1:35">
      <c r="A41" s="144">
        <v>2</v>
      </c>
      <c r="B41" s="153" t="s">
        <v>92</v>
      </c>
      <c r="C41" s="162"/>
      <c r="D41" s="162"/>
      <c r="E41" s="162"/>
      <c r="F41" s="162"/>
      <c r="G41" s="162"/>
      <c r="R41" s="153" t="s">
        <v>92</v>
      </c>
      <c r="AH41" s="153" t="s">
        <v>34</v>
      </c>
      <c r="AI41" s="153" t="s">
        <v>92</v>
      </c>
    </row>
    <row r="42" spans="1:35">
      <c r="A42" s="153" t="s">
        <v>88</v>
      </c>
      <c r="B42" s="157" t="s">
        <v>94</v>
      </c>
      <c r="C42" s="162"/>
      <c r="D42" s="162"/>
      <c r="E42" s="162"/>
      <c r="F42" s="162"/>
      <c r="G42" s="162"/>
      <c r="R42" s="157" t="s">
        <v>94</v>
      </c>
      <c r="AH42" s="153" t="s">
        <v>93</v>
      </c>
      <c r="AI42" s="157" t="s">
        <v>94</v>
      </c>
    </row>
    <row r="43" spans="1:35">
      <c r="A43" s="144">
        <v>1</v>
      </c>
      <c r="B43" s="163" t="s">
        <v>95</v>
      </c>
      <c r="C43" s="160">
        <f>'2024年'!C43</f>
        <v>68.915</v>
      </c>
      <c r="D43" s="160">
        <f>'2024年'!D43</f>
        <v>0</v>
      </c>
      <c r="E43" s="160">
        <f>'2024年'!E43</f>
        <v>0</v>
      </c>
      <c r="F43" s="160">
        <f>'2024年'!F43</f>
        <v>0</v>
      </c>
      <c r="G43" s="162"/>
      <c r="R43" s="153" t="s">
        <v>95</v>
      </c>
      <c r="AH43" s="153" t="s">
        <v>32</v>
      </c>
      <c r="AI43" s="153" t="s">
        <v>95</v>
      </c>
    </row>
    <row r="44" spans="1:35">
      <c r="A44" s="144">
        <v>2</v>
      </c>
      <c r="B44" s="163" t="s">
        <v>96</v>
      </c>
      <c r="C44" s="160">
        <f>'2024年'!C44</f>
        <v>15.215</v>
      </c>
      <c r="D44" s="160">
        <f>'2024年'!D44</f>
        <v>0</v>
      </c>
      <c r="E44" s="160">
        <f>'2024年'!E44</f>
        <v>0</v>
      </c>
      <c r="F44" s="160">
        <f>'2024年'!F44</f>
        <v>0</v>
      </c>
      <c r="G44" s="162"/>
      <c r="R44" s="153" t="s">
        <v>96</v>
      </c>
      <c r="AH44" s="153" t="s">
        <v>34</v>
      </c>
      <c r="AI44" s="153" t="s">
        <v>96</v>
      </c>
    </row>
    <row r="45" spans="1:35">
      <c r="A45" s="144">
        <v>3</v>
      </c>
      <c r="B45" s="163" t="s">
        <v>97</v>
      </c>
      <c r="C45" s="160">
        <f>'2024年'!C45</f>
        <v>20.585</v>
      </c>
      <c r="D45" s="160">
        <f>'2024年'!D45</f>
        <v>0</v>
      </c>
      <c r="E45" s="160">
        <f>'2024年'!E45</f>
        <v>0</v>
      </c>
      <c r="F45" s="160">
        <f>'2024年'!F45</f>
        <v>0</v>
      </c>
      <c r="G45" s="162"/>
      <c r="R45" s="153" t="s">
        <v>97</v>
      </c>
      <c r="AH45" s="153" t="s">
        <v>81</v>
      </c>
      <c r="AI45" s="153" t="s">
        <v>97</v>
      </c>
    </row>
    <row r="46" s="141" customFormat="1" spans="1:35">
      <c r="A46" s="144">
        <v>4</v>
      </c>
      <c r="B46" s="163" t="s">
        <v>98</v>
      </c>
      <c r="C46" s="167">
        <f>C21/C6</f>
        <v>20.6666666666667</v>
      </c>
      <c r="D46" s="167" t="e">
        <f t="shared" ref="D46:F46" si="27">D21/D6</f>
        <v>#DIV/0!</v>
      </c>
      <c r="E46" s="167" t="e">
        <f t="shared" si="27"/>
        <v>#DIV/0!</v>
      </c>
      <c r="F46" s="167" t="e">
        <f t="shared" si="27"/>
        <v>#DIV/0!</v>
      </c>
      <c r="G46" s="167"/>
      <c r="R46" s="163" t="s">
        <v>100</v>
      </c>
      <c r="AH46" s="163" t="s">
        <v>40</v>
      </c>
      <c r="AI46" s="163" t="s">
        <v>100</v>
      </c>
    </row>
    <row r="47" s="141" customFormat="1" spans="1:35">
      <c r="A47" s="144">
        <v>5</v>
      </c>
      <c r="B47" s="163" t="s">
        <v>100</v>
      </c>
      <c r="C47" s="167">
        <f>'2024年'!C47</f>
        <v>44.75</v>
      </c>
      <c r="D47" s="167">
        <f>'2024年'!D47</f>
        <v>0</v>
      </c>
      <c r="E47" s="167">
        <f>'2024年'!E47</f>
        <v>0</v>
      </c>
      <c r="F47" s="167">
        <f>'2024年'!F47</f>
        <v>0</v>
      </c>
      <c r="G47" s="167"/>
      <c r="R47" s="163" t="s">
        <v>100</v>
      </c>
      <c r="AH47" s="163" t="s">
        <v>40</v>
      </c>
      <c r="AI47" s="163" t="s">
        <v>100</v>
      </c>
    </row>
    <row r="48" spans="1:35">
      <c r="A48" s="153" t="s">
        <v>93</v>
      </c>
      <c r="B48" s="157" t="s">
        <v>111</v>
      </c>
      <c r="C48" s="162">
        <f>C40-C43-C44-C45-C47-C46</f>
        <v>399.113333333333</v>
      </c>
      <c r="D48" s="162" t="e">
        <f t="shared" ref="D48:F48" si="28">D40-D43-D44-D45-D47-D46</f>
        <v>#DIV/0!</v>
      </c>
      <c r="E48" s="162" t="e">
        <f t="shared" si="28"/>
        <v>#DIV/0!</v>
      </c>
      <c r="F48" s="162" t="e">
        <f t="shared" si="28"/>
        <v>#DIV/0!</v>
      </c>
      <c r="G48" s="162"/>
      <c r="R48" s="157" t="s">
        <v>111</v>
      </c>
      <c r="AH48" s="153" t="s">
        <v>110</v>
      </c>
      <c r="AI48" s="157" t="s">
        <v>111</v>
      </c>
    </row>
    <row r="51" spans="3:6">
      <c r="C51" s="168"/>
      <c r="D51" s="168"/>
      <c r="E51" s="168"/>
      <c r="F51" s="168"/>
    </row>
    <row r="54" spans="2:12">
      <c r="B54" s="2"/>
      <c r="C54" s="29"/>
      <c r="D54" s="29"/>
      <c r="E54" s="29"/>
      <c r="F54" s="29"/>
      <c r="G54" s="29"/>
      <c r="H54" s="2"/>
      <c r="I54" s="2"/>
      <c r="J54" s="2"/>
      <c r="K54" s="2"/>
      <c r="L54" s="2"/>
    </row>
    <row r="55" spans="2:12">
      <c r="B55" s="2"/>
      <c r="C55" s="29"/>
      <c r="D55" s="29"/>
      <c r="E55" s="29"/>
      <c r="F55" s="29"/>
      <c r="G55" s="29"/>
      <c r="H55" s="2"/>
      <c r="I55" s="2"/>
      <c r="J55" s="2"/>
      <c r="K55" s="2"/>
      <c r="L55" s="2"/>
    </row>
    <row r="56" spans="2:12">
      <c r="B56" s="2"/>
      <c r="C56" s="29"/>
      <c r="D56" s="29"/>
      <c r="E56" s="29"/>
      <c r="F56" s="29"/>
      <c r="G56" s="29"/>
      <c r="H56" s="2"/>
      <c r="I56" s="2"/>
      <c r="J56" s="2"/>
      <c r="K56" s="2"/>
      <c r="L56" s="2"/>
    </row>
    <row r="57" spans="2:12">
      <c r="B57" s="2"/>
      <c r="C57" s="29"/>
      <c r="D57" s="29"/>
      <c r="E57" s="29"/>
      <c r="F57" s="29"/>
      <c r="G57" s="29"/>
      <c r="H57" s="2"/>
      <c r="I57" s="2"/>
      <c r="J57" s="2"/>
      <c r="K57" s="2"/>
      <c r="L57" s="2"/>
    </row>
    <row r="58" spans="2:12">
      <c r="B58" s="2"/>
      <c r="C58" s="29"/>
      <c r="D58" s="29"/>
      <c r="E58" s="29"/>
      <c r="F58" s="29"/>
      <c r="G58" s="29"/>
      <c r="H58" s="2"/>
      <c r="I58" s="2"/>
      <c r="J58" s="2"/>
      <c r="K58" s="2"/>
      <c r="L58" s="2"/>
    </row>
    <row r="59" spans="2:12">
      <c r="B59" s="2"/>
      <c r="C59" s="29"/>
      <c r="D59" s="29"/>
      <c r="E59" s="29"/>
      <c r="F59" s="29"/>
      <c r="G59" s="29"/>
      <c r="H59" s="2"/>
      <c r="I59" s="2"/>
      <c r="J59" s="2"/>
      <c r="K59" s="2"/>
      <c r="L59" s="2"/>
    </row>
    <row r="60" spans="2:12">
      <c r="B60" s="2"/>
      <c r="C60" s="29"/>
      <c r="D60" s="29"/>
      <c r="E60" s="29"/>
      <c r="F60" s="29"/>
      <c r="G60" s="29"/>
      <c r="H60" s="2"/>
      <c r="I60" s="2"/>
      <c r="J60" s="2"/>
      <c r="K60" s="2"/>
      <c r="L60" s="2"/>
    </row>
    <row r="61" spans="2:12">
      <c r="B61" s="2"/>
      <c r="C61" s="29"/>
      <c r="D61" s="29"/>
      <c r="E61" s="29"/>
      <c r="F61" s="29"/>
      <c r="G61" s="29"/>
      <c r="H61" s="2"/>
      <c r="I61" s="2"/>
      <c r="J61" s="2"/>
      <c r="K61" s="2"/>
      <c r="L61" s="2"/>
    </row>
    <row r="62" spans="2:12">
      <c r="B62" s="2"/>
      <c r="C62" s="29"/>
      <c r="D62" s="29"/>
      <c r="E62" s="29"/>
      <c r="F62" s="29"/>
      <c r="G62" s="29"/>
      <c r="H62" s="2"/>
      <c r="I62" s="2"/>
      <c r="J62" s="2"/>
      <c r="K62" s="2"/>
      <c r="L62" s="2"/>
    </row>
    <row r="63" spans="2:12">
      <c r="B63" s="2"/>
      <c r="C63" s="29"/>
      <c r="D63" s="29"/>
      <c r="E63" s="29"/>
      <c r="F63" s="29"/>
      <c r="G63" s="29"/>
      <c r="H63" s="2"/>
      <c r="I63" s="2"/>
      <c r="J63" s="2"/>
      <c r="K63" s="2"/>
      <c r="L63" s="2"/>
    </row>
    <row r="64" spans="2:12">
      <c r="B64" s="2"/>
      <c r="C64" s="29"/>
      <c r="D64" s="29"/>
      <c r="E64" s="29"/>
      <c r="F64" s="29"/>
      <c r="G64" s="29"/>
      <c r="H64" s="2"/>
      <c r="I64" s="2"/>
      <c r="J64" s="2"/>
      <c r="K64" s="2"/>
      <c r="L64" s="2"/>
    </row>
    <row r="65" spans="2:12">
      <c r="B65" s="2"/>
      <c r="C65" s="29"/>
      <c r="D65" s="29"/>
      <c r="E65" s="29"/>
      <c r="F65" s="29"/>
      <c r="G65" s="29"/>
      <c r="H65" s="2"/>
      <c r="I65" s="2"/>
      <c r="J65" s="2"/>
      <c r="K65" s="2"/>
      <c r="L65" s="2"/>
    </row>
    <row r="66" spans="2:12">
      <c r="B66" s="2"/>
      <c r="C66" s="29"/>
      <c r="D66" s="29"/>
      <c r="E66" s="29"/>
      <c r="F66" s="29"/>
      <c r="G66" s="29"/>
      <c r="H66" s="2"/>
      <c r="I66" s="2"/>
      <c r="J66" s="2"/>
      <c r="K66" s="2"/>
      <c r="L66" s="2"/>
    </row>
    <row r="67" spans="2:8">
      <c r="B67" s="2"/>
      <c r="C67" s="29"/>
      <c r="D67" s="29"/>
      <c r="E67" s="29"/>
      <c r="F67" s="29"/>
      <c r="G67" s="29"/>
      <c r="H67" s="2"/>
    </row>
    <row r="68" spans="2:8">
      <c r="B68" s="2"/>
      <c r="C68" s="29"/>
      <c r="D68" s="29"/>
      <c r="E68" s="29"/>
      <c r="F68" s="29"/>
      <c r="G68" s="29"/>
      <c r="H68" s="2"/>
    </row>
    <row r="69" spans="2:8">
      <c r="B69" s="2"/>
      <c r="C69" s="29"/>
      <c r="D69" s="29"/>
      <c r="E69" s="29"/>
      <c r="F69" s="29"/>
      <c r="G69" s="29"/>
      <c r="H69" s="2"/>
    </row>
    <row r="70" spans="2:8">
      <c r="B70" s="2"/>
      <c r="C70" s="29"/>
      <c r="D70" s="29"/>
      <c r="E70" s="29"/>
      <c r="F70" s="29"/>
      <c r="G70" s="29"/>
      <c r="H70" s="2"/>
    </row>
    <row r="71" spans="2:8">
      <c r="B71" s="2"/>
      <c r="C71" s="29"/>
      <c r="D71" s="29"/>
      <c r="E71" s="29"/>
      <c r="F71" s="29"/>
      <c r="G71" s="29"/>
      <c r="H71" s="2"/>
    </row>
    <row r="72" spans="2:8">
      <c r="B72" s="2"/>
      <c r="C72" s="29"/>
      <c r="D72" s="29"/>
      <c r="E72" s="29"/>
      <c r="F72" s="29"/>
      <c r="G72" s="29"/>
      <c r="H72" s="2"/>
    </row>
    <row r="73" spans="2:8">
      <c r="B73" s="2"/>
      <c r="C73" s="29"/>
      <c r="D73" s="29"/>
      <c r="E73" s="29"/>
      <c r="F73" s="29"/>
      <c r="G73" s="29"/>
      <c r="H73" s="2"/>
    </row>
    <row r="74" spans="2:8">
      <c r="B74" s="2"/>
      <c r="C74" s="29"/>
      <c r="D74" s="29"/>
      <c r="E74" s="29"/>
      <c r="F74" s="29"/>
      <c r="G74" s="29"/>
      <c r="H74" s="2"/>
    </row>
  </sheetData>
  <mergeCells count="8">
    <mergeCell ref="A1:B1"/>
    <mergeCell ref="C1:G1"/>
    <mergeCell ref="A2:B2"/>
    <mergeCell ref="C2:G2"/>
    <mergeCell ref="A3:B3"/>
    <mergeCell ref="A4:B4"/>
    <mergeCell ref="A5:B5"/>
    <mergeCell ref="G3:G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74"/>
  <sheetViews>
    <sheetView workbookViewId="0">
      <pane xSplit="2" ySplit="7" topLeftCell="C8" activePane="bottomRight" state="frozen"/>
      <selection/>
      <selection pane="topRight"/>
      <selection pane="bottomLeft"/>
      <selection pane="bottomRight" activeCell="C36" sqref="C36"/>
    </sheetView>
  </sheetViews>
  <sheetFormatPr defaultColWidth="9" defaultRowHeight="14.5"/>
  <cols>
    <col min="1" max="1" width="5.12727272727273" style="142" customWidth="1"/>
    <col min="2" max="2" width="17.5" style="142" customWidth="1"/>
    <col min="3" max="3" width="13.2545454545455" style="143" customWidth="1"/>
    <col min="4" max="4" width="16.2545454545455" style="143" customWidth="1"/>
    <col min="5" max="6" width="13.2545454545455" style="143" customWidth="1"/>
    <col min="7" max="7" width="18.7545454545455" style="143" customWidth="1"/>
    <col min="8" max="8" width="12.3727272727273" style="142" customWidth="1"/>
    <col min="9" max="9" width="10.1272727272727" style="142" customWidth="1"/>
    <col min="10" max="16" width="9" style="142" customWidth="1"/>
    <col min="17" max="33" width="9" style="142"/>
    <col min="34" max="34" width="4.37272727272727" style="142" customWidth="1"/>
    <col min="35" max="35" width="13.8727272727273" style="142" customWidth="1"/>
    <col min="36" max="16384" width="9" style="142"/>
  </cols>
  <sheetData>
    <row r="1" spans="1:7">
      <c r="A1" s="144" t="s">
        <v>151</v>
      </c>
      <c r="B1" s="144"/>
      <c r="C1" s="145" t="s">
        <v>165</v>
      </c>
      <c r="D1" s="146"/>
      <c r="E1" s="146"/>
      <c r="F1" s="146"/>
      <c r="G1" s="147"/>
    </row>
    <row r="2" spans="1:7">
      <c r="A2" s="144" t="s">
        <v>153</v>
      </c>
      <c r="B2" s="144"/>
      <c r="C2" s="148" t="str">
        <f>'2024年'!C2:G2</f>
        <v>陕西重型汽车有限公司</v>
      </c>
      <c r="D2" s="148"/>
      <c r="E2" s="148"/>
      <c r="F2" s="148"/>
      <c r="G2" s="148"/>
    </row>
    <row r="3" ht="26" spans="1:7">
      <c r="A3" s="144" t="s">
        <v>155</v>
      </c>
      <c r="B3" s="144"/>
      <c r="C3" s="50" t="str">
        <f>销量!C5</f>
        <v>第三座椅总成/两点式安全带/X5000S</v>
      </c>
      <c r="D3" s="50">
        <f>销量!D5</f>
        <v>0</v>
      </c>
      <c r="E3" s="50">
        <f>销量!E5</f>
        <v>0</v>
      </c>
      <c r="F3" s="50">
        <f>销量!F5</f>
        <v>0</v>
      </c>
      <c r="G3" s="149" t="s">
        <v>28</v>
      </c>
    </row>
    <row r="4" ht="26" spans="1:7">
      <c r="A4" s="144" t="s">
        <v>156</v>
      </c>
      <c r="B4" s="144"/>
      <c r="C4" s="50" t="str">
        <f>销量!C6</f>
        <v>DZ16251510113</v>
      </c>
      <c r="D4" s="50">
        <f>销量!D6</f>
        <v>0</v>
      </c>
      <c r="E4" s="50">
        <f>销量!E6</f>
        <v>0</v>
      </c>
      <c r="F4" s="50">
        <f>销量!F6</f>
        <v>0</v>
      </c>
      <c r="G4" s="150"/>
    </row>
    <row r="5" spans="1:36">
      <c r="A5" s="144" t="s">
        <v>157</v>
      </c>
      <c r="B5" s="144"/>
      <c r="C5" s="151"/>
      <c r="D5" s="151"/>
      <c r="E5" s="151"/>
      <c r="F5" s="151"/>
      <c r="G5" s="152"/>
      <c r="AJ5" s="142" t="s">
        <v>29</v>
      </c>
    </row>
    <row r="6" ht="16.5" spans="1:36">
      <c r="A6" s="153" t="s">
        <v>22</v>
      </c>
      <c r="B6" s="154" t="s">
        <v>158</v>
      </c>
      <c r="C6" s="85">
        <f>销量!C11</f>
        <v>1500</v>
      </c>
      <c r="D6" s="85">
        <f>销量!D11</f>
        <v>0</v>
      </c>
      <c r="E6" s="85">
        <f>销量!E11</f>
        <v>0</v>
      </c>
      <c r="F6" s="85">
        <f>销量!F11</f>
        <v>0</v>
      </c>
      <c r="G6" s="155">
        <f t="shared" ref="G6:G15" si="0">SUM(C6:F6)</f>
        <v>1500</v>
      </c>
      <c r="R6" s="154" t="s">
        <v>3</v>
      </c>
      <c r="AH6" s="153" t="s">
        <v>22</v>
      </c>
      <c r="AI6" s="154" t="s">
        <v>3</v>
      </c>
      <c r="AJ6" s="142" t="s">
        <v>30</v>
      </c>
    </row>
    <row r="7" spans="1:36">
      <c r="A7" s="144">
        <v>1</v>
      </c>
      <c r="B7" s="154" t="s">
        <v>31</v>
      </c>
      <c r="C7" s="155">
        <f>C6*销量!C8</f>
        <v>1342500</v>
      </c>
      <c r="D7" s="155">
        <f>D6*销量!D8</f>
        <v>0</v>
      </c>
      <c r="E7" s="155">
        <f>E6*销量!E8</f>
        <v>0</v>
      </c>
      <c r="F7" s="155">
        <f>F6*销量!F8</f>
        <v>0</v>
      </c>
      <c r="G7" s="155">
        <f t="shared" si="0"/>
        <v>1342500</v>
      </c>
      <c r="H7" s="143"/>
      <c r="R7" s="154" t="s">
        <v>31</v>
      </c>
      <c r="AH7" s="153" t="s">
        <v>32</v>
      </c>
      <c r="AI7" s="154" t="s">
        <v>31</v>
      </c>
      <c r="AJ7" s="142" t="s">
        <v>30</v>
      </c>
    </row>
    <row r="8" spans="1:36">
      <c r="A8" s="144">
        <v>2</v>
      </c>
      <c r="B8" s="144" t="s">
        <v>33</v>
      </c>
      <c r="C8" s="155">
        <f>C7*(1-销量!$L$8)</f>
        <v>0</v>
      </c>
      <c r="D8" s="155">
        <f>D7*(1-销量!$L$8)</f>
        <v>0</v>
      </c>
      <c r="E8" s="155">
        <f>E7*(1-销量!$L$8)</f>
        <v>0</v>
      </c>
      <c r="F8" s="155">
        <f>F7*(1-销量!$L$8)</f>
        <v>0</v>
      </c>
      <c r="G8" s="155">
        <f t="shared" si="0"/>
        <v>0</v>
      </c>
      <c r="H8" s="156"/>
      <c r="R8" s="144" t="s">
        <v>35</v>
      </c>
      <c r="AH8" s="153" t="s">
        <v>34</v>
      </c>
      <c r="AI8" s="144" t="s">
        <v>35</v>
      </c>
      <c r="AJ8" s="142" t="s">
        <v>30</v>
      </c>
    </row>
    <row r="9" spans="1:36">
      <c r="A9" s="144">
        <v>3</v>
      </c>
      <c r="B9" s="154" t="s">
        <v>36</v>
      </c>
      <c r="C9" s="155">
        <f>+C7-C8</f>
        <v>1342500</v>
      </c>
      <c r="D9" s="155">
        <f t="shared" ref="D9:F9" si="1">+D7-D8</f>
        <v>0</v>
      </c>
      <c r="E9" s="155">
        <f t="shared" si="1"/>
        <v>0</v>
      </c>
      <c r="F9" s="155">
        <f t="shared" si="1"/>
        <v>0</v>
      </c>
      <c r="G9" s="155">
        <f t="shared" si="0"/>
        <v>1342500</v>
      </c>
      <c r="R9" s="154" t="s">
        <v>36</v>
      </c>
      <c r="AH9" s="153" t="s">
        <v>37</v>
      </c>
      <c r="AI9" s="154" t="s">
        <v>36</v>
      </c>
      <c r="AJ9" s="142" t="s">
        <v>38</v>
      </c>
    </row>
    <row r="10" spans="1:36">
      <c r="A10" s="144">
        <v>4</v>
      </c>
      <c r="B10" s="153" t="s">
        <v>39</v>
      </c>
      <c r="C10" s="155">
        <f>C6*C33</f>
        <v>396000</v>
      </c>
      <c r="D10" s="155">
        <f t="shared" ref="D10:F10" si="2">D6*D33</f>
        <v>0</v>
      </c>
      <c r="E10" s="155">
        <f t="shared" si="2"/>
        <v>0</v>
      </c>
      <c r="F10" s="155">
        <f t="shared" si="2"/>
        <v>0</v>
      </c>
      <c r="G10" s="155">
        <f t="shared" si="0"/>
        <v>396000</v>
      </c>
      <c r="R10" s="153" t="s">
        <v>39</v>
      </c>
      <c r="AH10" s="153" t="s">
        <v>40</v>
      </c>
      <c r="AI10" s="153" t="s">
        <v>39</v>
      </c>
      <c r="AJ10" s="142" t="s">
        <v>41</v>
      </c>
    </row>
    <row r="11" spans="1:35">
      <c r="A11" s="144">
        <v>5</v>
      </c>
      <c r="B11" s="153" t="s">
        <v>42</v>
      </c>
      <c r="C11" s="155">
        <f>+C6*C36</f>
        <v>36247.5</v>
      </c>
      <c r="D11" s="155">
        <f t="shared" ref="D11:E11" si="3">+D6*D36</f>
        <v>0</v>
      </c>
      <c r="E11" s="155">
        <f t="shared" si="3"/>
        <v>0</v>
      </c>
      <c r="F11" s="155">
        <f t="shared" ref="F11" si="4">+F6*F36</f>
        <v>0</v>
      </c>
      <c r="G11" s="155">
        <f t="shared" si="0"/>
        <v>36247.5</v>
      </c>
      <c r="R11" s="153" t="s">
        <v>42</v>
      </c>
      <c r="AH11" s="153" t="s">
        <v>43</v>
      </c>
      <c r="AI11" s="153" t="s">
        <v>42</v>
      </c>
    </row>
    <row r="12" spans="1:35">
      <c r="A12" s="144">
        <v>6</v>
      </c>
      <c r="B12" s="153" t="s">
        <v>44</v>
      </c>
      <c r="C12" s="155">
        <f>+C6*C37</f>
        <v>17452.5</v>
      </c>
      <c r="D12" s="155">
        <f t="shared" ref="D12:E12" si="5">+D6*D37</f>
        <v>0</v>
      </c>
      <c r="E12" s="155">
        <f t="shared" si="5"/>
        <v>0</v>
      </c>
      <c r="F12" s="155">
        <f t="shared" ref="F12" si="6">+F6*F37</f>
        <v>0</v>
      </c>
      <c r="G12" s="155">
        <f t="shared" si="0"/>
        <v>17452.5</v>
      </c>
      <c r="R12" s="153" t="s">
        <v>44</v>
      </c>
      <c r="AH12" s="153" t="s">
        <v>45</v>
      </c>
      <c r="AI12" s="153" t="s">
        <v>44</v>
      </c>
    </row>
    <row r="13" spans="1:36">
      <c r="A13" s="144">
        <v>7</v>
      </c>
      <c r="B13" s="153" t="s">
        <v>46</v>
      </c>
      <c r="C13" s="155">
        <f>+C6*C38</f>
        <v>38932.5</v>
      </c>
      <c r="D13" s="155">
        <f t="shared" ref="D13:E13" si="7">+D6*D38</f>
        <v>0</v>
      </c>
      <c r="E13" s="155">
        <f t="shared" si="7"/>
        <v>0</v>
      </c>
      <c r="F13" s="155">
        <f t="shared" ref="F13" si="8">+F6*F38</f>
        <v>0</v>
      </c>
      <c r="G13" s="155">
        <f t="shared" si="0"/>
        <v>38932.5</v>
      </c>
      <c r="R13" s="153" t="s">
        <v>46</v>
      </c>
      <c r="AH13" s="153" t="s">
        <v>47</v>
      </c>
      <c r="AI13" s="153" t="s">
        <v>46</v>
      </c>
      <c r="AJ13" s="142" t="s">
        <v>30</v>
      </c>
    </row>
    <row r="14" spans="1:35">
      <c r="A14" s="144">
        <v>8</v>
      </c>
      <c r="B14" s="157" t="s">
        <v>48</v>
      </c>
      <c r="C14" s="155">
        <f>SUM(C11:C13)</f>
        <v>92632.5</v>
      </c>
      <c r="D14" s="155">
        <f t="shared" ref="D14:F14" si="9">SUM(D11:D13)</f>
        <v>0</v>
      </c>
      <c r="E14" s="155">
        <f t="shared" si="9"/>
        <v>0</v>
      </c>
      <c r="F14" s="155">
        <f t="shared" si="9"/>
        <v>0</v>
      </c>
      <c r="G14" s="155">
        <f t="shared" si="0"/>
        <v>92632.5</v>
      </c>
      <c r="R14" s="157" t="s">
        <v>48</v>
      </c>
      <c r="AH14" s="153" t="s">
        <v>49</v>
      </c>
      <c r="AI14" s="157" t="s">
        <v>48</v>
      </c>
    </row>
    <row r="15" spans="1:35">
      <c r="A15" s="144">
        <v>9</v>
      </c>
      <c r="B15" s="157" t="s">
        <v>50</v>
      </c>
      <c r="C15" s="155">
        <f>+C9-C10-C14</f>
        <v>853867.5</v>
      </c>
      <c r="D15" s="155">
        <f t="shared" ref="D15:F15" si="10">+D9-D10-D14</f>
        <v>0</v>
      </c>
      <c r="E15" s="155">
        <f t="shared" si="10"/>
        <v>0</v>
      </c>
      <c r="F15" s="155">
        <f t="shared" si="10"/>
        <v>0</v>
      </c>
      <c r="G15" s="155">
        <f t="shared" si="0"/>
        <v>853867.5</v>
      </c>
      <c r="R15" s="157" t="s">
        <v>50</v>
      </c>
      <c r="AH15" s="153" t="s">
        <v>51</v>
      </c>
      <c r="AI15" s="157" t="s">
        <v>50</v>
      </c>
    </row>
    <row r="16" spans="1:35">
      <c r="A16" s="144">
        <v>10</v>
      </c>
      <c r="B16" s="153" t="s">
        <v>52</v>
      </c>
      <c r="C16" s="158">
        <f>+C15/C9</f>
        <v>0.636027932960894</v>
      </c>
      <c r="D16" s="158" t="e">
        <f t="shared" ref="D16:F16" si="11">+D15/D9</f>
        <v>#DIV/0!</v>
      </c>
      <c r="E16" s="158" t="e">
        <f t="shared" si="11"/>
        <v>#DIV/0!</v>
      </c>
      <c r="F16" s="158" t="e">
        <f t="shared" si="11"/>
        <v>#DIV/0!</v>
      </c>
      <c r="G16" s="158">
        <f t="shared" ref="G16" si="12">+G15/G9</f>
        <v>0.636027932960894</v>
      </c>
      <c r="R16" s="153" t="s">
        <v>52</v>
      </c>
      <c r="AH16" s="153" t="s">
        <v>53</v>
      </c>
      <c r="AI16" s="153" t="s">
        <v>52</v>
      </c>
    </row>
    <row r="17" spans="1:35">
      <c r="A17" s="144">
        <v>11</v>
      </c>
      <c r="B17" s="153" t="s">
        <v>54</v>
      </c>
      <c r="C17" s="155">
        <f>C6*C43+C18</f>
        <v>135672.5</v>
      </c>
      <c r="D17" s="155">
        <f t="shared" ref="D17:F17" si="13">D6*D43+D18</f>
        <v>0</v>
      </c>
      <c r="E17" s="155">
        <f t="shared" si="13"/>
        <v>0</v>
      </c>
      <c r="F17" s="155">
        <f t="shared" si="13"/>
        <v>0</v>
      </c>
      <c r="G17" s="155">
        <f>SUM(C17:F17)</f>
        <v>135672.5</v>
      </c>
      <c r="H17" s="156"/>
      <c r="R17" s="153" t="s">
        <v>54</v>
      </c>
      <c r="AH17" s="153" t="s">
        <v>55</v>
      </c>
      <c r="AI17" s="153" t="s">
        <v>54</v>
      </c>
    </row>
    <row r="18" s="140" customFormat="1" spans="1:10">
      <c r="A18" s="144">
        <v>12</v>
      </c>
      <c r="B18" s="159" t="s">
        <v>159</v>
      </c>
      <c r="C18" s="160">
        <f>$G$18/$G$6*C6</f>
        <v>32300</v>
      </c>
      <c r="D18" s="160">
        <f>$G$18/$G$6*D6</f>
        <v>0</v>
      </c>
      <c r="E18" s="160">
        <f>$G$18/$G$6*E6</f>
        <v>0</v>
      </c>
      <c r="F18" s="160">
        <f>$G$18/$G$6*F6</f>
        <v>0</v>
      </c>
      <c r="G18" s="160">
        <f>项目投资!D26</f>
        <v>32300</v>
      </c>
      <c r="H18" s="161" t="s">
        <v>160</v>
      </c>
      <c r="I18" s="161"/>
      <c r="J18" s="161"/>
    </row>
    <row r="19" spans="1:36">
      <c r="A19" s="144">
        <v>13</v>
      </c>
      <c r="B19" s="153" t="s">
        <v>56</v>
      </c>
      <c r="C19" s="155">
        <f>C6*C44</f>
        <v>22822.5</v>
      </c>
      <c r="D19" s="155">
        <f t="shared" ref="D19:F19" si="14">D6*D44</f>
        <v>0</v>
      </c>
      <c r="E19" s="155">
        <f t="shared" si="14"/>
        <v>0</v>
      </c>
      <c r="F19" s="155">
        <f t="shared" si="14"/>
        <v>0</v>
      </c>
      <c r="G19" s="155">
        <f>SUM(C19:F19)</f>
        <v>22822.5</v>
      </c>
      <c r="H19" s="140"/>
      <c r="R19" s="153" t="s">
        <v>56</v>
      </c>
      <c r="AH19" s="153" t="s">
        <v>57</v>
      </c>
      <c r="AI19" s="153" t="s">
        <v>56</v>
      </c>
      <c r="AJ19" s="142" t="s">
        <v>30</v>
      </c>
    </row>
    <row r="20" spans="1:35">
      <c r="A20" s="144">
        <v>14</v>
      </c>
      <c r="B20" s="153" t="s">
        <v>58</v>
      </c>
      <c r="C20" s="155">
        <f>C6*C45</f>
        <v>30877.5</v>
      </c>
      <c r="D20" s="155">
        <f t="shared" ref="D20:F20" si="15">D6*D45</f>
        <v>0</v>
      </c>
      <c r="E20" s="155">
        <f t="shared" si="15"/>
        <v>0</v>
      </c>
      <c r="F20" s="155">
        <f t="shared" si="15"/>
        <v>0</v>
      </c>
      <c r="G20" s="155">
        <f>SUM(C20:F20)</f>
        <v>30877.5</v>
      </c>
      <c r="R20" s="153" t="s">
        <v>58</v>
      </c>
      <c r="AH20" s="153" t="s">
        <v>59</v>
      </c>
      <c r="AI20" s="153" t="s">
        <v>58</v>
      </c>
    </row>
    <row r="21" spans="1:35">
      <c r="A21" s="144">
        <v>15</v>
      </c>
      <c r="B21" s="153" t="s">
        <v>60</v>
      </c>
      <c r="C21" s="162">
        <f>$G$21/$G$6*C6</f>
        <v>31000</v>
      </c>
      <c r="D21" s="162">
        <f>$G$21/$G$6*D6</f>
        <v>0</v>
      </c>
      <c r="E21" s="162">
        <f>$G$21/$G$6*E6</f>
        <v>0</v>
      </c>
      <c r="F21" s="162">
        <f>$G$21/$G$6*F6</f>
        <v>0</v>
      </c>
      <c r="G21" s="155">
        <f>项目投资!D27</f>
        <v>31000</v>
      </c>
      <c r="R21" s="153" t="s">
        <v>60</v>
      </c>
      <c r="AH21" s="153"/>
      <c r="AI21" s="153"/>
    </row>
    <row r="22" spans="1:35">
      <c r="A22" s="144">
        <v>16</v>
      </c>
      <c r="B22" s="153" t="s">
        <v>61</v>
      </c>
      <c r="C22" s="155">
        <f>C6*C47</f>
        <v>67125</v>
      </c>
      <c r="D22" s="155">
        <f t="shared" ref="D22:F22" si="16">D6*D47</f>
        <v>0</v>
      </c>
      <c r="E22" s="155">
        <f t="shared" si="16"/>
        <v>0</v>
      </c>
      <c r="F22" s="155">
        <f t="shared" si="16"/>
        <v>0</v>
      </c>
      <c r="G22" s="155">
        <f>SUM(C22:F22)</f>
        <v>67125</v>
      </c>
      <c r="R22" s="153" t="s">
        <v>61</v>
      </c>
      <c r="AH22" s="153" t="s">
        <v>62</v>
      </c>
      <c r="AI22" s="153" t="s">
        <v>61</v>
      </c>
    </row>
    <row r="23" spans="1:35">
      <c r="A23" s="144">
        <v>17</v>
      </c>
      <c r="B23" s="157" t="s">
        <v>63</v>
      </c>
      <c r="C23" s="162">
        <f>+C22+C21+C20+C19+C17</f>
        <v>287497.5</v>
      </c>
      <c r="D23" s="162">
        <f t="shared" ref="D23:F23" si="17">+D22+D21+D20+D19+D17</f>
        <v>0</v>
      </c>
      <c r="E23" s="162">
        <f t="shared" si="17"/>
        <v>0</v>
      </c>
      <c r="F23" s="162">
        <f t="shared" si="17"/>
        <v>0</v>
      </c>
      <c r="G23" s="162">
        <f t="shared" ref="G23" si="18">+G22+G21+G20+G19+G17</f>
        <v>287497.5</v>
      </c>
      <c r="R23" s="157" t="s">
        <v>63</v>
      </c>
      <c r="AH23" s="153" t="s">
        <v>64</v>
      </c>
      <c r="AI23" s="157" t="s">
        <v>63</v>
      </c>
    </row>
    <row r="24" spans="1:35">
      <c r="A24" s="144">
        <v>18</v>
      </c>
      <c r="B24" s="163" t="s">
        <v>65</v>
      </c>
      <c r="C24" s="162">
        <f>+C15-C23</f>
        <v>566370</v>
      </c>
      <c r="D24" s="162">
        <f t="shared" ref="D24:F24" si="19">+D15-D23</f>
        <v>0</v>
      </c>
      <c r="E24" s="162">
        <f t="shared" si="19"/>
        <v>0</v>
      </c>
      <c r="F24" s="162">
        <f t="shared" si="19"/>
        <v>0</v>
      </c>
      <c r="G24" s="162">
        <f t="shared" ref="G24" si="20">+G15-G23</f>
        <v>566370</v>
      </c>
      <c r="I24" s="169"/>
      <c r="R24" s="153" t="s">
        <v>65</v>
      </c>
      <c r="AH24" s="153" t="s">
        <v>66</v>
      </c>
      <c r="AI24" s="153" t="s">
        <v>65</v>
      </c>
    </row>
    <row r="25" spans="1:35">
      <c r="A25" s="144">
        <v>19</v>
      </c>
      <c r="B25" s="153" t="s">
        <v>161</v>
      </c>
      <c r="C25" s="162">
        <f>IF(C24&lt;0,0,C24*0.15)</f>
        <v>84955.5</v>
      </c>
      <c r="D25" s="162">
        <f>IF(D24&lt;0,0,D24*0.15)</f>
        <v>0</v>
      </c>
      <c r="E25" s="162">
        <f>IF(E24&lt;0,0,E24*0.15)</f>
        <v>0</v>
      </c>
      <c r="F25" s="162">
        <f>IF(F24&lt;0,0,F24*0.15)</f>
        <v>0</v>
      </c>
      <c r="G25" s="162">
        <f>IF(G24&lt;0,0,G24*0.15)</f>
        <v>84955.5</v>
      </c>
      <c r="I25" s="2"/>
      <c r="J25" s="2"/>
      <c r="R25" s="153" t="s">
        <v>69</v>
      </c>
      <c r="AH25" s="153" t="s">
        <v>68</v>
      </c>
      <c r="AI25" s="153" t="s">
        <v>69</v>
      </c>
    </row>
    <row r="26" spans="1:35">
      <c r="A26" s="144">
        <v>20</v>
      </c>
      <c r="B26" s="153" t="s">
        <v>70</v>
      </c>
      <c r="C26" s="162">
        <f t="shared" ref="C26:G26" si="21">C24-C25</f>
        <v>481414.5</v>
      </c>
      <c r="D26" s="162">
        <f t="shared" si="21"/>
        <v>0</v>
      </c>
      <c r="E26" s="162">
        <f t="shared" si="21"/>
        <v>0</v>
      </c>
      <c r="F26" s="162">
        <f t="shared" si="21"/>
        <v>0</v>
      </c>
      <c r="G26" s="155">
        <f t="shared" si="21"/>
        <v>481414.5</v>
      </c>
      <c r="I26" s="2"/>
      <c r="J26" s="2"/>
      <c r="R26" s="153" t="s">
        <v>70</v>
      </c>
      <c r="AH26" s="153" t="s">
        <v>71</v>
      </c>
      <c r="AI26" s="153" t="s">
        <v>70</v>
      </c>
    </row>
    <row r="27" spans="1:35">
      <c r="A27" s="144">
        <v>21</v>
      </c>
      <c r="B27" s="153" t="s">
        <v>74</v>
      </c>
      <c r="C27" s="164">
        <f t="shared" ref="C27:G27" si="22">C26/C7</f>
        <v>0.358595530726257</v>
      </c>
      <c r="D27" s="164" t="e">
        <f t="shared" ref="D27:F27" si="23">D26/D7</f>
        <v>#DIV/0!</v>
      </c>
      <c r="E27" s="164" t="e">
        <f t="shared" si="23"/>
        <v>#DIV/0!</v>
      </c>
      <c r="F27" s="164" t="e">
        <f t="shared" si="23"/>
        <v>#DIV/0!</v>
      </c>
      <c r="G27" s="164">
        <f t="shared" si="22"/>
        <v>0.358595530726257</v>
      </c>
      <c r="I27" s="2"/>
      <c r="J27" s="2"/>
      <c r="R27" s="153" t="s">
        <v>74</v>
      </c>
      <c r="AH27" s="153" t="s">
        <v>73</v>
      </c>
      <c r="AI27" s="153" t="s">
        <v>74</v>
      </c>
    </row>
    <row r="28" spans="8:18">
      <c r="H28" s="2"/>
      <c r="I28" s="2"/>
      <c r="J28" s="2"/>
      <c r="R28" s="153"/>
    </row>
    <row r="29" spans="1:34">
      <c r="A29" s="142" t="s">
        <v>75</v>
      </c>
      <c r="G29" s="143" t="s">
        <v>162</v>
      </c>
      <c r="H29" s="2"/>
      <c r="I29" s="2"/>
      <c r="J29" s="2"/>
      <c r="R29" s="153"/>
      <c r="AH29" s="142" t="s">
        <v>75</v>
      </c>
    </row>
    <row r="30" spans="1:35">
      <c r="A30" s="153" t="s">
        <v>76</v>
      </c>
      <c r="B30" s="157" t="s">
        <v>77</v>
      </c>
      <c r="C30" s="162"/>
      <c r="D30" s="162"/>
      <c r="E30" s="162"/>
      <c r="F30" s="162"/>
      <c r="G30" s="162"/>
      <c r="H30" s="2"/>
      <c r="I30" s="2"/>
      <c r="J30" s="2"/>
      <c r="L30" s="2"/>
      <c r="R30" s="157" t="s">
        <v>77</v>
      </c>
      <c r="AH30" s="153" t="s">
        <v>78</v>
      </c>
      <c r="AI30" s="157" t="s">
        <v>77</v>
      </c>
    </row>
    <row r="31" spans="1:35">
      <c r="A31" s="144">
        <v>1</v>
      </c>
      <c r="B31" s="159" t="s">
        <v>79</v>
      </c>
      <c r="C31" s="165">
        <f>销量!C8</f>
        <v>895</v>
      </c>
      <c r="D31" s="165">
        <f>销量!D8</f>
        <v>0</v>
      </c>
      <c r="E31" s="165">
        <f>销量!E8</f>
        <v>0</v>
      </c>
      <c r="F31" s="165">
        <f>销量!F8</f>
        <v>0</v>
      </c>
      <c r="G31" s="162"/>
      <c r="H31" s="2"/>
      <c r="I31" s="2"/>
      <c r="J31" s="2"/>
      <c r="L31" s="2"/>
      <c r="R31" s="153" t="s">
        <v>79</v>
      </c>
      <c r="AH31" s="153" t="s">
        <v>32</v>
      </c>
      <c r="AI31" s="153" t="s">
        <v>79</v>
      </c>
    </row>
    <row r="32" spans="1:35">
      <c r="A32" s="144">
        <v>2</v>
      </c>
      <c r="B32" s="153" t="s">
        <v>163</v>
      </c>
      <c r="C32" s="155">
        <f>C9/C6</f>
        <v>895</v>
      </c>
      <c r="D32" s="155" t="e">
        <f t="shared" ref="D32:E32" si="24">D9/D6</f>
        <v>#DIV/0!</v>
      </c>
      <c r="E32" s="155" t="e">
        <f t="shared" si="24"/>
        <v>#DIV/0!</v>
      </c>
      <c r="F32" s="155" t="e">
        <f t="shared" ref="F32" si="25">F9/F6</f>
        <v>#DIV/0!</v>
      </c>
      <c r="G32" s="162"/>
      <c r="H32" s="2"/>
      <c r="I32" s="2"/>
      <c r="J32" s="2"/>
      <c r="K32" s="2"/>
      <c r="L32" s="2"/>
      <c r="M32" s="2"/>
      <c r="N32" s="2"/>
      <c r="AH32" s="153"/>
      <c r="AI32" s="153"/>
    </row>
    <row r="33" spans="1:35">
      <c r="A33" s="144">
        <v>3</v>
      </c>
      <c r="B33" s="159" t="s">
        <v>80</v>
      </c>
      <c r="C33" s="155">
        <f>材料成本!D14</f>
        <v>264</v>
      </c>
      <c r="D33" s="155">
        <f>材料成本!E14</f>
        <v>0</v>
      </c>
      <c r="E33" s="155">
        <f>材料成本!F14</f>
        <v>0</v>
      </c>
      <c r="F33" s="155">
        <f>材料成本!G14</f>
        <v>0</v>
      </c>
      <c r="G33" s="162"/>
      <c r="I33" s="2"/>
      <c r="J33" s="2"/>
      <c r="K33" s="2"/>
      <c r="L33" s="2"/>
      <c r="M33" s="2"/>
      <c r="N33" s="2"/>
      <c r="R33" s="153" t="s">
        <v>80</v>
      </c>
      <c r="AH33" s="153" t="s">
        <v>34</v>
      </c>
      <c r="AI33" s="153" t="s">
        <v>80</v>
      </c>
    </row>
    <row r="34" ht="17.25" customHeight="1" spans="1:35">
      <c r="A34" s="144">
        <v>4</v>
      </c>
      <c r="B34" s="153" t="s">
        <v>82</v>
      </c>
      <c r="C34" s="166">
        <f>C32-C33</f>
        <v>631</v>
      </c>
      <c r="D34" s="166" t="e">
        <f t="shared" ref="D34:E34" si="26">D32-D33</f>
        <v>#DIV/0!</v>
      </c>
      <c r="E34" s="166" t="e">
        <f t="shared" si="26"/>
        <v>#DIV/0!</v>
      </c>
      <c r="F34" s="166" t="e">
        <f t="shared" ref="F34" si="27">F32-F33</f>
        <v>#DIV/0!</v>
      </c>
      <c r="G34" s="162"/>
      <c r="I34" s="2"/>
      <c r="J34" s="2"/>
      <c r="K34" s="2"/>
      <c r="L34" s="2"/>
      <c r="M34" s="2"/>
      <c r="N34" s="2"/>
      <c r="R34" s="153" t="s">
        <v>82</v>
      </c>
      <c r="AH34" s="153" t="s">
        <v>81</v>
      </c>
      <c r="AI34" s="153" t="s">
        <v>82</v>
      </c>
    </row>
    <row r="35" spans="1:35">
      <c r="A35" s="153" t="s">
        <v>78</v>
      </c>
      <c r="B35" s="157" t="s">
        <v>10</v>
      </c>
      <c r="C35" s="162"/>
      <c r="D35" s="162"/>
      <c r="E35" s="162"/>
      <c r="F35" s="162"/>
      <c r="G35" s="162"/>
      <c r="H35" s="2"/>
      <c r="I35" s="2"/>
      <c r="J35" s="2"/>
      <c r="K35" s="2"/>
      <c r="L35" s="2"/>
      <c r="M35" s="2"/>
      <c r="N35" s="2"/>
      <c r="O35" s="2"/>
      <c r="P35" s="2"/>
      <c r="Q35" s="2"/>
      <c r="R35" s="157" t="s">
        <v>10</v>
      </c>
      <c r="AH35" s="153" t="s">
        <v>84</v>
      </c>
      <c r="AI35" s="157" t="s">
        <v>10</v>
      </c>
    </row>
    <row r="36" spans="1:35">
      <c r="A36" s="144">
        <v>1</v>
      </c>
      <c r="B36" s="153" t="s">
        <v>85</v>
      </c>
      <c r="C36" s="160">
        <f>'2024年'!C36</f>
        <v>24.165</v>
      </c>
      <c r="D36" s="160">
        <f>'2024年'!D36</f>
        <v>0</v>
      </c>
      <c r="E36" s="160">
        <f>'2024年'!E36</f>
        <v>0</v>
      </c>
      <c r="F36" s="160">
        <f>'2024年'!F36</f>
        <v>0</v>
      </c>
      <c r="G36" s="165"/>
      <c r="H36" s="2"/>
      <c r="I36" s="2"/>
      <c r="J36" s="2"/>
      <c r="K36" s="2"/>
      <c r="L36" s="2"/>
      <c r="M36" s="2"/>
      <c r="N36" s="2"/>
      <c r="O36" s="2"/>
      <c r="P36" s="2"/>
      <c r="Q36" s="2"/>
      <c r="R36" s="153" t="s">
        <v>85</v>
      </c>
      <c r="AH36" s="153" t="s">
        <v>81</v>
      </c>
      <c r="AI36" s="153" t="s">
        <v>85</v>
      </c>
    </row>
    <row r="37" spans="1:35">
      <c r="A37" s="144">
        <v>2</v>
      </c>
      <c r="B37" s="153" t="s">
        <v>86</v>
      </c>
      <c r="C37" s="160">
        <f>'2024年'!C37</f>
        <v>11.635</v>
      </c>
      <c r="D37" s="160">
        <f>'2024年'!D37</f>
        <v>0</v>
      </c>
      <c r="E37" s="160">
        <f>'2024年'!E37</f>
        <v>0</v>
      </c>
      <c r="F37" s="160">
        <f>'2024年'!F37</f>
        <v>0</v>
      </c>
      <c r="G37" s="165"/>
      <c r="H37" s="2"/>
      <c r="I37" s="2"/>
      <c r="J37" s="2"/>
      <c r="K37" s="2"/>
      <c r="L37" s="2"/>
      <c r="M37" s="2"/>
      <c r="N37" s="2"/>
      <c r="O37" s="2"/>
      <c r="P37" s="2"/>
      <c r="Q37" s="2"/>
      <c r="R37" s="153" t="s">
        <v>86</v>
      </c>
      <c r="AH37" s="153" t="s">
        <v>37</v>
      </c>
      <c r="AI37" s="153" t="s">
        <v>86</v>
      </c>
    </row>
    <row r="38" spans="1:35">
      <c r="A38" s="144">
        <v>3</v>
      </c>
      <c r="B38" s="153" t="s">
        <v>87</v>
      </c>
      <c r="C38" s="160">
        <f>'2024年'!C38</f>
        <v>25.955</v>
      </c>
      <c r="D38" s="160">
        <f>'2024年'!D38</f>
        <v>0</v>
      </c>
      <c r="E38" s="160">
        <f>'2024年'!E38</f>
        <v>0</v>
      </c>
      <c r="F38" s="160">
        <f>'2024年'!F38</f>
        <v>0</v>
      </c>
      <c r="G38" s="165"/>
      <c r="H38" s="2"/>
      <c r="I38" s="2"/>
      <c r="J38" s="2"/>
      <c r="K38" s="2"/>
      <c r="L38" s="2"/>
      <c r="M38" s="2"/>
      <c r="N38" s="2"/>
      <c r="O38" s="2"/>
      <c r="P38" s="2"/>
      <c r="Q38" s="2"/>
      <c r="R38" s="153" t="s">
        <v>87</v>
      </c>
      <c r="AH38" s="153" t="s">
        <v>43</v>
      </c>
      <c r="AI38" s="153" t="s">
        <v>87</v>
      </c>
    </row>
    <row r="39" spans="1:35">
      <c r="A39" s="153" t="s">
        <v>84</v>
      </c>
      <c r="B39" s="157" t="s">
        <v>89</v>
      </c>
      <c r="C39" s="162"/>
      <c r="D39" s="162"/>
      <c r="E39" s="162"/>
      <c r="F39" s="162"/>
      <c r="G39" s="162"/>
      <c r="R39" s="157" t="s">
        <v>89</v>
      </c>
      <c r="AH39" s="153" t="s">
        <v>88</v>
      </c>
      <c r="AI39" s="157" t="s">
        <v>89</v>
      </c>
    </row>
    <row r="40" spans="1:35">
      <c r="A40" s="144">
        <v>1</v>
      </c>
      <c r="B40" s="153" t="s">
        <v>91</v>
      </c>
      <c r="C40" s="162">
        <f>C34-C36-C37-C38</f>
        <v>569.245</v>
      </c>
      <c r="D40" s="162" t="e">
        <f t="shared" ref="D40:F40" si="28">D34-D36-D37-D38</f>
        <v>#DIV/0!</v>
      </c>
      <c r="E40" s="162" t="e">
        <f t="shared" si="28"/>
        <v>#DIV/0!</v>
      </c>
      <c r="F40" s="162" t="e">
        <f t="shared" si="28"/>
        <v>#DIV/0!</v>
      </c>
      <c r="G40" s="162"/>
      <c r="R40" s="153" t="s">
        <v>91</v>
      </c>
      <c r="AH40" s="153" t="s">
        <v>32</v>
      </c>
      <c r="AI40" s="153" t="s">
        <v>91</v>
      </c>
    </row>
    <row r="41" spans="1:35">
      <c r="A41" s="144">
        <v>2</v>
      </c>
      <c r="B41" s="153" t="s">
        <v>92</v>
      </c>
      <c r="C41" s="162"/>
      <c r="D41" s="162"/>
      <c r="E41" s="162"/>
      <c r="F41" s="162"/>
      <c r="G41" s="162"/>
      <c r="R41" s="153" t="s">
        <v>92</v>
      </c>
      <c r="AH41" s="153" t="s">
        <v>34</v>
      </c>
      <c r="AI41" s="153" t="s">
        <v>92</v>
      </c>
    </row>
    <row r="42" spans="1:35">
      <c r="A42" s="153" t="s">
        <v>88</v>
      </c>
      <c r="B42" s="157" t="s">
        <v>94</v>
      </c>
      <c r="C42" s="162"/>
      <c r="D42" s="162"/>
      <c r="E42" s="162"/>
      <c r="F42" s="162"/>
      <c r="G42" s="162"/>
      <c r="R42" s="157" t="s">
        <v>94</v>
      </c>
      <c r="AH42" s="153" t="s">
        <v>93</v>
      </c>
      <c r="AI42" s="157" t="s">
        <v>94</v>
      </c>
    </row>
    <row r="43" spans="1:35">
      <c r="A43" s="144">
        <v>1</v>
      </c>
      <c r="B43" s="163" t="s">
        <v>95</v>
      </c>
      <c r="C43" s="160">
        <f>'2024年'!C43</f>
        <v>68.915</v>
      </c>
      <c r="D43" s="160">
        <f>'2024年'!D43</f>
        <v>0</v>
      </c>
      <c r="E43" s="160">
        <f>'2024年'!E43</f>
        <v>0</v>
      </c>
      <c r="F43" s="160">
        <f>'2024年'!F43</f>
        <v>0</v>
      </c>
      <c r="G43" s="162"/>
      <c r="R43" s="153" t="s">
        <v>95</v>
      </c>
      <c r="AH43" s="153" t="s">
        <v>32</v>
      </c>
      <c r="AI43" s="153" t="s">
        <v>95</v>
      </c>
    </row>
    <row r="44" spans="1:35">
      <c r="A44" s="144">
        <v>2</v>
      </c>
      <c r="B44" s="163" t="s">
        <v>96</v>
      </c>
      <c r="C44" s="160">
        <f>'2024年'!C44</f>
        <v>15.215</v>
      </c>
      <c r="D44" s="160">
        <f>'2024年'!D44</f>
        <v>0</v>
      </c>
      <c r="E44" s="160">
        <f>'2024年'!E44</f>
        <v>0</v>
      </c>
      <c r="F44" s="160">
        <f>'2024年'!F44</f>
        <v>0</v>
      </c>
      <c r="G44" s="162"/>
      <c r="R44" s="153" t="s">
        <v>96</v>
      </c>
      <c r="AH44" s="153" t="s">
        <v>34</v>
      </c>
      <c r="AI44" s="153" t="s">
        <v>96</v>
      </c>
    </row>
    <row r="45" spans="1:35">
      <c r="A45" s="144">
        <v>3</v>
      </c>
      <c r="B45" s="163" t="s">
        <v>97</v>
      </c>
      <c r="C45" s="160">
        <f>'2024年'!C45</f>
        <v>20.585</v>
      </c>
      <c r="D45" s="160">
        <f>'2024年'!D45</f>
        <v>0</v>
      </c>
      <c r="E45" s="160">
        <f>'2024年'!E45</f>
        <v>0</v>
      </c>
      <c r="F45" s="160">
        <f>'2024年'!F45</f>
        <v>0</v>
      </c>
      <c r="G45" s="162"/>
      <c r="R45" s="153" t="s">
        <v>97</v>
      </c>
      <c r="AH45" s="153" t="s">
        <v>81</v>
      </c>
      <c r="AI45" s="153" t="s">
        <v>97</v>
      </c>
    </row>
    <row r="46" s="141" customFormat="1" spans="1:35">
      <c r="A46" s="144">
        <v>4</v>
      </c>
      <c r="B46" s="163" t="s">
        <v>98</v>
      </c>
      <c r="C46" s="167">
        <f>C21/C6</f>
        <v>20.6666666666667</v>
      </c>
      <c r="D46" s="167" t="e">
        <f t="shared" ref="D46:F46" si="29">D21/D6</f>
        <v>#DIV/0!</v>
      </c>
      <c r="E46" s="167" t="e">
        <f t="shared" si="29"/>
        <v>#DIV/0!</v>
      </c>
      <c r="F46" s="167" t="e">
        <f t="shared" si="29"/>
        <v>#DIV/0!</v>
      </c>
      <c r="G46" s="167"/>
      <c r="R46" s="163" t="s">
        <v>100</v>
      </c>
      <c r="AH46" s="163" t="s">
        <v>40</v>
      </c>
      <c r="AI46" s="163" t="s">
        <v>100</v>
      </c>
    </row>
    <row r="47" s="141" customFormat="1" spans="1:35">
      <c r="A47" s="144">
        <v>5</v>
      </c>
      <c r="B47" s="163" t="s">
        <v>100</v>
      </c>
      <c r="C47" s="167">
        <f>'2024年'!C47</f>
        <v>44.75</v>
      </c>
      <c r="D47" s="167">
        <f>'2024年'!D47</f>
        <v>0</v>
      </c>
      <c r="E47" s="167">
        <f>'2024年'!E47</f>
        <v>0</v>
      </c>
      <c r="F47" s="167">
        <f>'2024年'!F47</f>
        <v>0</v>
      </c>
      <c r="G47" s="167"/>
      <c r="R47" s="163" t="s">
        <v>100</v>
      </c>
      <c r="AH47" s="163" t="s">
        <v>40</v>
      </c>
      <c r="AI47" s="163" t="s">
        <v>100</v>
      </c>
    </row>
    <row r="48" spans="1:35">
      <c r="A48" s="153" t="s">
        <v>93</v>
      </c>
      <c r="B48" s="157" t="s">
        <v>111</v>
      </c>
      <c r="C48" s="162">
        <f>C40-C43-C44-C45-C47-C46</f>
        <v>399.113333333333</v>
      </c>
      <c r="D48" s="162" t="e">
        <f t="shared" ref="D48:F48" si="30">D40-D43-D44-D45-D47-D46</f>
        <v>#DIV/0!</v>
      </c>
      <c r="E48" s="162" t="e">
        <f t="shared" si="30"/>
        <v>#DIV/0!</v>
      </c>
      <c r="F48" s="162" t="e">
        <f t="shared" si="30"/>
        <v>#DIV/0!</v>
      </c>
      <c r="G48" s="162"/>
      <c r="R48" s="157" t="s">
        <v>111</v>
      </c>
      <c r="AH48" s="153" t="s">
        <v>110</v>
      </c>
      <c r="AI48" s="157" t="s">
        <v>111</v>
      </c>
    </row>
    <row r="51" spans="3:6">
      <c r="C51" s="168"/>
      <c r="D51" s="168"/>
      <c r="E51" s="168"/>
      <c r="F51" s="168"/>
    </row>
    <row r="54" spans="2:12">
      <c r="B54" s="2"/>
      <c r="C54" s="29"/>
      <c r="D54" s="29"/>
      <c r="E54" s="29"/>
      <c r="F54" s="29"/>
      <c r="G54" s="29"/>
      <c r="H54" s="2"/>
      <c r="I54" s="2"/>
      <c r="J54" s="2"/>
      <c r="K54" s="2"/>
      <c r="L54" s="2"/>
    </row>
    <row r="55" spans="2:12">
      <c r="B55" s="2"/>
      <c r="C55" s="29"/>
      <c r="D55" s="29"/>
      <c r="E55" s="29"/>
      <c r="F55" s="29"/>
      <c r="G55" s="29"/>
      <c r="H55" s="2"/>
      <c r="I55" s="2"/>
      <c r="J55" s="2"/>
      <c r="K55" s="2"/>
      <c r="L55" s="2"/>
    </row>
    <row r="56" spans="2:12">
      <c r="B56" s="2"/>
      <c r="C56" s="29"/>
      <c r="D56" s="29"/>
      <c r="E56" s="29"/>
      <c r="F56" s="29"/>
      <c r="G56" s="29"/>
      <c r="H56" s="2"/>
      <c r="I56" s="2"/>
      <c r="J56" s="2"/>
      <c r="K56" s="2"/>
      <c r="L56" s="2"/>
    </row>
    <row r="57" spans="2:12">
      <c r="B57" s="2"/>
      <c r="C57" s="29"/>
      <c r="D57" s="29"/>
      <c r="E57" s="29"/>
      <c r="F57" s="29"/>
      <c r="G57" s="29"/>
      <c r="H57" s="2"/>
      <c r="I57" s="2"/>
      <c r="J57" s="2"/>
      <c r="K57" s="2"/>
      <c r="L57" s="2"/>
    </row>
    <row r="58" spans="2:12">
      <c r="B58" s="2"/>
      <c r="C58" s="29"/>
      <c r="D58" s="29"/>
      <c r="E58" s="29"/>
      <c r="F58" s="29"/>
      <c r="G58" s="29"/>
      <c r="H58" s="2"/>
      <c r="I58" s="2"/>
      <c r="J58" s="2"/>
      <c r="K58" s="2"/>
      <c r="L58" s="2"/>
    </row>
    <row r="59" spans="2:12">
      <c r="B59" s="2"/>
      <c r="C59" s="29"/>
      <c r="D59" s="29"/>
      <c r="E59" s="29"/>
      <c r="F59" s="29"/>
      <c r="G59" s="29"/>
      <c r="H59" s="2"/>
      <c r="I59" s="2"/>
      <c r="J59" s="2"/>
      <c r="K59" s="2"/>
      <c r="L59" s="2"/>
    </row>
    <row r="60" spans="2:12">
      <c r="B60" s="2"/>
      <c r="C60" s="29"/>
      <c r="D60" s="29"/>
      <c r="E60" s="29"/>
      <c r="F60" s="29"/>
      <c r="G60" s="29"/>
      <c r="H60" s="2"/>
      <c r="I60" s="2"/>
      <c r="J60" s="2"/>
      <c r="K60" s="2"/>
      <c r="L60" s="2"/>
    </row>
    <row r="61" spans="2:12">
      <c r="B61" s="2"/>
      <c r="C61" s="29"/>
      <c r="D61" s="29"/>
      <c r="E61" s="29"/>
      <c r="F61" s="29"/>
      <c r="G61" s="29"/>
      <c r="H61" s="2"/>
      <c r="I61" s="2"/>
      <c r="J61" s="2"/>
      <c r="K61" s="2"/>
      <c r="L61" s="2"/>
    </row>
    <row r="62" spans="2:12">
      <c r="B62" s="2"/>
      <c r="C62" s="29"/>
      <c r="D62" s="29"/>
      <c r="E62" s="29"/>
      <c r="F62" s="29"/>
      <c r="G62" s="29"/>
      <c r="H62" s="2"/>
      <c r="I62" s="2"/>
      <c r="J62" s="2"/>
      <c r="K62" s="2"/>
      <c r="L62" s="2"/>
    </row>
    <row r="63" spans="2:12">
      <c r="B63" s="2"/>
      <c r="C63" s="29"/>
      <c r="D63" s="29"/>
      <c r="E63" s="29"/>
      <c r="F63" s="29"/>
      <c r="G63" s="29"/>
      <c r="H63" s="2"/>
      <c r="I63" s="2"/>
      <c r="J63" s="2"/>
      <c r="K63" s="2"/>
      <c r="L63" s="2"/>
    </row>
    <row r="64" spans="2:12">
      <c r="B64" s="2"/>
      <c r="C64" s="29"/>
      <c r="D64" s="29"/>
      <c r="E64" s="29"/>
      <c r="F64" s="29"/>
      <c r="G64" s="29"/>
      <c r="H64" s="2"/>
      <c r="I64" s="2"/>
      <c r="J64" s="2"/>
      <c r="K64" s="2"/>
      <c r="L64" s="2"/>
    </row>
    <row r="65" spans="2:12">
      <c r="B65" s="2"/>
      <c r="C65" s="29"/>
      <c r="D65" s="29"/>
      <c r="E65" s="29"/>
      <c r="F65" s="29"/>
      <c r="G65" s="29"/>
      <c r="H65" s="2"/>
      <c r="I65" s="2"/>
      <c r="J65" s="2"/>
      <c r="K65" s="2"/>
      <c r="L65" s="2"/>
    </row>
    <row r="66" spans="2:12">
      <c r="B66" s="2"/>
      <c r="C66" s="29"/>
      <c r="D66" s="29"/>
      <c r="E66" s="29"/>
      <c r="F66" s="29"/>
      <c r="G66" s="29"/>
      <c r="H66" s="2"/>
      <c r="I66" s="2"/>
      <c r="J66" s="2"/>
      <c r="K66" s="2"/>
      <c r="L66" s="2"/>
    </row>
    <row r="67" spans="2:8">
      <c r="B67" s="2"/>
      <c r="C67" s="29"/>
      <c r="D67" s="29"/>
      <c r="E67" s="29"/>
      <c r="F67" s="29"/>
      <c r="G67" s="29"/>
      <c r="H67" s="2"/>
    </row>
    <row r="68" spans="2:8">
      <c r="B68" s="2"/>
      <c r="C68" s="29"/>
      <c r="D68" s="29"/>
      <c r="E68" s="29"/>
      <c r="F68" s="29"/>
      <c r="G68" s="29"/>
      <c r="H68" s="2"/>
    </row>
    <row r="69" spans="2:8">
      <c r="B69" s="2"/>
      <c r="C69" s="29"/>
      <c r="D69" s="29"/>
      <c r="E69" s="29"/>
      <c r="F69" s="29"/>
      <c r="G69" s="29"/>
      <c r="H69" s="2"/>
    </row>
    <row r="70" spans="2:8">
      <c r="B70" s="2"/>
      <c r="C70" s="29"/>
      <c r="D70" s="29"/>
      <c r="E70" s="29"/>
      <c r="F70" s="29"/>
      <c r="G70" s="29"/>
      <c r="H70" s="2"/>
    </row>
    <row r="71" spans="2:8">
      <c r="B71" s="2"/>
      <c r="C71" s="29"/>
      <c r="D71" s="29"/>
      <c r="E71" s="29"/>
      <c r="F71" s="29"/>
      <c r="G71" s="29"/>
      <c r="H71" s="2"/>
    </row>
    <row r="72" spans="2:8">
      <c r="B72" s="2"/>
      <c r="C72" s="29"/>
      <c r="D72" s="29"/>
      <c r="E72" s="29"/>
      <c r="F72" s="29"/>
      <c r="G72" s="29"/>
      <c r="H72" s="2"/>
    </row>
    <row r="73" spans="2:8">
      <c r="B73" s="2"/>
      <c r="C73" s="29"/>
      <c r="D73" s="29"/>
      <c r="E73" s="29"/>
      <c r="F73" s="29"/>
      <c r="G73" s="29"/>
      <c r="H73" s="2"/>
    </row>
    <row r="74" spans="2:8">
      <c r="B74" s="2"/>
      <c r="C74" s="29"/>
      <c r="D74" s="29"/>
      <c r="E74" s="29"/>
      <c r="F74" s="29"/>
      <c r="G74" s="29"/>
      <c r="H74" s="2"/>
    </row>
  </sheetData>
  <mergeCells count="8">
    <mergeCell ref="A1:B1"/>
    <mergeCell ref="C1:G1"/>
    <mergeCell ref="A2:B2"/>
    <mergeCell ref="C2:G2"/>
    <mergeCell ref="A3:B3"/>
    <mergeCell ref="A4:B4"/>
    <mergeCell ref="A5:B5"/>
    <mergeCell ref="G3:G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74"/>
  <sheetViews>
    <sheetView workbookViewId="0">
      <pane xSplit="2" ySplit="7" topLeftCell="C19" activePane="bottomRight" state="frozen"/>
      <selection/>
      <selection pane="topRight"/>
      <selection pane="bottomLeft"/>
      <selection pane="bottomRight" activeCell="C2" sqref="C2:G2"/>
    </sheetView>
  </sheetViews>
  <sheetFormatPr defaultColWidth="9" defaultRowHeight="14.5"/>
  <cols>
    <col min="1" max="1" width="5.12727272727273" style="142" customWidth="1"/>
    <col min="2" max="2" width="17.5" style="142" customWidth="1"/>
    <col min="3" max="3" width="15.1272727272727" style="143" customWidth="1"/>
    <col min="4" max="4" width="20.2545454545455" style="143" customWidth="1"/>
    <col min="5" max="6" width="13.2545454545455" style="143" customWidth="1"/>
    <col min="7" max="7" width="18.7545454545455" style="143" customWidth="1"/>
    <col min="8" max="8" width="12.3727272727273" style="142" customWidth="1"/>
    <col min="9" max="9" width="10.1272727272727" style="142" customWidth="1"/>
    <col min="10" max="16" width="9" style="142" customWidth="1"/>
    <col min="17" max="33" width="9" style="142"/>
    <col min="34" max="34" width="4.37272727272727" style="142" customWidth="1"/>
    <col min="35" max="35" width="13.8727272727273" style="142" customWidth="1"/>
    <col min="36" max="16384" width="9" style="142"/>
  </cols>
  <sheetData>
    <row r="1" spans="1:7">
      <c r="A1" s="144" t="s">
        <v>151</v>
      </c>
      <c r="B1" s="144"/>
      <c r="C1" s="145" t="s">
        <v>166</v>
      </c>
      <c r="D1" s="146"/>
      <c r="E1" s="146"/>
      <c r="F1" s="146"/>
      <c r="G1" s="147"/>
    </row>
    <row r="2" spans="1:7">
      <c r="A2" s="144" t="s">
        <v>153</v>
      </c>
      <c r="B2" s="144"/>
      <c r="C2" s="148" t="str">
        <f>'2024年'!C2:G2</f>
        <v>陕西重型汽车有限公司</v>
      </c>
      <c r="D2" s="148"/>
      <c r="E2" s="148"/>
      <c r="F2" s="148"/>
      <c r="G2" s="148"/>
    </row>
    <row r="3" ht="26" spans="1:7">
      <c r="A3" s="144" t="s">
        <v>155</v>
      </c>
      <c r="B3" s="144"/>
      <c r="C3" s="50" t="str">
        <f>销量!C5</f>
        <v>第三座椅总成/两点式安全带/X5000S</v>
      </c>
      <c r="D3" s="50">
        <f>销量!D5</f>
        <v>0</v>
      </c>
      <c r="E3" s="50">
        <f>销量!E5</f>
        <v>0</v>
      </c>
      <c r="F3" s="50">
        <f>销量!F5</f>
        <v>0</v>
      </c>
      <c r="G3" s="149" t="s">
        <v>28</v>
      </c>
    </row>
    <row r="4" spans="1:7">
      <c r="A4" s="144" t="s">
        <v>156</v>
      </c>
      <c r="B4" s="144"/>
      <c r="C4" s="50" t="str">
        <f>销量!C6</f>
        <v>DZ16251510113</v>
      </c>
      <c r="D4" s="50">
        <f>销量!D6</f>
        <v>0</v>
      </c>
      <c r="E4" s="50">
        <f>销量!E6</f>
        <v>0</v>
      </c>
      <c r="F4" s="50">
        <f>销量!F6</f>
        <v>0</v>
      </c>
      <c r="G4" s="150"/>
    </row>
    <row r="5" spans="1:36">
      <c r="A5" s="144" t="s">
        <v>157</v>
      </c>
      <c r="B5" s="144"/>
      <c r="C5" s="151"/>
      <c r="D5" s="151"/>
      <c r="E5" s="151"/>
      <c r="F5" s="151"/>
      <c r="G5" s="152"/>
      <c r="AJ5" s="142" t="s">
        <v>29</v>
      </c>
    </row>
    <row r="6" ht="16.5" spans="1:36">
      <c r="A6" s="153" t="s">
        <v>22</v>
      </c>
      <c r="B6" s="154" t="s">
        <v>158</v>
      </c>
      <c r="C6" s="85">
        <f>销量!C12</f>
        <v>1500</v>
      </c>
      <c r="D6" s="85">
        <f>销量!D12</f>
        <v>0</v>
      </c>
      <c r="E6" s="85">
        <f>销量!E11</f>
        <v>0</v>
      </c>
      <c r="F6" s="85">
        <f>销量!F11</f>
        <v>0</v>
      </c>
      <c r="G6" s="155">
        <f t="shared" ref="G6:G15" si="0">SUM(C6:F6)</f>
        <v>1500</v>
      </c>
      <c r="R6" s="154" t="s">
        <v>3</v>
      </c>
      <c r="AH6" s="153" t="s">
        <v>22</v>
      </c>
      <c r="AI6" s="154" t="s">
        <v>3</v>
      </c>
      <c r="AJ6" s="142" t="s">
        <v>30</v>
      </c>
    </row>
    <row r="7" spans="1:36">
      <c r="A7" s="144">
        <v>1</v>
      </c>
      <c r="B7" s="154" t="s">
        <v>31</v>
      </c>
      <c r="C7" s="155">
        <f>C6*销量!C8</f>
        <v>1342500</v>
      </c>
      <c r="D7" s="155">
        <f>D6*销量!D8</f>
        <v>0</v>
      </c>
      <c r="E7" s="155">
        <f>E6*销量!E8</f>
        <v>0</v>
      </c>
      <c r="F7" s="155">
        <f>F6*销量!F8</f>
        <v>0</v>
      </c>
      <c r="G7" s="155">
        <f t="shared" si="0"/>
        <v>1342500</v>
      </c>
      <c r="H7" s="143"/>
      <c r="R7" s="154" t="s">
        <v>31</v>
      </c>
      <c r="AH7" s="153" t="s">
        <v>32</v>
      </c>
      <c r="AI7" s="154" t="s">
        <v>31</v>
      </c>
      <c r="AJ7" s="142" t="s">
        <v>30</v>
      </c>
    </row>
    <row r="8" spans="1:36">
      <c r="A8" s="144">
        <v>2</v>
      </c>
      <c r="B8" s="144" t="s">
        <v>33</v>
      </c>
      <c r="C8" s="155">
        <f>C7*(1-销量!$L$9)</f>
        <v>0</v>
      </c>
      <c r="D8" s="155">
        <f>D7*(1-销量!$L$9)</f>
        <v>0</v>
      </c>
      <c r="E8" s="155">
        <f>E7*(1-销量!$L$9)</f>
        <v>0</v>
      </c>
      <c r="F8" s="155">
        <f>F7*(1-销量!$L$9)</f>
        <v>0</v>
      </c>
      <c r="G8" s="155">
        <f t="shared" si="0"/>
        <v>0</v>
      </c>
      <c r="H8" s="156"/>
      <c r="R8" s="144" t="s">
        <v>35</v>
      </c>
      <c r="AH8" s="153" t="s">
        <v>34</v>
      </c>
      <c r="AI8" s="144" t="s">
        <v>35</v>
      </c>
      <c r="AJ8" s="142" t="s">
        <v>30</v>
      </c>
    </row>
    <row r="9" spans="1:36">
      <c r="A9" s="144">
        <v>3</v>
      </c>
      <c r="B9" s="154" t="s">
        <v>36</v>
      </c>
      <c r="C9" s="155">
        <f>+C7-C8</f>
        <v>1342500</v>
      </c>
      <c r="D9" s="155">
        <f t="shared" ref="D9:F9" si="1">+D7-D8</f>
        <v>0</v>
      </c>
      <c r="E9" s="155">
        <f t="shared" si="1"/>
        <v>0</v>
      </c>
      <c r="F9" s="155">
        <f t="shared" si="1"/>
        <v>0</v>
      </c>
      <c r="G9" s="155">
        <f t="shared" si="0"/>
        <v>1342500</v>
      </c>
      <c r="R9" s="154" t="s">
        <v>36</v>
      </c>
      <c r="AH9" s="153" t="s">
        <v>37</v>
      </c>
      <c r="AI9" s="154" t="s">
        <v>36</v>
      </c>
      <c r="AJ9" s="142" t="s">
        <v>38</v>
      </c>
    </row>
    <row r="10" spans="1:36">
      <c r="A10" s="144">
        <v>4</v>
      </c>
      <c r="B10" s="153" t="s">
        <v>39</v>
      </c>
      <c r="C10" s="155">
        <f>C6*C33</f>
        <v>396000</v>
      </c>
      <c r="D10" s="155">
        <f t="shared" ref="D10:F10" si="2">D6*D33</f>
        <v>0</v>
      </c>
      <c r="E10" s="155">
        <f t="shared" si="2"/>
        <v>0</v>
      </c>
      <c r="F10" s="155">
        <f t="shared" si="2"/>
        <v>0</v>
      </c>
      <c r="G10" s="155">
        <f t="shared" si="0"/>
        <v>396000</v>
      </c>
      <c r="R10" s="153" t="s">
        <v>39</v>
      </c>
      <c r="AH10" s="153" t="s">
        <v>40</v>
      </c>
      <c r="AI10" s="153" t="s">
        <v>39</v>
      </c>
      <c r="AJ10" s="142" t="s">
        <v>41</v>
      </c>
    </row>
    <row r="11" spans="1:35">
      <c r="A11" s="144">
        <v>5</v>
      </c>
      <c r="B11" s="153" t="s">
        <v>42</v>
      </c>
      <c r="C11" s="155">
        <f>+C6*C36</f>
        <v>36247.5</v>
      </c>
      <c r="D11" s="155">
        <f t="shared" ref="D11:E11" si="3">+D6*D36</f>
        <v>0</v>
      </c>
      <c r="E11" s="155">
        <f t="shared" si="3"/>
        <v>0</v>
      </c>
      <c r="F11" s="155">
        <f t="shared" ref="F11" si="4">+F6*F36</f>
        <v>0</v>
      </c>
      <c r="G11" s="155">
        <f t="shared" si="0"/>
        <v>36247.5</v>
      </c>
      <c r="R11" s="153" t="s">
        <v>42</v>
      </c>
      <c r="AH11" s="153" t="s">
        <v>43</v>
      </c>
      <c r="AI11" s="153" t="s">
        <v>42</v>
      </c>
    </row>
    <row r="12" spans="1:35">
      <c r="A12" s="144">
        <v>6</v>
      </c>
      <c r="B12" s="153" t="s">
        <v>44</v>
      </c>
      <c r="C12" s="155">
        <f>+C6*C37</f>
        <v>17452.5</v>
      </c>
      <c r="D12" s="155">
        <f t="shared" ref="D12:E12" si="5">+D6*D37</f>
        <v>0</v>
      </c>
      <c r="E12" s="155">
        <f t="shared" si="5"/>
        <v>0</v>
      </c>
      <c r="F12" s="155">
        <f t="shared" ref="F12" si="6">+F6*F37</f>
        <v>0</v>
      </c>
      <c r="G12" s="155">
        <f t="shared" si="0"/>
        <v>17452.5</v>
      </c>
      <c r="R12" s="153" t="s">
        <v>44</v>
      </c>
      <c r="AH12" s="153" t="s">
        <v>45</v>
      </c>
      <c r="AI12" s="153" t="s">
        <v>44</v>
      </c>
    </row>
    <row r="13" spans="1:36">
      <c r="A13" s="144">
        <v>7</v>
      </c>
      <c r="B13" s="153" t="s">
        <v>46</v>
      </c>
      <c r="C13" s="155">
        <f>+C6*C38</f>
        <v>38932.5</v>
      </c>
      <c r="D13" s="155">
        <f t="shared" ref="D13:E13" si="7">+D6*D38</f>
        <v>0</v>
      </c>
      <c r="E13" s="155">
        <f t="shared" si="7"/>
        <v>0</v>
      </c>
      <c r="F13" s="155">
        <f t="shared" ref="F13" si="8">+F6*F38</f>
        <v>0</v>
      </c>
      <c r="G13" s="155">
        <f t="shared" si="0"/>
        <v>38932.5</v>
      </c>
      <c r="R13" s="153" t="s">
        <v>46</v>
      </c>
      <c r="AH13" s="153" t="s">
        <v>47</v>
      </c>
      <c r="AI13" s="153" t="s">
        <v>46</v>
      </c>
      <c r="AJ13" s="142" t="s">
        <v>30</v>
      </c>
    </row>
    <row r="14" spans="1:35">
      <c r="A14" s="144">
        <v>8</v>
      </c>
      <c r="B14" s="157" t="s">
        <v>48</v>
      </c>
      <c r="C14" s="155">
        <f>SUM(C11:C13)</f>
        <v>92632.5</v>
      </c>
      <c r="D14" s="155">
        <f t="shared" ref="D14:F14" si="9">SUM(D11:D13)</f>
        <v>0</v>
      </c>
      <c r="E14" s="155">
        <f t="shared" si="9"/>
        <v>0</v>
      </c>
      <c r="F14" s="155">
        <f t="shared" si="9"/>
        <v>0</v>
      </c>
      <c r="G14" s="155">
        <f t="shared" si="0"/>
        <v>92632.5</v>
      </c>
      <c r="R14" s="157" t="s">
        <v>48</v>
      </c>
      <c r="AH14" s="153" t="s">
        <v>49</v>
      </c>
      <c r="AI14" s="157" t="s">
        <v>48</v>
      </c>
    </row>
    <row r="15" spans="1:35">
      <c r="A15" s="144">
        <v>9</v>
      </c>
      <c r="B15" s="157" t="s">
        <v>50</v>
      </c>
      <c r="C15" s="155">
        <f>+C9-C10-C14</f>
        <v>853867.5</v>
      </c>
      <c r="D15" s="155">
        <f t="shared" ref="D15:F15" si="10">+D9-D10-D14</f>
        <v>0</v>
      </c>
      <c r="E15" s="155">
        <f t="shared" si="10"/>
        <v>0</v>
      </c>
      <c r="F15" s="155">
        <f t="shared" si="10"/>
        <v>0</v>
      </c>
      <c r="G15" s="155">
        <f t="shared" si="0"/>
        <v>853867.5</v>
      </c>
      <c r="R15" s="157" t="s">
        <v>50</v>
      </c>
      <c r="AH15" s="153" t="s">
        <v>51</v>
      </c>
      <c r="AI15" s="157" t="s">
        <v>50</v>
      </c>
    </row>
    <row r="16" spans="1:35">
      <c r="A16" s="144">
        <v>10</v>
      </c>
      <c r="B16" s="153" t="s">
        <v>52</v>
      </c>
      <c r="C16" s="158">
        <f>+C15/C9</f>
        <v>0.636027932960894</v>
      </c>
      <c r="D16" s="158" t="e">
        <f t="shared" ref="D16:F16" si="11">+D15/D9</f>
        <v>#DIV/0!</v>
      </c>
      <c r="E16" s="158" t="e">
        <f t="shared" si="11"/>
        <v>#DIV/0!</v>
      </c>
      <c r="F16" s="158" t="e">
        <f t="shared" si="11"/>
        <v>#DIV/0!</v>
      </c>
      <c r="G16" s="158">
        <f t="shared" ref="G16" si="12">+G15/G9</f>
        <v>0.636027932960894</v>
      </c>
      <c r="R16" s="153" t="s">
        <v>52</v>
      </c>
      <c r="AH16" s="153" t="s">
        <v>53</v>
      </c>
      <c r="AI16" s="153" t="s">
        <v>52</v>
      </c>
    </row>
    <row r="17" spans="1:35">
      <c r="A17" s="144">
        <v>11</v>
      </c>
      <c r="B17" s="153" t="s">
        <v>54</v>
      </c>
      <c r="C17" s="155">
        <f>C6*C43+C18</f>
        <v>135672.5</v>
      </c>
      <c r="D17" s="155">
        <f t="shared" ref="D17:E17" si="13">D6*D43+D18</f>
        <v>0</v>
      </c>
      <c r="E17" s="155">
        <f t="shared" si="13"/>
        <v>0</v>
      </c>
      <c r="F17" s="155">
        <f t="shared" ref="F17" si="14">F6*F43+F18</f>
        <v>0</v>
      </c>
      <c r="G17" s="155">
        <f>SUM(C17:F17)</f>
        <v>135672.5</v>
      </c>
      <c r="H17" s="156"/>
      <c r="R17" s="153" t="s">
        <v>54</v>
      </c>
      <c r="AH17" s="153" t="s">
        <v>55</v>
      </c>
      <c r="AI17" s="153" t="s">
        <v>54</v>
      </c>
    </row>
    <row r="18" s="140" customFormat="1" spans="1:10">
      <c r="A18" s="144">
        <v>12</v>
      </c>
      <c r="B18" s="159" t="s">
        <v>159</v>
      </c>
      <c r="C18" s="160">
        <f>$G$18/$G$6*C6</f>
        <v>32300</v>
      </c>
      <c r="D18" s="160">
        <f>$G$18/$G$6*D6</f>
        <v>0</v>
      </c>
      <c r="E18" s="160">
        <f>$G$18/$G$6*E6</f>
        <v>0</v>
      </c>
      <c r="F18" s="160">
        <f>$G$18/$G$6*F6</f>
        <v>0</v>
      </c>
      <c r="G18" s="160">
        <f>项目投资!F26</f>
        <v>32300</v>
      </c>
      <c r="H18" s="161" t="s">
        <v>160</v>
      </c>
      <c r="I18" s="161"/>
      <c r="J18" s="161"/>
    </row>
    <row r="19" spans="1:36">
      <c r="A19" s="144">
        <v>13</v>
      </c>
      <c r="B19" s="153" t="s">
        <v>56</v>
      </c>
      <c r="C19" s="155">
        <f>C6*C44</f>
        <v>22822.5</v>
      </c>
      <c r="D19" s="155">
        <f t="shared" ref="D19:E19" si="15">D6*D44</f>
        <v>0</v>
      </c>
      <c r="E19" s="155">
        <f t="shared" si="15"/>
        <v>0</v>
      </c>
      <c r="F19" s="155">
        <f t="shared" ref="F19" si="16">F6*F44</f>
        <v>0</v>
      </c>
      <c r="G19" s="155">
        <f>SUM(C19:F19)</f>
        <v>22822.5</v>
      </c>
      <c r="H19" s="140"/>
      <c r="R19" s="153" t="s">
        <v>56</v>
      </c>
      <c r="AH19" s="153" t="s">
        <v>57</v>
      </c>
      <c r="AI19" s="153" t="s">
        <v>56</v>
      </c>
      <c r="AJ19" s="142" t="s">
        <v>30</v>
      </c>
    </row>
    <row r="20" spans="1:35">
      <c r="A20" s="144">
        <v>14</v>
      </c>
      <c r="B20" s="153" t="s">
        <v>58</v>
      </c>
      <c r="C20" s="155">
        <f>C6*C45</f>
        <v>30877.5</v>
      </c>
      <c r="D20" s="155">
        <f t="shared" ref="D20:E20" si="17">D6*D45</f>
        <v>0</v>
      </c>
      <c r="E20" s="155">
        <f t="shared" si="17"/>
        <v>0</v>
      </c>
      <c r="F20" s="155">
        <f t="shared" ref="F20" si="18">F6*F45</f>
        <v>0</v>
      </c>
      <c r="G20" s="155">
        <f>SUM(C20:F20)</f>
        <v>30877.5</v>
      </c>
      <c r="R20" s="153" t="s">
        <v>58</v>
      </c>
      <c r="AH20" s="153" t="s">
        <v>59</v>
      </c>
      <c r="AI20" s="153" t="s">
        <v>58</v>
      </c>
    </row>
    <row r="21" spans="1:35">
      <c r="A21" s="144">
        <v>15</v>
      </c>
      <c r="B21" s="153" t="s">
        <v>60</v>
      </c>
      <c r="C21" s="162">
        <f>$G$21/$G$6*C6</f>
        <v>31000</v>
      </c>
      <c r="D21" s="162">
        <f>$G$21/$G$6*D6</f>
        <v>0</v>
      </c>
      <c r="E21" s="162">
        <f>$G$21/$G$6*E6</f>
        <v>0</v>
      </c>
      <c r="F21" s="162">
        <f>$G$21/$G$6*F6</f>
        <v>0</v>
      </c>
      <c r="G21" s="155">
        <f>项目投资!D27</f>
        <v>31000</v>
      </c>
      <c r="R21" s="153" t="s">
        <v>60</v>
      </c>
      <c r="AH21" s="153"/>
      <c r="AI21" s="153"/>
    </row>
    <row r="22" spans="1:35">
      <c r="A22" s="144">
        <v>16</v>
      </c>
      <c r="B22" s="153" t="s">
        <v>61</v>
      </c>
      <c r="C22" s="155">
        <f>C6*C47</f>
        <v>67125</v>
      </c>
      <c r="D22" s="155">
        <f t="shared" ref="D22:E22" si="19">D6*D47</f>
        <v>0</v>
      </c>
      <c r="E22" s="155">
        <f t="shared" si="19"/>
        <v>0</v>
      </c>
      <c r="F22" s="155">
        <f t="shared" ref="F22" si="20">F6*F47</f>
        <v>0</v>
      </c>
      <c r="G22" s="155">
        <f>SUM(C22:F22)</f>
        <v>67125</v>
      </c>
      <c r="R22" s="153" t="s">
        <v>61</v>
      </c>
      <c r="AH22" s="153" t="s">
        <v>62</v>
      </c>
      <c r="AI22" s="153" t="s">
        <v>61</v>
      </c>
    </row>
    <row r="23" spans="1:35">
      <c r="A23" s="144">
        <v>17</v>
      </c>
      <c r="B23" s="157" t="s">
        <v>63</v>
      </c>
      <c r="C23" s="162">
        <f>+C22+C21+C20+C19+C17</f>
        <v>287497.5</v>
      </c>
      <c r="D23" s="162">
        <f t="shared" ref="D23:G23" si="21">+D22+D21+D20+D19+D17</f>
        <v>0</v>
      </c>
      <c r="E23" s="162">
        <f t="shared" si="21"/>
        <v>0</v>
      </c>
      <c r="F23" s="162">
        <f t="shared" si="21"/>
        <v>0</v>
      </c>
      <c r="G23" s="162">
        <f t="shared" si="21"/>
        <v>287497.5</v>
      </c>
      <c r="R23" s="157" t="s">
        <v>63</v>
      </c>
      <c r="AH23" s="153" t="s">
        <v>64</v>
      </c>
      <c r="AI23" s="157" t="s">
        <v>63</v>
      </c>
    </row>
    <row r="24" spans="1:35">
      <c r="A24" s="144">
        <v>18</v>
      </c>
      <c r="B24" s="163" t="s">
        <v>65</v>
      </c>
      <c r="C24" s="162">
        <f>+C15-C23</f>
        <v>566370</v>
      </c>
      <c r="D24" s="162">
        <f t="shared" ref="D24:F24" si="22">+D15-D23</f>
        <v>0</v>
      </c>
      <c r="E24" s="162">
        <f t="shared" si="22"/>
        <v>0</v>
      </c>
      <c r="F24" s="162">
        <f t="shared" si="22"/>
        <v>0</v>
      </c>
      <c r="G24" s="162">
        <f t="shared" ref="G24" si="23">+G15-G23</f>
        <v>566370</v>
      </c>
      <c r="I24" s="169"/>
      <c r="R24" s="153" t="s">
        <v>65</v>
      </c>
      <c r="AH24" s="153" t="s">
        <v>66</v>
      </c>
      <c r="AI24" s="153" t="s">
        <v>65</v>
      </c>
    </row>
    <row r="25" spans="1:35">
      <c r="A25" s="144">
        <v>19</v>
      </c>
      <c r="B25" s="153" t="s">
        <v>161</v>
      </c>
      <c r="C25" s="162">
        <f>IF(C24&lt;0,0,C24*0.15)</f>
        <v>84955.5</v>
      </c>
      <c r="D25" s="162">
        <f>IF(D24&lt;0,0,D24*0.15)</f>
        <v>0</v>
      </c>
      <c r="E25" s="162">
        <f>IF(E24&lt;0,0,E24*0.15)</f>
        <v>0</v>
      </c>
      <c r="F25" s="162">
        <f>IF(F24&lt;0,0,F24*0.15)</f>
        <v>0</v>
      </c>
      <c r="G25" s="162">
        <f>IF(G24&lt;0,0,G24*0.15)</f>
        <v>84955.5</v>
      </c>
      <c r="I25" s="2"/>
      <c r="J25" s="2"/>
      <c r="R25" s="153" t="s">
        <v>69</v>
      </c>
      <c r="AH25" s="153" t="s">
        <v>68</v>
      </c>
      <c r="AI25" s="153" t="s">
        <v>69</v>
      </c>
    </row>
    <row r="26" spans="1:35">
      <c r="A26" s="144">
        <v>20</v>
      </c>
      <c r="B26" s="153" t="s">
        <v>70</v>
      </c>
      <c r="C26" s="162">
        <f t="shared" ref="C26:G26" si="24">C24-C25</f>
        <v>481414.5</v>
      </c>
      <c r="D26" s="162">
        <f t="shared" si="24"/>
        <v>0</v>
      </c>
      <c r="E26" s="162">
        <f t="shared" si="24"/>
        <v>0</v>
      </c>
      <c r="F26" s="162">
        <f t="shared" si="24"/>
        <v>0</v>
      </c>
      <c r="G26" s="155">
        <f t="shared" si="24"/>
        <v>481414.5</v>
      </c>
      <c r="I26" s="2"/>
      <c r="J26" s="2"/>
      <c r="R26" s="153" t="s">
        <v>70</v>
      </c>
      <c r="AH26" s="153" t="s">
        <v>71</v>
      </c>
      <c r="AI26" s="153" t="s">
        <v>70</v>
      </c>
    </row>
    <row r="27" spans="1:35">
      <c r="A27" s="144">
        <v>21</v>
      </c>
      <c r="B27" s="153" t="s">
        <v>74</v>
      </c>
      <c r="C27" s="164">
        <f t="shared" ref="C27:G27" si="25">C26/C7</f>
        <v>0.358595530726257</v>
      </c>
      <c r="D27" s="164" t="e">
        <f t="shared" si="25"/>
        <v>#DIV/0!</v>
      </c>
      <c r="E27" s="164" t="e">
        <f t="shared" si="25"/>
        <v>#DIV/0!</v>
      </c>
      <c r="F27" s="164" t="e">
        <f t="shared" si="25"/>
        <v>#DIV/0!</v>
      </c>
      <c r="G27" s="164">
        <f t="shared" si="25"/>
        <v>0.358595530726257</v>
      </c>
      <c r="I27" s="2"/>
      <c r="J27" s="2"/>
      <c r="R27" s="153" t="s">
        <v>74</v>
      </c>
      <c r="AH27" s="153" t="s">
        <v>73</v>
      </c>
      <c r="AI27" s="153" t="s">
        <v>74</v>
      </c>
    </row>
    <row r="28" spans="8:18">
      <c r="H28" s="2"/>
      <c r="I28" s="2"/>
      <c r="J28" s="2"/>
      <c r="R28" s="153"/>
    </row>
    <row r="29" spans="1:34">
      <c r="A29" s="142" t="s">
        <v>75</v>
      </c>
      <c r="G29" s="143" t="s">
        <v>162</v>
      </c>
      <c r="H29" s="2"/>
      <c r="I29" s="2"/>
      <c r="J29" s="2"/>
      <c r="R29" s="153"/>
      <c r="AH29" s="142" t="s">
        <v>75</v>
      </c>
    </row>
    <row r="30" spans="1:35">
      <c r="A30" s="153" t="s">
        <v>76</v>
      </c>
      <c r="B30" s="157" t="s">
        <v>77</v>
      </c>
      <c r="C30" s="162"/>
      <c r="D30" s="162"/>
      <c r="E30" s="162"/>
      <c r="F30" s="162"/>
      <c r="G30" s="162"/>
      <c r="H30" s="2"/>
      <c r="I30" s="2"/>
      <c r="J30" s="2"/>
      <c r="L30" s="2"/>
      <c r="R30" s="157" t="s">
        <v>77</v>
      </c>
      <c r="AH30" s="153" t="s">
        <v>78</v>
      </c>
      <c r="AI30" s="157" t="s">
        <v>77</v>
      </c>
    </row>
    <row r="31" spans="1:35">
      <c r="A31" s="144">
        <v>1</v>
      </c>
      <c r="B31" s="159" t="s">
        <v>79</v>
      </c>
      <c r="C31" s="165">
        <f>销量!C8</f>
        <v>895</v>
      </c>
      <c r="D31" s="165">
        <f>销量!D8</f>
        <v>0</v>
      </c>
      <c r="E31" s="165">
        <f>销量!E8</f>
        <v>0</v>
      </c>
      <c r="F31" s="165">
        <f>销量!F8</f>
        <v>0</v>
      </c>
      <c r="G31" s="162"/>
      <c r="H31" s="2"/>
      <c r="I31" s="2"/>
      <c r="J31" s="2"/>
      <c r="L31" s="2"/>
      <c r="R31" s="153" t="s">
        <v>79</v>
      </c>
      <c r="AH31" s="153" t="s">
        <v>32</v>
      </c>
      <c r="AI31" s="153" t="s">
        <v>79</v>
      </c>
    </row>
    <row r="32" spans="1:35">
      <c r="A32" s="144">
        <v>2</v>
      </c>
      <c r="B32" s="153" t="s">
        <v>163</v>
      </c>
      <c r="C32" s="155">
        <f>C9/C6</f>
        <v>895</v>
      </c>
      <c r="D32" s="155" t="e">
        <f t="shared" ref="D32:E32" si="26">D9/D6</f>
        <v>#DIV/0!</v>
      </c>
      <c r="E32" s="155" t="e">
        <f t="shared" si="26"/>
        <v>#DIV/0!</v>
      </c>
      <c r="F32" s="155" t="e">
        <f t="shared" ref="F32" si="27">F9/F6</f>
        <v>#DIV/0!</v>
      </c>
      <c r="G32" s="162"/>
      <c r="H32" s="2"/>
      <c r="I32" s="2"/>
      <c r="J32" s="2"/>
      <c r="K32" s="2"/>
      <c r="L32" s="2"/>
      <c r="M32" s="2"/>
      <c r="N32" s="2"/>
      <c r="AH32" s="153"/>
      <c r="AI32" s="153"/>
    </row>
    <row r="33" spans="1:35">
      <c r="A33" s="144">
        <v>3</v>
      </c>
      <c r="B33" s="159" t="s">
        <v>80</v>
      </c>
      <c r="C33" s="155">
        <f>材料成本!D15</f>
        <v>264</v>
      </c>
      <c r="D33" s="155">
        <f>材料成本!E15</f>
        <v>0</v>
      </c>
      <c r="E33" s="155">
        <f>材料成本!F15</f>
        <v>0</v>
      </c>
      <c r="F33" s="155">
        <f>材料成本!G15</f>
        <v>0</v>
      </c>
      <c r="G33" s="162"/>
      <c r="I33" s="2"/>
      <c r="J33" s="2"/>
      <c r="K33" s="2"/>
      <c r="L33" s="2"/>
      <c r="M33" s="2"/>
      <c r="N33" s="2"/>
      <c r="R33" s="153" t="s">
        <v>80</v>
      </c>
      <c r="AH33" s="153" t="s">
        <v>34</v>
      </c>
      <c r="AI33" s="153" t="s">
        <v>80</v>
      </c>
    </row>
    <row r="34" ht="17.25" customHeight="1" spans="1:35">
      <c r="A34" s="144">
        <v>4</v>
      </c>
      <c r="B34" s="153" t="s">
        <v>82</v>
      </c>
      <c r="C34" s="166">
        <f>C32-C33</f>
        <v>631</v>
      </c>
      <c r="D34" s="166" t="e">
        <f t="shared" ref="D34:E34" si="28">D32-D33</f>
        <v>#DIV/0!</v>
      </c>
      <c r="E34" s="166" t="e">
        <f t="shared" si="28"/>
        <v>#DIV/0!</v>
      </c>
      <c r="F34" s="166" t="e">
        <f t="shared" ref="F34" si="29">F32-F33</f>
        <v>#DIV/0!</v>
      </c>
      <c r="G34" s="162"/>
      <c r="I34" s="2"/>
      <c r="J34" s="2"/>
      <c r="K34" s="2"/>
      <c r="L34" s="2"/>
      <c r="M34" s="2"/>
      <c r="N34" s="2"/>
      <c r="R34" s="153" t="s">
        <v>82</v>
      </c>
      <c r="AH34" s="153" t="s">
        <v>81</v>
      </c>
      <c r="AI34" s="153" t="s">
        <v>82</v>
      </c>
    </row>
    <row r="35" spans="1:35">
      <c r="A35" s="153" t="s">
        <v>78</v>
      </c>
      <c r="B35" s="157" t="s">
        <v>10</v>
      </c>
      <c r="C35" s="162"/>
      <c r="D35" s="162"/>
      <c r="E35" s="162"/>
      <c r="F35" s="162"/>
      <c r="G35" s="162"/>
      <c r="H35" s="2"/>
      <c r="I35" s="2"/>
      <c r="J35" s="2"/>
      <c r="K35" s="2"/>
      <c r="L35" s="2"/>
      <c r="M35" s="2"/>
      <c r="N35" s="2"/>
      <c r="O35" s="2"/>
      <c r="P35" s="2"/>
      <c r="Q35" s="2"/>
      <c r="R35" s="157" t="s">
        <v>10</v>
      </c>
      <c r="AH35" s="153" t="s">
        <v>84</v>
      </c>
      <c r="AI35" s="157" t="s">
        <v>10</v>
      </c>
    </row>
    <row r="36" spans="1:35">
      <c r="A36" s="144">
        <v>1</v>
      </c>
      <c r="B36" s="153" t="s">
        <v>85</v>
      </c>
      <c r="C36" s="160">
        <f>'2024年'!C36</f>
        <v>24.165</v>
      </c>
      <c r="D36" s="160">
        <f>'2024年'!D36</f>
        <v>0</v>
      </c>
      <c r="E36" s="160">
        <f>'2024年'!E36</f>
        <v>0</v>
      </c>
      <c r="F36" s="160">
        <f>'2024年'!F36</f>
        <v>0</v>
      </c>
      <c r="G36" s="165"/>
      <c r="H36" s="2"/>
      <c r="I36" s="2"/>
      <c r="J36" s="2"/>
      <c r="K36" s="2"/>
      <c r="L36" s="2"/>
      <c r="M36" s="2"/>
      <c r="N36" s="2"/>
      <c r="O36" s="2"/>
      <c r="P36" s="2"/>
      <c r="Q36" s="2"/>
      <c r="R36" s="153" t="s">
        <v>85</v>
      </c>
      <c r="AH36" s="153" t="s">
        <v>81</v>
      </c>
      <c r="AI36" s="153" t="s">
        <v>85</v>
      </c>
    </row>
    <row r="37" spans="1:35">
      <c r="A37" s="144">
        <v>2</v>
      </c>
      <c r="B37" s="153" t="s">
        <v>86</v>
      </c>
      <c r="C37" s="160">
        <f>'2024年'!C37</f>
        <v>11.635</v>
      </c>
      <c r="D37" s="160">
        <f>'2024年'!D37</f>
        <v>0</v>
      </c>
      <c r="E37" s="160">
        <f>'2024年'!E37</f>
        <v>0</v>
      </c>
      <c r="F37" s="160">
        <f>'2024年'!F37</f>
        <v>0</v>
      </c>
      <c r="G37" s="165"/>
      <c r="H37" s="2"/>
      <c r="I37" s="2"/>
      <c r="J37" s="2"/>
      <c r="K37" s="2"/>
      <c r="L37" s="2"/>
      <c r="M37" s="2"/>
      <c r="N37" s="2"/>
      <c r="O37" s="2"/>
      <c r="P37" s="2"/>
      <c r="Q37" s="2"/>
      <c r="R37" s="153" t="s">
        <v>86</v>
      </c>
      <c r="AH37" s="153" t="s">
        <v>37</v>
      </c>
      <c r="AI37" s="153" t="s">
        <v>86</v>
      </c>
    </row>
    <row r="38" spans="1:35">
      <c r="A38" s="144">
        <v>3</v>
      </c>
      <c r="B38" s="153" t="s">
        <v>87</v>
      </c>
      <c r="C38" s="160">
        <f>'2024年'!C38</f>
        <v>25.955</v>
      </c>
      <c r="D38" s="160">
        <f>'2024年'!D38</f>
        <v>0</v>
      </c>
      <c r="E38" s="160">
        <f>'2024年'!E38</f>
        <v>0</v>
      </c>
      <c r="F38" s="160">
        <f>'2024年'!F38</f>
        <v>0</v>
      </c>
      <c r="G38" s="165"/>
      <c r="H38" s="2"/>
      <c r="I38" s="2"/>
      <c r="J38" s="2"/>
      <c r="K38" s="2"/>
      <c r="L38" s="2"/>
      <c r="M38" s="2"/>
      <c r="N38" s="2"/>
      <c r="O38" s="2"/>
      <c r="P38" s="2"/>
      <c r="Q38" s="2"/>
      <c r="R38" s="153" t="s">
        <v>87</v>
      </c>
      <c r="AH38" s="153" t="s">
        <v>43</v>
      </c>
      <c r="AI38" s="153" t="s">
        <v>87</v>
      </c>
    </row>
    <row r="39" spans="1:35">
      <c r="A39" s="153" t="s">
        <v>84</v>
      </c>
      <c r="B39" s="157" t="s">
        <v>89</v>
      </c>
      <c r="C39" s="162"/>
      <c r="D39" s="162"/>
      <c r="E39" s="162"/>
      <c r="F39" s="162"/>
      <c r="G39" s="162"/>
      <c r="R39" s="157" t="s">
        <v>89</v>
      </c>
      <c r="AH39" s="153" t="s">
        <v>88</v>
      </c>
      <c r="AI39" s="157" t="s">
        <v>89</v>
      </c>
    </row>
    <row r="40" spans="1:35">
      <c r="A40" s="144">
        <v>1</v>
      </c>
      <c r="B40" s="153" t="s">
        <v>91</v>
      </c>
      <c r="C40" s="162">
        <f>C34-C36-C37-C38</f>
        <v>569.245</v>
      </c>
      <c r="D40" s="162" t="e">
        <f t="shared" ref="D40:F40" si="30">D34-D36-D37-D38</f>
        <v>#DIV/0!</v>
      </c>
      <c r="E40" s="162" t="e">
        <f t="shared" si="30"/>
        <v>#DIV/0!</v>
      </c>
      <c r="F40" s="162" t="e">
        <f t="shared" si="30"/>
        <v>#DIV/0!</v>
      </c>
      <c r="G40" s="162"/>
      <c r="R40" s="153" t="s">
        <v>91</v>
      </c>
      <c r="AH40" s="153" t="s">
        <v>32</v>
      </c>
      <c r="AI40" s="153" t="s">
        <v>91</v>
      </c>
    </row>
    <row r="41" spans="1:35">
      <c r="A41" s="144">
        <v>2</v>
      </c>
      <c r="B41" s="153" t="s">
        <v>92</v>
      </c>
      <c r="C41" s="162"/>
      <c r="D41" s="162"/>
      <c r="E41" s="162"/>
      <c r="F41" s="162"/>
      <c r="G41" s="162"/>
      <c r="R41" s="153" t="s">
        <v>92</v>
      </c>
      <c r="AH41" s="153" t="s">
        <v>34</v>
      </c>
      <c r="AI41" s="153" t="s">
        <v>92</v>
      </c>
    </row>
    <row r="42" spans="1:35">
      <c r="A42" s="153" t="s">
        <v>88</v>
      </c>
      <c r="B42" s="157" t="s">
        <v>94</v>
      </c>
      <c r="C42" s="162"/>
      <c r="D42" s="162"/>
      <c r="E42" s="162"/>
      <c r="F42" s="162"/>
      <c r="G42" s="162"/>
      <c r="R42" s="157" t="s">
        <v>94</v>
      </c>
      <c r="AH42" s="153" t="s">
        <v>93</v>
      </c>
      <c r="AI42" s="157" t="s">
        <v>94</v>
      </c>
    </row>
    <row r="43" spans="1:35">
      <c r="A43" s="144">
        <v>1</v>
      </c>
      <c r="B43" s="163" t="s">
        <v>95</v>
      </c>
      <c r="C43" s="160">
        <f>'2024年'!C43</f>
        <v>68.915</v>
      </c>
      <c r="D43" s="160">
        <f>'2024年'!D43</f>
        <v>0</v>
      </c>
      <c r="E43" s="160">
        <f>'2024年'!E43</f>
        <v>0</v>
      </c>
      <c r="F43" s="160">
        <f>'2024年'!F43</f>
        <v>0</v>
      </c>
      <c r="G43" s="162"/>
      <c r="R43" s="153" t="s">
        <v>95</v>
      </c>
      <c r="AH43" s="153" t="s">
        <v>32</v>
      </c>
      <c r="AI43" s="153" t="s">
        <v>95</v>
      </c>
    </row>
    <row r="44" spans="1:35">
      <c r="A44" s="144">
        <v>2</v>
      </c>
      <c r="B44" s="163" t="s">
        <v>96</v>
      </c>
      <c r="C44" s="160">
        <f>'2024年'!C44</f>
        <v>15.215</v>
      </c>
      <c r="D44" s="160">
        <f>'2024年'!D44</f>
        <v>0</v>
      </c>
      <c r="E44" s="160">
        <f>'2024年'!E44</f>
        <v>0</v>
      </c>
      <c r="F44" s="160">
        <f>'2024年'!F44</f>
        <v>0</v>
      </c>
      <c r="G44" s="162"/>
      <c r="R44" s="153" t="s">
        <v>96</v>
      </c>
      <c r="AH44" s="153" t="s">
        <v>34</v>
      </c>
      <c r="AI44" s="153" t="s">
        <v>96</v>
      </c>
    </row>
    <row r="45" spans="1:35">
      <c r="A45" s="144">
        <v>3</v>
      </c>
      <c r="B45" s="163" t="s">
        <v>97</v>
      </c>
      <c r="C45" s="160">
        <f>'2024年'!C45</f>
        <v>20.585</v>
      </c>
      <c r="D45" s="160">
        <f>'2024年'!D45</f>
        <v>0</v>
      </c>
      <c r="E45" s="160">
        <f>'2024年'!E45</f>
        <v>0</v>
      </c>
      <c r="F45" s="160">
        <f>'2024年'!F45</f>
        <v>0</v>
      </c>
      <c r="G45" s="162"/>
      <c r="R45" s="153" t="s">
        <v>97</v>
      </c>
      <c r="AH45" s="153" t="s">
        <v>81</v>
      </c>
      <c r="AI45" s="153" t="s">
        <v>97</v>
      </c>
    </row>
    <row r="46" s="141" customFormat="1" spans="1:35">
      <c r="A46" s="144">
        <v>4</v>
      </c>
      <c r="B46" s="163" t="s">
        <v>98</v>
      </c>
      <c r="C46" s="167">
        <f>C21/C6</f>
        <v>20.6666666666667</v>
      </c>
      <c r="D46" s="167" t="e">
        <f t="shared" ref="D46:F46" si="31">D21/D6</f>
        <v>#DIV/0!</v>
      </c>
      <c r="E46" s="167" t="e">
        <f t="shared" si="31"/>
        <v>#DIV/0!</v>
      </c>
      <c r="F46" s="167" t="e">
        <f t="shared" si="31"/>
        <v>#DIV/0!</v>
      </c>
      <c r="G46" s="167"/>
      <c r="R46" s="163" t="s">
        <v>100</v>
      </c>
      <c r="AH46" s="163" t="s">
        <v>40</v>
      </c>
      <c r="AI46" s="163" t="s">
        <v>100</v>
      </c>
    </row>
    <row r="47" s="141" customFormat="1" spans="1:35">
      <c r="A47" s="144">
        <v>5</v>
      </c>
      <c r="B47" s="163" t="s">
        <v>100</v>
      </c>
      <c r="C47" s="167">
        <f>'2024年'!C47</f>
        <v>44.75</v>
      </c>
      <c r="D47" s="167">
        <f>'2024年'!D47</f>
        <v>0</v>
      </c>
      <c r="E47" s="167">
        <f>'2024年'!E47</f>
        <v>0</v>
      </c>
      <c r="F47" s="167">
        <f>'2024年'!F47</f>
        <v>0</v>
      </c>
      <c r="G47" s="167"/>
      <c r="R47" s="163" t="s">
        <v>100</v>
      </c>
      <c r="AH47" s="163" t="s">
        <v>40</v>
      </c>
      <c r="AI47" s="163" t="s">
        <v>100</v>
      </c>
    </row>
    <row r="48" spans="1:35">
      <c r="A48" s="153" t="s">
        <v>93</v>
      </c>
      <c r="B48" s="157" t="s">
        <v>111</v>
      </c>
      <c r="C48" s="162">
        <f>C40-C43-C44-C45-C47-C46</f>
        <v>399.113333333333</v>
      </c>
      <c r="D48" s="162" t="e">
        <f t="shared" ref="D48:F48" si="32">D40-D43-D44-D45-D47-D46</f>
        <v>#DIV/0!</v>
      </c>
      <c r="E48" s="162" t="e">
        <f t="shared" si="32"/>
        <v>#DIV/0!</v>
      </c>
      <c r="F48" s="162" t="e">
        <f t="shared" si="32"/>
        <v>#DIV/0!</v>
      </c>
      <c r="G48" s="162"/>
      <c r="R48" s="157" t="s">
        <v>111</v>
      </c>
      <c r="AH48" s="153" t="s">
        <v>110</v>
      </c>
      <c r="AI48" s="157" t="s">
        <v>111</v>
      </c>
    </row>
    <row r="51" spans="3:6">
      <c r="C51" s="168"/>
      <c r="D51" s="168"/>
      <c r="E51" s="168"/>
      <c r="F51" s="168"/>
    </row>
    <row r="54" spans="2:12">
      <c r="B54" s="2"/>
      <c r="C54" s="29"/>
      <c r="D54" s="29"/>
      <c r="E54" s="29"/>
      <c r="F54" s="29"/>
      <c r="G54" s="29"/>
      <c r="H54" s="2"/>
      <c r="I54" s="2"/>
      <c r="J54" s="2"/>
      <c r="K54" s="2"/>
      <c r="L54" s="2"/>
    </row>
    <row r="55" spans="2:12">
      <c r="B55" s="2"/>
      <c r="C55" s="29"/>
      <c r="D55" s="29"/>
      <c r="E55" s="29"/>
      <c r="F55" s="29"/>
      <c r="G55" s="29"/>
      <c r="H55" s="2"/>
      <c r="I55" s="2"/>
      <c r="J55" s="2"/>
      <c r="K55" s="2"/>
      <c r="L55" s="2"/>
    </row>
    <row r="56" spans="2:12">
      <c r="B56" s="2"/>
      <c r="C56" s="29"/>
      <c r="D56" s="29"/>
      <c r="E56" s="29"/>
      <c r="F56" s="29"/>
      <c r="G56" s="29"/>
      <c r="H56" s="2"/>
      <c r="I56" s="2"/>
      <c r="J56" s="2"/>
      <c r="K56" s="2"/>
      <c r="L56" s="2"/>
    </row>
    <row r="57" spans="2:12">
      <c r="B57" s="2"/>
      <c r="C57" s="29"/>
      <c r="D57" s="29"/>
      <c r="E57" s="29"/>
      <c r="F57" s="29"/>
      <c r="G57" s="29"/>
      <c r="H57" s="2"/>
      <c r="I57" s="2"/>
      <c r="J57" s="2"/>
      <c r="K57" s="2"/>
      <c r="L57" s="2"/>
    </row>
    <row r="58" spans="2:12">
      <c r="B58" s="2"/>
      <c r="C58" s="29"/>
      <c r="D58" s="29"/>
      <c r="E58" s="29"/>
      <c r="F58" s="29"/>
      <c r="G58" s="29"/>
      <c r="H58" s="2"/>
      <c r="I58" s="2"/>
      <c r="J58" s="2"/>
      <c r="K58" s="2"/>
      <c r="L58" s="2"/>
    </row>
    <row r="59" spans="2:12">
      <c r="B59" s="2"/>
      <c r="C59" s="29"/>
      <c r="D59" s="29"/>
      <c r="E59" s="29"/>
      <c r="F59" s="29"/>
      <c r="G59" s="29"/>
      <c r="H59" s="2"/>
      <c r="I59" s="2"/>
      <c r="J59" s="2"/>
      <c r="K59" s="2"/>
      <c r="L59" s="2"/>
    </row>
    <row r="60" spans="2:12">
      <c r="B60" s="2"/>
      <c r="C60" s="29"/>
      <c r="D60" s="29"/>
      <c r="E60" s="29"/>
      <c r="F60" s="29"/>
      <c r="G60" s="29"/>
      <c r="H60" s="2"/>
      <c r="I60" s="2"/>
      <c r="J60" s="2"/>
      <c r="K60" s="2"/>
      <c r="L60" s="2"/>
    </row>
    <row r="61" spans="2:12">
      <c r="B61" s="2"/>
      <c r="C61" s="29"/>
      <c r="D61" s="29"/>
      <c r="E61" s="29"/>
      <c r="F61" s="29"/>
      <c r="G61" s="29"/>
      <c r="H61" s="2"/>
      <c r="I61" s="2"/>
      <c r="J61" s="2"/>
      <c r="K61" s="2"/>
      <c r="L61" s="2"/>
    </row>
    <row r="62" spans="2:12">
      <c r="B62" s="2"/>
      <c r="C62" s="29"/>
      <c r="D62" s="29"/>
      <c r="E62" s="29"/>
      <c r="F62" s="29"/>
      <c r="G62" s="29"/>
      <c r="H62" s="2"/>
      <c r="I62" s="2"/>
      <c r="J62" s="2"/>
      <c r="K62" s="2"/>
      <c r="L62" s="2"/>
    </row>
    <row r="63" spans="2:12">
      <c r="B63" s="2"/>
      <c r="C63" s="29"/>
      <c r="D63" s="29"/>
      <c r="E63" s="29"/>
      <c r="F63" s="29"/>
      <c r="G63" s="29"/>
      <c r="H63" s="2"/>
      <c r="I63" s="2"/>
      <c r="J63" s="2"/>
      <c r="K63" s="2"/>
      <c r="L63" s="2"/>
    </row>
    <row r="64" spans="2:12">
      <c r="B64" s="2"/>
      <c r="C64" s="29"/>
      <c r="D64" s="29"/>
      <c r="E64" s="29"/>
      <c r="F64" s="29"/>
      <c r="G64" s="29"/>
      <c r="H64" s="2"/>
      <c r="I64" s="2"/>
      <c r="J64" s="2"/>
      <c r="K64" s="2"/>
      <c r="L64" s="2"/>
    </row>
    <row r="65" spans="2:12">
      <c r="B65" s="2"/>
      <c r="C65" s="29"/>
      <c r="D65" s="29"/>
      <c r="E65" s="29"/>
      <c r="F65" s="29"/>
      <c r="G65" s="29"/>
      <c r="H65" s="2"/>
      <c r="I65" s="2"/>
      <c r="J65" s="2"/>
      <c r="K65" s="2"/>
      <c r="L65" s="2"/>
    </row>
    <row r="66" spans="2:12">
      <c r="B66" s="2"/>
      <c r="C66" s="29"/>
      <c r="D66" s="29"/>
      <c r="E66" s="29"/>
      <c r="F66" s="29"/>
      <c r="G66" s="29"/>
      <c r="H66" s="2"/>
      <c r="I66" s="2"/>
      <c r="J66" s="2"/>
      <c r="K66" s="2"/>
      <c r="L66" s="2"/>
    </row>
    <row r="67" spans="2:8">
      <c r="B67" s="2"/>
      <c r="C67" s="29"/>
      <c r="D67" s="29"/>
      <c r="E67" s="29"/>
      <c r="F67" s="29"/>
      <c r="G67" s="29"/>
      <c r="H67" s="2"/>
    </row>
    <row r="68" spans="2:8">
      <c r="B68" s="2"/>
      <c r="C68" s="29"/>
      <c r="D68" s="29"/>
      <c r="E68" s="29"/>
      <c r="F68" s="29"/>
      <c r="G68" s="29"/>
      <c r="H68" s="2"/>
    </row>
    <row r="69" spans="2:8">
      <c r="B69" s="2"/>
      <c r="C69" s="29"/>
      <c r="D69" s="29"/>
      <c r="E69" s="29"/>
      <c r="F69" s="29"/>
      <c r="G69" s="29"/>
      <c r="H69" s="2"/>
    </row>
    <row r="70" spans="2:8">
      <c r="B70" s="2"/>
      <c r="C70" s="29"/>
      <c r="D70" s="29"/>
      <c r="E70" s="29"/>
      <c r="F70" s="29"/>
      <c r="G70" s="29"/>
      <c r="H70" s="2"/>
    </row>
    <row r="71" spans="2:8">
      <c r="B71" s="2"/>
      <c r="C71" s="29"/>
      <c r="D71" s="29"/>
      <c r="E71" s="29"/>
      <c r="F71" s="29"/>
      <c r="G71" s="29"/>
      <c r="H71" s="2"/>
    </row>
    <row r="72" spans="2:8">
      <c r="B72" s="2"/>
      <c r="C72" s="29"/>
      <c r="D72" s="29"/>
      <c r="E72" s="29"/>
      <c r="F72" s="29"/>
      <c r="G72" s="29"/>
      <c r="H72" s="2"/>
    </row>
    <row r="73" spans="2:8">
      <c r="B73" s="2"/>
      <c r="C73" s="29"/>
      <c r="D73" s="29"/>
      <c r="E73" s="29"/>
      <c r="F73" s="29"/>
      <c r="G73" s="29"/>
      <c r="H73" s="2"/>
    </row>
    <row r="74" spans="2:8">
      <c r="B74" s="2"/>
      <c r="C74" s="29"/>
      <c r="D74" s="29"/>
      <c r="E74" s="29"/>
      <c r="F74" s="29"/>
      <c r="G74" s="29"/>
      <c r="H74" s="2"/>
    </row>
  </sheetData>
  <mergeCells count="8">
    <mergeCell ref="A1:B1"/>
    <mergeCell ref="C1:G1"/>
    <mergeCell ref="A2:B2"/>
    <mergeCell ref="C2:G2"/>
    <mergeCell ref="A3:B3"/>
    <mergeCell ref="A4:B4"/>
    <mergeCell ref="A5:B5"/>
    <mergeCell ref="G3:G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74"/>
  <sheetViews>
    <sheetView workbookViewId="0">
      <pane xSplit="2" ySplit="7" topLeftCell="C18" activePane="bottomRight" state="frozen"/>
      <selection/>
      <selection pane="topRight"/>
      <selection pane="bottomLeft"/>
      <selection pane="bottomRight" activeCell="G25" sqref="G25"/>
    </sheetView>
  </sheetViews>
  <sheetFormatPr defaultColWidth="9" defaultRowHeight="14.5"/>
  <cols>
    <col min="1" max="1" width="5.12727272727273" style="142" customWidth="1"/>
    <col min="2" max="2" width="17.5" style="142" customWidth="1"/>
    <col min="3" max="3" width="13.2545454545455" style="143" customWidth="1"/>
    <col min="4" max="4" width="20.2545454545455" style="143" customWidth="1"/>
    <col min="5" max="6" width="13.2545454545455" style="143" customWidth="1"/>
    <col min="7" max="7" width="18.7545454545455" style="143" customWidth="1"/>
    <col min="8" max="8" width="12.3727272727273" style="142" customWidth="1"/>
    <col min="9" max="9" width="10.1272727272727" style="142" customWidth="1"/>
    <col min="10" max="16" width="9" style="142" customWidth="1"/>
    <col min="17" max="33" width="9" style="142"/>
    <col min="34" max="34" width="4.37272727272727" style="142" customWidth="1"/>
    <col min="35" max="35" width="13.8727272727273" style="142" customWidth="1"/>
    <col min="36" max="16384" width="9" style="142"/>
  </cols>
  <sheetData>
    <row r="1" spans="1:7">
      <c r="A1" s="144" t="s">
        <v>151</v>
      </c>
      <c r="B1" s="144"/>
      <c r="C1" s="145" t="s">
        <v>167</v>
      </c>
      <c r="D1" s="146"/>
      <c r="E1" s="146"/>
      <c r="F1" s="146"/>
      <c r="G1" s="147"/>
    </row>
    <row r="2" spans="1:7">
      <c r="A2" s="144" t="s">
        <v>153</v>
      </c>
      <c r="B2" s="144"/>
      <c r="C2" s="148" t="str">
        <f>'2024年'!C2:G2</f>
        <v>陕西重型汽车有限公司</v>
      </c>
      <c r="D2" s="148"/>
      <c r="E2" s="148"/>
      <c r="F2" s="148"/>
      <c r="G2" s="148"/>
    </row>
    <row r="3" ht="26" spans="1:7">
      <c r="A3" s="144" t="s">
        <v>155</v>
      </c>
      <c r="B3" s="144"/>
      <c r="C3" s="50" t="str">
        <f>销量!C5</f>
        <v>第三座椅总成/两点式安全带/X5000S</v>
      </c>
      <c r="D3" s="50">
        <f>销量!D5</f>
        <v>0</v>
      </c>
      <c r="E3" s="50">
        <f>销量!E5</f>
        <v>0</v>
      </c>
      <c r="F3" s="50">
        <f>销量!F5</f>
        <v>0</v>
      </c>
      <c r="G3" s="149" t="s">
        <v>28</v>
      </c>
    </row>
    <row r="4" ht="26" spans="1:7">
      <c r="A4" s="144" t="s">
        <v>156</v>
      </c>
      <c r="B4" s="144"/>
      <c r="C4" s="50" t="str">
        <f>销量!C6</f>
        <v>DZ16251510113</v>
      </c>
      <c r="D4" s="50">
        <f>销量!D6</f>
        <v>0</v>
      </c>
      <c r="E4" s="50">
        <f>销量!E6</f>
        <v>0</v>
      </c>
      <c r="F4" s="50">
        <f>销量!F6</f>
        <v>0</v>
      </c>
      <c r="G4" s="150"/>
    </row>
    <row r="5" spans="1:36">
      <c r="A5" s="144" t="s">
        <v>157</v>
      </c>
      <c r="B5" s="144"/>
      <c r="C5" s="151"/>
      <c r="D5" s="151"/>
      <c r="E5" s="151"/>
      <c r="F5" s="151"/>
      <c r="G5" s="152"/>
      <c r="AJ5" s="142" t="s">
        <v>29</v>
      </c>
    </row>
    <row r="6" ht="16.5" spans="1:36">
      <c r="A6" s="153" t="s">
        <v>22</v>
      </c>
      <c r="B6" s="154" t="s">
        <v>158</v>
      </c>
      <c r="C6" s="85">
        <f>销量!C13</f>
        <v>1500</v>
      </c>
      <c r="D6" s="85">
        <f>销量!D13</f>
        <v>0</v>
      </c>
      <c r="E6" s="85">
        <f>销量!E11</f>
        <v>0</v>
      </c>
      <c r="F6" s="85">
        <f>销量!F11</f>
        <v>0</v>
      </c>
      <c r="G6" s="155">
        <f t="shared" ref="G6:G15" si="0">SUM(C6:F6)</f>
        <v>1500</v>
      </c>
      <c r="R6" s="154" t="s">
        <v>3</v>
      </c>
      <c r="AH6" s="153" t="s">
        <v>22</v>
      </c>
      <c r="AI6" s="154" t="s">
        <v>3</v>
      </c>
      <c r="AJ6" s="142" t="s">
        <v>30</v>
      </c>
    </row>
    <row r="7" spans="1:36">
      <c r="A7" s="144">
        <v>1</v>
      </c>
      <c r="B7" s="154" t="s">
        <v>31</v>
      </c>
      <c r="C7" s="155">
        <f>C6*销量!C8</f>
        <v>1342500</v>
      </c>
      <c r="D7" s="155">
        <f>D6*销量!D8</f>
        <v>0</v>
      </c>
      <c r="E7" s="155">
        <f>E6*销量!E8</f>
        <v>0</v>
      </c>
      <c r="F7" s="155">
        <f>F6*销量!F8</f>
        <v>0</v>
      </c>
      <c r="G7" s="155">
        <f t="shared" si="0"/>
        <v>1342500</v>
      </c>
      <c r="H7" s="143"/>
      <c r="R7" s="154" t="s">
        <v>31</v>
      </c>
      <c r="AH7" s="153" t="s">
        <v>32</v>
      </c>
      <c r="AI7" s="154" t="s">
        <v>31</v>
      </c>
      <c r="AJ7" s="142" t="s">
        <v>30</v>
      </c>
    </row>
    <row r="8" spans="1:36">
      <c r="A8" s="144">
        <v>2</v>
      </c>
      <c r="B8" s="144" t="s">
        <v>33</v>
      </c>
      <c r="C8" s="155">
        <f>C7*(1-销量!$L$10)</f>
        <v>0</v>
      </c>
      <c r="D8" s="155">
        <f>D7*(1-销量!$L$10)</f>
        <v>0</v>
      </c>
      <c r="E8" s="155">
        <f>E7*(1-销量!$L$10)</f>
        <v>0</v>
      </c>
      <c r="F8" s="155">
        <f>F7*(1-销量!$L$10)</f>
        <v>0</v>
      </c>
      <c r="G8" s="155">
        <f t="shared" si="0"/>
        <v>0</v>
      </c>
      <c r="H8" s="156"/>
      <c r="R8" s="144" t="s">
        <v>35</v>
      </c>
      <c r="AH8" s="153" t="s">
        <v>34</v>
      </c>
      <c r="AI8" s="144" t="s">
        <v>35</v>
      </c>
      <c r="AJ8" s="142" t="s">
        <v>30</v>
      </c>
    </row>
    <row r="9" spans="1:36">
      <c r="A9" s="144">
        <v>3</v>
      </c>
      <c r="B9" s="154" t="s">
        <v>36</v>
      </c>
      <c r="C9" s="155">
        <f>+C7-C8</f>
        <v>1342500</v>
      </c>
      <c r="D9" s="155">
        <f t="shared" ref="D9:E9" si="1">+D7-D8</f>
        <v>0</v>
      </c>
      <c r="E9" s="155">
        <f t="shared" si="1"/>
        <v>0</v>
      </c>
      <c r="F9" s="155">
        <f t="shared" ref="F9" si="2">+F7-F8</f>
        <v>0</v>
      </c>
      <c r="G9" s="155">
        <f t="shared" si="0"/>
        <v>1342500</v>
      </c>
      <c r="R9" s="154" t="s">
        <v>36</v>
      </c>
      <c r="AH9" s="153" t="s">
        <v>37</v>
      </c>
      <c r="AI9" s="154" t="s">
        <v>36</v>
      </c>
      <c r="AJ9" s="142" t="s">
        <v>38</v>
      </c>
    </row>
    <row r="10" spans="1:36">
      <c r="A10" s="144">
        <v>4</v>
      </c>
      <c r="B10" s="153" t="s">
        <v>39</v>
      </c>
      <c r="C10" s="155">
        <f>C6*C33</f>
        <v>396000</v>
      </c>
      <c r="D10" s="155">
        <f t="shared" ref="D10:F10" si="3">D6*D33</f>
        <v>0</v>
      </c>
      <c r="E10" s="155">
        <f t="shared" si="3"/>
        <v>0</v>
      </c>
      <c r="F10" s="155">
        <f t="shared" si="3"/>
        <v>0</v>
      </c>
      <c r="G10" s="155">
        <f t="shared" si="0"/>
        <v>396000</v>
      </c>
      <c r="R10" s="153" t="s">
        <v>39</v>
      </c>
      <c r="AH10" s="153" t="s">
        <v>40</v>
      </c>
      <c r="AI10" s="153" t="s">
        <v>39</v>
      </c>
      <c r="AJ10" s="142" t="s">
        <v>41</v>
      </c>
    </row>
    <row r="11" spans="1:35">
      <c r="A11" s="144">
        <v>5</v>
      </c>
      <c r="B11" s="153" t="s">
        <v>42</v>
      </c>
      <c r="C11" s="155">
        <f>+C6*C36</f>
        <v>36247.5</v>
      </c>
      <c r="D11" s="155">
        <f t="shared" ref="D11:E11" si="4">+D6*D36</f>
        <v>0</v>
      </c>
      <c r="E11" s="155">
        <f t="shared" si="4"/>
        <v>0</v>
      </c>
      <c r="F11" s="155">
        <f t="shared" ref="F11" si="5">+F6*F36</f>
        <v>0</v>
      </c>
      <c r="G11" s="155">
        <f t="shared" si="0"/>
        <v>36247.5</v>
      </c>
      <c r="R11" s="153" t="s">
        <v>42</v>
      </c>
      <c r="AH11" s="153" t="s">
        <v>43</v>
      </c>
      <c r="AI11" s="153" t="s">
        <v>42</v>
      </c>
    </row>
    <row r="12" spans="1:35">
      <c r="A12" s="144">
        <v>6</v>
      </c>
      <c r="B12" s="153" t="s">
        <v>44</v>
      </c>
      <c r="C12" s="155">
        <f>+C6*C37</f>
        <v>17452.5</v>
      </c>
      <c r="D12" s="155">
        <f t="shared" ref="D12:E12" si="6">+D6*D37</f>
        <v>0</v>
      </c>
      <c r="E12" s="155">
        <f t="shared" si="6"/>
        <v>0</v>
      </c>
      <c r="F12" s="155">
        <f t="shared" ref="F12" si="7">+F6*F37</f>
        <v>0</v>
      </c>
      <c r="G12" s="155">
        <f t="shared" si="0"/>
        <v>17452.5</v>
      </c>
      <c r="R12" s="153" t="s">
        <v>44</v>
      </c>
      <c r="AH12" s="153" t="s">
        <v>45</v>
      </c>
      <c r="AI12" s="153" t="s">
        <v>44</v>
      </c>
    </row>
    <row r="13" spans="1:36">
      <c r="A13" s="144">
        <v>7</v>
      </c>
      <c r="B13" s="153" t="s">
        <v>46</v>
      </c>
      <c r="C13" s="155">
        <f>+C6*C38</f>
        <v>38932.5</v>
      </c>
      <c r="D13" s="155">
        <f t="shared" ref="D13:E13" si="8">+D6*D38</f>
        <v>0</v>
      </c>
      <c r="E13" s="155">
        <f t="shared" si="8"/>
        <v>0</v>
      </c>
      <c r="F13" s="155">
        <f t="shared" ref="F13" si="9">+F6*F38</f>
        <v>0</v>
      </c>
      <c r="G13" s="155">
        <f t="shared" si="0"/>
        <v>38932.5</v>
      </c>
      <c r="R13" s="153" t="s">
        <v>46</v>
      </c>
      <c r="AH13" s="153" t="s">
        <v>47</v>
      </c>
      <c r="AI13" s="153" t="s">
        <v>46</v>
      </c>
      <c r="AJ13" s="142" t="s">
        <v>30</v>
      </c>
    </row>
    <row r="14" spans="1:35">
      <c r="A14" s="144">
        <v>8</v>
      </c>
      <c r="B14" s="157" t="s">
        <v>48</v>
      </c>
      <c r="C14" s="155">
        <f>SUM(C11:C13)</f>
        <v>92632.5</v>
      </c>
      <c r="D14" s="155">
        <f t="shared" ref="D14:F14" si="10">SUM(D11:D13)</f>
        <v>0</v>
      </c>
      <c r="E14" s="155">
        <f t="shared" si="10"/>
        <v>0</v>
      </c>
      <c r="F14" s="155">
        <f t="shared" si="10"/>
        <v>0</v>
      </c>
      <c r="G14" s="155">
        <f t="shared" si="0"/>
        <v>92632.5</v>
      </c>
      <c r="R14" s="157" t="s">
        <v>48</v>
      </c>
      <c r="AH14" s="153" t="s">
        <v>49</v>
      </c>
      <c r="AI14" s="157" t="s">
        <v>48</v>
      </c>
    </row>
    <row r="15" spans="1:35">
      <c r="A15" s="144">
        <v>9</v>
      </c>
      <c r="B15" s="157" t="s">
        <v>50</v>
      </c>
      <c r="C15" s="155">
        <f>+C9-C10-C14</f>
        <v>853867.5</v>
      </c>
      <c r="D15" s="155">
        <f t="shared" ref="D15:F15" si="11">+D9-D10-D14</f>
        <v>0</v>
      </c>
      <c r="E15" s="155">
        <f t="shared" si="11"/>
        <v>0</v>
      </c>
      <c r="F15" s="155">
        <f t="shared" si="11"/>
        <v>0</v>
      </c>
      <c r="G15" s="155">
        <f t="shared" si="0"/>
        <v>853867.5</v>
      </c>
      <c r="R15" s="157" t="s">
        <v>50</v>
      </c>
      <c r="AH15" s="153" t="s">
        <v>51</v>
      </c>
      <c r="AI15" s="157" t="s">
        <v>50</v>
      </c>
    </row>
    <row r="16" spans="1:35">
      <c r="A16" s="144">
        <v>10</v>
      </c>
      <c r="B16" s="153" t="s">
        <v>52</v>
      </c>
      <c r="C16" s="158">
        <f>+C15/C9</f>
        <v>0.636027932960894</v>
      </c>
      <c r="D16" s="158" t="e">
        <f t="shared" ref="D16:G16" si="12">+D15/D9</f>
        <v>#DIV/0!</v>
      </c>
      <c r="E16" s="158" t="e">
        <f t="shared" si="12"/>
        <v>#DIV/0!</v>
      </c>
      <c r="F16" s="158" t="e">
        <f t="shared" si="12"/>
        <v>#DIV/0!</v>
      </c>
      <c r="G16" s="158">
        <f t="shared" si="12"/>
        <v>0.636027932960894</v>
      </c>
      <c r="R16" s="153" t="s">
        <v>52</v>
      </c>
      <c r="AH16" s="153" t="s">
        <v>53</v>
      </c>
      <c r="AI16" s="153" t="s">
        <v>52</v>
      </c>
    </row>
    <row r="17" spans="1:35">
      <c r="A17" s="144">
        <v>11</v>
      </c>
      <c r="B17" s="153" t="s">
        <v>54</v>
      </c>
      <c r="C17" s="155">
        <f>C6*C43+C18</f>
        <v>135672.5</v>
      </c>
      <c r="D17" s="155">
        <f t="shared" ref="D17:E17" si="13">D6*D43+D18</f>
        <v>0</v>
      </c>
      <c r="E17" s="155">
        <f t="shared" si="13"/>
        <v>0</v>
      </c>
      <c r="F17" s="155">
        <f t="shared" ref="F17" si="14">F6*F43+F18</f>
        <v>0</v>
      </c>
      <c r="G17" s="155">
        <f>SUM(C17:F17)</f>
        <v>135672.5</v>
      </c>
      <c r="H17" s="156"/>
      <c r="R17" s="153" t="s">
        <v>54</v>
      </c>
      <c r="AH17" s="153" t="s">
        <v>55</v>
      </c>
      <c r="AI17" s="153" t="s">
        <v>54</v>
      </c>
    </row>
    <row r="18" s="140" customFormat="1" spans="1:10">
      <c r="A18" s="144">
        <v>12</v>
      </c>
      <c r="B18" s="159" t="s">
        <v>159</v>
      </c>
      <c r="C18" s="160">
        <f>$G$18/$G$6*C6</f>
        <v>32300</v>
      </c>
      <c r="D18" s="160">
        <f>$G$18/$G$6*D6</f>
        <v>0</v>
      </c>
      <c r="E18" s="160">
        <f>$G$18/$G$6*E6</f>
        <v>0</v>
      </c>
      <c r="F18" s="160">
        <f>$G$18/$G$6*F6</f>
        <v>0</v>
      </c>
      <c r="G18" s="160">
        <f>项目投资!H26</f>
        <v>32300</v>
      </c>
      <c r="H18" s="161" t="s">
        <v>160</v>
      </c>
      <c r="I18" s="161"/>
      <c r="J18" s="161"/>
    </row>
    <row r="19" spans="1:36">
      <c r="A19" s="144">
        <v>13</v>
      </c>
      <c r="B19" s="153" t="s">
        <v>56</v>
      </c>
      <c r="C19" s="155">
        <f>C6*C44</f>
        <v>22822.5</v>
      </c>
      <c r="D19" s="155">
        <f t="shared" ref="D19:E19" si="15">D6*D44</f>
        <v>0</v>
      </c>
      <c r="E19" s="155">
        <f t="shared" si="15"/>
        <v>0</v>
      </c>
      <c r="F19" s="155">
        <f t="shared" ref="F19" si="16">F6*F44</f>
        <v>0</v>
      </c>
      <c r="G19" s="155">
        <f>SUM(C19:F19)</f>
        <v>22822.5</v>
      </c>
      <c r="H19" s="140"/>
      <c r="R19" s="153" t="s">
        <v>56</v>
      </c>
      <c r="AH19" s="153" t="s">
        <v>57</v>
      </c>
      <c r="AI19" s="153" t="s">
        <v>56</v>
      </c>
      <c r="AJ19" s="142" t="s">
        <v>30</v>
      </c>
    </row>
    <row r="20" spans="1:35">
      <c r="A20" s="144">
        <v>14</v>
      </c>
      <c r="B20" s="153" t="s">
        <v>58</v>
      </c>
      <c r="C20" s="155">
        <f>C6*C45</f>
        <v>30877.5</v>
      </c>
      <c r="D20" s="155">
        <f t="shared" ref="D20:E20" si="17">D6*D45</f>
        <v>0</v>
      </c>
      <c r="E20" s="155">
        <f t="shared" si="17"/>
        <v>0</v>
      </c>
      <c r="F20" s="155">
        <f t="shared" ref="F20" si="18">F6*F45</f>
        <v>0</v>
      </c>
      <c r="G20" s="155">
        <f>SUM(C20:F20)</f>
        <v>30877.5</v>
      </c>
      <c r="R20" s="153" t="s">
        <v>58</v>
      </c>
      <c r="AH20" s="153" t="s">
        <v>59</v>
      </c>
      <c r="AI20" s="153" t="s">
        <v>58</v>
      </c>
    </row>
    <row r="21" spans="1:35">
      <c r="A21" s="144">
        <v>15</v>
      </c>
      <c r="B21" s="153" t="s">
        <v>60</v>
      </c>
      <c r="C21" s="162">
        <f>$G$21/$G$6*C6</f>
        <v>31000</v>
      </c>
      <c r="D21" s="162">
        <f>$G$21/$G$6*D6</f>
        <v>0</v>
      </c>
      <c r="E21" s="162">
        <f>$G$21/$G$6*E6</f>
        <v>0</v>
      </c>
      <c r="F21" s="162">
        <f>$G$21/$G$6*F6</f>
        <v>0</v>
      </c>
      <c r="G21" s="155">
        <f>项目投资!H27</f>
        <v>31000</v>
      </c>
      <c r="R21" s="153" t="s">
        <v>60</v>
      </c>
      <c r="AH21" s="153"/>
      <c r="AI21" s="153"/>
    </row>
    <row r="22" spans="1:35">
      <c r="A22" s="144">
        <v>16</v>
      </c>
      <c r="B22" s="153" t="s">
        <v>61</v>
      </c>
      <c r="C22" s="155">
        <f>C6*C47</f>
        <v>67125</v>
      </c>
      <c r="D22" s="155">
        <f t="shared" ref="D22:E22" si="19">D6*D47</f>
        <v>0</v>
      </c>
      <c r="E22" s="155">
        <f t="shared" si="19"/>
        <v>0</v>
      </c>
      <c r="F22" s="155">
        <f t="shared" ref="F22" si="20">F6*F47</f>
        <v>0</v>
      </c>
      <c r="G22" s="155">
        <f>SUM(C22:F22)</f>
        <v>67125</v>
      </c>
      <c r="R22" s="153" t="s">
        <v>61</v>
      </c>
      <c r="AH22" s="153" t="s">
        <v>62</v>
      </c>
      <c r="AI22" s="153" t="s">
        <v>61</v>
      </c>
    </row>
    <row r="23" spans="1:35">
      <c r="A23" s="144">
        <v>17</v>
      </c>
      <c r="B23" s="157" t="s">
        <v>63</v>
      </c>
      <c r="C23" s="162">
        <f>+C22+C21+C20+C19+C17</f>
        <v>287497.5</v>
      </c>
      <c r="D23" s="162">
        <f t="shared" ref="D23:G23" si="21">+D22+D21+D20+D19+D17</f>
        <v>0</v>
      </c>
      <c r="E23" s="162">
        <f t="shared" si="21"/>
        <v>0</v>
      </c>
      <c r="F23" s="162">
        <f t="shared" si="21"/>
        <v>0</v>
      </c>
      <c r="G23" s="162">
        <f t="shared" si="21"/>
        <v>287497.5</v>
      </c>
      <c r="R23" s="157" t="s">
        <v>63</v>
      </c>
      <c r="AH23" s="153" t="s">
        <v>64</v>
      </c>
      <c r="AI23" s="157" t="s">
        <v>63</v>
      </c>
    </row>
    <row r="24" spans="1:35">
      <c r="A24" s="144">
        <v>18</v>
      </c>
      <c r="B24" s="163" t="s">
        <v>65</v>
      </c>
      <c r="C24" s="162">
        <f>+C15-C23</f>
        <v>566370</v>
      </c>
      <c r="D24" s="162">
        <f t="shared" ref="D24:G24" si="22">+D15-D23</f>
        <v>0</v>
      </c>
      <c r="E24" s="162">
        <f t="shared" si="22"/>
        <v>0</v>
      </c>
      <c r="F24" s="162">
        <f t="shared" si="22"/>
        <v>0</v>
      </c>
      <c r="G24" s="162">
        <f t="shared" si="22"/>
        <v>566370</v>
      </c>
      <c r="I24" s="169"/>
      <c r="R24" s="153" t="s">
        <v>65</v>
      </c>
      <c r="AH24" s="153" t="s">
        <v>66</v>
      </c>
      <c r="AI24" s="153" t="s">
        <v>65</v>
      </c>
    </row>
    <row r="25" spans="1:35">
      <c r="A25" s="144">
        <v>19</v>
      </c>
      <c r="B25" s="153" t="s">
        <v>161</v>
      </c>
      <c r="C25" s="162">
        <f>IF(C24&lt;0,0,C24*0.15)</f>
        <v>84955.5</v>
      </c>
      <c r="D25" s="162">
        <f>IF(D24&lt;0,0,D24*0.15)</f>
        <v>0</v>
      </c>
      <c r="E25" s="162">
        <f>IF(E24&lt;0,0,E24*0.15)</f>
        <v>0</v>
      </c>
      <c r="F25" s="162">
        <f>IF(F24&lt;0,0,F24*0.15)</f>
        <v>0</v>
      </c>
      <c r="G25" s="162">
        <f>IF(G24&lt;0,0,G24*0.15)</f>
        <v>84955.5</v>
      </c>
      <c r="I25" s="2"/>
      <c r="J25" s="2"/>
      <c r="R25" s="153" t="s">
        <v>69</v>
      </c>
      <c r="AH25" s="153" t="s">
        <v>68</v>
      </c>
      <c r="AI25" s="153" t="s">
        <v>69</v>
      </c>
    </row>
    <row r="26" spans="1:35">
      <c r="A26" s="144">
        <v>20</v>
      </c>
      <c r="B26" s="153" t="s">
        <v>70</v>
      </c>
      <c r="C26" s="162">
        <f t="shared" ref="C26:G26" si="23">C24-C25</f>
        <v>481414.5</v>
      </c>
      <c r="D26" s="162">
        <f t="shared" si="23"/>
        <v>0</v>
      </c>
      <c r="E26" s="162">
        <f t="shared" si="23"/>
        <v>0</v>
      </c>
      <c r="F26" s="162">
        <f t="shared" si="23"/>
        <v>0</v>
      </c>
      <c r="G26" s="155">
        <f t="shared" si="23"/>
        <v>481414.5</v>
      </c>
      <c r="I26" s="2"/>
      <c r="J26" s="2"/>
      <c r="R26" s="153" t="s">
        <v>70</v>
      </c>
      <c r="AH26" s="153" t="s">
        <v>71</v>
      </c>
      <c r="AI26" s="153" t="s">
        <v>70</v>
      </c>
    </row>
    <row r="27" spans="1:35">
      <c r="A27" s="144">
        <v>21</v>
      </c>
      <c r="B27" s="153" t="s">
        <v>74</v>
      </c>
      <c r="C27" s="164">
        <f t="shared" ref="C27:G27" si="24">C26/C7</f>
        <v>0.358595530726257</v>
      </c>
      <c r="D27" s="164" t="e">
        <f t="shared" si="24"/>
        <v>#DIV/0!</v>
      </c>
      <c r="E27" s="164" t="e">
        <f t="shared" si="24"/>
        <v>#DIV/0!</v>
      </c>
      <c r="F27" s="164" t="e">
        <f t="shared" si="24"/>
        <v>#DIV/0!</v>
      </c>
      <c r="G27" s="164">
        <f t="shared" si="24"/>
        <v>0.358595530726257</v>
      </c>
      <c r="I27" s="2"/>
      <c r="J27" s="2"/>
      <c r="R27" s="153" t="s">
        <v>74</v>
      </c>
      <c r="AH27" s="153" t="s">
        <v>73</v>
      </c>
      <c r="AI27" s="153" t="s">
        <v>74</v>
      </c>
    </row>
    <row r="28" spans="8:18">
      <c r="H28" s="2"/>
      <c r="I28" s="2"/>
      <c r="J28" s="2"/>
      <c r="R28" s="153"/>
    </row>
    <row r="29" spans="1:34">
      <c r="A29" s="142" t="s">
        <v>75</v>
      </c>
      <c r="G29" s="143" t="s">
        <v>162</v>
      </c>
      <c r="H29" s="2"/>
      <c r="I29" s="2"/>
      <c r="J29" s="2"/>
      <c r="R29" s="153"/>
      <c r="AH29" s="142" t="s">
        <v>75</v>
      </c>
    </row>
    <row r="30" spans="1:35">
      <c r="A30" s="153" t="s">
        <v>76</v>
      </c>
      <c r="B30" s="157" t="s">
        <v>77</v>
      </c>
      <c r="C30" s="162"/>
      <c r="D30" s="162"/>
      <c r="E30" s="162"/>
      <c r="F30" s="162"/>
      <c r="G30" s="162"/>
      <c r="H30" s="2"/>
      <c r="I30" s="2"/>
      <c r="J30" s="2"/>
      <c r="L30" s="2"/>
      <c r="R30" s="157" t="s">
        <v>77</v>
      </c>
      <c r="AH30" s="153" t="s">
        <v>78</v>
      </c>
      <c r="AI30" s="157" t="s">
        <v>77</v>
      </c>
    </row>
    <row r="31" spans="1:35">
      <c r="A31" s="144">
        <v>1</v>
      </c>
      <c r="B31" s="159" t="s">
        <v>79</v>
      </c>
      <c r="C31" s="165">
        <f>销量!C8</f>
        <v>895</v>
      </c>
      <c r="D31" s="165">
        <f>销量!D8</f>
        <v>0</v>
      </c>
      <c r="E31" s="165">
        <f>销量!E8</f>
        <v>0</v>
      </c>
      <c r="F31" s="165">
        <f>销量!F8</f>
        <v>0</v>
      </c>
      <c r="G31" s="162"/>
      <c r="H31" s="2"/>
      <c r="I31" s="2"/>
      <c r="J31" s="2"/>
      <c r="L31" s="2"/>
      <c r="R31" s="153" t="s">
        <v>79</v>
      </c>
      <c r="AH31" s="153" t="s">
        <v>32</v>
      </c>
      <c r="AI31" s="153" t="s">
        <v>79</v>
      </c>
    </row>
    <row r="32" spans="1:35">
      <c r="A32" s="144">
        <v>2</v>
      </c>
      <c r="B32" s="153" t="s">
        <v>163</v>
      </c>
      <c r="C32" s="155">
        <f>C9/C6</f>
        <v>895</v>
      </c>
      <c r="D32" s="155" t="e">
        <f t="shared" ref="D32:E32" si="25">D9/D6</f>
        <v>#DIV/0!</v>
      </c>
      <c r="E32" s="155" t="e">
        <f t="shared" si="25"/>
        <v>#DIV/0!</v>
      </c>
      <c r="F32" s="155" t="e">
        <f t="shared" ref="F32" si="26">F9/F6</f>
        <v>#DIV/0!</v>
      </c>
      <c r="G32" s="162"/>
      <c r="H32" s="2"/>
      <c r="I32" s="2"/>
      <c r="J32" s="2"/>
      <c r="K32" s="2"/>
      <c r="L32" s="2"/>
      <c r="M32" s="2"/>
      <c r="N32" s="2"/>
      <c r="AH32" s="153"/>
      <c r="AI32" s="153"/>
    </row>
    <row r="33" spans="1:35">
      <c r="A33" s="144">
        <v>3</v>
      </c>
      <c r="B33" s="159" t="s">
        <v>80</v>
      </c>
      <c r="C33" s="155">
        <f>材料成本!D16</f>
        <v>264</v>
      </c>
      <c r="D33" s="155">
        <f>材料成本!E16</f>
        <v>0</v>
      </c>
      <c r="E33" s="155">
        <f>材料成本!F16</f>
        <v>0</v>
      </c>
      <c r="F33" s="155">
        <f>材料成本!G16</f>
        <v>0</v>
      </c>
      <c r="G33" s="162"/>
      <c r="I33" s="2"/>
      <c r="J33" s="2"/>
      <c r="K33" s="2"/>
      <c r="L33" s="2"/>
      <c r="M33" s="2"/>
      <c r="N33" s="2"/>
      <c r="R33" s="153" t="s">
        <v>80</v>
      </c>
      <c r="AH33" s="153" t="s">
        <v>34</v>
      </c>
      <c r="AI33" s="153" t="s">
        <v>80</v>
      </c>
    </row>
    <row r="34" ht="17.25" customHeight="1" spans="1:35">
      <c r="A34" s="144">
        <v>4</v>
      </c>
      <c r="B34" s="153" t="s">
        <v>82</v>
      </c>
      <c r="C34" s="166">
        <f>C32-C33</f>
        <v>631</v>
      </c>
      <c r="D34" s="166" t="e">
        <f t="shared" ref="D34:E34" si="27">D32-D33</f>
        <v>#DIV/0!</v>
      </c>
      <c r="E34" s="166" t="e">
        <f t="shared" si="27"/>
        <v>#DIV/0!</v>
      </c>
      <c r="F34" s="166" t="e">
        <f t="shared" ref="F34" si="28">F32-F33</f>
        <v>#DIV/0!</v>
      </c>
      <c r="G34" s="162"/>
      <c r="I34" s="2"/>
      <c r="J34" s="2"/>
      <c r="K34" s="2"/>
      <c r="L34" s="2"/>
      <c r="M34" s="2"/>
      <c r="N34" s="2"/>
      <c r="R34" s="153" t="s">
        <v>82</v>
      </c>
      <c r="AH34" s="153" t="s">
        <v>81</v>
      </c>
      <c r="AI34" s="153" t="s">
        <v>82</v>
      </c>
    </row>
    <row r="35" spans="1:35">
      <c r="A35" s="153" t="s">
        <v>78</v>
      </c>
      <c r="B35" s="157" t="s">
        <v>10</v>
      </c>
      <c r="C35" s="162"/>
      <c r="D35" s="162"/>
      <c r="E35" s="162"/>
      <c r="F35" s="162"/>
      <c r="G35" s="162"/>
      <c r="H35" s="2"/>
      <c r="I35" s="2"/>
      <c r="J35" s="2"/>
      <c r="K35" s="2"/>
      <c r="L35" s="2"/>
      <c r="M35" s="2"/>
      <c r="N35" s="2"/>
      <c r="O35" s="2"/>
      <c r="P35" s="2"/>
      <c r="Q35" s="2"/>
      <c r="R35" s="157" t="s">
        <v>10</v>
      </c>
      <c r="AH35" s="153" t="s">
        <v>84</v>
      </c>
      <c r="AI35" s="157" t="s">
        <v>10</v>
      </c>
    </row>
    <row r="36" spans="1:35">
      <c r="A36" s="144">
        <v>1</v>
      </c>
      <c r="B36" s="153" t="s">
        <v>85</v>
      </c>
      <c r="C36" s="160">
        <f>'2024年'!C36</f>
        <v>24.165</v>
      </c>
      <c r="D36" s="160">
        <f>'2024年'!D36</f>
        <v>0</v>
      </c>
      <c r="E36" s="160">
        <f>'2024年'!E36</f>
        <v>0</v>
      </c>
      <c r="F36" s="160">
        <f>'2024年'!F36</f>
        <v>0</v>
      </c>
      <c r="G36" s="165"/>
      <c r="H36" s="2"/>
      <c r="I36" s="2"/>
      <c r="J36" s="2"/>
      <c r="K36" s="2"/>
      <c r="L36" s="2"/>
      <c r="M36" s="2"/>
      <c r="N36" s="2"/>
      <c r="O36" s="2"/>
      <c r="P36" s="2"/>
      <c r="Q36" s="2"/>
      <c r="R36" s="153" t="s">
        <v>85</v>
      </c>
      <c r="AH36" s="153" t="s">
        <v>81</v>
      </c>
      <c r="AI36" s="153" t="s">
        <v>85</v>
      </c>
    </row>
    <row r="37" spans="1:35">
      <c r="A37" s="144">
        <v>2</v>
      </c>
      <c r="B37" s="153" t="s">
        <v>86</v>
      </c>
      <c r="C37" s="160">
        <f>'2024年'!C37</f>
        <v>11.635</v>
      </c>
      <c r="D37" s="160">
        <f>'2024年'!D37</f>
        <v>0</v>
      </c>
      <c r="E37" s="160">
        <f>'2024年'!E37</f>
        <v>0</v>
      </c>
      <c r="F37" s="160">
        <f>'2024年'!F37</f>
        <v>0</v>
      </c>
      <c r="G37" s="165"/>
      <c r="H37" s="2"/>
      <c r="I37" s="2"/>
      <c r="J37" s="2"/>
      <c r="K37" s="2"/>
      <c r="L37" s="2"/>
      <c r="M37" s="2"/>
      <c r="N37" s="2"/>
      <c r="O37" s="2"/>
      <c r="P37" s="2"/>
      <c r="Q37" s="2"/>
      <c r="R37" s="153" t="s">
        <v>86</v>
      </c>
      <c r="AH37" s="153" t="s">
        <v>37</v>
      </c>
      <c r="AI37" s="153" t="s">
        <v>86</v>
      </c>
    </row>
    <row r="38" spans="1:35">
      <c r="A38" s="144">
        <v>3</v>
      </c>
      <c r="B38" s="153" t="s">
        <v>87</v>
      </c>
      <c r="C38" s="160">
        <f>'2024年'!C38</f>
        <v>25.955</v>
      </c>
      <c r="D38" s="160">
        <f>'2024年'!D38</f>
        <v>0</v>
      </c>
      <c r="E38" s="160">
        <f>'2024年'!E38</f>
        <v>0</v>
      </c>
      <c r="F38" s="160">
        <f>'2024年'!F38</f>
        <v>0</v>
      </c>
      <c r="G38" s="165"/>
      <c r="H38" s="2"/>
      <c r="I38" s="2"/>
      <c r="J38" s="2"/>
      <c r="K38" s="2"/>
      <c r="L38" s="2"/>
      <c r="M38" s="2"/>
      <c r="N38" s="2"/>
      <c r="O38" s="2"/>
      <c r="P38" s="2"/>
      <c r="Q38" s="2"/>
      <c r="R38" s="153" t="s">
        <v>87</v>
      </c>
      <c r="AH38" s="153" t="s">
        <v>43</v>
      </c>
      <c r="AI38" s="153" t="s">
        <v>87</v>
      </c>
    </row>
    <row r="39" spans="1:35">
      <c r="A39" s="153" t="s">
        <v>84</v>
      </c>
      <c r="B39" s="157" t="s">
        <v>89</v>
      </c>
      <c r="C39" s="162"/>
      <c r="D39" s="162"/>
      <c r="E39" s="162"/>
      <c r="F39" s="162"/>
      <c r="G39" s="162"/>
      <c r="R39" s="157" t="s">
        <v>89</v>
      </c>
      <c r="AH39" s="153" t="s">
        <v>88</v>
      </c>
      <c r="AI39" s="157" t="s">
        <v>89</v>
      </c>
    </row>
    <row r="40" spans="1:35">
      <c r="A40" s="144">
        <v>1</v>
      </c>
      <c r="B40" s="153" t="s">
        <v>91</v>
      </c>
      <c r="C40" s="162">
        <f>C34-C36-C37-C38</f>
        <v>569.245</v>
      </c>
      <c r="D40" s="162" t="e">
        <f t="shared" ref="D40:F40" si="29">D34-D36-D37-D38</f>
        <v>#DIV/0!</v>
      </c>
      <c r="E40" s="162" t="e">
        <f t="shared" si="29"/>
        <v>#DIV/0!</v>
      </c>
      <c r="F40" s="162" t="e">
        <f t="shared" si="29"/>
        <v>#DIV/0!</v>
      </c>
      <c r="G40" s="162"/>
      <c r="R40" s="153" t="s">
        <v>91</v>
      </c>
      <c r="AH40" s="153" t="s">
        <v>32</v>
      </c>
      <c r="AI40" s="153" t="s">
        <v>91</v>
      </c>
    </row>
    <row r="41" spans="1:35">
      <c r="A41" s="144">
        <v>2</v>
      </c>
      <c r="B41" s="153" t="s">
        <v>92</v>
      </c>
      <c r="C41" s="162"/>
      <c r="D41" s="162"/>
      <c r="E41" s="162"/>
      <c r="F41" s="162"/>
      <c r="G41" s="162"/>
      <c r="R41" s="153" t="s">
        <v>92</v>
      </c>
      <c r="AH41" s="153" t="s">
        <v>34</v>
      </c>
      <c r="AI41" s="153" t="s">
        <v>92</v>
      </c>
    </row>
    <row r="42" spans="1:35">
      <c r="A42" s="153" t="s">
        <v>88</v>
      </c>
      <c r="B42" s="157" t="s">
        <v>94</v>
      </c>
      <c r="C42" s="162"/>
      <c r="D42" s="162"/>
      <c r="E42" s="162"/>
      <c r="F42" s="162"/>
      <c r="G42" s="162"/>
      <c r="R42" s="157" t="s">
        <v>94</v>
      </c>
      <c r="AH42" s="153" t="s">
        <v>93</v>
      </c>
      <c r="AI42" s="157" t="s">
        <v>94</v>
      </c>
    </row>
    <row r="43" spans="1:35">
      <c r="A43" s="144">
        <v>1</v>
      </c>
      <c r="B43" s="163" t="s">
        <v>95</v>
      </c>
      <c r="C43" s="160">
        <f>'2024年'!C43</f>
        <v>68.915</v>
      </c>
      <c r="D43" s="160">
        <f>'2024年'!D43</f>
        <v>0</v>
      </c>
      <c r="E43" s="160">
        <f>'2024年'!E43</f>
        <v>0</v>
      </c>
      <c r="F43" s="160">
        <f>'2024年'!F43</f>
        <v>0</v>
      </c>
      <c r="G43" s="162"/>
      <c r="R43" s="153" t="s">
        <v>95</v>
      </c>
      <c r="AH43" s="153" t="s">
        <v>32</v>
      </c>
      <c r="AI43" s="153" t="s">
        <v>95</v>
      </c>
    </row>
    <row r="44" spans="1:35">
      <c r="A44" s="144">
        <v>2</v>
      </c>
      <c r="B44" s="163" t="s">
        <v>96</v>
      </c>
      <c r="C44" s="160">
        <f>'2024年'!C44</f>
        <v>15.215</v>
      </c>
      <c r="D44" s="160">
        <f>'2024年'!D44</f>
        <v>0</v>
      </c>
      <c r="E44" s="160">
        <f>'2024年'!E44</f>
        <v>0</v>
      </c>
      <c r="F44" s="160">
        <f>'2024年'!F44</f>
        <v>0</v>
      </c>
      <c r="G44" s="162"/>
      <c r="R44" s="153" t="s">
        <v>96</v>
      </c>
      <c r="AH44" s="153" t="s">
        <v>34</v>
      </c>
      <c r="AI44" s="153" t="s">
        <v>96</v>
      </c>
    </row>
    <row r="45" spans="1:35">
      <c r="A45" s="144">
        <v>3</v>
      </c>
      <c r="B45" s="163" t="s">
        <v>97</v>
      </c>
      <c r="C45" s="160">
        <f>'2024年'!C45</f>
        <v>20.585</v>
      </c>
      <c r="D45" s="160">
        <f>'2024年'!D45</f>
        <v>0</v>
      </c>
      <c r="E45" s="160">
        <f>'2024年'!E45</f>
        <v>0</v>
      </c>
      <c r="F45" s="160">
        <f>'2024年'!F45</f>
        <v>0</v>
      </c>
      <c r="G45" s="162"/>
      <c r="R45" s="153" t="s">
        <v>97</v>
      </c>
      <c r="AH45" s="153" t="s">
        <v>81</v>
      </c>
      <c r="AI45" s="153" t="s">
        <v>97</v>
      </c>
    </row>
    <row r="46" s="141" customFormat="1" spans="1:35">
      <c r="A46" s="144">
        <v>4</v>
      </c>
      <c r="B46" s="163" t="s">
        <v>98</v>
      </c>
      <c r="C46" s="167">
        <f>C21/C6</f>
        <v>20.6666666666667</v>
      </c>
      <c r="D46" s="167" t="e">
        <f t="shared" ref="D46:F46" si="30">D21/D6</f>
        <v>#DIV/0!</v>
      </c>
      <c r="E46" s="167" t="e">
        <f t="shared" si="30"/>
        <v>#DIV/0!</v>
      </c>
      <c r="F46" s="167" t="e">
        <f t="shared" si="30"/>
        <v>#DIV/0!</v>
      </c>
      <c r="G46" s="167"/>
      <c r="R46" s="163" t="s">
        <v>100</v>
      </c>
      <c r="AH46" s="163" t="s">
        <v>40</v>
      </c>
      <c r="AI46" s="163" t="s">
        <v>100</v>
      </c>
    </row>
    <row r="47" s="141" customFormat="1" spans="1:35">
      <c r="A47" s="144">
        <v>5</v>
      </c>
      <c r="B47" s="163" t="s">
        <v>100</v>
      </c>
      <c r="C47" s="167">
        <f>'2024年'!C47</f>
        <v>44.75</v>
      </c>
      <c r="D47" s="167">
        <f>'2024年'!D47</f>
        <v>0</v>
      </c>
      <c r="E47" s="167">
        <f>'2024年'!E47</f>
        <v>0</v>
      </c>
      <c r="F47" s="167">
        <f>'2024年'!F47</f>
        <v>0</v>
      </c>
      <c r="G47" s="167"/>
      <c r="R47" s="163" t="s">
        <v>100</v>
      </c>
      <c r="AH47" s="163" t="s">
        <v>40</v>
      </c>
      <c r="AI47" s="163" t="s">
        <v>100</v>
      </c>
    </row>
    <row r="48" spans="1:35">
      <c r="A48" s="153" t="s">
        <v>93</v>
      </c>
      <c r="B48" s="157" t="s">
        <v>111</v>
      </c>
      <c r="C48" s="162">
        <f>C40-C43-C44-C45-C47-C46</f>
        <v>399.113333333333</v>
      </c>
      <c r="D48" s="162" t="e">
        <f t="shared" ref="D48:F48" si="31">D40-D43-D44-D45-D47-D46</f>
        <v>#DIV/0!</v>
      </c>
      <c r="E48" s="162" t="e">
        <f t="shared" si="31"/>
        <v>#DIV/0!</v>
      </c>
      <c r="F48" s="162" t="e">
        <f t="shared" si="31"/>
        <v>#DIV/0!</v>
      </c>
      <c r="G48" s="162"/>
      <c r="R48" s="157" t="s">
        <v>111</v>
      </c>
      <c r="AH48" s="153" t="s">
        <v>110</v>
      </c>
      <c r="AI48" s="157" t="s">
        <v>111</v>
      </c>
    </row>
    <row r="51" spans="3:6">
      <c r="C51" s="168"/>
      <c r="D51" s="168"/>
      <c r="E51" s="168"/>
      <c r="F51" s="168"/>
    </row>
    <row r="54" spans="2:12">
      <c r="B54" s="2"/>
      <c r="C54" s="29"/>
      <c r="D54" s="29"/>
      <c r="E54" s="29"/>
      <c r="F54" s="29"/>
      <c r="G54" s="29"/>
      <c r="H54" s="2"/>
      <c r="I54" s="2"/>
      <c r="J54" s="2"/>
      <c r="K54" s="2"/>
      <c r="L54" s="2"/>
    </row>
    <row r="55" spans="2:12">
      <c r="B55" s="2"/>
      <c r="C55" s="29"/>
      <c r="D55" s="29"/>
      <c r="E55" s="29"/>
      <c r="F55" s="29"/>
      <c r="G55" s="29"/>
      <c r="H55" s="2"/>
      <c r="I55" s="2"/>
      <c r="J55" s="2"/>
      <c r="K55" s="2"/>
      <c r="L55" s="2"/>
    </row>
    <row r="56" spans="2:12">
      <c r="B56" s="2"/>
      <c r="C56" s="29"/>
      <c r="D56" s="29"/>
      <c r="E56" s="29"/>
      <c r="F56" s="29"/>
      <c r="G56" s="29"/>
      <c r="H56" s="2"/>
      <c r="I56" s="2"/>
      <c r="J56" s="2"/>
      <c r="K56" s="2"/>
      <c r="L56" s="2"/>
    </row>
    <row r="57" spans="2:12">
      <c r="B57" s="2"/>
      <c r="C57" s="29"/>
      <c r="D57" s="29"/>
      <c r="E57" s="29"/>
      <c r="F57" s="29"/>
      <c r="G57" s="29"/>
      <c r="H57" s="2"/>
      <c r="I57" s="2"/>
      <c r="J57" s="2"/>
      <c r="K57" s="2"/>
      <c r="L57" s="2"/>
    </row>
    <row r="58" spans="2:12">
      <c r="B58" s="2"/>
      <c r="C58" s="29"/>
      <c r="D58" s="29"/>
      <c r="E58" s="29"/>
      <c r="F58" s="29"/>
      <c r="G58" s="29"/>
      <c r="H58" s="2"/>
      <c r="I58" s="2"/>
      <c r="J58" s="2"/>
      <c r="K58" s="2"/>
      <c r="L58" s="2"/>
    </row>
    <row r="59" spans="2:12">
      <c r="B59" s="2"/>
      <c r="C59" s="29"/>
      <c r="D59" s="29"/>
      <c r="E59" s="29"/>
      <c r="F59" s="29"/>
      <c r="G59" s="29"/>
      <c r="H59" s="2"/>
      <c r="I59" s="2"/>
      <c r="J59" s="2"/>
      <c r="K59" s="2"/>
      <c r="L59" s="2"/>
    </row>
    <row r="60" spans="2:12">
      <c r="B60" s="2"/>
      <c r="C60" s="29"/>
      <c r="D60" s="29"/>
      <c r="E60" s="29"/>
      <c r="F60" s="29"/>
      <c r="G60" s="29"/>
      <c r="H60" s="2"/>
      <c r="I60" s="2"/>
      <c r="J60" s="2"/>
      <c r="K60" s="2"/>
      <c r="L60" s="2"/>
    </row>
    <row r="61" spans="2:12">
      <c r="B61" s="2"/>
      <c r="C61" s="29"/>
      <c r="D61" s="29"/>
      <c r="E61" s="29"/>
      <c r="F61" s="29"/>
      <c r="G61" s="29"/>
      <c r="H61" s="2"/>
      <c r="I61" s="2"/>
      <c r="J61" s="2"/>
      <c r="K61" s="2"/>
      <c r="L61" s="2"/>
    </row>
    <row r="62" spans="2:12">
      <c r="B62" s="2"/>
      <c r="C62" s="29"/>
      <c r="D62" s="29"/>
      <c r="E62" s="29"/>
      <c r="F62" s="29"/>
      <c r="G62" s="29"/>
      <c r="H62" s="2"/>
      <c r="I62" s="2"/>
      <c r="J62" s="2"/>
      <c r="K62" s="2"/>
      <c r="L62" s="2"/>
    </row>
    <row r="63" spans="2:12">
      <c r="B63" s="2"/>
      <c r="C63" s="29"/>
      <c r="D63" s="29"/>
      <c r="E63" s="29"/>
      <c r="F63" s="29"/>
      <c r="G63" s="29"/>
      <c r="H63" s="2"/>
      <c r="I63" s="2"/>
      <c r="J63" s="2"/>
      <c r="K63" s="2"/>
      <c r="L63" s="2"/>
    </row>
    <row r="64" spans="2:12">
      <c r="B64" s="2"/>
      <c r="C64" s="29"/>
      <c r="D64" s="29"/>
      <c r="E64" s="29"/>
      <c r="F64" s="29"/>
      <c r="G64" s="29"/>
      <c r="H64" s="2"/>
      <c r="I64" s="2"/>
      <c r="J64" s="2"/>
      <c r="K64" s="2"/>
      <c r="L64" s="2"/>
    </row>
    <row r="65" spans="2:12">
      <c r="B65" s="2"/>
      <c r="C65" s="29"/>
      <c r="D65" s="29"/>
      <c r="E65" s="29"/>
      <c r="F65" s="29"/>
      <c r="G65" s="29"/>
      <c r="H65" s="2"/>
      <c r="I65" s="2"/>
      <c r="J65" s="2"/>
      <c r="K65" s="2"/>
      <c r="L65" s="2"/>
    </row>
    <row r="66" spans="2:12">
      <c r="B66" s="2"/>
      <c r="C66" s="29"/>
      <c r="D66" s="29"/>
      <c r="E66" s="29"/>
      <c r="F66" s="29"/>
      <c r="G66" s="29"/>
      <c r="H66" s="2"/>
      <c r="I66" s="2"/>
      <c r="J66" s="2"/>
      <c r="K66" s="2"/>
      <c r="L66" s="2"/>
    </row>
    <row r="67" spans="2:8">
      <c r="B67" s="2"/>
      <c r="C67" s="29"/>
      <c r="D67" s="29"/>
      <c r="E67" s="29"/>
      <c r="F67" s="29"/>
      <c r="G67" s="29"/>
      <c r="H67" s="2"/>
    </row>
    <row r="68" spans="2:8">
      <c r="B68" s="2"/>
      <c r="C68" s="29"/>
      <c r="D68" s="29"/>
      <c r="E68" s="29"/>
      <c r="F68" s="29"/>
      <c r="G68" s="29"/>
      <c r="H68" s="2"/>
    </row>
    <row r="69" spans="2:8">
      <c r="B69" s="2"/>
      <c r="C69" s="29"/>
      <c r="D69" s="29"/>
      <c r="E69" s="29"/>
      <c r="F69" s="29"/>
      <c r="G69" s="29"/>
      <c r="H69" s="2"/>
    </row>
    <row r="70" spans="2:8">
      <c r="B70" s="2"/>
      <c r="C70" s="29"/>
      <c r="D70" s="29"/>
      <c r="E70" s="29"/>
      <c r="F70" s="29"/>
      <c r="G70" s="29"/>
      <c r="H70" s="2"/>
    </row>
    <row r="71" spans="2:8">
      <c r="B71" s="2"/>
      <c r="C71" s="29"/>
      <c r="D71" s="29"/>
      <c r="E71" s="29"/>
      <c r="F71" s="29"/>
      <c r="G71" s="29"/>
      <c r="H71" s="2"/>
    </row>
    <row r="72" spans="2:8">
      <c r="B72" s="2"/>
      <c r="C72" s="29"/>
      <c r="D72" s="29"/>
      <c r="E72" s="29"/>
      <c r="F72" s="29"/>
      <c r="G72" s="29"/>
      <c r="H72" s="2"/>
    </row>
    <row r="73" spans="2:8">
      <c r="B73" s="2"/>
      <c r="C73" s="29"/>
      <c r="D73" s="29"/>
      <c r="E73" s="29"/>
      <c r="F73" s="29"/>
      <c r="G73" s="29"/>
      <c r="H73" s="2"/>
    </row>
    <row r="74" spans="2:8">
      <c r="B74" s="2"/>
      <c r="C74" s="29"/>
      <c r="D74" s="29"/>
      <c r="E74" s="29"/>
      <c r="F74" s="29"/>
      <c r="G74" s="29"/>
      <c r="H74" s="2"/>
    </row>
  </sheetData>
  <mergeCells count="8">
    <mergeCell ref="A1:B1"/>
    <mergeCell ref="C1:G1"/>
    <mergeCell ref="A2:B2"/>
    <mergeCell ref="C2:G2"/>
    <mergeCell ref="A3:B3"/>
    <mergeCell ref="A4:B4"/>
    <mergeCell ref="A5:B5"/>
    <mergeCell ref="G3:G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pane xSplit="6" ySplit="2" topLeftCell="G18" activePane="bottomRight" state="frozen"/>
      <selection/>
      <selection pane="topRight"/>
      <selection pane="bottomLeft"/>
      <selection pane="bottomRight" activeCell="I30" sqref="I30"/>
    </sheetView>
  </sheetViews>
  <sheetFormatPr defaultColWidth="9" defaultRowHeight="14"/>
  <cols>
    <col min="1" max="1" width="20.6272727272727" customWidth="1"/>
    <col min="2" max="2" width="14.2545454545455" style="96" customWidth="1"/>
    <col min="3" max="3" width="13.1272727272727" customWidth="1"/>
    <col min="4" max="6" width="14.5" customWidth="1"/>
    <col min="7" max="7" width="16.3727272727273" customWidth="1"/>
    <col min="8" max="8" width="14.8727272727273" customWidth="1"/>
    <col min="9" max="9" width="18.5" customWidth="1"/>
    <col min="10" max="10" width="14.1272727272727" customWidth="1"/>
    <col min="12" max="12" width="12" customWidth="1"/>
  </cols>
  <sheetData>
    <row r="1" ht="21" spans="1:8">
      <c r="A1" s="97" t="s">
        <v>168</v>
      </c>
      <c r="B1" s="97"/>
      <c r="C1" s="97"/>
      <c r="E1" s="98" t="s">
        <v>169</v>
      </c>
      <c r="F1" s="99"/>
      <c r="G1" s="99"/>
      <c r="H1" s="100"/>
    </row>
    <row r="2" ht="23.45" customHeight="1" spans="1:8">
      <c r="A2" s="101" t="s">
        <v>1</v>
      </c>
      <c r="B2" s="102" t="s">
        <v>170</v>
      </c>
      <c r="C2" s="103" t="s">
        <v>171</v>
      </c>
      <c r="E2" s="104" t="s">
        <v>172</v>
      </c>
      <c r="F2" s="104" t="s">
        <v>1</v>
      </c>
      <c r="G2" s="105" t="s">
        <v>173</v>
      </c>
      <c r="H2" s="104" t="s">
        <v>171</v>
      </c>
    </row>
    <row r="3" ht="15.75" customHeight="1" spans="1:8">
      <c r="A3" s="106" t="s">
        <v>174</v>
      </c>
      <c r="B3" s="107"/>
      <c r="C3" s="108"/>
      <c r="E3" s="109" t="s">
        <v>175</v>
      </c>
      <c r="F3" s="110" t="s">
        <v>176</v>
      </c>
      <c r="G3" s="111"/>
      <c r="H3" s="112"/>
    </row>
    <row r="4" ht="15.75" customHeight="1" spans="1:8">
      <c r="A4" s="106" t="s">
        <v>177</v>
      </c>
      <c r="B4" s="107"/>
      <c r="C4" s="113"/>
      <c r="E4" s="114"/>
      <c r="F4" s="110" t="s">
        <v>178</v>
      </c>
      <c r="G4" s="111"/>
      <c r="H4" s="112"/>
    </row>
    <row r="5" ht="15.75" customHeight="1" spans="1:8">
      <c r="A5" s="106" t="s">
        <v>179</v>
      </c>
      <c r="B5" s="115">
        <f>SUM(G3:G4)</f>
        <v>0</v>
      </c>
      <c r="C5" s="108"/>
      <c r="E5" s="116" t="s">
        <v>180</v>
      </c>
      <c r="F5" s="117" t="s">
        <v>181</v>
      </c>
      <c r="G5" s="111">
        <v>2</v>
      </c>
      <c r="H5" s="118"/>
    </row>
    <row r="6" ht="15.75" customHeight="1" spans="1:8">
      <c r="A6" s="106" t="s">
        <v>182</v>
      </c>
      <c r="B6" s="107"/>
      <c r="C6" s="108"/>
      <c r="E6" s="119"/>
      <c r="F6" s="117" t="s">
        <v>183</v>
      </c>
      <c r="G6" s="111">
        <v>6</v>
      </c>
      <c r="H6" s="112"/>
    </row>
    <row r="7" ht="15.75" customHeight="1" spans="1:8">
      <c r="A7" s="120" t="s">
        <v>184</v>
      </c>
      <c r="B7" s="115">
        <f>SUM(B3:B6)</f>
        <v>0</v>
      </c>
      <c r="C7" s="108"/>
      <c r="E7" s="119"/>
      <c r="F7" s="117" t="s">
        <v>185</v>
      </c>
      <c r="G7" s="111">
        <v>7</v>
      </c>
      <c r="H7" s="112"/>
    </row>
    <row r="8" ht="15.75" customHeight="1" spans="1:8">
      <c r="A8" s="121" t="s">
        <v>186</v>
      </c>
      <c r="B8" s="115">
        <f>SUM(G5:G12)</f>
        <v>17</v>
      </c>
      <c r="C8" s="122"/>
      <c r="E8" s="119"/>
      <c r="F8" s="117" t="s">
        <v>187</v>
      </c>
      <c r="G8" s="111"/>
      <c r="H8" s="112"/>
    </row>
    <row r="9" ht="15.75" customHeight="1" spans="1:8">
      <c r="A9" s="106" t="s">
        <v>188</v>
      </c>
      <c r="B9" s="115">
        <f>SUM(G13:G21)</f>
        <v>15.5</v>
      </c>
      <c r="C9" s="108"/>
      <c r="E9" s="119"/>
      <c r="F9" s="110" t="s">
        <v>189</v>
      </c>
      <c r="G9" s="111">
        <v>2</v>
      </c>
      <c r="H9" s="112"/>
    </row>
    <row r="10" ht="15.75" customHeight="1" spans="1:8">
      <c r="A10" s="113" t="s">
        <v>28</v>
      </c>
      <c r="B10" s="115">
        <f>B7+B8+B9</f>
        <v>32.5</v>
      </c>
      <c r="C10" s="108"/>
      <c r="E10" s="119"/>
      <c r="F10" s="110" t="s">
        <v>190</v>
      </c>
      <c r="G10" s="123"/>
      <c r="H10" s="112"/>
    </row>
    <row r="11" ht="15.75" customHeight="1" spans="5:8">
      <c r="E11" s="119"/>
      <c r="F11" s="110" t="s">
        <v>191</v>
      </c>
      <c r="G11" s="123"/>
      <c r="H11" s="112"/>
    </row>
    <row r="12" ht="15.75" customHeight="1" spans="5:8">
      <c r="E12" s="124"/>
      <c r="F12" s="110" t="s">
        <v>192</v>
      </c>
      <c r="G12" s="111"/>
      <c r="H12" s="112"/>
    </row>
    <row r="13" ht="15.75" customHeight="1" spans="5:8">
      <c r="E13" s="109" t="s">
        <v>60</v>
      </c>
      <c r="F13" s="110" t="s">
        <v>193</v>
      </c>
      <c r="G13" s="125"/>
      <c r="H13" s="126"/>
    </row>
    <row r="14" ht="15.75" customHeight="1" spans="5:8">
      <c r="E14" s="114"/>
      <c r="F14" s="110" t="s">
        <v>194</v>
      </c>
      <c r="G14" s="125">
        <v>2</v>
      </c>
      <c r="H14" s="112"/>
    </row>
    <row r="15" ht="15.75" customHeight="1" spans="5:8">
      <c r="E15" s="114"/>
      <c r="F15" s="110" t="s">
        <v>195</v>
      </c>
      <c r="G15" s="125"/>
      <c r="H15" s="112"/>
    </row>
    <row r="16" ht="15.75" customHeight="1" spans="5:8">
      <c r="E16" s="114"/>
      <c r="F16" s="110" t="s">
        <v>196</v>
      </c>
      <c r="G16" s="125">
        <v>1.5</v>
      </c>
      <c r="H16" s="112"/>
    </row>
    <row r="17" ht="15.75" customHeight="1" spans="5:8">
      <c r="E17" s="114"/>
      <c r="F17" s="110" t="s">
        <v>197</v>
      </c>
      <c r="G17" s="125">
        <v>2</v>
      </c>
      <c r="H17" s="112"/>
    </row>
    <row r="18" ht="23" customHeight="1" spans="5:8">
      <c r="E18" s="114"/>
      <c r="F18" s="110" t="s">
        <v>198</v>
      </c>
      <c r="G18" s="125">
        <v>1</v>
      </c>
      <c r="H18" s="127" t="s">
        <v>199</v>
      </c>
    </row>
    <row r="19" ht="15.75" customHeight="1" spans="5:8">
      <c r="E19" s="114"/>
      <c r="F19" s="110" t="s">
        <v>200</v>
      </c>
      <c r="G19" s="125">
        <v>9</v>
      </c>
      <c r="H19" s="128" t="s">
        <v>201</v>
      </c>
    </row>
    <row r="20" ht="15.75" customHeight="1" spans="5:8">
      <c r="E20" s="114"/>
      <c r="F20" s="110" t="s">
        <v>202</v>
      </c>
      <c r="G20" s="125"/>
      <c r="H20" s="112"/>
    </row>
    <row r="21" ht="15.75" customHeight="1" spans="5:8">
      <c r="E21" s="129"/>
      <c r="F21" s="110" t="s">
        <v>139</v>
      </c>
      <c r="G21" s="125"/>
      <c r="H21" s="112"/>
    </row>
    <row r="22" ht="15.75" customHeight="1" spans="5:8">
      <c r="E22" s="104" t="s">
        <v>28</v>
      </c>
      <c r="F22" s="110"/>
      <c r="G22" s="130">
        <f>SUM(G3:G21)</f>
        <v>32.5</v>
      </c>
      <c r="H22" s="110"/>
    </row>
    <row r="23" ht="30.75" customHeight="1" spans="5:8">
      <c r="E23" s="131" t="s">
        <v>203</v>
      </c>
      <c r="F23" s="131"/>
      <c r="G23" s="131"/>
      <c r="H23" s="131"/>
    </row>
    <row r="25" ht="16.5" spans="1:10">
      <c r="A25" s="77" t="s">
        <v>1</v>
      </c>
      <c r="B25" s="77" t="s">
        <v>170</v>
      </c>
      <c r="C25" s="77" t="s">
        <v>204</v>
      </c>
      <c r="D25" s="86" t="s">
        <v>205</v>
      </c>
      <c r="E25" s="86" t="s">
        <v>206</v>
      </c>
      <c r="F25" s="86" t="s">
        <v>207</v>
      </c>
      <c r="G25" s="86" t="s">
        <v>208</v>
      </c>
      <c r="H25" s="86" t="s">
        <v>209</v>
      </c>
      <c r="I25" s="86" t="s">
        <v>28</v>
      </c>
      <c r="J25" s="138" t="s">
        <v>210</v>
      </c>
    </row>
    <row r="26" ht="16.5" spans="1:10">
      <c r="A26" s="132" t="s">
        <v>159</v>
      </c>
      <c r="B26" s="133">
        <f>(B5+B8)*10000</f>
        <v>170000</v>
      </c>
      <c r="C26" s="134">
        <v>0.05</v>
      </c>
      <c r="D26" s="60">
        <f>B26*(1-C26)/5</f>
        <v>32300</v>
      </c>
      <c r="E26" s="60">
        <f t="shared" ref="E26:F27" si="0">D26</f>
        <v>32300</v>
      </c>
      <c r="F26" s="60">
        <f t="shared" si="0"/>
        <v>32300</v>
      </c>
      <c r="G26" s="60">
        <f>F26</f>
        <v>32300</v>
      </c>
      <c r="H26" s="60">
        <f>G26</f>
        <v>32300</v>
      </c>
      <c r="I26" s="60">
        <f>SUM(D26:H26)</f>
        <v>161500</v>
      </c>
      <c r="J26" s="60">
        <f>B26*0.05</f>
        <v>8500</v>
      </c>
    </row>
    <row r="27" ht="16.5" spans="1:10">
      <c r="A27" s="132" t="s">
        <v>211</v>
      </c>
      <c r="B27" s="133">
        <f>B9*10000</f>
        <v>155000</v>
      </c>
      <c r="C27" s="60"/>
      <c r="D27" s="60">
        <f>B27/5</f>
        <v>31000</v>
      </c>
      <c r="E27" s="60">
        <f>D27</f>
        <v>31000</v>
      </c>
      <c r="F27" s="60">
        <f t="shared" si="0"/>
        <v>31000</v>
      </c>
      <c r="G27" s="60">
        <f t="shared" ref="G27:H27" si="1">F27</f>
        <v>31000</v>
      </c>
      <c r="H27" s="60">
        <f t="shared" si="1"/>
        <v>31000</v>
      </c>
      <c r="I27" s="60">
        <f>SUM(D27:H27)</f>
        <v>155000</v>
      </c>
      <c r="J27" s="60"/>
    </row>
    <row r="28" ht="16.5" spans="1:10">
      <c r="A28" s="135" t="s">
        <v>119</v>
      </c>
      <c r="B28" s="136"/>
      <c r="C28" s="137"/>
      <c r="D28" s="60">
        <f>SUM(D26:D27)</f>
        <v>63300</v>
      </c>
      <c r="E28" s="60">
        <f t="shared" ref="E28:H28" si="2">SUM(E26:E27)</f>
        <v>63300</v>
      </c>
      <c r="F28" s="60">
        <f t="shared" si="2"/>
        <v>63300</v>
      </c>
      <c r="G28" s="60">
        <f t="shared" si="2"/>
        <v>63300</v>
      </c>
      <c r="H28" s="60">
        <f t="shared" si="2"/>
        <v>63300</v>
      </c>
      <c r="I28" s="139"/>
      <c r="J28" s="139"/>
    </row>
  </sheetData>
  <mergeCells count="7">
    <mergeCell ref="A1:C1"/>
    <mergeCell ref="E1:H1"/>
    <mergeCell ref="E23:H23"/>
    <mergeCell ref="A28:C28"/>
    <mergeCell ref="E3:E4"/>
    <mergeCell ref="E5:E12"/>
    <mergeCell ref="E13:E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假设条件</vt:lpstr>
      <vt:lpstr>损益表</vt:lpstr>
      <vt:lpstr>现金</vt:lpstr>
      <vt:lpstr>2024年</vt:lpstr>
      <vt:lpstr>2025年</vt:lpstr>
      <vt:lpstr>2026年</vt:lpstr>
      <vt:lpstr>2027年</vt:lpstr>
      <vt:lpstr>2028年</vt:lpstr>
      <vt:lpstr>项目投资</vt:lpstr>
      <vt:lpstr>销量</vt:lpstr>
      <vt:lpstr>材料成本</vt:lpstr>
      <vt:lpstr>其他</vt:lpstr>
      <vt:lpstr>标准成本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Administrator</cp:lastModifiedBy>
  <dcterms:created xsi:type="dcterms:W3CDTF">2006-09-13T11:21:00Z</dcterms:created>
  <dcterms:modified xsi:type="dcterms:W3CDTF">2023-12-12T02:29:26Z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</Properties>
</file>