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安路普产品报价" sheetId="1" r:id="rId1"/>
  </sheets>
  <definedNames>
    <definedName name="_xlnm._FilterDatabase" localSheetId="0" hidden="1">安路普产品报价!$A$2:$W$167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<sst xmlns="http://schemas.openxmlformats.org/spreadsheetml/2006/main" count="850" uniqueCount="375">
  <si>
    <t>序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</si>
  <si>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</si>
  <si>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</si>
  <si>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</si>
  <si>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</si>
  <si>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</si>
  <si>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</si>
  <si>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</si>
  <si>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</si>
  <si>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</si>
  <si>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</si>
  <si>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</si>
  <si>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</si>
  <si>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</si>
  <si>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</si>
  <si>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</si>
  <si>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</si>
  <si>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</si>
  <si>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</si>
  <si>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</si>
  <si>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</si>
  <si>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</si>
  <si>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号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</si>
  <si>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</si>
  <si>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</si>
  <si>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</si>
  <si>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</si>
  <si>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</si>
  <si>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</si>
  <si>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</si>
  <si>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</si>
  <si>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</si>
  <si>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</si>
  <si>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</si>
  <si>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</si>
  <si>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</si>
  <si>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</si>
  <si>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</si>
  <si>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</si>
  <si>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</si>
  <si>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</si>
  <si>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</si>
  <si>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</si>
  <si>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</si>
  <si>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</si>
  <si>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</si>
  <si>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</si>
  <si>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</si>
  <si>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</si>
  <si>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</si>
  <si>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</si>
  <si>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</si>
  <si>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</si>
  <si>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</si>
  <si>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</si>
  <si>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</si>
  <si>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</si>
  <si>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</si>
  <si>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</si>
  <si>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</si>
  <si>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</si>
  <si>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</si>
  <si>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</si>
  <si>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</si>
  <si>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BCL0010006</t>
  </si>
  <si>
    <t>气管卡扣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</si>
  <si>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</si>
  <si>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</si>
  <si>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</si>
  <si>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</si>
  <si>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</si>
  <si>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</si>
  <si>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</si>
  <si>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</si>
  <si>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</si>
  <si>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</si>
  <si>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</si>
  <si>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</si>
  <si>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</si>
  <si>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BPC0010169</t>
  </si>
  <si>
    <t>阀体外壳（四孔）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</si>
  <si>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</si>
  <si>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</si>
  <si>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</si>
  <si>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</si>
  <si>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</si>
  <si>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</si>
  <si>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</si>
  <si>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</si>
  <si>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</si>
  <si>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</si>
  <si>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</si>
  <si>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</si>
  <si>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</si>
  <si>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</si>
  <si>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</si>
  <si>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</si>
  <si>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</si>
  <si>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</si>
  <si>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</si>
  <si>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</si>
  <si>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</si>
  <si>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</si>
  <si>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</si>
  <si>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</si>
  <si>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</si>
  <si>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</si>
  <si>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</si>
  <si>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</si>
  <si>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</si>
  <si>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</si>
  <si>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SHT0011346</t>
  </si>
  <si>
    <t>底座线束插头固定塑料件1</t>
  </si>
  <si>
    <t>MA2000/700</t>
  </si>
  <si>
    <t>SHT0011618</t>
  </si>
  <si>
    <t>底座线束插头固定塑料件2</t>
  </si>
  <si>
    <t>SHT0010683</t>
  </si>
  <si>
    <t>腰托调节开关面板</t>
  </si>
  <si>
    <t>SHT0010877</t>
  </si>
  <si>
    <t>安全带高调解锁按钮限位块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</si>
  <si>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</si>
  <si>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</si>
  <si>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</si>
  <si>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</si>
  <si>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</si>
  <si>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</si>
  <si>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</si>
  <si>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</si>
  <si>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</si>
  <si>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</si>
  <si>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</si>
  <si>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</si>
  <si>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SHT0011552</t>
  </si>
  <si>
    <t>主驾速降开关按钮帽</t>
  </si>
  <si>
    <t>SHT0011578</t>
  </si>
  <si>
    <t>副驾速降开关按钮帽</t>
  </si>
  <si>
    <t>BPC0010065</t>
  </si>
  <si>
    <t>按钮外壳</t>
  </si>
  <si>
    <t>SHT0010807</t>
  </si>
  <si>
    <t>外绞架固定块A(水平减震）</t>
  </si>
  <si>
    <t>SHT0010808</t>
  </si>
  <si>
    <t>外绞架固定块B(水平减震）</t>
  </si>
  <si>
    <t>BAS0010006</t>
  </si>
  <si>
    <t>仰角连杆2塑料轴套</t>
  </si>
  <si>
    <t>PA6</t>
  </si>
  <si>
    <t>BAS0010007</t>
  </si>
  <si>
    <t>仰角连杆2塑料垫片</t>
  </si>
  <si>
    <t>SHT0010823</t>
  </si>
  <si>
    <t>水平减震挂钩导向塑料件</t>
  </si>
  <si>
    <t>SHT0010824</t>
  </si>
  <si>
    <t>水平减震挂钩轴套</t>
  </si>
  <si>
    <t>SHT0011210</t>
  </si>
  <si>
    <t>气囊上盖</t>
  </si>
  <si>
    <t>SHT0011211</t>
  </si>
  <si>
    <t>气囊下盖</t>
  </si>
  <si>
    <t>SHT0010202</t>
  </si>
  <si>
    <t>外绞架固定板</t>
  </si>
  <si>
    <t>SHT0010203</t>
  </si>
  <si>
    <t>内绞架固定板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</si>
  <si>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</si>
  <si>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</si>
  <si>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</si>
  <si>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</si>
  <si>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</si>
  <si>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</si>
  <si>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</si>
  <si>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</si>
  <si>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</si>
  <si>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</si>
  <si>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</si>
  <si>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</si>
  <si>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</si>
  <si>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</si>
  <si>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</si>
  <si>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</si>
  <si>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</si>
  <si>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SHT0011500</t>
  </si>
  <si>
    <t>变阻尼调节拉线支架</t>
  </si>
  <si>
    <t>SHT0011056</t>
  </si>
  <si>
    <t>阻尼拨杆连接塑料件</t>
  </si>
  <si>
    <t>SHT0011360</t>
  </si>
  <si>
    <t>侧翼塑料支撑板</t>
  </si>
  <si>
    <t>PP</t>
  </si>
  <si>
    <t>MA3000/1800G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</si>
  <si>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</si>
  <si>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</si>
  <si>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</si>
  <si>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</si>
  <si>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</si>
  <si>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</si>
  <si>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</si>
  <si>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</si>
  <si>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</si>
  <si>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</si>
  <si>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</si>
  <si>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</si>
  <si>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</si>
  <si>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</si>
  <si>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</si>
  <si>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</si>
  <si>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</si>
  <si>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</si>
  <si>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</si>
  <si>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</si>
  <si>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</si>
  <si>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</si>
  <si>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</si>
  <si>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</si>
  <si>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</si>
  <si>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</si>
  <si>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</si>
  <si>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</si>
  <si>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</si>
  <si>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</si>
  <si>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</si>
  <si>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</si>
  <si>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</si>
  <si>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</si>
  <si>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</si>
  <si>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</si>
  <si>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</si>
  <si>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</si>
  <si>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</si>
  <si>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</si>
  <si>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</si>
  <si>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</si>
  <si>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</si>
  <si>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</si>
  <si>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</si>
  <si>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</si>
  <si>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</si>
  <si>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</si>
  <si>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</si>
  <si>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</si>
  <si>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</si>
  <si>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</si>
  <si>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</si>
  <si>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</si>
  <si>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</si>
  <si>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</si>
  <si>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</si>
  <si>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</si>
  <si>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</si>
  <si>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</si>
  <si>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</si>
  <si>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</si>
  <si>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</si>
  <si>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</si>
  <si>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</si>
  <si>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</si>
  <si>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</si>
  <si>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</si>
  <si>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</si>
  <si>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</si>
  <si>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</si>
  <si>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</si>
  <si>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</si>
  <si>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</si>
  <si>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BPC0000082</t>
  </si>
  <si>
    <t>锁圈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</si>
  <si>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</si>
  <si>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</si>
  <si>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</si>
  <si>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</si>
  <si>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</si>
  <si>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</si>
  <si>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</si>
  <si>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</si>
  <si>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</si>
  <si>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</si>
  <si>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</si>
  <si>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</si>
  <si>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</si>
  <si>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</si>
  <si>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</si>
  <si>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</si>
  <si>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</si>
  <si>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</si>
  <si>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</si>
  <si>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</si>
  <si>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</si>
  <si>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</si>
  <si>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</si>
  <si>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</si>
  <si>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</si>
  <si>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</si>
  <si>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</si>
  <si>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</si>
  <si>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</si>
  <si>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</si>
  <si>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</si>
  <si>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</si>
  <si>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</si>
  <si>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</si>
  <si>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</si>
  <si>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</si>
  <si>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</si>
  <si>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</si>
  <si>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</si>
  <si>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</si>
  <si>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</si>
  <si>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</si>
  <si>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</si>
  <si>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</si>
  <si>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</si>
  <si>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</si>
  <si>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</si>
  <si>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</si>
  <si>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</si>
  <si>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</si>
  <si>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</si>
  <si>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</si>
  <si>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</si>
  <si>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</si>
  <si>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</si>
  <si>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</si>
  <si>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</si>
  <si>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</si>
  <si>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</si>
  <si>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</si>
  <si>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</si>
  <si>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</si>
  <si>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</si>
  <si>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</si>
  <si>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SHT0000354</t>
  </si>
  <si>
    <t>H4塑料旋转座</t>
  </si>
  <si>
    <t>PA6GF30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</si>
  <si>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</si>
  <si>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</si>
  <si>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</si>
  <si>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</si>
  <si>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</si>
  <si>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</si>
  <si>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</si>
  <si>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</si>
  <si>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</si>
  <si>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</si>
  <si>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SHT0010874</t>
  </si>
  <si>
    <t>驾驶员速降开关按钮帽</t>
  </si>
  <si>
    <t>SHT0010515</t>
  </si>
  <si>
    <t>X3000变阻尼接线支架</t>
  </si>
  <si>
    <t>SHT0010517</t>
  </si>
  <si>
    <t>X3000阻尼器变阻尼拨快</t>
  </si>
  <si>
    <t>SHT0010516</t>
  </si>
  <si>
    <t>X3000阻尼器弹簧保护架</t>
  </si>
  <si>
    <t>SHT0010811</t>
  </si>
  <si>
    <t>3.0滚轮</t>
  </si>
  <si>
    <t>MA2000/770G</t>
  </si>
  <si>
    <t>SHT0001187</t>
  </si>
  <si>
    <t>尼龙滚轮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</si>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</sst>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_ "/>
    <numFmt numFmtId="177" formatCode="0.0000_ "/>
    <numFmt numFmtId="178" formatCode="0.000_);[Red]\(0.000\)"/>
    <numFmt numFmtId="179" formatCode="0.00_);[Red]\(0.00\)"/>
    <numFmt numFmtId="180" formatCode="0.00000_);[Red]\(0.00000\)"/>
    <numFmt numFmtId="181" formatCode="0.0000_);[Red]\(0.0000\)"/>
    <numFmt numFmtId="182" formatCode="0_ "/>
    <numFmt numFmtId="183" formatCode="0_);[Red]\(0\)"/>
    <numFmt numFmtId="184" formatCode="_ * #,##0.00000_ ;_ * \-#,##0.00000_ ;_ * &quot;-&quot;??_ ;_ @_ "/>
    <numFmt numFmtId="185" formatCode="0.00_ "/>
    <numFmt numFmtId="186" formatCode="_ * #,##0.0000_ ;_ * \-#,##0.0000_ ;_ * &quot;-&quot;??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177" fontId="2" fillId="0" borderId="3" xfId="50" applyNumberFormat="1" applyFont="1" applyFill="1" applyBorder="1" applyAlignment="1">
      <alignment horizontal="center" vertical="center" wrapText="1"/>
    </xf>
    <xf numFmtId="180" fontId="1" fillId="0" borderId="3" xfId="0" applyNumberFormat="1" applyFont="1" applyFill="1" applyBorder="1">
      <alignment vertical="center"/>
    </xf>
    <xf numFmtId="181" fontId="1" fillId="0" borderId="3" xfId="0" applyNumberFormat="1" applyFont="1" applyFill="1" applyBorder="1">
      <alignment vertical="center"/>
    </xf>
    <xf numFmtId="9" fontId="2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3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182" fontId="1" fillId="0" borderId="3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182" fontId="1" fillId="0" borderId="3" xfId="0" applyNumberFormat="1" applyFont="1" applyFill="1" applyBorder="1" applyAlignment="1">
      <alignment horizontal="center" vertical="center" wrapText="1"/>
    </xf>
    <xf numFmtId="182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>
      <alignment vertical="center"/>
    </xf>
    <xf numFmtId="0" fontId="1" fillId="0" borderId="3" xfId="0" applyFont="1" applyFill="1" applyBorder="1" applyAlignment="1">
      <alignment vertical="center" shrinkToFit="1"/>
    </xf>
    <xf numFmtId="182" fontId="1" fillId="0" borderId="3" xfId="0" applyNumberFormat="1" applyFont="1" applyFill="1" applyBorder="1">
      <alignment vertical="center"/>
    </xf>
    <xf numFmtId="0" fontId="3" fillId="0" borderId="3" xfId="5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2" fillId="0" borderId="3" xfId="50" applyFont="1" applyFill="1" applyBorder="1" applyAlignment="1">
      <alignment horizontal="center" vertical="center"/>
    </xf>
    <xf numFmtId="183" fontId="2" fillId="0" borderId="3" xfId="50" applyNumberFormat="1" applyFont="1" applyFill="1" applyBorder="1" applyAlignment="1">
      <alignment horizontal="center" vertical="center" wrapText="1"/>
    </xf>
    <xf numFmtId="184" fontId="1" fillId="0" borderId="3" xfId="1" applyNumberFormat="1" applyFont="1" applyFill="1" applyBorder="1" applyAlignment="1">
      <alignment horizontal="center" vertical="center"/>
    </xf>
    <xf numFmtId="176" fontId="1" fillId="0" borderId="3" xfId="1" applyNumberFormat="1" applyFont="1" applyFill="1" applyBorder="1" applyAlignment="1">
      <alignment horizontal="center" vertical="center" wrapText="1"/>
    </xf>
    <xf numFmtId="177" fontId="1" fillId="0" borderId="3" xfId="1" applyNumberFormat="1" applyFont="1" applyFill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/>
    </xf>
    <xf numFmtId="177" fontId="1" fillId="0" borderId="3" xfId="1" applyNumberFormat="1" applyFont="1" applyFill="1" applyBorder="1" applyAlignment="1">
      <alignment horizontal="center" vertical="center"/>
    </xf>
    <xf numFmtId="185" fontId="2" fillId="0" borderId="3" xfId="50" applyNumberFormat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>
      <alignment vertical="center"/>
    </xf>
    <xf numFmtId="177" fontId="1" fillId="0" borderId="3" xfId="1" applyNumberFormat="1" applyFont="1" applyFill="1" applyBorder="1">
      <alignment vertical="center"/>
    </xf>
    <xf numFmtId="0" fontId="1" fillId="0" borderId="3" xfId="0" applyFont="1" applyFill="1" applyBorder="1">
      <alignment vertical="center"/>
    </xf>
    <xf numFmtId="176" fontId="1" fillId="0" borderId="3" xfId="1" applyNumberFormat="1" applyFont="1" applyFill="1" applyBorder="1" applyAlignment="1">
      <alignment vertical="center" wrapText="1"/>
    </xf>
    <xf numFmtId="186" fontId="1" fillId="0" borderId="3" xfId="1" applyNumberFormat="1" applyFont="1" applyFill="1" applyBorder="1">
      <alignment vertical="center"/>
    </xf>
    <xf numFmtId="43" fontId="1" fillId="0" borderId="3" xfId="1" applyFont="1" applyFill="1" applyBorder="1">
      <alignment vertical="center"/>
    </xf>
    <xf numFmtId="0" fontId="3" fillId="0" borderId="4" xfId="50" applyFont="1" applyFill="1" applyBorder="1" applyAlignment="1">
      <alignment horizontal="center" vertical="center" wrapText="1"/>
    </xf>
    <xf numFmtId="43" fontId="1" fillId="0" borderId="3" xfId="1" applyNumberFormat="1" applyFont="1" applyFill="1" applyBorder="1">
      <alignment vertic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185" fontId="3" fillId="0" borderId="3" xfId="5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常规 3 31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130175</xdr:colOff>
      <xdr:row>111</xdr:row>
      <xdr:rowOff>180340</xdr:rowOff>
    </xdr:from>
    <xdr:to>
      <xdr:col>17</xdr:col>
      <xdr:colOff>425450</xdr:colOff>
      <xdr:row>112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5445" y="23323550"/>
          <a:ext cx="295275" cy="118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7"/>
  <sheetViews>
    <sheetView tabSelected="1" topLeftCell="B1" workbookViewId="0">
      <selection activeCell="B1" sqref="$A1:$XFD1048576"/>
    </sheetView>
  </sheetViews>
  <sheetFormatPr defaultColWidth="8.89166666666667" defaultRowHeight="13.5"/>
  <cols>
    <col min="1" max="1" width="8.89166666666667" style="1"/>
    <col min="2" max="2" width="17.1083333333333" style="1" customWidth="1"/>
    <col min="3" max="3" width="18.4416666666667" style="1" customWidth="1"/>
    <col min="4" max="4" width="20" style="1" customWidth="1"/>
    <col min="5" max="5" width="8.89166666666667" style="1"/>
    <col min="6" max="6" width="9.66666666666667" style="1"/>
    <col min="7" max="8" width="10.775" style="1"/>
    <col min="9" max="9" width="8.89166666666667" style="1"/>
    <col min="10" max="10" width="11" style="1" customWidth="1"/>
    <col min="11" max="18" width="8.89166666666667" style="1"/>
    <col min="19" max="19" width="11.4416666666667" style="2"/>
    <col min="20" max="20" width="8.89166666666667" style="3"/>
    <col min="21" max="16384" width="8.89166666666667" style="1"/>
  </cols>
  <sheetData>
    <row r="1" s="1" customFormat="1" spans="1:23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/>
      <c r="G1" s="9" t="s">
        <v>5</v>
      </c>
      <c r="H1" s="10" t="s">
        <v>6</v>
      </c>
      <c r="I1" s="31" t="s">
        <v>7</v>
      </c>
      <c r="J1" s="32" t="s">
        <v>8</v>
      </c>
      <c r="K1" s="33" t="s">
        <v>9</v>
      </c>
      <c r="L1" s="34" t="s">
        <v>10</v>
      </c>
      <c r="M1" s="35" t="s">
        <v>11</v>
      </c>
      <c r="N1" s="6" t="s">
        <v>12</v>
      </c>
      <c r="O1" s="35" t="s">
        <v>13</v>
      </c>
      <c r="P1" s="35" t="s">
        <v>14</v>
      </c>
      <c r="Q1" s="9" t="s">
        <v>15</v>
      </c>
      <c r="R1" s="48" t="s">
        <v>16</v>
      </c>
      <c r="S1" s="49" t="s">
        <v>17</v>
      </c>
      <c r="T1" s="50" t="s">
        <v>18</v>
      </c>
      <c r="U1" s="51" t="s">
        <v>19</v>
      </c>
      <c r="V1" s="35" t="s">
        <v>20</v>
      </c>
      <c r="W1" s="6" t="s">
        <v>21</v>
      </c>
    </row>
    <row r="2" s="1" customFormat="1" spans="1:23">
      <c r="A2" s="11" t="s">
        <v>22</v>
      </c>
      <c r="B2" s="12"/>
      <c r="C2" s="13"/>
      <c r="D2" s="13"/>
      <c r="E2" s="7" t="s">
        <v>23</v>
      </c>
      <c r="F2" s="7" t="s">
        <v>24</v>
      </c>
      <c r="G2" s="14"/>
      <c r="H2" s="15"/>
      <c r="I2" s="36"/>
      <c r="J2" s="37"/>
      <c r="K2" s="38"/>
      <c r="L2" s="39"/>
      <c r="M2" s="40"/>
      <c r="N2" s="13"/>
      <c r="O2" s="40"/>
      <c r="P2" s="40"/>
      <c r="Q2" s="14"/>
      <c r="R2" s="48"/>
      <c r="S2" s="52"/>
      <c r="T2" s="53"/>
      <c r="U2" s="51"/>
      <c r="V2" s="40"/>
      <c r="W2" s="13"/>
    </row>
    <row r="3" s="1" customFormat="1" spans="1:23">
      <c r="A3" s="13">
        <v>1</v>
      </c>
      <c r="B3" s="16" t="s">
        <v>25</v>
      </c>
      <c r="C3" s="17" t="s">
        <v>26</v>
      </c>
      <c r="D3" s="18" t="s">
        <v>27</v>
      </c>
      <c r="E3" s="19">
        <f>5/1000</f>
        <v>0.005</v>
      </c>
      <c r="F3" s="20">
        <v>0.0055</v>
      </c>
      <c r="G3" s="21">
        <v>15.3097</v>
      </c>
      <c r="H3" s="22">
        <v>0.9</v>
      </c>
      <c r="I3" s="41">
        <f t="shared" ref="I3:I66" si="0">F3*G3/H3</f>
        <v>0.0935592777777778</v>
      </c>
      <c r="J3" s="42" t="s">
        <v>28</v>
      </c>
      <c r="K3" s="43">
        <v>55</v>
      </c>
      <c r="L3" s="43">
        <f t="shared" ref="L3:L66" si="1">3600/K3</f>
        <v>65.4545454545455</v>
      </c>
      <c r="M3" s="44">
        <v>1</v>
      </c>
      <c r="N3" s="45">
        <v>27.15</v>
      </c>
      <c r="O3" s="45">
        <v>0.76</v>
      </c>
      <c r="P3" s="45">
        <v>22.5</v>
      </c>
      <c r="Q3" s="41">
        <f t="shared" ref="Q3:Q66" si="2">P3/K3/M3</f>
        <v>0.409090909090909</v>
      </c>
      <c r="R3" s="54"/>
      <c r="S3" s="55">
        <f>0.0291/50+8.424/300</f>
        <v>0.028662</v>
      </c>
      <c r="T3" s="56">
        <v>0.0666666666666667</v>
      </c>
      <c r="U3" s="54"/>
      <c r="V3" s="41">
        <f>(I3+Q3+(N3*O3/K3/M3)/2)/H3*1.11+R3*1.03+S3+T3+U3</f>
        <v>0.946614806228956</v>
      </c>
      <c r="W3" s="57" t="s">
        <v>29</v>
      </c>
    </row>
    <row r="4" s="1" customFormat="1" spans="1:23">
      <c r="A4" s="13">
        <v>2</v>
      </c>
      <c r="B4" s="16" t="s">
        <v>30</v>
      </c>
      <c r="C4" s="17" t="s">
        <v>31</v>
      </c>
      <c r="D4" s="18" t="s">
        <v>27</v>
      </c>
      <c r="E4" s="19">
        <f t="shared" ref="E4:E8" si="3">1/1000</f>
        <v>0.001</v>
      </c>
      <c r="F4" s="20">
        <v>0.00108</v>
      </c>
      <c r="G4" s="21">
        <v>15.3097</v>
      </c>
      <c r="H4" s="22">
        <v>0.95</v>
      </c>
      <c r="I4" s="41">
        <f t="shared" si="0"/>
        <v>0.0174047115789474</v>
      </c>
      <c r="J4" s="42" t="s">
        <v>32</v>
      </c>
      <c r="K4" s="43">
        <v>65</v>
      </c>
      <c r="L4" s="43">
        <f t="shared" si="1"/>
        <v>55.3846153846154</v>
      </c>
      <c r="M4" s="44">
        <v>4</v>
      </c>
      <c r="N4" s="45">
        <v>20.2</v>
      </c>
      <c r="O4" s="45">
        <v>0.76</v>
      </c>
      <c r="P4" s="45">
        <v>22.5</v>
      </c>
      <c r="Q4" s="41">
        <f t="shared" si="2"/>
        <v>0.0865384615384615</v>
      </c>
      <c r="R4" s="54"/>
      <c r="S4" s="55">
        <f>0.0291/200+8.4124/1200</f>
        <v>0.00715583333333333</v>
      </c>
      <c r="T4" s="56">
        <v>0.0166666666666667</v>
      </c>
      <c r="U4" s="54"/>
      <c r="V4" s="41">
        <f>(I4+Q4+(N4*O4/K4/M4)/2)/H4*1.11+R4*1.03+S4+T4+U4</f>
        <v>0.179767276363094</v>
      </c>
      <c r="W4" s="57" t="s">
        <v>29</v>
      </c>
    </row>
    <row r="5" s="1" customFormat="1" spans="1:23">
      <c r="A5" s="13">
        <v>3</v>
      </c>
      <c r="B5" s="16" t="s">
        <v>33</v>
      </c>
      <c r="C5" s="17" t="s">
        <v>34</v>
      </c>
      <c r="D5" s="18" t="s">
        <v>27</v>
      </c>
      <c r="E5" s="19">
        <f>1.24/1000</f>
        <v>0.00124</v>
      </c>
      <c r="F5" s="20">
        <v>0.001426</v>
      </c>
      <c r="G5" s="21">
        <v>15.3097</v>
      </c>
      <c r="H5" s="22">
        <v>0.85</v>
      </c>
      <c r="I5" s="41">
        <f t="shared" si="0"/>
        <v>0.0256842731764706</v>
      </c>
      <c r="J5" s="42" t="s">
        <v>28</v>
      </c>
      <c r="K5" s="43">
        <v>55</v>
      </c>
      <c r="L5" s="43">
        <f t="shared" si="1"/>
        <v>65.4545454545455</v>
      </c>
      <c r="M5" s="44">
        <v>8</v>
      </c>
      <c r="N5" s="45">
        <v>27.15</v>
      </c>
      <c r="O5" s="45">
        <v>0.76</v>
      </c>
      <c r="P5" s="45">
        <v>22.5</v>
      </c>
      <c r="Q5" s="41">
        <f t="shared" si="2"/>
        <v>0.0511363636363636</v>
      </c>
      <c r="R5" s="54"/>
      <c r="S5" s="58">
        <f t="shared" ref="S5:S8" si="4">0.0291/500+8.4124/3000</f>
        <v>0.00286233333333333</v>
      </c>
      <c r="T5" s="56">
        <v>0.00666666666666667</v>
      </c>
      <c r="U5" s="54"/>
      <c r="V5" s="41">
        <f>(I5+Q5+(N5*O5/K5/M5)/2)/H5*1.11+R5*1.03+S5+T5+U5</f>
        <v>0.140467687217616</v>
      </c>
      <c r="W5" s="57" t="s">
        <v>29</v>
      </c>
    </row>
    <row r="6" s="1" customFormat="1" spans="1:23">
      <c r="A6" s="13">
        <v>4</v>
      </c>
      <c r="B6" s="16" t="s">
        <v>35</v>
      </c>
      <c r="C6" s="17" t="s">
        <v>36</v>
      </c>
      <c r="D6" s="23" t="s">
        <v>27</v>
      </c>
      <c r="E6" s="19">
        <f t="shared" si="3"/>
        <v>0.001</v>
      </c>
      <c r="F6" s="20">
        <v>0.00108</v>
      </c>
      <c r="G6" s="21">
        <v>15.3097</v>
      </c>
      <c r="H6" s="22">
        <v>0.95</v>
      </c>
      <c r="I6" s="41">
        <f t="shared" si="0"/>
        <v>0.0174047115789474</v>
      </c>
      <c r="J6" s="42" t="s">
        <v>32</v>
      </c>
      <c r="K6" s="43">
        <v>65</v>
      </c>
      <c r="L6" s="43">
        <f t="shared" si="1"/>
        <v>55.3846153846154</v>
      </c>
      <c r="M6" s="44">
        <v>8</v>
      </c>
      <c r="N6" s="45">
        <v>20.2</v>
      </c>
      <c r="O6" s="45">
        <v>0.76</v>
      </c>
      <c r="P6" s="45">
        <v>22.5</v>
      </c>
      <c r="Q6" s="41">
        <f t="shared" si="2"/>
        <v>0.0432692307692308</v>
      </c>
      <c r="R6" s="54"/>
      <c r="S6" s="58">
        <f t="shared" si="4"/>
        <v>0.00286233333333333</v>
      </c>
      <c r="T6" s="56">
        <v>0.00666666666666667</v>
      </c>
      <c r="U6" s="54"/>
      <c r="V6" s="41">
        <f t="shared" ref="V6:V37" si="5">(I6+Q6+(N6*O6/K6/M6)/2)/H6*1.11+R6*1.03+S6+T6+U6</f>
        <v>0.0976694038934584</v>
      </c>
      <c r="W6" s="57" t="s">
        <v>29</v>
      </c>
    </row>
    <row r="7" s="1" customFormat="1" spans="1:23">
      <c r="A7" s="13">
        <v>5</v>
      </c>
      <c r="B7" s="16" t="s">
        <v>37</v>
      </c>
      <c r="C7" s="17" t="s">
        <v>38</v>
      </c>
      <c r="D7" s="18" t="s">
        <v>27</v>
      </c>
      <c r="E7" s="19">
        <f>2/1000</f>
        <v>0.002</v>
      </c>
      <c r="F7" s="20">
        <v>0.00216</v>
      </c>
      <c r="G7" s="21">
        <v>15.3097</v>
      </c>
      <c r="H7" s="22">
        <v>0.95</v>
      </c>
      <c r="I7" s="41">
        <f t="shared" si="0"/>
        <v>0.0348094231578947</v>
      </c>
      <c r="J7" s="46" t="s">
        <v>39</v>
      </c>
      <c r="K7" s="43">
        <v>65</v>
      </c>
      <c r="L7" s="43">
        <f t="shared" si="1"/>
        <v>55.3846153846154</v>
      </c>
      <c r="M7" s="44">
        <v>2</v>
      </c>
      <c r="N7" s="45">
        <v>17.41</v>
      </c>
      <c r="O7" s="45">
        <v>0.76</v>
      </c>
      <c r="P7" s="45">
        <v>22.5</v>
      </c>
      <c r="Q7" s="41">
        <f t="shared" si="2"/>
        <v>0.173076923076923</v>
      </c>
      <c r="R7" s="54"/>
      <c r="S7" s="58">
        <f t="shared" si="4"/>
        <v>0.00286233333333333</v>
      </c>
      <c r="T7" s="56">
        <v>0.00666666666666667</v>
      </c>
      <c r="U7" s="54"/>
      <c r="V7" s="41">
        <f t="shared" si="5"/>
        <v>0.311889629649265</v>
      </c>
      <c r="W7" s="57" t="s">
        <v>29</v>
      </c>
    </row>
    <row r="8" s="1" customFormat="1" spans="1:23">
      <c r="A8" s="13">
        <v>6</v>
      </c>
      <c r="B8" s="16" t="s">
        <v>40</v>
      </c>
      <c r="C8" s="17" t="s">
        <v>41</v>
      </c>
      <c r="D8" s="18" t="s">
        <v>27</v>
      </c>
      <c r="E8" s="19">
        <f t="shared" si="3"/>
        <v>0.001</v>
      </c>
      <c r="F8" s="20">
        <v>0.00108</v>
      </c>
      <c r="G8" s="21">
        <v>15.3097</v>
      </c>
      <c r="H8" s="22">
        <v>0.95</v>
      </c>
      <c r="I8" s="41">
        <f t="shared" si="0"/>
        <v>0.0174047115789474</v>
      </c>
      <c r="J8" s="46" t="s">
        <v>39</v>
      </c>
      <c r="K8" s="43">
        <v>65</v>
      </c>
      <c r="L8" s="43">
        <f t="shared" si="1"/>
        <v>55.3846153846154</v>
      </c>
      <c r="M8" s="44">
        <v>2</v>
      </c>
      <c r="N8" s="45">
        <v>17.41</v>
      </c>
      <c r="O8" s="45">
        <v>0.76</v>
      </c>
      <c r="P8" s="45">
        <v>22.5</v>
      </c>
      <c r="Q8" s="41">
        <f t="shared" si="2"/>
        <v>0.173076923076923</v>
      </c>
      <c r="R8" s="54"/>
      <c r="S8" s="58">
        <f t="shared" si="4"/>
        <v>0.00286233333333333</v>
      </c>
      <c r="T8" s="56">
        <v>0.00666666666666667</v>
      </c>
      <c r="U8" s="54"/>
      <c r="V8" s="41">
        <f t="shared" si="5"/>
        <v>0.291553598225442</v>
      </c>
      <c r="W8" s="57" t="s">
        <v>29</v>
      </c>
    </row>
    <row r="9" s="1" customFormat="1" spans="1:23">
      <c r="A9" s="13">
        <v>7</v>
      </c>
      <c r="B9" s="24" t="s">
        <v>42</v>
      </c>
      <c r="C9" s="24" t="s">
        <v>43</v>
      </c>
      <c r="D9" s="18" t="s">
        <v>44</v>
      </c>
      <c r="E9" s="19">
        <f>12/1000</f>
        <v>0.012</v>
      </c>
      <c r="F9" s="20">
        <v>0.0126</v>
      </c>
      <c r="G9" s="21">
        <v>18.5841</v>
      </c>
      <c r="H9" s="22">
        <v>0.96</v>
      </c>
      <c r="I9" s="41">
        <f t="shared" si="0"/>
        <v>0.2439163125</v>
      </c>
      <c r="J9" s="42" t="s">
        <v>28</v>
      </c>
      <c r="K9" s="43">
        <v>51</v>
      </c>
      <c r="L9" s="43">
        <f t="shared" si="1"/>
        <v>70.5882352941177</v>
      </c>
      <c r="M9" s="44">
        <v>2</v>
      </c>
      <c r="N9" s="45">
        <v>27.15</v>
      </c>
      <c r="O9" s="45">
        <v>0.76</v>
      </c>
      <c r="P9" s="45">
        <v>22.5</v>
      </c>
      <c r="Q9" s="41">
        <f t="shared" si="2"/>
        <v>0.220588235294118</v>
      </c>
      <c r="R9" s="54"/>
      <c r="S9" s="58">
        <f>0.0291/100+8.4124/600</f>
        <v>0.0143116666666667</v>
      </c>
      <c r="T9" s="56">
        <v>0.0333333333333333</v>
      </c>
      <c r="U9" s="54">
        <v>0.3</v>
      </c>
      <c r="V9" s="41">
        <f t="shared" si="5"/>
        <v>1.00167967015165</v>
      </c>
      <c r="W9" s="57" t="s">
        <v>29</v>
      </c>
    </row>
    <row r="10" s="1" customFormat="1" spans="1:23">
      <c r="A10" s="13">
        <v>8</v>
      </c>
      <c r="B10" s="24" t="s">
        <v>45</v>
      </c>
      <c r="C10" s="24" t="s">
        <v>46</v>
      </c>
      <c r="D10" s="18" t="s">
        <v>44</v>
      </c>
      <c r="E10" s="19">
        <f>17/1000</f>
        <v>0.017</v>
      </c>
      <c r="F10" s="20">
        <v>0.01785</v>
      </c>
      <c r="G10" s="21">
        <v>18.5841</v>
      </c>
      <c r="H10" s="22">
        <v>0.96</v>
      </c>
      <c r="I10" s="41">
        <f t="shared" si="0"/>
        <v>0.345548109375</v>
      </c>
      <c r="J10" s="42" t="s">
        <v>28</v>
      </c>
      <c r="K10" s="43">
        <v>51</v>
      </c>
      <c r="L10" s="43">
        <f t="shared" si="1"/>
        <v>70.5882352941177</v>
      </c>
      <c r="M10" s="44">
        <v>2</v>
      </c>
      <c r="N10" s="45">
        <v>27.15</v>
      </c>
      <c r="O10" s="45">
        <v>0.76</v>
      </c>
      <c r="P10" s="45">
        <v>22.5</v>
      </c>
      <c r="Q10" s="41">
        <f t="shared" si="2"/>
        <v>0.220588235294118</v>
      </c>
      <c r="R10" s="54"/>
      <c r="S10" s="55">
        <f>0.0291/50+8.4124/300</f>
        <v>0.0286233333333333</v>
      </c>
      <c r="T10" s="56">
        <v>0.0666666666666667</v>
      </c>
      <c r="U10" s="54"/>
      <c r="V10" s="41">
        <f t="shared" si="5"/>
        <v>0.866836435288373</v>
      </c>
      <c r="W10" s="57" t="s">
        <v>29</v>
      </c>
    </row>
    <row r="11" s="1" customFormat="1" spans="1:23">
      <c r="A11" s="13">
        <v>9</v>
      </c>
      <c r="B11" s="16" t="s">
        <v>47</v>
      </c>
      <c r="C11" s="17" t="s">
        <v>48</v>
      </c>
      <c r="D11" s="23" t="s">
        <v>49</v>
      </c>
      <c r="E11" s="19"/>
      <c r="F11" s="20">
        <v>0.0013625</v>
      </c>
      <c r="G11" s="21">
        <v>21.2389</v>
      </c>
      <c r="H11" s="22">
        <v>0.98</v>
      </c>
      <c r="I11" s="41">
        <f t="shared" si="0"/>
        <v>0.0295285727040816</v>
      </c>
      <c r="J11" s="42" t="s">
        <v>50</v>
      </c>
      <c r="K11" s="43">
        <v>51</v>
      </c>
      <c r="L11" s="43">
        <f t="shared" si="1"/>
        <v>70.5882352941177</v>
      </c>
      <c r="M11" s="44">
        <v>2</v>
      </c>
      <c r="N11" s="45">
        <v>48.5</v>
      </c>
      <c r="O11" s="45">
        <v>0.76</v>
      </c>
      <c r="P11" s="45">
        <v>22.5</v>
      </c>
      <c r="Q11" s="41">
        <f t="shared" si="2"/>
        <v>0.220588235294118</v>
      </c>
      <c r="R11" s="54"/>
      <c r="S11" s="55">
        <f>0.0131/200+8.4124/2000</f>
        <v>0.0042717</v>
      </c>
      <c r="T11" s="56">
        <v>0.01</v>
      </c>
      <c r="U11" s="54"/>
      <c r="V11" s="41">
        <f t="shared" si="5"/>
        <v>0.502222130187636</v>
      </c>
      <c r="W11" s="57" t="s">
        <v>29</v>
      </c>
    </row>
    <row r="12" s="1" customFormat="1" spans="1:23">
      <c r="A12" s="13">
        <v>10</v>
      </c>
      <c r="B12" s="25" t="s">
        <v>51</v>
      </c>
      <c r="C12" s="25" t="s">
        <v>52</v>
      </c>
      <c r="D12" s="23" t="s">
        <v>49</v>
      </c>
      <c r="E12" s="19"/>
      <c r="F12" s="20">
        <v>0.0013625</v>
      </c>
      <c r="G12" s="21">
        <v>21.2389</v>
      </c>
      <c r="H12" s="22">
        <v>0.98</v>
      </c>
      <c r="I12" s="41">
        <f t="shared" si="0"/>
        <v>0.0295285727040816</v>
      </c>
      <c r="J12" s="42" t="s">
        <v>50</v>
      </c>
      <c r="K12" s="43">
        <v>51</v>
      </c>
      <c r="L12" s="43">
        <f t="shared" si="1"/>
        <v>70.5882352941177</v>
      </c>
      <c r="M12" s="44">
        <v>2</v>
      </c>
      <c r="N12" s="45">
        <v>48.5</v>
      </c>
      <c r="O12" s="45">
        <v>0.76</v>
      </c>
      <c r="P12" s="45">
        <v>22.5</v>
      </c>
      <c r="Q12" s="41">
        <f t="shared" si="2"/>
        <v>0.220588235294118</v>
      </c>
      <c r="R12" s="54"/>
      <c r="S12" s="55">
        <f>0.0131/200+8.4124/2000</f>
        <v>0.0042717</v>
      </c>
      <c r="T12" s="56">
        <v>0.01</v>
      </c>
      <c r="U12" s="54"/>
      <c r="V12" s="41">
        <f t="shared" si="5"/>
        <v>0.502222130187636</v>
      </c>
      <c r="W12" s="57" t="s">
        <v>29</v>
      </c>
    </row>
    <row r="13" s="1" customFormat="1" spans="1:23">
      <c r="A13" s="13">
        <v>11</v>
      </c>
      <c r="B13" s="25" t="s">
        <v>53</v>
      </c>
      <c r="C13" s="26" t="s">
        <v>54</v>
      </c>
      <c r="D13" s="27" t="s">
        <v>55</v>
      </c>
      <c r="E13" s="19">
        <f t="shared" ref="E13:E20" si="6">1/1000</f>
        <v>0.001</v>
      </c>
      <c r="F13" s="20">
        <v>0.0011</v>
      </c>
      <c r="G13" s="21">
        <f>26.8/1.13</f>
        <v>23.716814159292</v>
      </c>
      <c r="H13" s="22">
        <v>0.97</v>
      </c>
      <c r="I13" s="41">
        <f t="shared" si="0"/>
        <v>0.0268953562631147</v>
      </c>
      <c r="J13" s="42" t="s">
        <v>32</v>
      </c>
      <c r="K13" s="43">
        <v>80</v>
      </c>
      <c r="L13" s="43">
        <f t="shared" si="1"/>
        <v>45</v>
      </c>
      <c r="M13" s="44">
        <v>8</v>
      </c>
      <c r="N13" s="45">
        <v>20.2</v>
      </c>
      <c r="O13" s="45">
        <v>0.76</v>
      </c>
      <c r="P13" s="45">
        <v>22.5</v>
      </c>
      <c r="Q13" s="41">
        <f t="shared" si="2"/>
        <v>0.03515625</v>
      </c>
      <c r="R13" s="54"/>
      <c r="S13" s="58">
        <f>0.0131/500+8.4124/3000</f>
        <v>0.00283033333333333</v>
      </c>
      <c r="T13" s="56">
        <v>0.00666666666666667</v>
      </c>
      <c r="U13" s="54"/>
      <c r="V13" s="41">
        <f t="shared" si="5"/>
        <v>0.0942293148990282</v>
      </c>
      <c r="W13" s="57" t="s">
        <v>29</v>
      </c>
    </row>
    <row r="14" s="1" customFormat="1" spans="1:23">
      <c r="A14" s="13">
        <v>12</v>
      </c>
      <c r="B14" s="25" t="s">
        <v>56</v>
      </c>
      <c r="C14" s="28" t="s">
        <v>57</v>
      </c>
      <c r="D14" s="27" t="s">
        <v>55</v>
      </c>
      <c r="E14" s="19">
        <f>1.3/1000</f>
        <v>0.0013</v>
      </c>
      <c r="F14" s="20">
        <v>0.00143</v>
      </c>
      <c r="G14" s="21">
        <f>26.8/1.13</f>
        <v>23.716814159292</v>
      </c>
      <c r="H14" s="22">
        <v>0.97</v>
      </c>
      <c r="I14" s="41">
        <f t="shared" si="0"/>
        <v>0.0349639631420491</v>
      </c>
      <c r="J14" s="42" t="s">
        <v>32</v>
      </c>
      <c r="K14" s="43">
        <v>80</v>
      </c>
      <c r="L14" s="43">
        <f t="shared" si="1"/>
        <v>45</v>
      </c>
      <c r="M14" s="44">
        <v>2</v>
      </c>
      <c r="N14" s="45">
        <v>20.2</v>
      </c>
      <c r="O14" s="45">
        <v>0.76</v>
      </c>
      <c r="P14" s="45">
        <v>22.5</v>
      </c>
      <c r="Q14" s="41">
        <f t="shared" si="2"/>
        <v>0.140625</v>
      </c>
      <c r="R14" s="54"/>
      <c r="S14" s="58">
        <f>0.0131/500+8.4124/3000</f>
        <v>0.00283033333333333</v>
      </c>
      <c r="T14" s="56">
        <v>0.00666666666666667</v>
      </c>
      <c r="U14" s="54"/>
      <c r="V14" s="41">
        <f t="shared" si="5"/>
        <v>0.26532792689451</v>
      </c>
      <c r="W14" s="57" t="s">
        <v>29</v>
      </c>
    </row>
    <row r="15" s="1" customFormat="1" spans="1:23">
      <c r="A15" s="13">
        <v>13</v>
      </c>
      <c r="B15" s="25" t="s">
        <v>58</v>
      </c>
      <c r="C15" s="25" t="s">
        <v>59</v>
      </c>
      <c r="D15" s="23" t="s">
        <v>49</v>
      </c>
      <c r="E15" s="19">
        <f t="shared" si="6"/>
        <v>0.001</v>
      </c>
      <c r="F15" s="20">
        <v>0.0011</v>
      </c>
      <c r="G15" s="21">
        <v>21.2389</v>
      </c>
      <c r="H15" s="22">
        <v>0.97</v>
      </c>
      <c r="I15" s="41">
        <f t="shared" si="0"/>
        <v>0.0240853505154639</v>
      </c>
      <c r="J15" s="42" t="s">
        <v>32</v>
      </c>
      <c r="K15" s="43">
        <v>72</v>
      </c>
      <c r="L15" s="43">
        <f t="shared" si="1"/>
        <v>50</v>
      </c>
      <c r="M15" s="44">
        <v>4</v>
      </c>
      <c r="N15" s="45">
        <v>20.2</v>
      </c>
      <c r="O15" s="45">
        <v>0.76</v>
      </c>
      <c r="P15" s="45">
        <v>22.5</v>
      </c>
      <c r="Q15" s="41">
        <f t="shared" si="2"/>
        <v>0.078125</v>
      </c>
      <c r="R15" s="54"/>
      <c r="S15" s="55">
        <f>0.0291/50+8.4124/300</f>
        <v>0.0286233333333333</v>
      </c>
      <c r="T15" s="56">
        <v>0.0666666666666667</v>
      </c>
      <c r="U15" s="54"/>
      <c r="V15" s="41">
        <f t="shared" si="5"/>
        <v>0.242751930314947</v>
      </c>
      <c r="W15" s="57" t="s">
        <v>29</v>
      </c>
    </row>
    <row r="16" s="1" customFormat="1" spans="1:23">
      <c r="A16" s="13">
        <v>14</v>
      </c>
      <c r="B16" s="25" t="s">
        <v>60</v>
      </c>
      <c r="C16" s="29" t="s">
        <v>61</v>
      </c>
      <c r="D16" s="23" t="s">
        <v>49</v>
      </c>
      <c r="E16" s="19">
        <f t="shared" si="6"/>
        <v>0.001</v>
      </c>
      <c r="F16" s="20">
        <v>0.0011</v>
      </c>
      <c r="G16" s="21">
        <v>21.2389</v>
      </c>
      <c r="H16" s="22">
        <v>0.97</v>
      </c>
      <c r="I16" s="41">
        <f t="shared" si="0"/>
        <v>0.0240853505154639</v>
      </c>
      <c r="J16" s="42" t="s">
        <v>32</v>
      </c>
      <c r="K16" s="43">
        <v>72</v>
      </c>
      <c r="L16" s="43">
        <f t="shared" si="1"/>
        <v>50</v>
      </c>
      <c r="M16" s="44">
        <v>4</v>
      </c>
      <c r="N16" s="45">
        <v>20.2</v>
      </c>
      <c r="O16" s="45">
        <v>0.76</v>
      </c>
      <c r="P16" s="45">
        <v>22.5</v>
      </c>
      <c r="Q16" s="41">
        <f t="shared" si="2"/>
        <v>0.078125</v>
      </c>
      <c r="R16" s="54"/>
      <c r="S16" s="55">
        <f t="shared" ref="S16:S20" si="7">0.0291/100+8.4124/600</f>
        <v>0.0143116666666667</v>
      </c>
      <c r="T16" s="56">
        <v>0.0333333333333333</v>
      </c>
      <c r="U16" s="54"/>
      <c r="V16" s="41">
        <f t="shared" si="5"/>
        <v>0.195106930314947</v>
      </c>
      <c r="W16" s="57" t="s">
        <v>29</v>
      </c>
    </row>
    <row r="17" s="1" customFormat="1" spans="1:23">
      <c r="A17" s="13">
        <v>15</v>
      </c>
      <c r="B17" s="25" t="s">
        <v>62</v>
      </c>
      <c r="C17" s="25" t="s">
        <v>63</v>
      </c>
      <c r="D17" s="23" t="s">
        <v>49</v>
      </c>
      <c r="E17" s="19">
        <f t="shared" si="6"/>
        <v>0.001</v>
      </c>
      <c r="F17" s="20">
        <v>0.0011</v>
      </c>
      <c r="G17" s="21">
        <v>21.2389</v>
      </c>
      <c r="H17" s="22">
        <v>0.97</v>
      </c>
      <c r="I17" s="41">
        <f t="shared" si="0"/>
        <v>0.0240853505154639</v>
      </c>
      <c r="J17" s="42" t="s">
        <v>32</v>
      </c>
      <c r="K17" s="43">
        <v>72</v>
      </c>
      <c r="L17" s="43">
        <f t="shared" si="1"/>
        <v>50</v>
      </c>
      <c r="M17" s="44">
        <v>4</v>
      </c>
      <c r="N17" s="45">
        <v>20.2</v>
      </c>
      <c r="O17" s="45">
        <v>0.76</v>
      </c>
      <c r="P17" s="45">
        <v>22.5</v>
      </c>
      <c r="Q17" s="41">
        <f t="shared" si="2"/>
        <v>0.078125</v>
      </c>
      <c r="R17" s="54"/>
      <c r="S17" s="55">
        <f t="shared" si="7"/>
        <v>0.0143116666666667</v>
      </c>
      <c r="T17" s="56">
        <v>0.0333333333333333</v>
      </c>
      <c r="U17" s="54"/>
      <c r="V17" s="41">
        <f t="shared" si="5"/>
        <v>0.195106930314947</v>
      </c>
      <c r="W17" s="57" t="s">
        <v>29</v>
      </c>
    </row>
    <row r="18" s="1" customFormat="1" spans="1:23">
      <c r="A18" s="13">
        <v>16</v>
      </c>
      <c r="B18" s="25" t="s">
        <v>64</v>
      </c>
      <c r="C18" s="29" t="s">
        <v>65</v>
      </c>
      <c r="D18" s="23" t="s">
        <v>49</v>
      </c>
      <c r="E18" s="19">
        <f t="shared" si="6"/>
        <v>0.001</v>
      </c>
      <c r="F18" s="20">
        <v>0.00115</v>
      </c>
      <c r="G18" s="21">
        <v>21.2389</v>
      </c>
      <c r="H18" s="22">
        <v>0.9</v>
      </c>
      <c r="I18" s="41">
        <f t="shared" si="0"/>
        <v>0.0271385944444444</v>
      </c>
      <c r="J18" s="42" t="s">
        <v>50</v>
      </c>
      <c r="K18" s="43">
        <v>142</v>
      </c>
      <c r="L18" s="43">
        <v>30</v>
      </c>
      <c r="M18" s="44">
        <v>8</v>
      </c>
      <c r="N18" s="45">
        <v>48.5</v>
      </c>
      <c r="O18" s="45">
        <v>0.76</v>
      </c>
      <c r="P18" s="45">
        <v>22.5</v>
      </c>
      <c r="Q18" s="41">
        <f t="shared" si="2"/>
        <v>0.019806338028169</v>
      </c>
      <c r="R18" s="54"/>
      <c r="S18" s="59">
        <f>0.0131/200+8.4124/1200</f>
        <v>0.00707583333333333</v>
      </c>
      <c r="T18" s="56">
        <v>0.0166666666666667</v>
      </c>
      <c r="U18" s="54"/>
      <c r="V18" s="41">
        <f t="shared" si="5"/>
        <v>0.101650346293688</v>
      </c>
      <c r="W18" s="57" t="s">
        <v>29</v>
      </c>
    </row>
    <row r="19" s="1" customFormat="1" spans="1:23">
      <c r="A19" s="13">
        <v>17</v>
      </c>
      <c r="B19" s="25" t="s">
        <v>66</v>
      </c>
      <c r="C19" s="29" t="s">
        <v>67</v>
      </c>
      <c r="D19" s="23" t="s">
        <v>49</v>
      </c>
      <c r="E19" s="19">
        <f t="shared" si="6"/>
        <v>0.001</v>
      </c>
      <c r="F19" s="20">
        <v>0.00115</v>
      </c>
      <c r="G19" s="21">
        <v>21.2389</v>
      </c>
      <c r="H19" s="22">
        <v>0.9</v>
      </c>
      <c r="I19" s="41">
        <f t="shared" si="0"/>
        <v>0.0271385944444444</v>
      </c>
      <c r="J19" s="42" t="s">
        <v>32</v>
      </c>
      <c r="K19" s="43">
        <v>72</v>
      </c>
      <c r="L19" s="43">
        <f t="shared" si="1"/>
        <v>50</v>
      </c>
      <c r="M19" s="44">
        <v>4</v>
      </c>
      <c r="N19" s="45">
        <v>20.2</v>
      </c>
      <c r="O19" s="45">
        <v>0.76</v>
      </c>
      <c r="P19" s="45">
        <v>22.5</v>
      </c>
      <c r="Q19" s="41">
        <f t="shared" si="2"/>
        <v>0.078125</v>
      </c>
      <c r="R19" s="54"/>
      <c r="S19" s="55">
        <f t="shared" si="7"/>
        <v>0.0143116666666667</v>
      </c>
      <c r="T19" s="56">
        <v>0.0333333333333333</v>
      </c>
      <c r="U19" s="54"/>
      <c r="V19" s="41">
        <f t="shared" si="5"/>
        <v>0.210341859074074</v>
      </c>
      <c r="W19" s="57" t="s">
        <v>29</v>
      </c>
    </row>
    <row r="20" s="1" customFormat="1" spans="1:23">
      <c r="A20" s="13">
        <v>18</v>
      </c>
      <c r="B20" s="25" t="s">
        <v>68</v>
      </c>
      <c r="C20" s="29" t="s">
        <v>69</v>
      </c>
      <c r="D20" s="23" t="s">
        <v>49</v>
      </c>
      <c r="E20" s="19">
        <f t="shared" si="6"/>
        <v>0.001</v>
      </c>
      <c r="F20" s="20">
        <v>0.00108</v>
      </c>
      <c r="G20" s="21">
        <v>21.2389</v>
      </c>
      <c r="H20" s="22">
        <v>0.98</v>
      </c>
      <c r="I20" s="41">
        <f t="shared" si="0"/>
        <v>0.0234061346938776</v>
      </c>
      <c r="J20" s="42" t="s">
        <v>32</v>
      </c>
      <c r="K20" s="43">
        <v>72</v>
      </c>
      <c r="L20" s="43">
        <f t="shared" si="1"/>
        <v>50</v>
      </c>
      <c r="M20" s="44">
        <v>8</v>
      </c>
      <c r="N20" s="45">
        <v>21.2</v>
      </c>
      <c r="O20" s="45">
        <v>0.76</v>
      </c>
      <c r="P20" s="45">
        <v>22.5</v>
      </c>
      <c r="Q20" s="41">
        <f t="shared" si="2"/>
        <v>0.0390625</v>
      </c>
      <c r="R20" s="54"/>
      <c r="S20" s="55">
        <f t="shared" si="7"/>
        <v>0.0143116666666667</v>
      </c>
      <c r="T20" s="56">
        <v>0.0333333333333333</v>
      </c>
      <c r="U20" s="54"/>
      <c r="V20" s="41">
        <f t="shared" si="5"/>
        <v>0.134241701881161</v>
      </c>
      <c r="W20" s="57" t="s">
        <v>29</v>
      </c>
    </row>
    <row r="21" s="1" customFormat="1" ht="27" spans="1:23">
      <c r="A21" s="13">
        <v>19</v>
      </c>
      <c r="B21" s="25" t="s">
        <v>70</v>
      </c>
      <c r="C21" s="29" t="s">
        <v>71</v>
      </c>
      <c r="D21" s="18" t="s">
        <v>44</v>
      </c>
      <c r="E21" s="19">
        <f>35/1000</f>
        <v>0.035</v>
      </c>
      <c r="F21" s="20">
        <v>0.03675</v>
      </c>
      <c r="G21" s="21">
        <v>18.5841</v>
      </c>
      <c r="H21" s="22">
        <v>0.97</v>
      </c>
      <c r="I21" s="41">
        <f t="shared" si="0"/>
        <v>0.704088324742268</v>
      </c>
      <c r="J21" s="42" t="s">
        <v>72</v>
      </c>
      <c r="K21" s="43">
        <v>42</v>
      </c>
      <c r="L21" s="43">
        <f t="shared" si="1"/>
        <v>85.7142857142857</v>
      </c>
      <c r="M21" s="44">
        <v>2</v>
      </c>
      <c r="N21" s="45">
        <v>39.75</v>
      </c>
      <c r="O21" s="45">
        <v>0.76</v>
      </c>
      <c r="P21" s="45">
        <v>22.5</v>
      </c>
      <c r="Q21" s="41">
        <f t="shared" si="2"/>
        <v>0.267857142857143</v>
      </c>
      <c r="R21" s="54"/>
      <c r="S21" s="55">
        <f>0.00131+8.4124/90</f>
        <v>0.0947811111111111</v>
      </c>
      <c r="T21" s="56">
        <v>0.222222222222222</v>
      </c>
      <c r="U21" s="54">
        <v>0.3</v>
      </c>
      <c r="V21" s="41">
        <f t="shared" si="5"/>
        <v>1.93500462688965</v>
      </c>
      <c r="W21" s="57" t="s">
        <v>29</v>
      </c>
    </row>
    <row r="22" s="1" customFormat="1" ht="27" spans="1:23">
      <c r="A22" s="13">
        <v>20</v>
      </c>
      <c r="B22" s="25" t="s">
        <v>73</v>
      </c>
      <c r="C22" s="29" t="s">
        <v>74</v>
      </c>
      <c r="D22" s="18" t="s">
        <v>44</v>
      </c>
      <c r="E22" s="19">
        <f>35/1000</f>
        <v>0.035</v>
      </c>
      <c r="F22" s="20">
        <v>0.0378</v>
      </c>
      <c r="G22" s="21">
        <v>18.5841</v>
      </c>
      <c r="H22" s="22">
        <v>0.97</v>
      </c>
      <c r="I22" s="41">
        <f t="shared" si="0"/>
        <v>0.724205134020619</v>
      </c>
      <c r="J22" s="42" t="s">
        <v>72</v>
      </c>
      <c r="K22" s="43">
        <v>42</v>
      </c>
      <c r="L22" s="43">
        <f t="shared" si="1"/>
        <v>85.7142857142857</v>
      </c>
      <c r="M22" s="44">
        <v>2</v>
      </c>
      <c r="N22" s="45">
        <v>39.75</v>
      </c>
      <c r="O22" s="45">
        <v>0.76</v>
      </c>
      <c r="P22" s="45">
        <v>22.5</v>
      </c>
      <c r="Q22" s="41">
        <f t="shared" si="2"/>
        <v>0.267857142857143</v>
      </c>
      <c r="R22" s="54"/>
      <c r="S22" s="55">
        <f>0.00131+8.4124/90</f>
        <v>0.0947811111111111</v>
      </c>
      <c r="T22" s="56">
        <v>0.222222222222222</v>
      </c>
      <c r="U22" s="54">
        <v>0.3</v>
      </c>
      <c r="V22" s="41">
        <f t="shared" si="5"/>
        <v>1.95802489317725</v>
      </c>
      <c r="W22" s="57" t="s">
        <v>29</v>
      </c>
    </row>
    <row r="23" s="1" customFormat="1" spans="1:23">
      <c r="A23" s="13">
        <v>21</v>
      </c>
      <c r="B23" s="25" t="s">
        <v>75</v>
      </c>
      <c r="C23" s="25" t="s">
        <v>76</v>
      </c>
      <c r="D23" s="18" t="s">
        <v>77</v>
      </c>
      <c r="E23" s="19"/>
      <c r="F23" s="20">
        <v>0.0448</v>
      </c>
      <c r="G23" s="21">
        <v>13.7168</v>
      </c>
      <c r="H23" s="22">
        <v>0.94</v>
      </c>
      <c r="I23" s="41">
        <f t="shared" si="0"/>
        <v>0.65373685106383</v>
      </c>
      <c r="J23" s="42" t="s">
        <v>78</v>
      </c>
      <c r="K23" s="43">
        <v>55</v>
      </c>
      <c r="L23" s="43">
        <f t="shared" si="1"/>
        <v>65.4545454545455</v>
      </c>
      <c r="M23" s="44">
        <v>2</v>
      </c>
      <c r="N23" s="45">
        <v>68.9</v>
      </c>
      <c r="O23" s="45">
        <v>0.76</v>
      </c>
      <c r="P23" s="45">
        <v>22.5</v>
      </c>
      <c r="Q23" s="41">
        <f t="shared" si="2"/>
        <v>0.204545454545455</v>
      </c>
      <c r="R23" s="54">
        <f>0.4+0.5</f>
        <v>0.9</v>
      </c>
      <c r="S23" s="55">
        <f>8.4124/230</f>
        <v>0.036575652173913</v>
      </c>
      <c r="T23" s="56">
        <v>0.0869565217391304</v>
      </c>
      <c r="U23" s="54"/>
      <c r="V23" s="41">
        <f t="shared" si="5"/>
        <v>2.34509977076888</v>
      </c>
      <c r="W23" s="57" t="s">
        <v>29</v>
      </c>
    </row>
    <row r="24" s="1" customFormat="1" spans="1:23">
      <c r="A24" s="13">
        <v>22</v>
      </c>
      <c r="B24" s="25" t="s">
        <v>79</v>
      </c>
      <c r="C24" s="25" t="s">
        <v>80</v>
      </c>
      <c r="D24" s="23" t="s">
        <v>27</v>
      </c>
      <c r="E24" s="19"/>
      <c r="F24" s="20">
        <v>0.021575</v>
      </c>
      <c r="G24" s="21">
        <v>15.3097</v>
      </c>
      <c r="H24" s="22">
        <v>0.95</v>
      </c>
      <c r="I24" s="41">
        <f t="shared" si="0"/>
        <v>0.347691344736842</v>
      </c>
      <c r="J24" s="42" t="s">
        <v>72</v>
      </c>
      <c r="K24" s="43">
        <v>60</v>
      </c>
      <c r="L24" s="43">
        <f t="shared" si="1"/>
        <v>60</v>
      </c>
      <c r="M24" s="44">
        <v>1</v>
      </c>
      <c r="N24" s="45">
        <v>39.75</v>
      </c>
      <c r="O24" s="45">
        <v>0.76</v>
      </c>
      <c r="P24" s="45">
        <v>22.5</v>
      </c>
      <c r="Q24" s="41">
        <f t="shared" si="2"/>
        <v>0.375</v>
      </c>
      <c r="R24" s="54"/>
      <c r="S24" s="55">
        <f t="shared" ref="S24:S27" si="8">0.0291/50+8.4124/300</f>
        <v>0.0286233333333333</v>
      </c>
      <c r="T24" s="56">
        <v>0.0666666666666667</v>
      </c>
      <c r="U24" s="54"/>
      <c r="V24" s="41">
        <f t="shared" si="5"/>
        <v>1.23384778174515</v>
      </c>
      <c r="W24" s="57" t="s">
        <v>29</v>
      </c>
    </row>
    <row r="25" s="1" customFormat="1" spans="1:23">
      <c r="A25" s="13">
        <v>23</v>
      </c>
      <c r="B25" s="25" t="s">
        <v>81</v>
      </c>
      <c r="C25" s="25" t="s">
        <v>82</v>
      </c>
      <c r="D25" s="23" t="s">
        <v>27</v>
      </c>
      <c r="E25" s="19"/>
      <c r="F25" s="20">
        <v>0.021575</v>
      </c>
      <c r="G25" s="21">
        <v>15.3097</v>
      </c>
      <c r="H25" s="22">
        <v>0.95</v>
      </c>
      <c r="I25" s="41">
        <f t="shared" si="0"/>
        <v>0.347691344736842</v>
      </c>
      <c r="J25" s="42" t="s">
        <v>72</v>
      </c>
      <c r="K25" s="43">
        <v>60</v>
      </c>
      <c r="L25" s="43">
        <f t="shared" si="1"/>
        <v>60</v>
      </c>
      <c r="M25" s="44">
        <v>1</v>
      </c>
      <c r="N25" s="45">
        <v>39.75</v>
      </c>
      <c r="O25" s="45">
        <v>0.76</v>
      </c>
      <c r="P25" s="45">
        <v>22.5</v>
      </c>
      <c r="Q25" s="41">
        <f t="shared" si="2"/>
        <v>0.375</v>
      </c>
      <c r="R25" s="54"/>
      <c r="S25" s="55">
        <f t="shared" si="8"/>
        <v>0.0286233333333333</v>
      </c>
      <c r="T25" s="56">
        <v>0.0666666666666667</v>
      </c>
      <c r="U25" s="54"/>
      <c r="V25" s="41">
        <f t="shared" si="5"/>
        <v>1.23384778174515</v>
      </c>
      <c r="W25" s="57" t="s">
        <v>29</v>
      </c>
    </row>
    <row r="26" s="1" customFormat="1" spans="1:23">
      <c r="A26" s="13">
        <v>24</v>
      </c>
      <c r="B26" s="25" t="s">
        <v>83</v>
      </c>
      <c r="C26" s="25" t="s">
        <v>84</v>
      </c>
      <c r="D26" s="23" t="s">
        <v>27</v>
      </c>
      <c r="E26" s="19"/>
      <c r="F26" s="20">
        <v>0.016625</v>
      </c>
      <c r="G26" s="21">
        <v>15.3097</v>
      </c>
      <c r="H26" s="22">
        <v>0.95</v>
      </c>
      <c r="I26" s="41">
        <f t="shared" si="0"/>
        <v>0.26791975</v>
      </c>
      <c r="J26" s="42" t="s">
        <v>72</v>
      </c>
      <c r="K26" s="43">
        <v>60</v>
      </c>
      <c r="L26" s="43">
        <f t="shared" si="1"/>
        <v>60</v>
      </c>
      <c r="M26" s="44">
        <v>1</v>
      </c>
      <c r="N26" s="45">
        <v>39.75</v>
      </c>
      <c r="O26" s="45">
        <v>0.76</v>
      </c>
      <c r="P26" s="45">
        <v>22.5</v>
      </c>
      <c r="Q26" s="41">
        <f t="shared" si="2"/>
        <v>0.375</v>
      </c>
      <c r="R26" s="54"/>
      <c r="S26" s="55">
        <f t="shared" si="8"/>
        <v>0.0286233333333333</v>
      </c>
      <c r="T26" s="56">
        <v>0.0666666666666667</v>
      </c>
      <c r="U26" s="54"/>
      <c r="V26" s="41">
        <f t="shared" si="5"/>
        <v>1.14064097105263</v>
      </c>
      <c r="W26" s="57" t="s">
        <v>29</v>
      </c>
    </row>
    <row r="27" s="1" customFormat="1" spans="1:23">
      <c r="A27" s="13">
        <v>25</v>
      </c>
      <c r="B27" s="25" t="s">
        <v>85</v>
      </c>
      <c r="C27" s="25" t="s">
        <v>86</v>
      </c>
      <c r="D27" s="23" t="s">
        <v>27</v>
      </c>
      <c r="E27" s="19"/>
      <c r="F27" s="20">
        <v>0.0067</v>
      </c>
      <c r="G27" s="21">
        <v>15.3097</v>
      </c>
      <c r="H27" s="22">
        <v>0.98</v>
      </c>
      <c r="I27" s="41">
        <f t="shared" si="0"/>
        <v>0.104668357142857</v>
      </c>
      <c r="J27" s="42" t="s">
        <v>28</v>
      </c>
      <c r="K27" s="43">
        <v>102</v>
      </c>
      <c r="L27" s="43">
        <f t="shared" si="1"/>
        <v>35.2941176470588</v>
      </c>
      <c r="M27" s="44">
        <v>4</v>
      </c>
      <c r="N27" s="45">
        <v>27.15</v>
      </c>
      <c r="O27" s="45">
        <v>0.76</v>
      </c>
      <c r="P27" s="45">
        <v>22.5</v>
      </c>
      <c r="Q27" s="41">
        <f t="shared" si="2"/>
        <v>0.0551470588235294</v>
      </c>
      <c r="R27" s="54"/>
      <c r="S27" s="55">
        <f t="shared" si="8"/>
        <v>0.0286233333333333</v>
      </c>
      <c r="T27" s="56">
        <v>0.0666666666666667</v>
      </c>
      <c r="U27" s="54"/>
      <c r="V27" s="41">
        <f t="shared" si="5"/>
        <v>0.304946551577774</v>
      </c>
      <c r="W27" s="57" t="s">
        <v>29</v>
      </c>
    </row>
    <row r="28" s="1" customFormat="1" spans="1:23">
      <c r="A28" s="13">
        <v>26</v>
      </c>
      <c r="B28" s="25" t="s">
        <v>87</v>
      </c>
      <c r="C28" s="25" t="s">
        <v>88</v>
      </c>
      <c r="D28" s="23" t="s">
        <v>27</v>
      </c>
      <c r="E28" s="19">
        <f>21/1000</f>
        <v>0.021</v>
      </c>
      <c r="F28" s="20">
        <v>0.02247</v>
      </c>
      <c r="G28" s="21">
        <v>15.3097</v>
      </c>
      <c r="H28" s="22">
        <v>0.95</v>
      </c>
      <c r="I28" s="41">
        <f t="shared" si="0"/>
        <v>0.362114693684211</v>
      </c>
      <c r="J28" s="42" t="s">
        <v>50</v>
      </c>
      <c r="K28" s="43">
        <v>48</v>
      </c>
      <c r="L28" s="43">
        <f t="shared" si="1"/>
        <v>75</v>
      </c>
      <c r="M28" s="44">
        <v>2</v>
      </c>
      <c r="N28" s="45">
        <v>48.5</v>
      </c>
      <c r="O28" s="45">
        <v>0.76</v>
      </c>
      <c r="P28" s="45">
        <v>22.5</v>
      </c>
      <c r="Q28" s="41">
        <f t="shared" si="2"/>
        <v>0.234375</v>
      </c>
      <c r="R28" s="54"/>
      <c r="S28" s="55">
        <f>0.00291/10+8.4124/100</f>
        <v>0.084415</v>
      </c>
      <c r="T28" s="60">
        <f>20/100</f>
        <v>0.2</v>
      </c>
      <c r="U28" s="54"/>
      <c r="V28" s="41">
        <f t="shared" si="5"/>
        <v>1.20567861577839</v>
      </c>
      <c r="W28" s="57" t="s">
        <v>29</v>
      </c>
    </row>
    <row r="29" s="1" customFormat="1" spans="1:23">
      <c r="A29" s="13">
        <v>27</v>
      </c>
      <c r="B29" s="25" t="s">
        <v>89</v>
      </c>
      <c r="C29" s="25" t="s">
        <v>90</v>
      </c>
      <c r="D29" s="23" t="s">
        <v>27</v>
      </c>
      <c r="E29" s="19"/>
      <c r="F29" s="20">
        <v>0.0021</v>
      </c>
      <c r="G29" s="21">
        <v>15.3097</v>
      </c>
      <c r="H29" s="22">
        <v>0.96</v>
      </c>
      <c r="I29" s="41">
        <f t="shared" si="0"/>
        <v>0.03348996875</v>
      </c>
      <c r="J29" s="42" t="s">
        <v>72</v>
      </c>
      <c r="K29" s="43">
        <v>65</v>
      </c>
      <c r="L29" s="43">
        <f t="shared" si="1"/>
        <v>55.3846153846154</v>
      </c>
      <c r="M29" s="44">
        <v>1</v>
      </c>
      <c r="N29" s="45">
        <v>39.75</v>
      </c>
      <c r="O29" s="45">
        <v>0.76</v>
      </c>
      <c r="P29" s="45">
        <v>22.5</v>
      </c>
      <c r="Q29" s="41">
        <f t="shared" si="2"/>
        <v>0.346153846153846</v>
      </c>
      <c r="R29" s="54"/>
      <c r="S29" s="55">
        <f t="shared" ref="S29:S31" si="9">0.0291/200+8.4124/1200</f>
        <v>0.00715583333333333</v>
      </c>
      <c r="T29" s="56">
        <v>0.0166666666666667</v>
      </c>
      <c r="U29" s="54"/>
      <c r="V29" s="41">
        <f t="shared" si="5"/>
        <v>0.731480372521034</v>
      </c>
      <c r="W29" s="57" t="s">
        <v>29</v>
      </c>
    </row>
    <row r="30" s="1" customFormat="1" spans="1:23">
      <c r="A30" s="13">
        <v>28</v>
      </c>
      <c r="B30" s="25" t="s">
        <v>91</v>
      </c>
      <c r="C30" s="25" t="s">
        <v>92</v>
      </c>
      <c r="D30" s="23" t="s">
        <v>27</v>
      </c>
      <c r="E30" s="19"/>
      <c r="F30" s="20">
        <v>0.00155</v>
      </c>
      <c r="G30" s="21">
        <v>15.3097</v>
      </c>
      <c r="H30" s="22">
        <v>0.96</v>
      </c>
      <c r="I30" s="41">
        <f t="shared" si="0"/>
        <v>0.0247187864583333</v>
      </c>
      <c r="J30" s="42" t="s">
        <v>72</v>
      </c>
      <c r="K30" s="43">
        <v>65</v>
      </c>
      <c r="L30" s="43">
        <f t="shared" si="1"/>
        <v>55.3846153846154</v>
      </c>
      <c r="M30" s="44">
        <v>1</v>
      </c>
      <c r="N30" s="45">
        <v>39.75</v>
      </c>
      <c r="O30" s="45">
        <v>0.76</v>
      </c>
      <c r="P30" s="45">
        <v>22.5</v>
      </c>
      <c r="Q30" s="41">
        <f t="shared" si="2"/>
        <v>0.346153846153846</v>
      </c>
      <c r="R30" s="54"/>
      <c r="S30" s="55">
        <f t="shared" si="9"/>
        <v>0.00715583333333333</v>
      </c>
      <c r="T30" s="56">
        <v>0.0166666666666667</v>
      </c>
      <c r="U30" s="54"/>
      <c r="V30" s="41">
        <f t="shared" si="5"/>
        <v>0.721338692996294</v>
      </c>
      <c r="W30" s="57" t="s">
        <v>29</v>
      </c>
    </row>
    <row r="31" s="1" customFormat="1" spans="1:23">
      <c r="A31" s="13">
        <v>29</v>
      </c>
      <c r="B31" s="25" t="s">
        <v>93</v>
      </c>
      <c r="C31" s="25" t="s">
        <v>94</v>
      </c>
      <c r="D31" s="23" t="s">
        <v>27</v>
      </c>
      <c r="E31" s="19"/>
      <c r="F31" s="20">
        <v>0.00235</v>
      </c>
      <c r="G31" s="21">
        <v>15.3097</v>
      </c>
      <c r="H31" s="22">
        <v>0.96</v>
      </c>
      <c r="I31" s="41">
        <f t="shared" si="0"/>
        <v>0.0374768697916667</v>
      </c>
      <c r="J31" s="42" t="s">
        <v>72</v>
      </c>
      <c r="K31" s="43">
        <v>65</v>
      </c>
      <c r="L31" s="43">
        <f t="shared" si="1"/>
        <v>55.3846153846154</v>
      </c>
      <c r="M31" s="44">
        <v>1</v>
      </c>
      <c r="N31" s="45">
        <v>39.75</v>
      </c>
      <c r="O31" s="45">
        <v>0.76</v>
      </c>
      <c r="P31" s="45">
        <v>22.5</v>
      </c>
      <c r="Q31" s="41">
        <f t="shared" si="2"/>
        <v>0.346153846153846</v>
      </c>
      <c r="R31" s="54"/>
      <c r="S31" s="55">
        <f t="shared" si="9"/>
        <v>0.00715583333333333</v>
      </c>
      <c r="T31" s="56">
        <v>0.0166666666666667</v>
      </c>
      <c r="U31" s="54"/>
      <c r="V31" s="41">
        <f t="shared" si="5"/>
        <v>0.736090226850461</v>
      </c>
      <c r="W31" s="57" t="s">
        <v>29</v>
      </c>
    </row>
    <row r="32" s="1" customFormat="1" spans="1:23">
      <c r="A32" s="13">
        <v>30</v>
      </c>
      <c r="B32" s="25" t="s">
        <v>95</v>
      </c>
      <c r="C32" s="29" t="s">
        <v>96</v>
      </c>
      <c r="D32" s="18" t="s">
        <v>77</v>
      </c>
      <c r="E32" s="19">
        <f>26/1000</f>
        <v>0.026</v>
      </c>
      <c r="F32" s="20">
        <v>0.0273</v>
      </c>
      <c r="G32" s="21">
        <v>13.7168</v>
      </c>
      <c r="H32" s="22">
        <v>0.98</v>
      </c>
      <c r="I32" s="41">
        <f t="shared" si="0"/>
        <v>0.382110857142857</v>
      </c>
      <c r="J32" s="42" t="s">
        <v>28</v>
      </c>
      <c r="K32" s="43">
        <v>60</v>
      </c>
      <c r="L32" s="43">
        <f t="shared" si="1"/>
        <v>60</v>
      </c>
      <c r="M32" s="44">
        <v>2</v>
      </c>
      <c r="N32" s="45">
        <v>27.15</v>
      </c>
      <c r="O32" s="45">
        <v>0.76</v>
      </c>
      <c r="P32" s="45">
        <v>22.5</v>
      </c>
      <c r="Q32" s="41">
        <f t="shared" si="2"/>
        <v>0.1875</v>
      </c>
      <c r="R32" s="54"/>
      <c r="S32" s="55">
        <f>0.1307/100+8.4124/300</f>
        <v>0.0293483333333333</v>
      </c>
      <c r="T32" s="60">
        <f>20/300</f>
        <v>0.0666666666666667</v>
      </c>
      <c r="U32" s="54"/>
      <c r="V32" s="41">
        <f t="shared" si="5"/>
        <v>0.838566327988338</v>
      </c>
      <c r="W32" s="57" t="s">
        <v>29</v>
      </c>
    </row>
    <row r="33" s="1" customFormat="1" spans="1:23">
      <c r="A33" s="13">
        <v>31</v>
      </c>
      <c r="B33" s="25" t="s">
        <v>97</v>
      </c>
      <c r="C33" s="29" t="s">
        <v>98</v>
      </c>
      <c r="D33" s="18" t="s">
        <v>77</v>
      </c>
      <c r="E33" s="19">
        <f>1/1000</f>
        <v>0.001</v>
      </c>
      <c r="F33" s="20">
        <v>0.00105</v>
      </c>
      <c r="G33" s="21">
        <v>13.7168</v>
      </c>
      <c r="H33" s="22">
        <v>0.98</v>
      </c>
      <c r="I33" s="41">
        <f t="shared" si="0"/>
        <v>0.0146965714285714</v>
      </c>
      <c r="J33" s="42" t="s">
        <v>28</v>
      </c>
      <c r="K33" s="43">
        <v>60</v>
      </c>
      <c r="L33" s="43">
        <f t="shared" si="1"/>
        <v>60</v>
      </c>
      <c r="M33" s="44">
        <v>2</v>
      </c>
      <c r="N33" s="45">
        <v>27.15</v>
      </c>
      <c r="O33" s="45">
        <v>0.76</v>
      </c>
      <c r="P33" s="45">
        <v>22.5</v>
      </c>
      <c r="Q33" s="41">
        <f t="shared" si="2"/>
        <v>0.1875</v>
      </c>
      <c r="R33" s="54"/>
      <c r="S33" s="55">
        <f>0.0291/300+8.4124/1800</f>
        <v>0.00477055555555556</v>
      </c>
      <c r="T33" s="56">
        <v>0.0111111111111111</v>
      </c>
      <c r="U33" s="54"/>
      <c r="V33" s="41">
        <f t="shared" si="5"/>
        <v>0.34228007920311</v>
      </c>
      <c r="W33" s="57" t="s">
        <v>29</v>
      </c>
    </row>
    <row r="34" s="1" customFormat="1" spans="1:23">
      <c r="A34" s="13">
        <v>32</v>
      </c>
      <c r="B34" s="25" t="s">
        <v>99</v>
      </c>
      <c r="C34" s="29" t="s">
        <v>100</v>
      </c>
      <c r="D34" s="23" t="s">
        <v>27</v>
      </c>
      <c r="E34" s="19">
        <f>9/1000</f>
        <v>0.009</v>
      </c>
      <c r="F34" s="20">
        <v>0.00972</v>
      </c>
      <c r="G34" s="21">
        <v>15.3097</v>
      </c>
      <c r="H34" s="22">
        <v>0.9</v>
      </c>
      <c r="I34" s="41">
        <f t="shared" si="0"/>
        <v>0.16534476</v>
      </c>
      <c r="J34" s="42" t="s">
        <v>32</v>
      </c>
      <c r="K34" s="43">
        <v>60</v>
      </c>
      <c r="L34" s="43">
        <f t="shared" si="1"/>
        <v>60</v>
      </c>
      <c r="M34" s="44">
        <v>2</v>
      </c>
      <c r="N34" s="45">
        <v>21.2</v>
      </c>
      <c r="O34" s="45">
        <v>0.76</v>
      </c>
      <c r="P34" s="45">
        <v>22.5</v>
      </c>
      <c r="Q34" s="41">
        <f t="shared" si="2"/>
        <v>0.1875</v>
      </c>
      <c r="R34" s="54"/>
      <c r="S34" s="55">
        <f t="shared" ref="S34:S38" si="10">0.0029/200+8.4124/1200</f>
        <v>0.00702483333333333</v>
      </c>
      <c r="T34" s="60">
        <f t="shared" ref="T34:T38" si="11">20/1200</f>
        <v>0.0166666666666667</v>
      </c>
      <c r="U34" s="54"/>
      <c r="V34" s="41">
        <f t="shared" si="5"/>
        <v>0.541664481777778</v>
      </c>
      <c r="W34" s="57" t="s">
        <v>29</v>
      </c>
    </row>
    <row r="35" s="1" customFormat="1" spans="1:23">
      <c r="A35" s="13">
        <v>33</v>
      </c>
      <c r="B35" s="25" t="s">
        <v>101</v>
      </c>
      <c r="C35" s="29" t="s">
        <v>102</v>
      </c>
      <c r="D35" s="23" t="s">
        <v>27</v>
      </c>
      <c r="E35" s="19">
        <f t="shared" ref="E35:E39" si="12">2/1000</f>
        <v>0.002</v>
      </c>
      <c r="F35" s="20">
        <v>0.00214</v>
      </c>
      <c r="G35" s="21">
        <v>15.3097</v>
      </c>
      <c r="H35" s="22">
        <v>0.98</v>
      </c>
      <c r="I35" s="41">
        <f t="shared" si="0"/>
        <v>0.0334313857142857</v>
      </c>
      <c r="J35" s="42" t="s">
        <v>28</v>
      </c>
      <c r="K35" s="43">
        <v>65.4545454545455</v>
      </c>
      <c r="L35" s="43">
        <f t="shared" si="1"/>
        <v>55</v>
      </c>
      <c r="M35" s="44">
        <v>4</v>
      </c>
      <c r="N35" s="45">
        <v>27.15</v>
      </c>
      <c r="O35" s="45">
        <v>0.76</v>
      </c>
      <c r="P35" s="45">
        <v>22.5</v>
      </c>
      <c r="Q35" s="41">
        <f t="shared" si="2"/>
        <v>0.0859374999999999</v>
      </c>
      <c r="R35" s="54"/>
      <c r="S35" s="55">
        <f t="shared" si="10"/>
        <v>0.00702483333333333</v>
      </c>
      <c r="T35" s="60">
        <f t="shared" si="11"/>
        <v>0.0166666666666667</v>
      </c>
      <c r="U35" s="54"/>
      <c r="V35" s="41">
        <f t="shared" si="5"/>
        <v>0.203527463666181</v>
      </c>
      <c r="W35" s="57" t="s">
        <v>29</v>
      </c>
    </row>
    <row r="36" s="1" customFormat="1" spans="1:23">
      <c r="A36" s="13">
        <v>34</v>
      </c>
      <c r="B36" s="25" t="s">
        <v>103</v>
      </c>
      <c r="C36" s="29" t="s">
        <v>104</v>
      </c>
      <c r="D36" s="23" t="s">
        <v>27</v>
      </c>
      <c r="E36" s="19">
        <f>3/1000</f>
        <v>0.003</v>
      </c>
      <c r="F36" s="20">
        <v>0.00321</v>
      </c>
      <c r="G36" s="21">
        <v>15.3097</v>
      </c>
      <c r="H36" s="22">
        <v>0.98</v>
      </c>
      <c r="I36" s="41">
        <f t="shared" si="0"/>
        <v>0.0501470785714286</v>
      </c>
      <c r="J36" s="42" t="s">
        <v>28</v>
      </c>
      <c r="K36" s="43">
        <v>65.4545454545455</v>
      </c>
      <c r="L36" s="43">
        <f t="shared" si="1"/>
        <v>55</v>
      </c>
      <c r="M36" s="44">
        <v>4</v>
      </c>
      <c r="N36" s="45">
        <v>27.15</v>
      </c>
      <c r="O36" s="45">
        <v>0.76</v>
      </c>
      <c r="P36" s="45">
        <v>22.5</v>
      </c>
      <c r="Q36" s="41">
        <f t="shared" si="2"/>
        <v>0.0859374999999999</v>
      </c>
      <c r="R36" s="54"/>
      <c r="S36" s="55">
        <f t="shared" si="10"/>
        <v>0.00702483333333333</v>
      </c>
      <c r="T36" s="60">
        <f t="shared" si="11"/>
        <v>0.0166666666666667</v>
      </c>
      <c r="U36" s="54"/>
      <c r="V36" s="41">
        <f t="shared" si="5"/>
        <v>0.222460544351312</v>
      </c>
      <c r="W36" s="57" t="s">
        <v>29</v>
      </c>
    </row>
    <row r="37" s="1" customFormat="1" spans="1:23">
      <c r="A37" s="13">
        <v>35</v>
      </c>
      <c r="B37" s="25" t="s">
        <v>105</v>
      </c>
      <c r="C37" s="29" t="s">
        <v>106</v>
      </c>
      <c r="D37" s="23" t="s">
        <v>27</v>
      </c>
      <c r="E37" s="19">
        <f t="shared" si="12"/>
        <v>0.002</v>
      </c>
      <c r="F37" s="20">
        <v>0.00214</v>
      </c>
      <c r="G37" s="21">
        <v>15.3097</v>
      </c>
      <c r="H37" s="22">
        <v>0.98</v>
      </c>
      <c r="I37" s="41">
        <f t="shared" si="0"/>
        <v>0.0334313857142857</v>
      </c>
      <c r="J37" s="42" t="s">
        <v>28</v>
      </c>
      <c r="K37" s="43">
        <v>65.4545454545455</v>
      </c>
      <c r="L37" s="43">
        <f t="shared" si="1"/>
        <v>55</v>
      </c>
      <c r="M37" s="44">
        <v>4</v>
      </c>
      <c r="N37" s="45">
        <v>27.15</v>
      </c>
      <c r="O37" s="45">
        <v>0.76</v>
      </c>
      <c r="P37" s="45">
        <v>22.5</v>
      </c>
      <c r="Q37" s="41">
        <f t="shared" si="2"/>
        <v>0.0859374999999999</v>
      </c>
      <c r="R37" s="54"/>
      <c r="S37" s="55">
        <f t="shared" si="10"/>
        <v>0.00702483333333333</v>
      </c>
      <c r="T37" s="60">
        <f t="shared" si="11"/>
        <v>0.0166666666666667</v>
      </c>
      <c r="U37" s="54"/>
      <c r="V37" s="41">
        <f t="shared" si="5"/>
        <v>0.203527463666181</v>
      </c>
      <c r="W37" s="57" t="s">
        <v>29</v>
      </c>
    </row>
    <row r="38" s="1" customFormat="1" spans="1:23">
      <c r="A38" s="13">
        <v>36</v>
      </c>
      <c r="B38" s="25" t="s">
        <v>107</v>
      </c>
      <c r="C38" s="29" t="s">
        <v>108</v>
      </c>
      <c r="D38" s="23" t="s">
        <v>27</v>
      </c>
      <c r="E38" s="19">
        <f>1/1000</f>
        <v>0.001</v>
      </c>
      <c r="F38" s="20">
        <v>0.00107</v>
      </c>
      <c r="G38" s="21">
        <v>15.3097</v>
      </c>
      <c r="H38" s="22">
        <v>0.98</v>
      </c>
      <c r="I38" s="41">
        <f t="shared" si="0"/>
        <v>0.0167156928571429</v>
      </c>
      <c r="J38" s="42" t="s">
        <v>28</v>
      </c>
      <c r="K38" s="43">
        <v>65.4545454545455</v>
      </c>
      <c r="L38" s="43">
        <f t="shared" si="1"/>
        <v>55</v>
      </c>
      <c r="M38" s="44">
        <v>4</v>
      </c>
      <c r="N38" s="45">
        <v>27.15</v>
      </c>
      <c r="O38" s="45">
        <v>0.76</v>
      </c>
      <c r="P38" s="45">
        <v>22.5</v>
      </c>
      <c r="Q38" s="41">
        <f t="shared" si="2"/>
        <v>0.0859374999999999</v>
      </c>
      <c r="R38" s="54"/>
      <c r="S38" s="55">
        <f t="shared" si="10"/>
        <v>0.00702483333333333</v>
      </c>
      <c r="T38" s="60">
        <f t="shared" si="11"/>
        <v>0.0166666666666667</v>
      </c>
      <c r="U38" s="54"/>
      <c r="V38" s="41">
        <f t="shared" ref="V38:V69" si="13">(I38+Q38+(N38*O38/K38/M38)/2)/H38*1.11+R38*1.03+S38+T38+U38</f>
        <v>0.184594382981049</v>
      </c>
      <c r="W38" s="57" t="s">
        <v>29</v>
      </c>
    </row>
    <row r="39" s="1" customFormat="1" spans="1:23">
      <c r="A39" s="13">
        <v>37</v>
      </c>
      <c r="B39" s="25" t="s">
        <v>109</v>
      </c>
      <c r="C39" s="25" t="s">
        <v>110</v>
      </c>
      <c r="D39" s="23" t="s">
        <v>27</v>
      </c>
      <c r="E39" s="19">
        <f t="shared" si="12"/>
        <v>0.002</v>
      </c>
      <c r="F39" s="20">
        <v>0.00214</v>
      </c>
      <c r="G39" s="21">
        <v>15.3097</v>
      </c>
      <c r="H39" s="22">
        <v>0.98</v>
      </c>
      <c r="I39" s="41">
        <f t="shared" si="0"/>
        <v>0.0334313857142857</v>
      </c>
      <c r="J39" s="42" t="s">
        <v>32</v>
      </c>
      <c r="K39" s="43">
        <v>65.4545454545455</v>
      </c>
      <c r="L39" s="43">
        <f t="shared" si="1"/>
        <v>55</v>
      </c>
      <c r="M39" s="44">
        <v>2</v>
      </c>
      <c r="N39" s="45">
        <v>21.2</v>
      </c>
      <c r="O39" s="45">
        <v>0.76</v>
      </c>
      <c r="P39" s="45">
        <v>22.5</v>
      </c>
      <c r="Q39" s="41">
        <f t="shared" si="2"/>
        <v>0.171875</v>
      </c>
      <c r="R39" s="54"/>
      <c r="S39" s="55">
        <f>0.00131/500+8.4124/3000</f>
        <v>0.00280675333333333</v>
      </c>
      <c r="T39" s="56">
        <v>0.00666666666666667</v>
      </c>
      <c r="U39" s="54"/>
      <c r="V39" s="41">
        <f t="shared" si="13"/>
        <v>0.311716537152575</v>
      </c>
      <c r="W39" s="57" t="s">
        <v>29</v>
      </c>
    </row>
    <row r="40" s="1" customFormat="1" ht="27" spans="1:23">
      <c r="A40" s="13">
        <v>38</v>
      </c>
      <c r="B40" s="25" t="s">
        <v>111</v>
      </c>
      <c r="C40" s="29" t="s">
        <v>112</v>
      </c>
      <c r="D40" s="30" t="s">
        <v>77</v>
      </c>
      <c r="E40" s="19">
        <f>45/1000</f>
        <v>0.045</v>
      </c>
      <c r="F40" s="20">
        <v>0.04725</v>
      </c>
      <c r="G40" s="21">
        <v>13.7168</v>
      </c>
      <c r="H40" s="22">
        <v>0.95</v>
      </c>
      <c r="I40" s="41">
        <f t="shared" si="0"/>
        <v>0.682230315789474</v>
      </c>
      <c r="J40" s="42" t="s">
        <v>113</v>
      </c>
      <c r="K40" s="43">
        <v>42.3529411764705</v>
      </c>
      <c r="L40" s="43">
        <f t="shared" si="1"/>
        <v>85.0000000000002</v>
      </c>
      <c r="M40" s="44">
        <v>2</v>
      </c>
      <c r="N40" s="45">
        <v>39.75</v>
      </c>
      <c r="O40" s="45">
        <v>0.76</v>
      </c>
      <c r="P40" s="45">
        <v>22.5</v>
      </c>
      <c r="Q40" s="41">
        <f t="shared" si="2"/>
        <v>0.265625000000001</v>
      </c>
      <c r="R40" s="54"/>
      <c r="S40" s="55">
        <f>0.0029/100+8.4124/600</f>
        <v>0.0140496666666667</v>
      </c>
      <c r="T40" s="60">
        <f>20/600</f>
        <v>0.0333333333333333</v>
      </c>
      <c r="U40" s="54"/>
      <c r="V40" s="41">
        <f t="shared" si="13"/>
        <v>1.36323335581718</v>
      </c>
      <c r="W40" s="57" t="s">
        <v>29</v>
      </c>
    </row>
    <row r="41" s="1" customFormat="1" ht="27" spans="1:23">
      <c r="A41" s="13">
        <v>39</v>
      </c>
      <c r="B41" s="25" t="s">
        <v>114</v>
      </c>
      <c r="C41" s="29" t="s">
        <v>115</v>
      </c>
      <c r="D41" s="30" t="s">
        <v>77</v>
      </c>
      <c r="E41" s="19">
        <f>48/1000</f>
        <v>0.048</v>
      </c>
      <c r="F41" s="20">
        <v>0.0504</v>
      </c>
      <c r="G41" s="21">
        <v>13.7168</v>
      </c>
      <c r="H41" s="22">
        <v>0.95</v>
      </c>
      <c r="I41" s="41">
        <f t="shared" si="0"/>
        <v>0.727712336842105</v>
      </c>
      <c r="J41" s="42" t="s">
        <v>113</v>
      </c>
      <c r="K41" s="43">
        <v>42.3529411764705</v>
      </c>
      <c r="L41" s="43">
        <f t="shared" si="1"/>
        <v>85.0000000000002</v>
      </c>
      <c r="M41" s="44">
        <v>2</v>
      </c>
      <c r="N41" s="45">
        <v>39.75</v>
      </c>
      <c r="O41" s="45">
        <v>0.76</v>
      </c>
      <c r="P41" s="45">
        <v>22.5</v>
      </c>
      <c r="Q41" s="41">
        <f t="shared" si="2"/>
        <v>0.265625000000001</v>
      </c>
      <c r="R41" s="54"/>
      <c r="S41" s="55">
        <f>0.0029/100+8.4124/600</f>
        <v>0.0140496666666667</v>
      </c>
      <c r="T41" s="60">
        <f>20/600</f>
        <v>0.0333333333333333</v>
      </c>
      <c r="U41" s="54"/>
      <c r="V41" s="41">
        <f t="shared" si="13"/>
        <v>1.4163755067313</v>
      </c>
      <c r="W41" s="57" t="s">
        <v>29</v>
      </c>
    </row>
    <row r="42" s="1" customFormat="1" spans="1:23">
      <c r="A42" s="13">
        <v>40</v>
      </c>
      <c r="B42" s="25" t="s">
        <v>116</v>
      </c>
      <c r="C42" s="29" t="s">
        <v>117</v>
      </c>
      <c r="D42" s="30" t="s">
        <v>44</v>
      </c>
      <c r="E42" s="19"/>
      <c r="F42" s="20">
        <v>0.0152125</v>
      </c>
      <c r="G42" s="21">
        <v>18.5841</v>
      </c>
      <c r="H42" s="22">
        <v>0.96</v>
      </c>
      <c r="I42" s="41">
        <f t="shared" si="0"/>
        <v>0.29449023046875</v>
      </c>
      <c r="J42" s="42" t="s">
        <v>113</v>
      </c>
      <c r="K42" s="43">
        <v>60</v>
      </c>
      <c r="L42" s="43">
        <f t="shared" si="1"/>
        <v>60</v>
      </c>
      <c r="M42" s="44">
        <v>4</v>
      </c>
      <c r="N42" s="45">
        <v>39.75</v>
      </c>
      <c r="O42" s="45">
        <v>0.76</v>
      </c>
      <c r="P42" s="45">
        <v>22.5</v>
      </c>
      <c r="Q42" s="41">
        <f t="shared" si="2"/>
        <v>0.09375</v>
      </c>
      <c r="R42" s="54"/>
      <c r="S42" s="55">
        <f>8.4124/400</f>
        <v>0.021031</v>
      </c>
      <c r="T42" s="56">
        <v>0.05</v>
      </c>
      <c r="U42" s="54"/>
      <c r="V42" s="41">
        <f t="shared" si="13"/>
        <v>0.592705250854492</v>
      </c>
      <c r="W42" s="57" t="s">
        <v>29</v>
      </c>
    </row>
    <row r="43" s="1" customFormat="1" ht="27" spans="1:23">
      <c r="A43" s="13">
        <v>41</v>
      </c>
      <c r="B43" s="25" t="s">
        <v>118</v>
      </c>
      <c r="C43" s="29" t="s">
        <v>119</v>
      </c>
      <c r="D43" s="30" t="s">
        <v>44</v>
      </c>
      <c r="E43" s="19">
        <f>1/1000</f>
        <v>0.001</v>
      </c>
      <c r="F43" s="20">
        <v>0.00106</v>
      </c>
      <c r="G43" s="21">
        <v>18.5841</v>
      </c>
      <c r="H43" s="22">
        <v>0.99</v>
      </c>
      <c r="I43" s="41">
        <f t="shared" si="0"/>
        <v>0.0198981272727273</v>
      </c>
      <c r="J43" s="42" t="s">
        <v>32</v>
      </c>
      <c r="K43" s="43">
        <v>55.3846153846154</v>
      </c>
      <c r="L43" s="43">
        <f t="shared" si="1"/>
        <v>65</v>
      </c>
      <c r="M43" s="44">
        <v>8</v>
      </c>
      <c r="N43" s="45">
        <v>21.2</v>
      </c>
      <c r="O43" s="45">
        <v>0.76</v>
      </c>
      <c r="P43" s="45">
        <v>22.5</v>
      </c>
      <c r="Q43" s="41">
        <f t="shared" si="2"/>
        <v>0.05078125</v>
      </c>
      <c r="R43" s="54"/>
      <c r="S43" s="55">
        <f t="shared" ref="S43:S48" si="14">0.0029/300+8.4124/1800</f>
        <v>0.00468322222222222</v>
      </c>
      <c r="T43" s="60">
        <f t="shared" ref="T43:T48" si="15">20/1800</f>
        <v>0.0111111111111111</v>
      </c>
      <c r="U43" s="54"/>
      <c r="V43" s="41">
        <f t="shared" si="13"/>
        <v>0.115426724349556</v>
      </c>
      <c r="W43" s="57" t="s">
        <v>29</v>
      </c>
    </row>
    <row r="44" s="1" customFormat="1" ht="27" spans="1:23">
      <c r="A44" s="13">
        <v>42</v>
      </c>
      <c r="B44" s="25" t="s">
        <v>120</v>
      </c>
      <c r="C44" s="29" t="s">
        <v>121</v>
      </c>
      <c r="D44" s="30" t="s">
        <v>44</v>
      </c>
      <c r="E44" s="19">
        <f t="shared" ref="E44:E46" si="16">3/1000</f>
        <v>0.003</v>
      </c>
      <c r="F44" s="20">
        <v>0.0030333</v>
      </c>
      <c r="G44" s="21">
        <v>18.5841</v>
      </c>
      <c r="H44" s="22">
        <v>0.98</v>
      </c>
      <c r="I44" s="41">
        <f t="shared" si="0"/>
        <v>0.0575215821734694</v>
      </c>
      <c r="J44" s="42" t="s">
        <v>113</v>
      </c>
      <c r="K44" s="43">
        <v>65.4545454545455</v>
      </c>
      <c r="L44" s="43">
        <f t="shared" si="1"/>
        <v>55</v>
      </c>
      <c r="M44" s="44">
        <v>3</v>
      </c>
      <c r="N44" s="45">
        <v>39.75</v>
      </c>
      <c r="O44" s="45">
        <v>0.76</v>
      </c>
      <c r="P44" s="45">
        <v>22.5</v>
      </c>
      <c r="Q44" s="41">
        <f t="shared" si="2"/>
        <v>0.114583333333333</v>
      </c>
      <c r="R44" s="54"/>
      <c r="S44" s="55">
        <f t="shared" si="14"/>
        <v>0.00468322222222222</v>
      </c>
      <c r="T44" s="60">
        <f t="shared" si="15"/>
        <v>0.0111111111111111</v>
      </c>
      <c r="U44" s="54">
        <v>0.2</v>
      </c>
      <c r="V44" s="41">
        <f t="shared" si="13"/>
        <v>0.497857256339338</v>
      </c>
      <c r="W44" s="57" t="s">
        <v>29</v>
      </c>
    </row>
    <row r="45" s="1" customFormat="1" ht="27" spans="1:23">
      <c r="A45" s="13">
        <v>43</v>
      </c>
      <c r="B45" s="25" t="s">
        <v>122</v>
      </c>
      <c r="C45" s="29" t="s">
        <v>123</v>
      </c>
      <c r="D45" s="30" t="s">
        <v>44</v>
      </c>
      <c r="E45" s="19">
        <f t="shared" si="16"/>
        <v>0.003</v>
      </c>
      <c r="F45" s="20">
        <v>0.0030333</v>
      </c>
      <c r="G45" s="21">
        <v>18.5841</v>
      </c>
      <c r="H45" s="22">
        <v>0.98</v>
      </c>
      <c r="I45" s="41">
        <f t="shared" si="0"/>
        <v>0.0575215821734694</v>
      </c>
      <c r="J45" s="42" t="s">
        <v>113</v>
      </c>
      <c r="K45" s="43">
        <v>65.4545454545455</v>
      </c>
      <c r="L45" s="43">
        <f t="shared" si="1"/>
        <v>55</v>
      </c>
      <c r="M45" s="44">
        <v>3</v>
      </c>
      <c r="N45" s="45">
        <v>39.75</v>
      </c>
      <c r="O45" s="45">
        <v>0.76</v>
      </c>
      <c r="P45" s="45">
        <v>22.5</v>
      </c>
      <c r="Q45" s="41">
        <f t="shared" si="2"/>
        <v>0.114583333333333</v>
      </c>
      <c r="R45" s="54"/>
      <c r="S45" s="55">
        <f t="shared" si="14"/>
        <v>0.00468322222222222</v>
      </c>
      <c r="T45" s="60">
        <f t="shared" si="15"/>
        <v>0.0111111111111111</v>
      </c>
      <c r="U45" s="54">
        <v>0.2</v>
      </c>
      <c r="V45" s="41">
        <f t="shared" si="13"/>
        <v>0.497857256339338</v>
      </c>
      <c r="W45" s="57" t="s">
        <v>29</v>
      </c>
    </row>
    <row r="46" s="1" customFormat="1" ht="27" spans="1:23">
      <c r="A46" s="13">
        <v>44</v>
      </c>
      <c r="B46" s="25" t="s">
        <v>124</v>
      </c>
      <c r="C46" s="29" t="s">
        <v>125</v>
      </c>
      <c r="D46" s="30" t="s">
        <v>44</v>
      </c>
      <c r="E46" s="19">
        <f t="shared" si="16"/>
        <v>0.003</v>
      </c>
      <c r="F46" s="20">
        <v>0.0030333</v>
      </c>
      <c r="G46" s="21">
        <v>18.5841</v>
      </c>
      <c r="H46" s="22">
        <v>0.98</v>
      </c>
      <c r="I46" s="41">
        <f t="shared" si="0"/>
        <v>0.0575215821734694</v>
      </c>
      <c r="J46" s="42" t="s">
        <v>113</v>
      </c>
      <c r="K46" s="43">
        <v>65.4545454545455</v>
      </c>
      <c r="L46" s="43">
        <f t="shared" si="1"/>
        <v>55</v>
      </c>
      <c r="M46" s="44">
        <v>3</v>
      </c>
      <c r="N46" s="45">
        <v>39.75</v>
      </c>
      <c r="O46" s="45">
        <v>0.76</v>
      </c>
      <c r="P46" s="45">
        <v>22.5</v>
      </c>
      <c r="Q46" s="41">
        <f t="shared" si="2"/>
        <v>0.114583333333333</v>
      </c>
      <c r="R46" s="54"/>
      <c r="S46" s="55">
        <f t="shared" si="14"/>
        <v>0.00468322222222222</v>
      </c>
      <c r="T46" s="60">
        <f t="shared" si="15"/>
        <v>0.0111111111111111</v>
      </c>
      <c r="U46" s="54">
        <v>0.2</v>
      </c>
      <c r="V46" s="41">
        <f t="shared" si="13"/>
        <v>0.497857256339338</v>
      </c>
      <c r="W46" s="57" t="s">
        <v>29</v>
      </c>
    </row>
    <row r="47" s="1" customFormat="1" spans="1:23">
      <c r="A47" s="13">
        <v>45</v>
      </c>
      <c r="B47" s="25" t="s">
        <v>126</v>
      </c>
      <c r="C47" s="29" t="s">
        <v>127</v>
      </c>
      <c r="D47" s="30" t="s">
        <v>77</v>
      </c>
      <c r="E47" s="19">
        <f>2/1000</f>
        <v>0.002</v>
      </c>
      <c r="F47" s="20">
        <v>0.0021</v>
      </c>
      <c r="G47" s="21">
        <v>13.7168</v>
      </c>
      <c r="H47" s="22">
        <v>0.98</v>
      </c>
      <c r="I47" s="41">
        <f t="shared" si="0"/>
        <v>0.0293931428571429</v>
      </c>
      <c r="J47" s="42" t="s">
        <v>32</v>
      </c>
      <c r="K47" s="43">
        <v>55.3846153846154</v>
      </c>
      <c r="L47" s="43">
        <f t="shared" si="1"/>
        <v>65</v>
      </c>
      <c r="M47" s="44">
        <v>8</v>
      </c>
      <c r="N47" s="45">
        <v>21.2</v>
      </c>
      <c r="O47" s="45">
        <v>0.76</v>
      </c>
      <c r="P47" s="45">
        <v>22.5</v>
      </c>
      <c r="Q47" s="41">
        <f t="shared" si="2"/>
        <v>0.05078125</v>
      </c>
      <c r="R47" s="54"/>
      <c r="S47" s="55">
        <f t="shared" si="14"/>
        <v>0.00468322222222222</v>
      </c>
      <c r="T47" s="60">
        <f t="shared" si="15"/>
        <v>0.0111111111111111</v>
      </c>
      <c r="U47" s="54"/>
      <c r="V47" s="41">
        <f t="shared" si="13"/>
        <v>0.127197939868805</v>
      </c>
      <c r="W47" s="57" t="s">
        <v>29</v>
      </c>
    </row>
    <row r="48" s="1" customFormat="1" spans="1:23">
      <c r="A48" s="13">
        <v>46</v>
      </c>
      <c r="B48" s="25" t="s">
        <v>128</v>
      </c>
      <c r="C48" s="29" t="s">
        <v>129</v>
      </c>
      <c r="D48" s="30" t="s">
        <v>77</v>
      </c>
      <c r="E48" s="19">
        <f>6/1000</f>
        <v>0.006</v>
      </c>
      <c r="F48" s="20">
        <v>0.0063</v>
      </c>
      <c r="G48" s="21">
        <v>13.7168</v>
      </c>
      <c r="H48" s="22">
        <v>0.98</v>
      </c>
      <c r="I48" s="41">
        <f t="shared" si="0"/>
        <v>0.0881794285714286</v>
      </c>
      <c r="J48" s="42" t="s">
        <v>32</v>
      </c>
      <c r="K48" s="43">
        <v>55.3846153846154</v>
      </c>
      <c r="L48" s="43">
        <f t="shared" si="1"/>
        <v>65</v>
      </c>
      <c r="M48" s="44">
        <v>8</v>
      </c>
      <c r="N48" s="45">
        <v>21.2</v>
      </c>
      <c r="O48" s="45">
        <v>0.76</v>
      </c>
      <c r="P48" s="45">
        <v>22.5</v>
      </c>
      <c r="Q48" s="41">
        <f t="shared" si="2"/>
        <v>0.05078125</v>
      </c>
      <c r="R48" s="54"/>
      <c r="S48" s="55">
        <f t="shared" si="14"/>
        <v>0.00468322222222222</v>
      </c>
      <c r="T48" s="60">
        <f t="shared" si="15"/>
        <v>0.0111111111111111</v>
      </c>
      <c r="U48" s="54"/>
      <c r="V48" s="41">
        <f t="shared" si="13"/>
        <v>0.193782406341108</v>
      </c>
      <c r="W48" s="57" t="s">
        <v>29</v>
      </c>
    </row>
    <row r="49" s="1" customFormat="1" spans="1:23">
      <c r="A49" s="13">
        <v>47</v>
      </c>
      <c r="B49" s="25" t="s">
        <v>130</v>
      </c>
      <c r="C49" s="29" t="s">
        <v>131</v>
      </c>
      <c r="D49" s="30" t="s">
        <v>77</v>
      </c>
      <c r="E49" s="19"/>
      <c r="F49" s="20">
        <v>0.0158</v>
      </c>
      <c r="G49" s="21">
        <v>13.7168</v>
      </c>
      <c r="H49" s="22">
        <v>0.95</v>
      </c>
      <c r="I49" s="41">
        <f t="shared" si="0"/>
        <v>0.228132042105263</v>
      </c>
      <c r="J49" s="47" t="s">
        <v>113</v>
      </c>
      <c r="K49" s="43">
        <v>51.4285714285715</v>
      </c>
      <c r="L49" s="43">
        <f t="shared" si="1"/>
        <v>69.9999999999999</v>
      </c>
      <c r="M49" s="44">
        <v>2</v>
      </c>
      <c r="N49" s="45">
        <v>39.75</v>
      </c>
      <c r="O49" s="45">
        <v>0.76</v>
      </c>
      <c r="P49" s="45">
        <v>22.5</v>
      </c>
      <c r="Q49" s="41">
        <f t="shared" si="2"/>
        <v>0.21875</v>
      </c>
      <c r="R49" s="54"/>
      <c r="S49" s="55">
        <f>0.1307/100+8.4124/600</f>
        <v>0.0153276666666667</v>
      </c>
      <c r="T49" s="56">
        <v>0.0333333333333333</v>
      </c>
      <c r="U49" s="54"/>
      <c r="V49" s="41">
        <f t="shared" si="13"/>
        <v>0.742394886038781</v>
      </c>
      <c r="W49" s="57" t="s">
        <v>29</v>
      </c>
    </row>
    <row r="50" s="1" customFormat="1" spans="1:23">
      <c r="A50" s="13">
        <v>48</v>
      </c>
      <c r="B50" s="25" t="s">
        <v>132</v>
      </c>
      <c r="C50" s="29" t="s">
        <v>133</v>
      </c>
      <c r="D50" s="18" t="s">
        <v>44</v>
      </c>
      <c r="E50" s="19">
        <f>16/1000</f>
        <v>0.016</v>
      </c>
      <c r="F50" s="20">
        <v>0.0168</v>
      </c>
      <c r="G50" s="21">
        <v>18.5841</v>
      </c>
      <c r="H50" s="22">
        <v>0.96</v>
      </c>
      <c r="I50" s="41">
        <f t="shared" si="0"/>
        <v>0.32522175</v>
      </c>
      <c r="J50" s="42" t="s">
        <v>28</v>
      </c>
      <c r="K50" s="43">
        <v>55.3846153846154</v>
      </c>
      <c r="L50" s="43">
        <f t="shared" si="1"/>
        <v>65</v>
      </c>
      <c r="M50" s="44">
        <v>2</v>
      </c>
      <c r="N50" s="45">
        <v>27.15</v>
      </c>
      <c r="O50" s="45">
        <v>0.76</v>
      </c>
      <c r="P50" s="45">
        <v>22.5</v>
      </c>
      <c r="Q50" s="41">
        <f t="shared" si="2"/>
        <v>0.203125</v>
      </c>
      <c r="R50" s="54"/>
      <c r="S50" s="55">
        <f>0.0029/100+8.4124/600</f>
        <v>0.0140496666666667</v>
      </c>
      <c r="T50" s="60">
        <f>20/600</f>
        <v>0.0333333333333333</v>
      </c>
      <c r="U50" s="54"/>
      <c r="V50" s="41">
        <f t="shared" si="13"/>
        <v>0.765976572916666</v>
      </c>
      <c r="W50" s="57" t="s">
        <v>29</v>
      </c>
    </row>
    <row r="51" s="1" customFormat="1" spans="1:23">
      <c r="A51" s="13">
        <v>49</v>
      </c>
      <c r="B51" s="25" t="s">
        <v>134</v>
      </c>
      <c r="C51" s="29" t="s">
        <v>135</v>
      </c>
      <c r="D51" s="18" t="s">
        <v>44</v>
      </c>
      <c r="E51" s="19">
        <f>16/1000</f>
        <v>0.016</v>
      </c>
      <c r="F51" s="20">
        <v>0.0168</v>
      </c>
      <c r="G51" s="21">
        <v>18.5841</v>
      </c>
      <c r="H51" s="22">
        <v>0.96</v>
      </c>
      <c r="I51" s="41">
        <f t="shared" si="0"/>
        <v>0.32522175</v>
      </c>
      <c r="J51" s="42" t="s">
        <v>28</v>
      </c>
      <c r="K51" s="43">
        <v>55.3846153846154</v>
      </c>
      <c r="L51" s="43">
        <f t="shared" si="1"/>
        <v>65</v>
      </c>
      <c r="M51" s="44">
        <v>2</v>
      </c>
      <c r="N51" s="45">
        <v>27.15</v>
      </c>
      <c r="O51" s="45">
        <v>0.76</v>
      </c>
      <c r="P51" s="45">
        <v>22.5</v>
      </c>
      <c r="Q51" s="41">
        <f t="shared" si="2"/>
        <v>0.203125</v>
      </c>
      <c r="R51" s="54"/>
      <c r="S51" s="55">
        <f>0.0029/100+8.4124/600</f>
        <v>0.0140496666666667</v>
      </c>
      <c r="T51" s="60">
        <f>20/600</f>
        <v>0.0333333333333333</v>
      </c>
      <c r="U51" s="54"/>
      <c r="V51" s="41">
        <f t="shared" si="13"/>
        <v>0.765976572916666</v>
      </c>
      <c r="W51" s="57" t="s">
        <v>29</v>
      </c>
    </row>
    <row r="52" s="1" customFormat="1" spans="1:23">
      <c r="A52" s="13">
        <v>50</v>
      </c>
      <c r="B52" s="25" t="s">
        <v>136</v>
      </c>
      <c r="C52" s="25" t="s">
        <v>137</v>
      </c>
      <c r="D52" s="23" t="s">
        <v>27</v>
      </c>
      <c r="E52" s="19">
        <f>12/1000</f>
        <v>0.012</v>
      </c>
      <c r="F52" s="20">
        <v>0.01296</v>
      </c>
      <c r="G52" s="21">
        <v>15.3097</v>
      </c>
      <c r="H52" s="22">
        <v>0.94</v>
      </c>
      <c r="I52" s="41">
        <f t="shared" si="0"/>
        <v>0.211078417021277</v>
      </c>
      <c r="J52" s="42" t="s">
        <v>28</v>
      </c>
      <c r="K52" s="43">
        <v>51.4285714285715</v>
      </c>
      <c r="L52" s="43">
        <f t="shared" si="1"/>
        <v>69.9999999999999</v>
      </c>
      <c r="M52" s="44">
        <v>2</v>
      </c>
      <c r="N52" s="45">
        <v>27.15</v>
      </c>
      <c r="O52" s="45">
        <v>0.76</v>
      </c>
      <c r="P52" s="45">
        <v>22.5</v>
      </c>
      <c r="Q52" s="41">
        <f t="shared" si="2"/>
        <v>0.21875</v>
      </c>
      <c r="R52" s="54"/>
      <c r="S52" s="55">
        <f>0.1307/100+8.4124/400</f>
        <v>0.022338</v>
      </c>
      <c r="T52" s="56">
        <v>0.05</v>
      </c>
      <c r="U52" s="54"/>
      <c r="V52" s="41">
        <f t="shared" si="13"/>
        <v>0.698345625418741</v>
      </c>
      <c r="W52" s="57" t="s">
        <v>29</v>
      </c>
    </row>
    <row r="53" s="1" customFormat="1" ht="27" spans="1:23">
      <c r="A53" s="13">
        <v>51</v>
      </c>
      <c r="B53" s="25" t="s">
        <v>138</v>
      </c>
      <c r="C53" s="29" t="s">
        <v>139</v>
      </c>
      <c r="D53" s="18" t="s">
        <v>77</v>
      </c>
      <c r="E53" s="19">
        <f>15/1000</f>
        <v>0.015</v>
      </c>
      <c r="F53" s="20">
        <v>0.01575</v>
      </c>
      <c r="G53" s="21">
        <v>13.7168</v>
      </c>
      <c r="H53" s="22">
        <v>0.96</v>
      </c>
      <c r="I53" s="41">
        <f t="shared" si="0"/>
        <v>0.22504125</v>
      </c>
      <c r="J53" s="42" t="s">
        <v>50</v>
      </c>
      <c r="K53" s="43">
        <v>48</v>
      </c>
      <c r="L53" s="43">
        <f t="shared" si="1"/>
        <v>75</v>
      </c>
      <c r="M53" s="44">
        <v>4</v>
      </c>
      <c r="N53" s="45">
        <v>48.5</v>
      </c>
      <c r="O53" s="45">
        <v>0.76</v>
      </c>
      <c r="P53" s="45">
        <v>22.5</v>
      </c>
      <c r="Q53" s="41">
        <f t="shared" si="2"/>
        <v>0.1171875</v>
      </c>
      <c r="R53" s="54"/>
      <c r="S53" s="55">
        <f t="shared" ref="S53:S57" si="17">0.1307/100+8.4124/200</f>
        <v>0.043369</v>
      </c>
      <c r="T53" s="60">
        <f t="shared" ref="T53:T57" si="18">20/200</f>
        <v>0.1</v>
      </c>
      <c r="U53" s="54"/>
      <c r="V53" s="41">
        <f t="shared" si="13"/>
        <v>0.650058947916667</v>
      </c>
      <c r="W53" s="57" t="s">
        <v>29</v>
      </c>
    </row>
    <row r="54" s="1" customFormat="1" ht="27" spans="1:23">
      <c r="A54" s="13">
        <v>52</v>
      </c>
      <c r="B54" s="25" t="s">
        <v>140</v>
      </c>
      <c r="C54" s="29" t="s">
        <v>141</v>
      </c>
      <c r="D54" s="18" t="s">
        <v>77</v>
      </c>
      <c r="E54" s="19">
        <f>15/1000</f>
        <v>0.015</v>
      </c>
      <c r="F54" s="20">
        <v>0.01575</v>
      </c>
      <c r="G54" s="21">
        <v>13.7168</v>
      </c>
      <c r="H54" s="22">
        <v>0.96</v>
      </c>
      <c r="I54" s="41">
        <f t="shared" si="0"/>
        <v>0.22504125</v>
      </c>
      <c r="J54" s="42" t="s">
        <v>28</v>
      </c>
      <c r="K54" s="43">
        <v>48</v>
      </c>
      <c r="L54" s="43">
        <f t="shared" si="1"/>
        <v>75</v>
      </c>
      <c r="M54" s="44">
        <v>4</v>
      </c>
      <c r="N54" s="45">
        <v>27.15</v>
      </c>
      <c r="O54" s="45">
        <v>0.76</v>
      </c>
      <c r="P54" s="45">
        <v>22.5</v>
      </c>
      <c r="Q54" s="41">
        <f t="shared" si="2"/>
        <v>0.1171875</v>
      </c>
      <c r="R54" s="54"/>
      <c r="S54" s="55">
        <f t="shared" si="17"/>
        <v>0.043369</v>
      </c>
      <c r="T54" s="60">
        <f t="shared" si="18"/>
        <v>0.1</v>
      </c>
      <c r="U54" s="54"/>
      <c r="V54" s="41">
        <f t="shared" si="13"/>
        <v>0.60120136328125</v>
      </c>
      <c r="W54" s="57" t="s">
        <v>29</v>
      </c>
    </row>
    <row r="55" s="1" customFormat="1" spans="1:23">
      <c r="A55" s="13">
        <v>53</v>
      </c>
      <c r="B55" s="25" t="s">
        <v>142</v>
      </c>
      <c r="C55" s="28" t="s">
        <v>143</v>
      </c>
      <c r="D55" s="30" t="s">
        <v>144</v>
      </c>
      <c r="E55" s="19">
        <f>1/1000</f>
        <v>0.001</v>
      </c>
      <c r="F55" s="20">
        <v>0.0013</v>
      </c>
      <c r="G55" s="21">
        <f>16/1.13</f>
        <v>14.1592920353982</v>
      </c>
      <c r="H55" s="22">
        <v>0.85</v>
      </c>
      <c r="I55" s="41">
        <f t="shared" si="0"/>
        <v>0.0216553878188444</v>
      </c>
      <c r="J55" s="42" t="s">
        <v>32</v>
      </c>
      <c r="K55" s="43">
        <v>80</v>
      </c>
      <c r="L55" s="43">
        <f t="shared" si="1"/>
        <v>45</v>
      </c>
      <c r="M55" s="44">
        <v>8</v>
      </c>
      <c r="N55" s="45">
        <v>21.2</v>
      </c>
      <c r="O55" s="45">
        <v>0.76</v>
      </c>
      <c r="P55" s="45">
        <v>22.5</v>
      </c>
      <c r="Q55" s="41">
        <f t="shared" si="2"/>
        <v>0.03515625</v>
      </c>
      <c r="R55" s="54"/>
      <c r="S55" s="55">
        <f t="shared" ref="S55:S58" si="19">0.0029/300+8.4124/1800</f>
        <v>0.00468322222222222</v>
      </c>
      <c r="T55" s="60">
        <f t="shared" ref="T55:T58" si="20">20/1800</f>
        <v>0.0111111111111111</v>
      </c>
      <c r="U55" s="54"/>
      <c r="V55" s="41">
        <f t="shared" si="13"/>
        <v>0.106421442720295</v>
      </c>
      <c r="W55" s="57" t="s">
        <v>29</v>
      </c>
    </row>
    <row r="56" s="1" customFormat="1" spans="1:23">
      <c r="A56" s="13">
        <v>54</v>
      </c>
      <c r="B56" s="25" t="s">
        <v>145</v>
      </c>
      <c r="C56" s="28" t="s">
        <v>146</v>
      </c>
      <c r="D56" s="30" t="s">
        <v>144</v>
      </c>
      <c r="E56" s="19">
        <f>1/1000</f>
        <v>0.001</v>
      </c>
      <c r="F56" s="20">
        <v>0.0013</v>
      </c>
      <c r="G56" s="21">
        <f>16/1.13</f>
        <v>14.1592920353982</v>
      </c>
      <c r="H56" s="22">
        <v>0.85</v>
      </c>
      <c r="I56" s="41">
        <f t="shared" si="0"/>
        <v>0.0216553878188444</v>
      </c>
      <c r="J56" s="42" t="s">
        <v>32</v>
      </c>
      <c r="K56" s="43">
        <v>80</v>
      </c>
      <c r="L56" s="43">
        <f t="shared" si="1"/>
        <v>45</v>
      </c>
      <c r="M56" s="44">
        <v>8</v>
      </c>
      <c r="N56" s="45">
        <v>21.2</v>
      </c>
      <c r="O56" s="45">
        <v>0.76</v>
      </c>
      <c r="P56" s="45">
        <v>22.5</v>
      </c>
      <c r="Q56" s="41">
        <f t="shared" si="2"/>
        <v>0.03515625</v>
      </c>
      <c r="R56" s="54"/>
      <c r="S56" s="55">
        <f t="shared" si="19"/>
        <v>0.00468322222222222</v>
      </c>
      <c r="T56" s="60">
        <f t="shared" si="20"/>
        <v>0.0111111111111111</v>
      </c>
      <c r="U56" s="54"/>
      <c r="V56" s="41">
        <f t="shared" si="13"/>
        <v>0.106421442720295</v>
      </c>
      <c r="W56" s="57" t="s">
        <v>29</v>
      </c>
    </row>
    <row r="57" s="1" customFormat="1" ht="27" spans="1:23">
      <c r="A57" s="13">
        <v>55</v>
      </c>
      <c r="B57" s="25" t="s">
        <v>147</v>
      </c>
      <c r="C57" s="29" t="s">
        <v>148</v>
      </c>
      <c r="D57" s="18" t="s">
        <v>77</v>
      </c>
      <c r="E57" s="19">
        <f>28/1000</f>
        <v>0.028</v>
      </c>
      <c r="F57" s="20">
        <v>0.0294</v>
      </c>
      <c r="G57" s="21">
        <v>13.7168</v>
      </c>
      <c r="H57" s="22">
        <v>0.95</v>
      </c>
      <c r="I57" s="41">
        <f t="shared" si="0"/>
        <v>0.424498863157895</v>
      </c>
      <c r="J57" s="42" t="s">
        <v>50</v>
      </c>
      <c r="K57" s="43">
        <v>48</v>
      </c>
      <c r="L57" s="43">
        <f t="shared" si="1"/>
        <v>75</v>
      </c>
      <c r="M57" s="44">
        <v>4</v>
      </c>
      <c r="N57" s="45">
        <v>48.5</v>
      </c>
      <c r="O57" s="45">
        <v>0.76</v>
      </c>
      <c r="P57" s="45">
        <v>22.5</v>
      </c>
      <c r="Q57" s="41">
        <f t="shared" si="2"/>
        <v>0.1171875</v>
      </c>
      <c r="R57" s="54"/>
      <c r="S57" s="55">
        <f t="shared" si="17"/>
        <v>0.043369</v>
      </c>
      <c r="T57" s="60">
        <f t="shared" si="18"/>
        <v>0.1</v>
      </c>
      <c r="U57" s="54"/>
      <c r="V57" s="41">
        <f t="shared" si="13"/>
        <v>0.888443000637119</v>
      </c>
      <c r="W57" s="57" t="s">
        <v>29</v>
      </c>
    </row>
    <row r="58" s="1" customFormat="1" spans="1:23">
      <c r="A58" s="13">
        <v>56</v>
      </c>
      <c r="B58" s="25" t="s">
        <v>149</v>
      </c>
      <c r="C58" s="29" t="s">
        <v>150</v>
      </c>
      <c r="D58" s="18" t="s">
        <v>77</v>
      </c>
      <c r="E58" s="19">
        <f>2/1000</f>
        <v>0.002</v>
      </c>
      <c r="F58" s="20">
        <v>0.0021</v>
      </c>
      <c r="G58" s="21">
        <v>13.7168</v>
      </c>
      <c r="H58" s="22">
        <v>0.98</v>
      </c>
      <c r="I58" s="41">
        <f t="shared" si="0"/>
        <v>0.0293931428571429</v>
      </c>
      <c r="J58" s="42" t="s">
        <v>32</v>
      </c>
      <c r="K58" s="43">
        <v>55.3846153846154</v>
      </c>
      <c r="L58" s="43">
        <f t="shared" si="1"/>
        <v>65</v>
      </c>
      <c r="M58" s="44">
        <v>4</v>
      </c>
      <c r="N58" s="45">
        <v>21.2</v>
      </c>
      <c r="O58" s="45">
        <v>0.76</v>
      </c>
      <c r="P58" s="45">
        <v>22.5</v>
      </c>
      <c r="Q58" s="41">
        <f t="shared" si="2"/>
        <v>0.1015625</v>
      </c>
      <c r="R58" s="54"/>
      <c r="S58" s="55">
        <f t="shared" si="19"/>
        <v>0.00468322222222222</v>
      </c>
      <c r="T58" s="60">
        <f t="shared" si="20"/>
        <v>0.0111111111111111</v>
      </c>
      <c r="U58" s="54">
        <v>0.3</v>
      </c>
      <c r="V58" s="41">
        <f t="shared" si="13"/>
        <v>0.505309313168124</v>
      </c>
      <c r="W58" s="57" t="s">
        <v>29</v>
      </c>
    </row>
    <row r="59" s="1" customFormat="1" ht="27" spans="1:23">
      <c r="A59" s="13">
        <v>57</v>
      </c>
      <c r="B59" s="25" t="s">
        <v>151</v>
      </c>
      <c r="C59" s="25" t="s">
        <v>152</v>
      </c>
      <c r="D59" s="18" t="s">
        <v>77</v>
      </c>
      <c r="E59" s="19"/>
      <c r="F59" s="20">
        <v>0.0848</v>
      </c>
      <c r="G59" s="21">
        <v>13.7168</v>
      </c>
      <c r="H59" s="22">
        <v>0.95</v>
      </c>
      <c r="I59" s="41">
        <f t="shared" si="0"/>
        <v>1.22440488421053</v>
      </c>
      <c r="J59" s="47" t="s">
        <v>78</v>
      </c>
      <c r="K59" s="43">
        <v>34.2857142857143</v>
      </c>
      <c r="L59" s="43">
        <f t="shared" si="1"/>
        <v>105</v>
      </c>
      <c r="M59" s="44">
        <v>2</v>
      </c>
      <c r="N59" s="45">
        <v>75.9</v>
      </c>
      <c r="O59" s="45">
        <v>0.76</v>
      </c>
      <c r="P59" s="45">
        <v>22.5</v>
      </c>
      <c r="Q59" s="41">
        <f t="shared" si="2"/>
        <v>0.328125</v>
      </c>
      <c r="R59" s="54"/>
      <c r="S59" s="55">
        <f>8.4124/150</f>
        <v>0.0560826666666667</v>
      </c>
      <c r="T59" s="56">
        <v>0.133333333333333</v>
      </c>
      <c r="U59" s="54"/>
      <c r="V59" s="41">
        <f t="shared" si="13"/>
        <v>2.49487710155125</v>
      </c>
      <c r="W59" s="57" t="s">
        <v>29</v>
      </c>
    </row>
    <row r="60" s="1" customFormat="1" ht="27" spans="1:23">
      <c r="A60" s="13">
        <v>58</v>
      </c>
      <c r="B60" s="25" t="s">
        <v>153</v>
      </c>
      <c r="C60" s="25" t="s">
        <v>154</v>
      </c>
      <c r="D60" s="18" t="s">
        <v>77</v>
      </c>
      <c r="E60" s="19"/>
      <c r="F60" s="20">
        <v>0.23956</v>
      </c>
      <c r="G60" s="21">
        <v>13.7168</v>
      </c>
      <c r="H60" s="22">
        <v>0.95</v>
      </c>
      <c r="I60" s="41">
        <f t="shared" si="0"/>
        <v>3.45894379789474</v>
      </c>
      <c r="J60" s="47" t="s">
        <v>78</v>
      </c>
      <c r="K60" s="43">
        <v>34.2857142857143</v>
      </c>
      <c r="L60" s="43">
        <f t="shared" si="1"/>
        <v>105</v>
      </c>
      <c r="M60" s="44">
        <v>2</v>
      </c>
      <c r="N60" s="45">
        <v>75.9</v>
      </c>
      <c r="O60" s="45">
        <v>0.76</v>
      </c>
      <c r="P60" s="45">
        <v>22.5</v>
      </c>
      <c r="Q60" s="41">
        <f t="shared" si="2"/>
        <v>0.328125</v>
      </c>
      <c r="R60" s="54"/>
      <c r="S60" s="55">
        <f>8.4124/100</f>
        <v>0.084124</v>
      </c>
      <c r="T60" s="56">
        <v>0.2</v>
      </c>
      <c r="U60" s="54"/>
      <c r="V60" s="41">
        <f t="shared" si="13"/>
        <v>5.20046741122438</v>
      </c>
      <c r="W60" s="57" t="s">
        <v>29</v>
      </c>
    </row>
    <row r="61" s="1" customFormat="1" spans="1:23">
      <c r="A61" s="13">
        <v>59</v>
      </c>
      <c r="B61" s="25" t="s">
        <v>155</v>
      </c>
      <c r="C61" s="29" t="s">
        <v>156</v>
      </c>
      <c r="D61" s="18" t="s">
        <v>77</v>
      </c>
      <c r="E61" s="19"/>
      <c r="F61" s="20">
        <v>0.05008</v>
      </c>
      <c r="G61" s="21">
        <v>13.7168</v>
      </c>
      <c r="H61" s="22">
        <v>0.95</v>
      </c>
      <c r="I61" s="41">
        <f t="shared" si="0"/>
        <v>0.723091941052632</v>
      </c>
      <c r="J61" s="42" t="s">
        <v>50</v>
      </c>
      <c r="K61" s="43">
        <v>60</v>
      </c>
      <c r="L61" s="43">
        <f t="shared" si="1"/>
        <v>60</v>
      </c>
      <c r="M61" s="44">
        <v>4</v>
      </c>
      <c r="N61" s="45">
        <v>48.5</v>
      </c>
      <c r="O61" s="45">
        <v>0.76</v>
      </c>
      <c r="P61" s="45">
        <v>22.5</v>
      </c>
      <c r="Q61" s="41">
        <f t="shared" si="2"/>
        <v>0.09375</v>
      </c>
      <c r="R61" s="54"/>
      <c r="S61" s="55">
        <f>0.1307/100+8.4124/600</f>
        <v>0.0153276666666667</v>
      </c>
      <c r="T61" s="56">
        <v>0.0333333333333333</v>
      </c>
      <c r="U61" s="54"/>
      <c r="V61" s="41">
        <f t="shared" si="13"/>
        <v>1.09280132059834</v>
      </c>
      <c r="W61" s="57" t="s">
        <v>29</v>
      </c>
    </row>
    <row r="62" s="1" customFormat="1" ht="26" customHeight="1" spans="1:23">
      <c r="A62" s="13">
        <v>60</v>
      </c>
      <c r="B62" s="25" t="s">
        <v>157</v>
      </c>
      <c r="C62" s="29" t="s">
        <v>158</v>
      </c>
      <c r="D62" s="18" t="s">
        <v>77</v>
      </c>
      <c r="E62" s="19"/>
      <c r="F62" s="20">
        <v>0.02218</v>
      </c>
      <c r="G62" s="21">
        <v>13.7168</v>
      </c>
      <c r="H62" s="22">
        <v>0.95</v>
      </c>
      <c r="I62" s="41">
        <f t="shared" si="0"/>
        <v>0.320251183157895</v>
      </c>
      <c r="J62" s="42" t="s">
        <v>50</v>
      </c>
      <c r="K62" s="43">
        <v>65</v>
      </c>
      <c r="L62" s="43">
        <f t="shared" si="1"/>
        <v>55.3846153846154</v>
      </c>
      <c r="M62" s="44">
        <v>4</v>
      </c>
      <c r="N62" s="45">
        <v>48.5</v>
      </c>
      <c r="O62" s="45">
        <v>0.76</v>
      </c>
      <c r="P62" s="45">
        <v>22.5</v>
      </c>
      <c r="Q62" s="41">
        <f t="shared" si="2"/>
        <v>0.0865384615384615</v>
      </c>
      <c r="R62" s="54"/>
      <c r="S62" s="55">
        <f>0.1307/200+8.4124/1200</f>
        <v>0.00766383333333333</v>
      </c>
      <c r="T62" s="56">
        <v>0.0166666666666667</v>
      </c>
      <c r="U62" s="54"/>
      <c r="V62" s="41">
        <f t="shared" si="13"/>
        <v>0.58245516177882</v>
      </c>
      <c r="W62" s="57" t="s">
        <v>29</v>
      </c>
    </row>
    <row r="63" s="1" customFormat="1" ht="27" spans="1:23">
      <c r="A63" s="13">
        <v>61</v>
      </c>
      <c r="B63" s="25" t="s">
        <v>159</v>
      </c>
      <c r="C63" s="29" t="s">
        <v>160</v>
      </c>
      <c r="D63" s="23" t="s">
        <v>77</v>
      </c>
      <c r="E63" s="19">
        <f>85/1000</f>
        <v>0.085</v>
      </c>
      <c r="F63" s="20">
        <v>0.08925</v>
      </c>
      <c r="G63" s="21">
        <v>13.7168</v>
      </c>
      <c r="H63" s="22">
        <v>0.95</v>
      </c>
      <c r="I63" s="41">
        <f t="shared" si="0"/>
        <v>1.28865726315789</v>
      </c>
      <c r="J63" s="47" t="s">
        <v>78</v>
      </c>
      <c r="K63" s="43">
        <v>48</v>
      </c>
      <c r="L63" s="43">
        <f t="shared" si="1"/>
        <v>75</v>
      </c>
      <c r="M63" s="44">
        <v>2</v>
      </c>
      <c r="N63" s="45">
        <v>75.9</v>
      </c>
      <c r="O63" s="45">
        <v>0.76</v>
      </c>
      <c r="P63" s="45">
        <v>22.5</v>
      </c>
      <c r="Q63" s="41">
        <f t="shared" si="2"/>
        <v>0.234375</v>
      </c>
      <c r="R63" s="54"/>
      <c r="S63" s="55">
        <f>0.00131+8.4124/90</f>
        <v>0.0947811111111111</v>
      </c>
      <c r="T63" s="60">
        <f>20/90</f>
        <v>0.222222222222222</v>
      </c>
      <c r="U63" s="54">
        <v>0.3</v>
      </c>
      <c r="V63" s="41">
        <f t="shared" si="13"/>
        <v>2.74758379344414</v>
      </c>
      <c r="W63" s="57" t="s">
        <v>29</v>
      </c>
    </row>
    <row r="64" s="1" customFormat="1" ht="27" spans="1:23">
      <c r="A64" s="13">
        <v>62</v>
      </c>
      <c r="B64" s="25" t="s">
        <v>161</v>
      </c>
      <c r="C64" s="29" t="s">
        <v>162</v>
      </c>
      <c r="D64" s="23" t="s">
        <v>77</v>
      </c>
      <c r="E64" s="19">
        <f>85/1000</f>
        <v>0.085</v>
      </c>
      <c r="F64" s="20">
        <v>0.08925</v>
      </c>
      <c r="G64" s="21">
        <v>13.7168</v>
      </c>
      <c r="H64" s="22">
        <v>0.95</v>
      </c>
      <c r="I64" s="41">
        <f t="shared" si="0"/>
        <v>1.28865726315789</v>
      </c>
      <c r="J64" s="47" t="s">
        <v>78</v>
      </c>
      <c r="K64" s="43">
        <v>48</v>
      </c>
      <c r="L64" s="43">
        <f t="shared" si="1"/>
        <v>75</v>
      </c>
      <c r="M64" s="44">
        <v>2</v>
      </c>
      <c r="N64" s="45">
        <v>75.9</v>
      </c>
      <c r="O64" s="45">
        <v>0.76</v>
      </c>
      <c r="P64" s="45">
        <v>22.5</v>
      </c>
      <c r="Q64" s="41">
        <f t="shared" si="2"/>
        <v>0.234375</v>
      </c>
      <c r="R64" s="54"/>
      <c r="S64" s="55">
        <f>0.00131+8.4124/90</f>
        <v>0.0947811111111111</v>
      </c>
      <c r="T64" s="60">
        <f>20/90</f>
        <v>0.222222222222222</v>
      </c>
      <c r="U64" s="54"/>
      <c r="V64" s="41">
        <f t="shared" si="13"/>
        <v>2.44758379344414</v>
      </c>
      <c r="W64" s="57" t="s">
        <v>29</v>
      </c>
    </row>
    <row r="65" s="1" customFormat="1" ht="15" customHeight="1" spans="1:23">
      <c r="A65" s="13">
        <v>63</v>
      </c>
      <c r="B65" s="25" t="s">
        <v>163</v>
      </c>
      <c r="C65" s="29" t="s">
        <v>164</v>
      </c>
      <c r="D65" s="23" t="s">
        <v>77</v>
      </c>
      <c r="E65" s="19">
        <f>35/1000</f>
        <v>0.035</v>
      </c>
      <c r="F65" s="20">
        <v>0.03675</v>
      </c>
      <c r="G65" s="21">
        <v>13.7168</v>
      </c>
      <c r="H65" s="22">
        <v>0.93</v>
      </c>
      <c r="I65" s="41">
        <f t="shared" si="0"/>
        <v>0.542034838709677</v>
      </c>
      <c r="J65" s="42" t="s">
        <v>113</v>
      </c>
      <c r="K65" s="43">
        <v>51.4285714285715</v>
      </c>
      <c r="L65" s="43">
        <f t="shared" si="1"/>
        <v>69.9999999999999</v>
      </c>
      <c r="M65" s="44">
        <v>2</v>
      </c>
      <c r="N65" s="45">
        <v>39.75</v>
      </c>
      <c r="O65" s="45">
        <v>0.76</v>
      </c>
      <c r="P65" s="45">
        <v>22.5</v>
      </c>
      <c r="Q65" s="41">
        <f t="shared" si="2"/>
        <v>0.21875</v>
      </c>
      <c r="R65" s="54"/>
      <c r="S65" s="55">
        <f>0.0029/100+8.4124/600</f>
        <v>0.0140496666666667</v>
      </c>
      <c r="T65" s="60">
        <f>20/600</f>
        <v>0.0333333333333333</v>
      </c>
      <c r="U65" s="54"/>
      <c r="V65" s="41">
        <f t="shared" si="13"/>
        <v>1.13069407093306</v>
      </c>
      <c r="W65" s="57" t="s">
        <v>29</v>
      </c>
    </row>
    <row r="66" s="1" customFormat="1" spans="1:23">
      <c r="A66" s="13">
        <v>64</v>
      </c>
      <c r="B66" s="25" t="s">
        <v>165</v>
      </c>
      <c r="C66" s="29" t="s">
        <v>166</v>
      </c>
      <c r="D66" s="30" t="s">
        <v>167</v>
      </c>
      <c r="E66" s="19"/>
      <c r="F66" s="20">
        <v>0.0176</v>
      </c>
      <c r="G66" s="21">
        <v>60.177</v>
      </c>
      <c r="H66" s="22">
        <v>0.65</v>
      </c>
      <c r="I66" s="41">
        <f t="shared" si="0"/>
        <v>1.629408</v>
      </c>
      <c r="J66" s="42" t="s">
        <v>50</v>
      </c>
      <c r="K66" s="43">
        <v>65</v>
      </c>
      <c r="L66" s="43">
        <f t="shared" si="1"/>
        <v>55.3846153846154</v>
      </c>
      <c r="M66" s="44">
        <v>4</v>
      </c>
      <c r="N66" s="45">
        <v>48.5</v>
      </c>
      <c r="O66" s="45">
        <v>0.76</v>
      </c>
      <c r="P66" s="45">
        <v>22.5</v>
      </c>
      <c r="Q66" s="41">
        <f t="shared" si="2"/>
        <v>0.0865384615384615</v>
      </c>
      <c r="R66" s="54"/>
      <c r="S66" s="55">
        <f>0.1307/100+8.4124/400</f>
        <v>0.022338</v>
      </c>
      <c r="T66" s="56">
        <v>0.05</v>
      </c>
      <c r="U66" s="54"/>
      <c r="V66" s="41">
        <f t="shared" si="13"/>
        <v>3.1236956852071</v>
      </c>
      <c r="W66" s="57" t="s">
        <v>29</v>
      </c>
    </row>
    <row r="67" s="1" customFormat="1" spans="1:23">
      <c r="A67" s="13">
        <v>65</v>
      </c>
      <c r="B67" s="25" t="s">
        <v>168</v>
      </c>
      <c r="C67" s="29" t="s">
        <v>169</v>
      </c>
      <c r="D67" s="23" t="s">
        <v>77</v>
      </c>
      <c r="E67" s="19">
        <f>15/1000</f>
        <v>0.015</v>
      </c>
      <c r="F67" s="20">
        <v>0.01575</v>
      </c>
      <c r="G67" s="21">
        <v>13.7168</v>
      </c>
      <c r="H67" s="22">
        <v>0.98</v>
      </c>
      <c r="I67" s="41">
        <f t="shared" ref="I67:I130" si="21">F67*G67/H67</f>
        <v>0.220448571428571</v>
      </c>
      <c r="J67" s="42" t="s">
        <v>50</v>
      </c>
      <c r="K67" s="43">
        <v>48</v>
      </c>
      <c r="L67" s="43">
        <f t="shared" ref="L67:L104" si="22">3600/K67</f>
        <v>75</v>
      </c>
      <c r="M67" s="44">
        <v>2</v>
      </c>
      <c r="N67" s="45">
        <v>48.5</v>
      </c>
      <c r="O67" s="45">
        <v>0.76</v>
      </c>
      <c r="P67" s="45">
        <v>22.5</v>
      </c>
      <c r="Q67" s="41">
        <f t="shared" ref="Q67:Q130" si="23">P67/K67/M67</f>
        <v>0.234375</v>
      </c>
      <c r="R67" s="54"/>
      <c r="S67" s="55">
        <f>0.1307/100+8.4124/300</f>
        <v>0.0293483333333333</v>
      </c>
      <c r="T67" s="60">
        <f>20/300</f>
        <v>0.0666666666666667</v>
      </c>
      <c r="U67" s="54"/>
      <c r="V67" s="41">
        <f t="shared" si="13"/>
        <v>0.828618101311953</v>
      </c>
      <c r="W67" s="57" t="s">
        <v>29</v>
      </c>
    </row>
    <row r="68" s="1" customFormat="1" spans="1:23">
      <c r="A68" s="13">
        <v>66</v>
      </c>
      <c r="B68" s="25" t="s">
        <v>170</v>
      </c>
      <c r="C68" s="29" t="s">
        <v>171</v>
      </c>
      <c r="D68" s="23" t="s">
        <v>27</v>
      </c>
      <c r="E68" s="19"/>
      <c r="F68" s="20">
        <v>0.01625</v>
      </c>
      <c r="G68" s="21">
        <v>15.3097</v>
      </c>
      <c r="H68" s="22">
        <v>0.95</v>
      </c>
      <c r="I68" s="41">
        <f t="shared" si="21"/>
        <v>0.261876447368421</v>
      </c>
      <c r="J68" s="42" t="s">
        <v>28</v>
      </c>
      <c r="K68" s="43">
        <v>65</v>
      </c>
      <c r="L68" s="43">
        <f t="shared" si="22"/>
        <v>55.3846153846154</v>
      </c>
      <c r="M68" s="44">
        <v>2</v>
      </c>
      <c r="N68" s="45">
        <v>27.15</v>
      </c>
      <c r="O68" s="45">
        <v>0.76</v>
      </c>
      <c r="P68" s="45">
        <v>22.5</v>
      </c>
      <c r="Q68" s="41">
        <f t="shared" si="23"/>
        <v>0.173076923076923</v>
      </c>
      <c r="R68" s="54"/>
      <c r="S68" s="55">
        <f>0.1307/100+8.4124/400</f>
        <v>0.022338</v>
      </c>
      <c r="T68" s="56">
        <v>0.05</v>
      </c>
      <c r="U68" s="54"/>
      <c r="V68" s="41">
        <f t="shared" si="13"/>
        <v>0.673274367249094</v>
      </c>
      <c r="W68" s="57" t="s">
        <v>29</v>
      </c>
    </row>
    <row r="69" s="1" customFormat="1" spans="1:23">
      <c r="A69" s="13">
        <v>67</v>
      </c>
      <c r="B69" s="25" t="s">
        <v>172</v>
      </c>
      <c r="C69" s="29" t="s">
        <v>173</v>
      </c>
      <c r="D69" s="23" t="s">
        <v>27</v>
      </c>
      <c r="E69" s="19">
        <f>14/1000</f>
        <v>0.014</v>
      </c>
      <c r="F69" s="20">
        <v>0.0147</v>
      </c>
      <c r="G69" s="21">
        <v>15.3097</v>
      </c>
      <c r="H69" s="22">
        <v>0.95</v>
      </c>
      <c r="I69" s="41">
        <f t="shared" si="21"/>
        <v>0.236897463157895</v>
      </c>
      <c r="J69" s="42" t="s">
        <v>28</v>
      </c>
      <c r="K69" s="43">
        <v>55.3846153846154</v>
      </c>
      <c r="L69" s="43">
        <f t="shared" si="22"/>
        <v>65</v>
      </c>
      <c r="M69" s="44">
        <v>2</v>
      </c>
      <c r="N69" s="45">
        <v>27.15</v>
      </c>
      <c r="O69" s="45">
        <v>0.76</v>
      </c>
      <c r="P69" s="45">
        <v>22.5</v>
      </c>
      <c r="Q69" s="41">
        <f t="shared" si="23"/>
        <v>0.203125</v>
      </c>
      <c r="R69" s="54"/>
      <c r="S69" s="55">
        <f>0.00131+0.1307/50+8.4124/250</f>
        <v>0.0375736</v>
      </c>
      <c r="T69" s="60">
        <f>20/250</f>
        <v>0.08</v>
      </c>
      <c r="U69" s="54"/>
      <c r="V69" s="41">
        <f t="shared" si="13"/>
        <v>0.740531359584488</v>
      </c>
      <c r="W69" s="57" t="s">
        <v>29</v>
      </c>
    </row>
    <row r="70" s="1" customFormat="1" spans="1:23">
      <c r="A70" s="13">
        <v>68</v>
      </c>
      <c r="B70" s="25" t="s">
        <v>174</v>
      </c>
      <c r="C70" s="29" t="s">
        <v>175</v>
      </c>
      <c r="D70" s="23" t="s">
        <v>77</v>
      </c>
      <c r="E70" s="19">
        <f>8/1000</f>
        <v>0.008</v>
      </c>
      <c r="F70" s="20">
        <v>0.00848</v>
      </c>
      <c r="G70" s="21">
        <v>13.7168</v>
      </c>
      <c r="H70" s="22">
        <v>0.99</v>
      </c>
      <c r="I70" s="41">
        <f t="shared" si="21"/>
        <v>0.117493397979798</v>
      </c>
      <c r="J70" s="42" t="s">
        <v>113</v>
      </c>
      <c r="K70" s="43">
        <v>55.3846153846154</v>
      </c>
      <c r="L70" s="43">
        <f t="shared" si="22"/>
        <v>65</v>
      </c>
      <c r="M70" s="44">
        <v>2</v>
      </c>
      <c r="N70" s="45">
        <v>39.75</v>
      </c>
      <c r="O70" s="45">
        <v>0.76</v>
      </c>
      <c r="P70" s="45">
        <v>22.5</v>
      </c>
      <c r="Q70" s="41">
        <f t="shared" si="23"/>
        <v>0.203125</v>
      </c>
      <c r="R70" s="54"/>
      <c r="S70" s="55">
        <f>0.0291/50+8.4124/300</f>
        <v>0.0286233333333333</v>
      </c>
      <c r="T70" s="60">
        <f>20/300</f>
        <v>0.0666666666666667</v>
      </c>
      <c r="U70" s="54"/>
      <c r="V70" s="41">
        <f t="shared" ref="V70:V101" si="24">(I70+Q70+(N70*O70/K70/M70)/2)/H70*1.11+R70*1.03+S70+T70+U70</f>
        <v>0.607664857835935</v>
      </c>
      <c r="W70" s="57" t="s">
        <v>29</v>
      </c>
    </row>
    <row r="71" s="1" customFormat="1" spans="1:23">
      <c r="A71" s="13">
        <v>69</v>
      </c>
      <c r="B71" s="25" t="s">
        <v>176</v>
      </c>
      <c r="C71" s="29" t="s">
        <v>177</v>
      </c>
      <c r="D71" s="23" t="s">
        <v>77</v>
      </c>
      <c r="E71" s="19"/>
      <c r="F71" s="20">
        <v>0.0179</v>
      </c>
      <c r="G71" s="21">
        <v>13.7168</v>
      </c>
      <c r="H71" s="22">
        <v>0.95</v>
      </c>
      <c r="I71" s="41">
        <f t="shared" si="21"/>
        <v>0.258453389473684</v>
      </c>
      <c r="J71" s="42" t="s">
        <v>78</v>
      </c>
      <c r="K71" s="43">
        <v>48</v>
      </c>
      <c r="L71" s="43">
        <f t="shared" si="22"/>
        <v>75</v>
      </c>
      <c r="M71" s="44">
        <v>2</v>
      </c>
      <c r="N71" s="45">
        <v>75.9</v>
      </c>
      <c r="O71" s="45">
        <v>0.76</v>
      </c>
      <c r="P71" s="45">
        <v>22.5</v>
      </c>
      <c r="Q71" s="41">
        <f t="shared" si="23"/>
        <v>0.234375</v>
      </c>
      <c r="R71" s="54"/>
      <c r="S71" s="55">
        <f>0.1307/200+8.4124/1200</f>
        <v>0.00766383333333333</v>
      </c>
      <c r="T71" s="56">
        <v>0.0166666666666667</v>
      </c>
      <c r="U71" s="54"/>
      <c r="V71" s="41">
        <f t="shared" si="24"/>
        <v>0.951199065595568</v>
      </c>
      <c r="W71" s="57" t="s">
        <v>29</v>
      </c>
    </row>
    <row r="72" s="1" customFormat="1" spans="1:23">
      <c r="A72" s="13">
        <v>70</v>
      </c>
      <c r="B72" s="25" t="s">
        <v>178</v>
      </c>
      <c r="C72" s="29" t="s">
        <v>179</v>
      </c>
      <c r="D72" s="23" t="s">
        <v>77</v>
      </c>
      <c r="E72" s="19">
        <f>1/1000</f>
        <v>0.001</v>
      </c>
      <c r="F72" s="20">
        <v>0.00108</v>
      </c>
      <c r="G72" s="21">
        <v>13.7168</v>
      </c>
      <c r="H72" s="22">
        <v>0.98</v>
      </c>
      <c r="I72" s="41">
        <f t="shared" si="21"/>
        <v>0.0151164734693878</v>
      </c>
      <c r="J72" s="42" t="s">
        <v>32</v>
      </c>
      <c r="K72" s="43">
        <v>48</v>
      </c>
      <c r="L72" s="43">
        <f t="shared" si="22"/>
        <v>75</v>
      </c>
      <c r="M72" s="44">
        <v>8</v>
      </c>
      <c r="N72" s="45">
        <v>21.2</v>
      </c>
      <c r="O72" s="45">
        <v>0.76</v>
      </c>
      <c r="P72" s="45">
        <v>22.5</v>
      </c>
      <c r="Q72" s="41">
        <f t="shared" si="23"/>
        <v>0.05859375</v>
      </c>
      <c r="R72" s="54"/>
      <c r="S72" s="55">
        <f>0.0291/300+8.4124/1800</f>
        <v>0.00477055555555556</v>
      </c>
      <c r="T72" s="60">
        <f>20/1800</f>
        <v>0.0111111111111111</v>
      </c>
      <c r="U72" s="54"/>
      <c r="V72" s="41">
        <f t="shared" si="24"/>
        <v>0.123131894269749</v>
      </c>
      <c r="W72" s="57" t="s">
        <v>29</v>
      </c>
    </row>
    <row r="73" s="1" customFormat="1" spans="1:23">
      <c r="A73" s="13">
        <v>71</v>
      </c>
      <c r="B73" s="25" t="s">
        <v>180</v>
      </c>
      <c r="C73" s="28" t="s">
        <v>181</v>
      </c>
      <c r="D73" s="30" t="s">
        <v>182</v>
      </c>
      <c r="E73" s="19">
        <f>60/1000</f>
        <v>0.06</v>
      </c>
      <c r="F73" s="20">
        <v>0.063</v>
      </c>
      <c r="G73" s="21">
        <v>8.14159292035398</v>
      </c>
      <c r="H73" s="22">
        <v>0.98</v>
      </c>
      <c r="I73" s="41">
        <f t="shared" si="21"/>
        <v>0.52338811630847</v>
      </c>
      <c r="J73" s="42" t="s">
        <v>183</v>
      </c>
      <c r="K73" s="43">
        <v>65.4545454545455</v>
      </c>
      <c r="L73" s="43">
        <f t="shared" si="22"/>
        <v>55</v>
      </c>
      <c r="M73" s="44">
        <v>2</v>
      </c>
      <c r="N73" s="45">
        <v>67.6</v>
      </c>
      <c r="O73" s="45">
        <v>0.76</v>
      </c>
      <c r="P73" s="45">
        <v>22.5</v>
      </c>
      <c r="Q73" s="41">
        <f t="shared" si="23"/>
        <v>0.171875</v>
      </c>
      <c r="R73" s="54"/>
      <c r="S73" s="55">
        <f>0.1307/100+8.4124/200</f>
        <v>0.043369</v>
      </c>
      <c r="T73" s="60">
        <f>20/200</f>
        <v>0.1</v>
      </c>
      <c r="U73" s="54"/>
      <c r="V73" s="41">
        <f t="shared" si="24"/>
        <v>1.15311889024055</v>
      </c>
      <c r="W73" s="57" t="s">
        <v>29</v>
      </c>
    </row>
    <row r="74" s="1" customFormat="1" ht="27" spans="1:23">
      <c r="A74" s="13">
        <v>72</v>
      </c>
      <c r="B74" s="25" t="s">
        <v>184</v>
      </c>
      <c r="C74" s="29" t="s">
        <v>185</v>
      </c>
      <c r="D74" s="23" t="s">
        <v>77</v>
      </c>
      <c r="E74" s="19">
        <f>52/1000</f>
        <v>0.052</v>
      </c>
      <c r="F74" s="20">
        <v>0.05616</v>
      </c>
      <c r="G74" s="21">
        <v>13.7168</v>
      </c>
      <c r="H74" s="22">
        <v>0.98</v>
      </c>
      <c r="I74" s="41">
        <f t="shared" si="21"/>
        <v>0.786056620408163</v>
      </c>
      <c r="J74" s="47" t="s">
        <v>78</v>
      </c>
      <c r="K74" s="43">
        <v>48</v>
      </c>
      <c r="L74" s="43">
        <f t="shared" si="22"/>
        <v>75</v>
      </c>
      <c r="M74" s="44">
        <v>2</v>
      </c>
      <c r="N74" s="45">
        <v>75.9</v>
      </c>
      <c r="O74" s="45">
        <v>0.76</v>
      </c>
      <c r="P74" s="45">
        <v>22.5</v>
      </c>
      <c r="Q74" s="41">
        <f t="shared" si="23"/>
        <v>0.234375</v>
      </c>
      <c r="R74" s="54"/>
      <c r="S74" s="55">
        <f>0.0131+8.4124/100</f>
        <v>0.097224</v>
      </c>
      <c r="T74" s="60">
        <f t="shared" ref="T74:T77" si="25">20/100</f>
        <v>0.2</v>
      </c>
      <c r="U74" s="54">
        <v>0.3</v>
      </c>
      <c r="V74" s="41">
        <f t="shared" si="24"/>
        <v>2.09331045270721</v>
      </c>
      <c r="W74" s="57" t="s">
        <v>29</v>
      </c>
    </row>
    <row r="75" s="1" customFormat="1" ht="27" spans="1:23">
      <c r="A75" s="13">
        <v>73</v>
      </c>
      <c r="B75" s="25" t="s">
        <v>186</v>
      </c>
      <c r="C75" s="29" t="s">
        <v>187</v>
      </c>
      <c r="D75" s="23" t="s">
        <v>77</v>
      </c>
      <c r="E75" s="19">
        <f>52/1000</f>
        <v>0.052</v>
      </c>
      <c r="F75" s="20">
        <v>0.05616</v>
      </c>
      <c r="G75" s="21">
        <v>13.7168</v>
      </c>
      <c r="H75" s="22">
        <v>0.98</v>
      </c>
      <c r="I75" s="41">
        <f t="shared" si="21"/>
        <v>0.786056620408163</v>
      </c>
      <c r="J75" s="47" t="s">
        <v>78</v>
      </c>
      <c r="K75" s="43">
        <v>48</v>
      </c>
      <c r="L75" s="43">
        <f t="shared" si="22"/>
        <v>75</v>
      </c>
      <c r="M75" s="44">
        <v>2</v>
      </c>
      <c r="N75" s="45">
        <v>75.9</v>
      </c>
      <c r="O75" s="45">
        <v>0.76</v>
      </c>
      <c r="P75" s="45">
        <v>22.5</v>
      </c>
      <c r="Q75" s="41">
        <f t="shared" si="23"/>
        <v>0.234375</v>
      </c>
      <c r="R75" s="54"/>
      <c r="S75" s="55">
        <f>0.0131+8.4124/90</f>
        <v>0.106571111111111</v>
      </c>
      <c r="T75" s="60">
        <f>20/90</f>
        <v>0.222222222222222</v>
      </c>
      <c r="U75" s="54">
        <v>0.3</v>
      </c>
      <c r="V75" s="41">
        <f t="shared" si="24"/>
        <v>2.12487978604054</v>
      </c>
      <c r="W75" s="57" t="s">
        <v>29</v>
      </c>
    </row>
    <row r="76" s="1" customFormat="1" ht="27" spans="1:23">
      <c r="A76" s="13">
        <v>74</v>
      </c>
      <c r="B76" s="25" t="s">
        <v>188</v>
      </c>
      <c r="C76" s="29" t="s">
        <v>189</v>
      </c>
      <c r="D76" s="23" t="s">
        <v>77</v>
      </c>
      <c r="E76" s="19">
        <f>78/1000</f>
        <v>0.078</v>
      </c>
      <c r="F76" s="20">
        <v>0.0819</v>
      </c>
      <c r="G76" s="21">
        <v>13.7168</v>
      </c>
      <c r="H76" s="22">
        <v>0.96</v>
      </c>
      <c r="I76" s="41">
        <f t="shared" si="21"/>
        <v>1.1702145</v>
      </c>
      <c r="J76" s="47" t="s">
        <v>78</v>
      </c>
      <c r="K76" s="43">
        <v>45</v>
      </c>
      <c r="L76" s="43">
        <f t="shared" si="22"/>
        <v>80</v>
      </c>
      <c r="M76" s="44">
        <v>2</v>
      </c>
      <c r="N76" s="45">
        <v>75.9</v>
      </c>
      <c r="O76" s="45">
        <v>0.76</v>
      </c>
      <c r="P76" s="45">
        <v>22.5</v>
      </c>
      <c r="Q76" s="41">
        <f t="shared" si="23"/>
        <v>0.25</v>
      </c>
      <c r="R76" s="54"/>
      <c r="S76" s="55">
        <f>8.4124/100</f>
        <v>0.084124</v>
      </c>
      <c r="T76" s="60">
        <f t="shared" si="25"/>
        <v>0.2</v>
      </c>
      <c r="U76" s="54"/>
      <c r="V76" s="41">
        <f t="shared" si="24"/>
        <v>2.29678659895833</v>
      </c>
      <c r="W76" s="57" t="s">
        <v>29</v>
      </c>
    </row>
    <row r="77" s="1" customFormat="1" ht="27" spans="1:23">
      <c r="A77" s="13">
        <v>75</v>
      </c>
      <c r="B77" s="25" t="s">
        <v>190</v>
      </c>
      <c r="C77" s="29" t="s">
        <v>191</v>
      </c>
      <c r="D77" s="23" t="s">
        <v>77</v>
      </c>
      <c r="E77" s="19">
        <f>78/1000</f>
        <v>0.078</v>
      </c>
      <c r="F77" s="20">
        <v>0.0819</v>
      </c>
      <c r="G77" s="21">
        <v>13.7168</v>
      </c>
      <c r="H77" s="22">
        <v>0.96</v>
      </c>
      <c r="I77" s="41">
        <f t="shared" si="21"/>
        <v>1.1702145</v>
      </c>
      <c r="J77" s="47" t="s">
        <v>78</v>
      </c>
      <c r="K77" s="43">
        <v>45</v>
      </c>
      <c r="L77" s="43">
        <f t="shared" si="22"/>
        <v>80</v>
      </c>
      <c r="M77" s="44">
        <v>2</v>
      </c>
      <c r="N77" s="45">
        <v>75.9</v>
      </c>
      <c r="O77" s="45">
        <v>0.76</v>
      </c>
      <c r="P77" s="45">
        <v>22.5</v>
      </c>
      <c r="Q77" s="41">
        <f t="shared" si="23"/>
        <v>0.25</v>
      </c>
      <c r="R77" s="54"/>
      <c r="S77" s="55">
        <f>8.4124/100</f>
        <v>0.084124</v>
      </c>
      <c r="T77" s="60">
        <f t="shared" si="25"/>
        <v>0.2</v>
      </c>
      <c r="U77" s="54"/>
      <c r="V77" s="41">
        <f t="shared" si="24"/>
        <v>2.29678659895833</v>
      </c>
      <c r="W77" s="57" t="s">
        <v>29</v>
      </c>
    </row>
    <row r="78" s="1" customFormat="1" ht="27" spans="1:23">
      <c r="A78" s="13">
        <v>76</v>
      </c>
      <c r="B78" s="25" t="s">
        <v>192</v>
      </c>
      <c r="C78" s="29" t="s">
        <v>193</v>
      </c>
      <c r="D78" s="30" t="s">
        <v>167</v>
      </c>
      <c r="E78" s="19">
        <f>15/1000</f>
        <v>0.015</v>
      </c>
      <c r="F78" s="20">
        <v>0.021</v>
      </c>
      <c r="G78" s="21">
        <v>60.177</v>
      </c>
      <c r="H78" s="22">
        <v>0.65</v>
      </c>
      <c r="I78" s="41">
        <f t="shared" si="21"/>
        <v>1.94418</v>
      </c>
      <c r="J78" s="47" t="s">
        <v>78</v>
      </c>
      <c r="K78" s="43">
        <v>36</v>
      </c>
      <c r="L78" s="43">
        <f t="shared" si="22"/>
        <v>100</v>
      </c>
      <c r="M78" s="44">
        <v>2</v>
      </c>
      <c r="N78" s="45">
        <v>75.9</v>
      </c>
      <c r="O78" s="45">
        <v>0.76</v>
      </c>
      <c r="P78" s="45">
        <v>22.5</v>
      </c>
      <c r="Q78" s="41">
        <f t="shared" si="23"/>
        <v>0.3125</v>
      </c>
      <c r="R78" s="54"/>
      <c r="S78" s="55">
        <f>0.1307/50+8.4124/200</f>
        <v>0.044676</v>
      </c>
      <c r="T78" s="60">
        <f>20/200</f>
        <v>0.1</v>
      </c>
      <c r="U78" s="54"/>
      <c r="V78" s="41">
        <f t="shared" si="24"/>
        <v>4.68246415384615</v>
      </c>
      <c r="W78" s="57" t="s">
        <v>29</v>
      </c>
    </row>
    <row r="79" s="1" customFormat="1" ht="27" spans="1:23">
      <c r="A79" s="13">
        <v>77</v>
      </c>
      <c r="B79" s="25" t="s">
        <v>194</v>
      </c>
      <c r="C79" s="29" t="s">
        <v>195</v>
      </c>
      <c r="D79" s="30" t="s">
        <v>167</v>
      </c>
      <c r="E79" s="19">
        <f>15/1000</f>
        <v>0.015</v>
      </c>
      <c r="F79" s="20">
        <v>0.021</v>
      </c>
      <c r="G79" s="21">
        <v>60.177</v>
      </c>
      <c r="H79" s="22">
        <v>0.65</v>
      </c>
      <c r="I79" s="41">
        <f t="shared" si="21"/>
        <v>1.94418</v>
      </c>
      <c r="J79" s="47" t="s">
        <v>78</v>
      </c>
      <c r="K79" s="43">
        <v>36</v>
      </c>
      <c r="L79" s="43">
        <f t="shared" si="22"/>
        <v>100</v>
      </c>
      <c r="M79" s="44">
        <v>2</v>
      </c>
      <c r="N79" s="45">
        <v>75.9</v>
      </c>
      <c r="O79" s="45">
        <v>0.76</v>
      </c>
      <c r="P79" s="45">
        <v>22.5</v>
      </c>
      <c r="Q79" s="41">
        <f t="shared" si="23"/>
        <v>0.3125</v>
      </c>
      <c r="R79" s="54"/>
      <c r="S79" s="55">
        <f>0.1307/50+8.4124/200</f>
        <v>0.044676</v>
      </c>
      <c r="T79" s="60">
        <f>20/200</f>
        <v>0.1</v>
      </c>
      <c r="U79" s="54"/>
      <c r="V79" s="41">
        <f t="shared" si="24"/>
        <v>4.68246415384615</v>
      </c>
      <c r="W79" s="57" t="s">
        <v>29</v>
      </c>
    </row>
    <row r="80" s="1" customFormat="1" spans="1:23">
      <c r="A80" s="13">
        <v>78</v>
      </c>
      <c r="B80" s="25" t="s">
        <v>196</v>
      </c>
      <c r="C80" s="29" t="s">
        <v>169</v>
      </c>
      <c r="D80" s="30" t="s">
        <v>44</v>
      </c>
      <c r="E80" s="19">
        <f>47/1000</f>
        <v>0.047</v>
      </c>
      <c r="F80" s="20">
        <v>0.04935</v>
      </c>
      <c r="G80" s="21">
        <v>18.5841</v>
      </c>
      <c r="H80" s="22">
        <v>0.96</v>
      </c>
      <c r="I80" s="41">
        <f t="shared" si="21"/>
        <v>0.955338890625</v>
      </c>
      <c r="J80" s="42" t="s">
        <v>197</v>
      </c>
      <c r="K80" s="43">
        <v>45</v>
      </c>
      <c r="L80" s="43">
        <f t="shared" si="22"/>
        <v>80</v>
      </c>
      <c r="M80" s="44">
        <v>2</v>
      </c>
      <c r="N80" s="45">
        <v>67.9</v>
      </c>
      <c r="O80" s="45">
        <v>0.76</v>
      </c>
      <c r="P80" s="45">
        <v>22.5</v>
      </c>
      <c r="Q80" s="41">
        <f t="shared" si="23"/>
        <v>0.25</v>
      </c>
      <c r="R80" s="54"/>
      <c r="S80" s="55">
        <f>0.0131+8.4124/90</f>
        <v>0.106571111111111</v>
      </c>
      <c r="T80" s="60">
        <f>20/90</f>
        <v>0.222222222222222</v>
      </c>
      <c r="U80" s="54">
        <v>0.3</v>
      </c>
      <c r="V80" s="41">
        <f t="shared" si="24"/>
        <v>2.35395045339627</v>
      </c>
      <c r="W80" s="57" t="s">
        <v>29</v>
      </c>
    </row>
    <row r="81" s="1" customFormat="1" spans="1:23">
      <c r="A81" s="13">
        <v>79</v>
      </c>
      <c r="B81" s="25" t="s">
        <v>198</v>
      </c>
      <c r="C81" s="29" t="s">
        <v>199</v>
      </c>
      <c r="D81" s="18" t="s">
        <v>44</v>
      </c>
      <c r="E81" s="19">
        <f>47/1000</f>
        <v>0.047</v>
      </c>
      <c r="F81" s="20">
        <v>0.04935</v>
      </c>
      <c r="G81" s="21">
        <v>18.5841</v>
      </c>
      <c r="H81" s="22">
        <v>0.96</v>
      </c>
      <c r="I81" s="41">
        <f t="shared" si="21"/>
        <v>0.955338890625</v>
      </c>
      <c r="J81" s="42" t="s">
        <v>197</v>
      </c>
      <c r="K81" s="43">
        <v>45</v>
      </c>
      <c r="L81" s="43">
        <f t="shared" si="22"/>
        <v>80</v>
      </c>
      <c r="M81" s="44">
        <v>2</v>
      </c>
      <c r="N81" s="45">
        <v>67.9</v>
      </c>
      <c r="O81" s="45">
        <v>0.76</v>
      </c>
      <c r="P81" s="45">
        <v>22.5</v>
      </c>
      <c r="Q81" s="41">
        <f t="shared" si="23"/>
        <v>0.25</v>
      </c>
      <c r="R81" s="54"/>
      <c r="S81" s="55">
        <f>0.0131+8.4124/90</f>
        <v>0.106571111111111</v>
      </c>
      <c r="T81" s="60">
        <f>20/90</f>
        <v>0.222222222222222</v>
      </c>
      <c r="U81" s="54">
        <v>0.3</v>
      </c>
      <c r="V81" s="41">
        <f t="shared" si="24"/>
        <v>2.35395045339627</v>
      </c>
      <c r="W81" s="57" t="s">
        <v>29</v>
      </c>
    </row>
    <row r="82" s="1" customFormat="1" ht="27" spans="1:23">
      <c r="A82" s="13">
        <v>80</v>
      </c>
      <c r="B82" s="25" t="s">
        <v>200</v>
      </c>
      <c r="C82" s="29" t="s">
        <v>171</v>
      </c>
      <c r="D82" s="23" t="s">
        <v>77</v>
      </c>
      <c r="E82" s="19">
        <f>22/1000</f>
        <v>0.022</v>
      </c>
      <c r="F82" s="20">
        <v>0.0231</v>
      </c>
      <c r="G82" s="21">
        <v>13.7168</v>
      </c>
      <c r="H82" s="22">
        <v>0.96</v>
      </c>
      <c r="I82" s="41">
        <f t="shared" si="21"/>
        <v>0.3300605</v>
      </c>
      <c r="J82" s="47" t="s">
        <v>78</v>
      </c>
      <c r="K82" s="43">
        <v>48</v>
      </c>
      <c r="L82" s="43">
        <f t="shared" si="22"/>
        <v>75</v>
      </c>
      <c r="M82" s="44">
        <v>2</v>
      </c>
      <c r="N82" s="45">
        <v>75.9</v>
      </c>
      <c r="O82" s="45">
        <v>0.76</v>
      </c>
      <c r="P82" s="45">
        <v>22.5</v>
      </c>
      <c r="Q82" s="41">
        <f t="shared" si="23"/>
        <v>0.234375</v>
      </c>
      <c r="R82" s="54"/>
      <c r="S82" s="55">
        <f>8.4124/100</f>
        <v>0.084124</v>
      </c>
      <c r="T82" s="60">
        <f>20/100</f>
        <v>0.2</v>
      </c>
      <c r="U82" s="54"/>
      <c r="V82" s="41">
        <f t="shared" si="24"/>
        <v>1.28413340625</v>
      </c>
      <c r="W82" s="57" t="s">
        <v>29</v>
      </c>
    </row>
    <row r="83" s="1" customFormat="1" spans="1:23">
      <c r="A83" s="13">
        <v>84</v>
      </c>
      <c r="B83" s="25" t="s">
        <v>201</v>
      </c>
      <c r="C83" s="29" t="s">
        <v>202</v>
      </c>
      <c r="D83" s="30" t="s">
        <v>167</v>
      </c>
      <c r="E83" s="19">
        <f>6/1000</f>
        <v>0.006</v>
      </c>
      <c r="F83" s="20">
        <v>0.0084</v>
      </c>
      <c r="G83" s="21">
        <v>60.177</v>
      </c>
      <c r="H83" s="22">
        <v>0.7</v>
      </c>
      <c r="I83" s="41">
        <f t="shared" si="21"/>
        <v>0.722124</v>
      </c>
      <c r="J83" s="42" t="s">
        <v>28</v>
      </c>
      <c r="K83" s="43">
        <v>37.8947368421053</v>
      </c>
      <c r="L83" s="43">
        <f t="shared" si="22"/>
        <v>94.9999999999999</v>
      </c>
      <c r="M83" s="44">
        <v>2</v>
      </c>
      <c r="N83" s="45">
        <v>27.15</v>
      </c>
      <c r="O83" s="45">
        <v>0.76</v>
      </c>
      <c r="P83" s="45">
        <v>22.5</v>
      </c>
      <c r="Q83" s="41">
        <f t="shared" si="23"/>
        <v>0.296875</v>
      </c>
      <c r="R83" s="54"/>
      <c r="S83" s="55">
        <f>0.0291/50+8.4124/600</f>
        <v>0.0146026666666667</v>
      </c>
      <c r="T83" s="60">
        <f>20/600</f>
        <v>0.0333333333333333</v>
      </c>
      <c r="U83" s="54"/>
      <c r="V83" s="41">
        <f t="shared" si="24"/>
        <v>1.87963593214286</v>
      </c>
      <c r="W83" s="57" t="s">
        <v>29</v>
      </c>
    </row>
    <row r="84" s="1" customFormat="1" spans="1:23">
      <c r="A84" s="13">
        <v>85</v>
      </c>
      <c r="B84" s="25" t="s">
        <v>203</v>
      </c>
      <c r="C84" s="29" t="s">
        <v>204</v>
      </c>
      <c r="D84" s="30" t="s">
        <v>27</v>
      </c>
      <c r="E84" s="19">
        <f>2/1000</f>
        <v>0.002</v>
      </c>
      <c r="F84" s="20">
        <v>0.0026</v>
      </c>
      <c r="G84" s="21">
        <v>15.3097</v>
      </c>
      <c r="H84" s="22">
        <v>0.95</v>
      </c>
      <c r="I84" s="41">
        <f t="shared" si="21"/>
        <v>0.0419002315789474</v>
      </c>
      <c r="J84" s="42" t="s">
        <v>32</v>
      </c>
      <c r="K84" s="43">
        <v>72</v>
      </c>
      <c r="L84" s="43">
        <f t="shared" si="22"/>
        <v>50</v>
      </c>
      <c r="M84" s="44">
        <v>3</v>
      </c>
      <c r="N84" s="45">
        <v>21.2</v>
      </c>
      <c r="O84" s="45">
        <v>0.76</v>
      </c>
      <c r="P84" s="45">
        <v>22.5</v>
      </c>
      <c r="Q84" s="41">
        <f t="shared" si="23"/>
        <v>0.104166666666667</v>
      </c>
      <c r="R84" s="54"/>
      <c r="S84" s="55">
        <f t="shared" ref="S84:S86" si="26">0.0291/1000+8.4124/6000</f>
        <v>0.00143116666666667</v>
      </c>
      <c r="T84" s="60">
        <f t="shared" ref="T84:T86" si="27">20/6000</f>
        <v>0.00333333333333333</v>
      </c>
      <c r="U84" s="54"/>
      <c r="V84" s="41">
        <f t="shared" si="24"/>
        <v>0.219009916780548</v>
      </c>
      <c r="W84" s="57" t="s">
        <v>29</v>
      </c>
    </row>
    <row r="85" s="1" customFormat="1" spans="1:23">
      <c r="A85" s="13">
        <v>86</v>
      </c>
      <c r="B85" s="25" t="s">
        <v>205</v>
      </c>
      <c r="C85" s="29" t="s">
        <v>206</v>
      </c>
      <c r="D85" s="30" t="s">
        <v>27</v>
      </c>
      <c r="E85" s="19">
        <f>1/1000</f>
        <v>0.001</v>
      </c>
      <c r="F85" s="20">
        <v>0.0013</v>
      </c>
      <c r="G85" s="21">
        <v>15.3097</v>
      </c>
      <c r="H85" s="22">
        <v>0.95</v>
      </c>
      <c r="I85" s="41">
        <f t="shared" si="21"/>
        <v>0.0209501157894737</v>
      </c>
      <c r="J85" s="42" t="s">
        <v>32</v>
      </c>
      <c r="K85" s="43">
        <v>72</v>
      </c>
      <c r="L85" s="43">
        <f t="shared" si="22"/>
        <v>50</v>
      </c>
      <c r="M85" s="44">
        <v>3</v>
      </c>
      <c r="N85" s="45">
        <v>21.2</v>
      </c>
      <c r="O85" s="45">
        <v>0.76</v>
      </c>
      <c r="P85" s="45">
        <v>22.5</v>
      </c>
      <c r="Q85" s="41">
        <f t="shared" si="23"/>
        <v>0.104166666666667</v>
      </c>
      <c r="R85" s="54"/>
      <c r="S85" s="55">
        <f t="shared" si="26"/>
        <v>0.00143116666666667</v>
      </c>
      <c r="T85" s="60">
        <f t="shared" si="27"/>
        <v>0.00333333333333333</v>
      </c>
      <c r="U85" s="54"/>
      <c r="V85" s="41">
        <f t="shared" si="24"/>
        <v>0.194531360437058</v>
      </c>
      <c r="W85" s="57" t="s">
        <v>29</v>
      </c>
    </row>
    <row r="86" s="1" customFormat="1" spans="1:23">
      <c r="A86" s="13">
        <v>87</v>
      </c>
      <c r="B86" s="25" t="s">
        <v>207</v>
      </c>
      <c r="C86" s="29" t="s">
        <v>208</v>
      </c>
      <c r="D86" s="30" t="s">
        <v>27</v>
      </c>
      <c r="E86" s="19">
        <f>2/1000</f>
        <v>0.002</v>
      </c>
      <c r="F86" s="20">
        <v>0.0026</v>
      </c>
      <c r="G86" s="21">
        <v>15.3097</v>
      </c>
      <c r="H86" s="22">
        <v>0.95</v>
      </c>
      <c r="I86" s="41">
        <f t="shared" si="21"/>
        <v>0.0419002315789474</v>
      </c>
      <c r="J86" s="42" t="s">
        <v>32</v>
      </c>
      <c r="K86" s="43">
        <v>72</v>
      </c>
      <c r="L86" s="43">
        <f t="shared" si="22"/>
        <v>50</v>
      </c>
      <c r="M86" s="44">
        <v>3</v>
      </c>
      <c r="N86" s="45">
        <v>21.2</v>
      </c>
      <c r="O86" s="45">
        <v>0.76</v>
      </c>
      <c r="P86" s="45">
        <v>22.5</v>
      </c>
      <c r="Q86" s="41">
        <f t="shared" si="23"/>
        <v>0.104166666666667</v>
      </c>
      <c r="R86" s="54"/>
      <c r="S86" s="55">
        <f t="shared" si="26"/>
        <v>0.00143116666666667</v>
      </c>
      <c r="T86" s="60">
        <f t="shared" si="27"/>
        <v>0.00333333333333333</v>
      </c>
      <c r="U86" s="54"/>
      <c r="V86" s="41">
        <f t="shared" si="24"/>
        <v>0.219009916780548</v>
      </c>
      <c r="W86" s="57" t="s">
        <v>29</v>
      </c>
    </row>
    <row r="87" s="1" customFormat="1" spans="1:23">
      <c r="A87" s="13">
        <v>88</v>
      </c>
      <c r="B87" s="25" t="s">
        <v>209</v>
      </c>
      <c r="C87" s="25" t="s">
        <v>210</v>
      </c>
      <c r="D87" s="23" t="s">
        <v>44</v>
      </c>
      <c r="E87" s="19">
        <f>52/1000</f>
        <v>0.052</v>
      </c>
      <c r="F87" s="20">
        <v>0.0546</v>
      </c>
      <c r="G87" s="21">
        <v>18.5841</v>
      </c>
      <c r="H87" s="22">
        <v>0.96</v>
      </c>
      <c r="I87" s="41">
        <f t="shared" si="21"/>
        <v>1.0569706875</v>
      </c>
      <c r="J87" s="42" t="s">
        <v>197</v>
      </c>
      <c r="K87" s="43">
        <v>48</v>
      </c>
      <c r="L87" s="43">
        <f t="shared" si="22"/>
        <v>75</v>
      </c>
      <c r="M87" s="61">
        <v>2</v>
      </c>
      <c r="N87" s="45">
        <v>67.9</v>
      </c>
      <c r="O87" s="45">
        <v>0.76</v>
      </c>
      <c r="P87" s="45">
        <v>22.5</v>
      </c>
      <c r="Q87" s="41">
        <f t="shared" si="23"/>
        <v>0.234375</v>
      </c>
      <c r="R87" s="54"/>
      <c r="S87" s="55">
        <f t="shared" ref="S87:S92" si="28">0.0131+8.4124/90</f>
        <v>0.106571111111111</v>
      </c>
      <c r="T87" s="60">
        <f t="shared" ref="T87:T91" si="29">20/90</f>
        <v>0.222222222222222</v>
      </c>
      <c r="U87" s="54">
        <v>0.3</v>
      </c>
      <c r="V87" s="41">
        <f t="shared" si="24"/>
        <v>2.43267806054688</v>
      </c>
      <c r="W87" s="57" t="s">
        <v>29</v>
      </c>
    </row>
    <row r="88" s="1" customFormat="1" spans="1:23">
      <c r="A88" s="13">
        <v>89</v>
      </c>
      <c r="B88" s="25" t="s">
        <v>211</v>
      </c>
      <c r="C88" s="25" t="s">
        <v>212</v>
      </c>
      <c r="D88" s="18" t="s">
        <v>44</v>
      </c>
      <c r="E88" s="19">
        <f>47/1000</f>
        <v>0.047</v>
      </c>
      <c r="F88" s="20">
        <v>0.04935</v>
      </c>
      <c r="G88" s="21">
        <v>18.5841</v>
      </c>
      <c r="H88" s="22">
        <v>0.96</v>
      </c>
      <c r="I88" s="41">
        <f t="shared" si="21"/>
        <v>0.955338890625</v>
      </c>
      <c r="J88" s="42" t="s">
        <v>197</v>
      </c>
      <c r="K88" s="43">
        <v>48</v>
      </c>
      <c r="L88" s="43">
        <f t="shared" si="22"/>
        <v>75</v>
      </c>
      <c r="M88" s="44">
        <v>2</v>
      </c>
      <c r="N88" s="45">
        <v>67.9</v>
      </c>
      <c r="O88" s="45">
        <v>0.76</v>
      </c>
      <c r="P88" s="45">
        <v>22.5</v>
      </c>
      <c r="Q88" s="41">
        <f t="shared" si="23"/>
        <v>0.234375</v>
      </c>
      <c r="R88" s="54"/>
      <c r="S88" s="55">
        <f t="shared" si="28"/>
        <v>0.106571111111111</v>
      </c>
      <c r="T88" s="60">
        <f t="shared" si="29"/>
        <v>0.222222222222222</v>
      </c>
      <c r="U88" s="54">
        <v>0.3</v>
      </c>
      <c r="V88" s="41">
        <f t="shared" si="24"/>
        <v>2.31516629541016</v>
      </c>
      <c r="W88" s="57" t="s">
        <v>29</v>
      </c>
    </row>
    <row r="89" s="1" customFormat="1" ht="27" spans="1:23">
      <c r="A89" s="13">
        <v>90</v>
      </c>
      <c r="B89" s="25" t="s">
        <v>213</v>
      </c>
      <c r="C89" s="29" t="s">
        <v>214</v>
      </c>
      <c r="D89" s="23" t="s">
        <v>77</v>
      </c>
      <c r="E89" s="19">
        <f>24/1000</f>
        <v>0.024</v>
      </c>
      <c r="F89" s="20">
        <v>0.0252</v>
      </c>
      <c r="G89" s="21">
        <v>13.7168</v>
      </c>
      <c r="H89" s="22">
        <v>0.98</v>
      </c>
      <c r="I89" s="41">
        <f t="shared" si="21"/>
        <v>0.352717714285714</v>
      </c>
      <c r="J89" s="42" t="s">
        <v>113</v>
      </c>
      <c r="K89" s="43">
        <v>48</v>
      </c>
      <c r="L89" s="43">
        <f t="shared" si="22"/>
        <v>75</v>
      </c>
      <c r="M89" s="44">
        <v>1</v>
      </c>
      <c r="N89" s="45">
        <v>39.75</v>
      </c>
      <c r="O89" s="45">
        <v>0.76</v>
      </c>
      <c r="P89" s="45">
        <v>22.5</v>
      </c>
      <c r="Q89" s="41">
        <f t="shared" si="23"/>
        <v>0.46875</v>
      </c>
      <c r="R89" s="54"/>
      <c r="S89" s="55">
        <f>8.4124/100</f>
        <v>0.084124</v>
      </c>
      <c r="T89" s="60">
        <f>20/100</f>
        <v>0.2</v>
      </c>
      <c r="U89" s="54"/>
      <c r="V89" s="41">
        <f t="shared" si="24"/>
        <v>1.57099368148688</v>
      </c>
      <c r="W89" s="57" t="s">
        <v>29</v>
      </c>
    </row>
    <row r="90" s="1" customFormat="1" spans="1:23">
      <c r="A90" s="13">
        <v>91</v>
      </c>
      <c r="B90" s="25" t="s">
        <v>215</v>
      </c>
      <c r="C90" s="29" t="s">
        <v>175</v>
      </c>
      <c r="D90" s="23" t="s">
        <v>77</v>
      </c>
      <c r="E90" s="19">
        <f>18/1000</f>
        <v>0.018</v>
      </c>
      <c r="F90" s="20">
        <v>0.0189</v>
      </c>
      <c r="G90" s="21">
        <v>13.7168</v>
      </c>
      <c r="H90" s="22">
        <v>0.98</v>
      </c>
      <c r="I90" s="41">
        <f t="shared" si="21"/>
        <v>0.264538285714286</v>
      </c>
      <c r="J90" s="42" t="s">
        <v>113</v>
      </c>
      <c r="K90" s="43">
        <v>48</v>
      </c>
      <c r="L90" s="43">
        <f t="shared" si="22"/>
        <v>75</v>
      </c>
      <c r="M90" s="44">
        <v>1</v>
      </c>
      <c r="N90" s="45">
        <v>39.75</v>
      </c>
      <c r="O90" s="45">
        <v>0.76</v>
      </c>
      <c r="P90" s="45">
        <v>22.5</v>
      </c>
      <c r="Q90" s="41">
        <f t="shared" si="23"/>
        <v>0.46875</v>
      </c>
      <c r="R90" s="54"/>
      <c r="S90" s="55">
        <f>0.0291/50+8.4124/600</f>
        <v>0.0146026666666667</v>
      </c>
      <c r="T90" s="60">
        <f>20/600</f>
        <v>0.0333333333333333</v>
      </c>
      <c r="U90" s="54"/>
      <c r="V90" s="41">
        <f t="shared" si="24"/>
        <v>1.23492898177843</v>
      </c>
      <c r="W90" s="57" t="s">
        <v>29</v>
      </c>
    </row>
    <row r="91" s="1" customFormat="1" spans="1:23">
      <c r="A91" s="13">
        <v>92</v>
      </c>
      <c r="B91" s="25" t="s">
        <v>216</v>
      </c>
      <c r="C91" s="29" t="s">
        <v>217</v>
      </c>
      <c r="D91" s="23" t="s">
        <v>44</v>
      </c>
      <c r="E91" s="19">
        <f>35/1000</f>
        <v>0.035</v>
      </c>
      <c r="F91" s="20">
        <v>0.03675</v>
      </c>
      <c r="G91" s="21">
        <v>18.5841</v>
      </c>
      <c r="H91" s="22">
        <v>0.9</v>
      </c>
      <c r="I91" s="41">
        <f t="shared" si="21"/>
        <v>0.75885075</v>
      </c>
      <c r="J91" s="42" t="s">
        <v>113</v>
      </c>
      <c r="K91" s="43">
        <v>48</v>
      </c>
      <c r="L91" s="43">
        <f t="shared" si="22"/>
        <v>75</v>
      </c>
      <c r="M91" s="44">
        <v>2</v>
      </c>
      <c r="N91" s="45">
        <v>39.75</v>
      </c>
      <c r="O91" s="45">
        <v>0.76</v>
      </c>
      <c r="P91" s="45">
        <v>22.5</v>
      </c>
      <c r="Q91" s="41">
        <f t="shared" si="23"/>
        <v>0.234375</v>
      </c>
      <c r="R91" s="54"/>
      <c r="S91" s="55">
        <f t="shared" si="28"/>
        <v>0.106571111111111</v>
      </c>
      <c r="T91" s="60">
        <f t="shared" si="29"/>
        <v>0.222222222222222</v>
      </c>
      <c r="U91" s="54">
        <v>0.3</v>
      </c>
      <c r="V91" s="41">
        <f t="shared" si="24"/>
        <v>2.04782905</v>
      </c>
      <c r="W91" s="57" t="s">
        <v>29</v>
      </c>
    </row>
    <row r="92" s="1" customFormat="1" spans="1:23">
      <c r="A92" s="13">
        <v>93</v>
      </c>
      <c r="B92" s="25" t="s">
        <v>218</v>
      </c>
      <c r="C92" s="25" t="s">
        <v>210</v>
      </c>
      <c r="D92" s="23" t="s">
        <v>44</v>
      </c>
      <c r="E92" s="19"/>
      <c r="F92" s="20">
        <v>0.03702</v>
      </c>
      <c r="G92" s="21">
        <v>18.5841</v>
      </c>
      <c r="H92" s="22">
        <v>0.9</v>
      </c>
      <c r="I92" s="41">
        <f t="shared" si="21"/>
        <v>0.76442598</v>
      </c>
      <c r="J92" s="46" t="s">
        <v>113</v>
      </c>
      <c r="K92" s="43">
        <v>55</v>
      </c>
      <c r="L92" s="43">
        <f t="shared" si="22"/>
        <v>65.4545454545455</v>
      </c>
      <c r="M92" s="44">
        <v>2</v>
      </c>
      <c r="N92" s="45">
        <v>39.75</v>
      </c>
      <c r="O92" s="45">
        <v>0.76</v>
      </c>
      <c r="P92" s="45">
        <v>22.5</v>
      </c>
      <c r="Q92" s="41">
        <f t="shared" si="23"/>
        <v>0.204545454545455</v>
      </c>
      <c r="R92" s="54"/>
      <c r="S92" s="55">
        <f t="shared" si="28"/>
        <v>0.106571111111111</v>
      </c>
      <c r="T92" s="56">
        <v>0.222222222222222</v>
      </c>
      <c r="U92" s="54">
        <v>0.3</v>
      </c>
      <c r="V92" s="41">
        <f t="shared" si="24"/>
        <v>1.99321719351515</v>
      </c>
      <c r="W92" s="57" t="s">
        <v>29</v>
      </c>
    </row>
    <row r="93" s="1" customFormat="1" spans="1:23">
      <c r="A93" s="13">
        <v>94</v>
      </c>
      <c r="B93" s="25" t="s">
        <v>219</v>
      </c>
      <c r="C93" s="25" t="s">
        <v>220</v>
      </c>
      <c r="D93" s="18" t="s">
        <v>77</v>
      </c>
      <c r="E93" s="19">
        <f>48/1000</f>
        <v>0.048</v>
      </c>
      <c r="F93" s="20">
        <v>0.0504</v>
      </c>
      <c r="G93" s="21">
        <v>13.7168</v>
      </c>
      <c r="H93" s="22">
        <v>0.95</v>
      </c>
      <c r="I93" s="41">
        <f t="shared" si="21"/>
        <v>0.727712336842105</v>
      </c>
      <c r="J93" s="42" t="s">
        <v>113</v>
      </c>
      <c r="K93" s="43">
        <v>42.3529411764705</v>
      </c>
      <c r="L93" s="43">
        <f t="shared" si="22"/>
        <v>85.0000000000002</v>
      </c>
      <c r="M93" s="44">
        <v>2</v>
      </c>
      <c r="N93" s="45">
        <v>39.75</v>
      </c>
      <c r="O93" s="45">
        <v>0.76</v>
      </c>
      <c r="P93" s="45">
        <v>22.5</v>
      </c>
      <c r="Q93" s="41">
        <f t="shared" si="23"/>
        <v>0.265625000000001</v>
      </c>
      <c r="R93" s="54"/>
      <c r="S93" s="55">
        <f>8.4124/200</f>
        <v>0.042062</v>
      </c>
      <c r="T93" s="60">
        <f>20/200</f>
        <v>0.1</v>
      </c>
      <c r="U93" s="54"/>
      <c r="V93" s="41">
        <f t="shared" si="24"/>
        <v>1.5110545067313</v>
      </c>
      <c r="W93" s="57" t="s">
        <v>29</v>
      </c>
    </row>
    <row r="94" s="1" customFormat="1" spans="1:23">
      <c r="A94" s="13">
        <v>95</v>
      </c>
      <c r="B94" s="25" t="s">
        <v>221</v>
      </c>
      <c r="C94" s="25" t="s">
        <v>222</v>
      </c>
      <c r="D94" s="23" t="s">
        <v>27</v>
      </c>
      <c r="E94" s="19">
        <f>12/1000</f>
        <v>0.012</v>
      </c>
      <c r="F94" s="20">
        <v>0.0126</v>
      </c>
      <c r="G94" s="21">
        <v>15.3097</v>
      </c>
      <c r="H94" s="22">
        <v>0.95</v>
      </c>
      <c r="I94" s="41">
        <f t="shared" si="21"/>
        <v>0.203054968421053</v>
      </c>
      <c r="J94" s="42" t="s">
        <v>50</v>
      </c>
      <c r="K94" s="43">
        <v>55.3846153846154</v>
      </c>
      <c r="L94" s="43">
        <f t="shared" si="22"/>
        <v>65</v>
      </c>
      <c r="M94" s="44">
        <v>2</v>
      </c>
      <c r="N94" s="45">
        <v>48.5</v>
      </c>
      <c r="O94" s="45">
        <v>0.76</v>
      </c>
      <c r="P94" s="45">
        <v>22.5</v>
      </c>
      <c r="Q94" s="41">
        <f t="shared" si="23"/>
        <v>0.203125</v>
      </c>
      <c r="R94" s="54"/>
      <c r="S94" s="55">
        <f>8.4124/100</f>
        <v>0.084124</v>
      </c>
      <c r="T94" s="60">
        <f>20/100</f>
        <v>0.2</v>
      </c>
      <c r="U94" s="54"/>
      <c r="V94" s="41">
        <f t="shared" si="24"/>
        <v>0.953117392927054</v>
      </c>
      <c r="W94" s="57" t="s">
        <v>29</v>
      </c>
    </row>
    <row r="95" s="1" customFormat="1" spans="1:23">
      <c r="A95" s="13">
        <v>96</v>
      </c>
      <c r="B95" s="25" t="s">
        <v>223</v>
      </c>
      <c r="C95" s="25" t="s">
        <v>224</v>
      </c>
      <c r="D95" s="23" t="s">
        <v>27</v>
      </c>
      <c r="E95" s="19">
        <f>6/1000</f>
        <v>0.006</v>
      </c>
      <c r="F95" s="20">
        <v>0.0063</v>
      </c>
      <c r="G95" s="21">
        <v>15.3097</v>
      </c>
      <c r="H95" s="22">
        <v>0.95</v>
      </c>
      <c r="I95" s="41">
        <f t="shared" si="21"/>
        <v>0.101527484210526</v>
      </c>
      <c r="J95" s="42" t="s">
        <v>50</v>
      </c>
      <c r="K95" s="43">
        <v>65.4545454545455</v>
      </c>
      <c r="L95" s="43">
        <f t="shared" si="22"/>
        <v>55</v>
      </c>
      <c r="M95" s="44">
        <v>6</v>
      </c>
      <c r="N95" s="45">
        <v>48.5</v>
      </c>
      <c r="O95" s="45">
        <v>0.76</v>
      </c>
      <c r="P95" s="45">
        <v>22.5</v>
      </c>
      <c r="Q95" s="41">
        <f t="shared" si="23"/>
        <v>0.0572916666666666</v>
      </c>
      <c r="R95" s="54"/>
      <c r="S95" s="55">
        <f>0.0291/300+8.4124/1800</f>
        <v>0.00477055555555556</v>
      </c>
      <c r="T95" s="60">
        <f>20/1800</f>
        <v>0.0111111111111111</v>
      </c>
      <c r="U95" s="54"/>
      <c r="V95" s="41">
        <f t="shared" si="24"/>
        <v>0.256281250557094</v>
      </c>
      <c r="W95" s="57" t="s">
        <v>29</v>
      </c>
    </row>
    <row r="96" s="1" customFormat="1" spans="1:23">
      <c r="A96" s="13">
        <v>97</v>
      </c>
      <c r="B96" s="25" t="s">
        <v>225</v>
      </c>
      <c r="C96" s="25" t="s">
        <v>226</v>
      </c>
      <c r="D96" s="23" t="s">
        <v>27</v>
      </c>
      <c r="E96" s="19">
        <f>4/1000</f>
        <v>0.004</v>
      </c>
      <c r="F96" s="20">
        <v>0.0042</v>
      </c>
      <c r="G96" s="21">
        <v>15.3097</v>
      </c>
      <c r="H96" s="22">
        <v>0.95</v>
      </c>
      <c r="I96" s="41">
        <f t="shared" si="21"/>
        <v>0.0676849894736842</v>
      </c>
      <c r="J96" s="42" t="s">
        <v>50</v>
      </c>
      <c r="K96" s="43">
        <v>65.4545454545455</v>
      </c>
      <c r="L96" s="43">
        <f t="shared" si="22"/>
        <v>55</v>
      </c>
      <c r="M96" s="44">
        <v>6</v>
      </c>
      <c r="N96" s="45">
        <v>48.5</v>
      </c>
      <c r="O96" s="45">
        <v>0.76</v>
      </c>
      <c r="P96" s="45">
        <v>22.5</v>
      </c>
      <c r="Q96" s="41">
        <f t="shared" si="23"/>
        <v>0.0572916666666666</v>
      </c>
      <c r="R96" s="54"/>
      <c r="S96" s="55">
        <f>0.0291/300+8.4124/1800</f>
        <v>0.00477055555555556</v>
      </c>
      <c r="T96" s="60">
        <f>20/1800</f>
        <v>0.0111111111111111</v>
      </c>
      <c r="U96" s="54"/>
      <c r="V96" s="41">
        <f t="shared" si="24"/>
        <v>0.216738967232995</v>
      </c>
      <c r="W96" s="57" t="s">
        <v>29</v>
      </c>
    </row>
    <row r="97" s="1" customFormat="1" spans="1:23">
      <c r="A97" s="13">
        <v>98</v>
      </c>
      <c r="B97" s="25" t="s">
        <v>227</v>
      </c>
      <c r="C97" s="25" t="s">
        <v>228</v>
      </c>
      <c r="D97" s="23" t="s">
        <v>27</v>
      </c>
      <c r="E97" s="19">
        <f>1/1000</f>
        <v>0.001</v>
      </c>
      <c r="F97" s="20">
        <v>0.00105</v>
      </c>
      <c r="G97" s="21">
        <v>15.3097</v>
      </c>
      <c r="H97" s="22">
        <v>0.95</v>
      </c>
      <c r="I97" s="41">
        <f t="shared" si="21"/>
        <v>0.0169212473684211</v>
      </c>
      <c r="J97" s="42" t="s">
        <v>50</v>
      </c>
      <c r="K97" s="43">
        <v>65.4545454545455</v>
      </c>
      <c r="L97" s="43">
        <f t="shared" si="22"/>
        <v>55</v>
      </c>
      <c r="M97" s="44">
        <v>6</v>
      </c>
      <c r="N97" s="45">
        <v>48.5</v>
      </c>
      <c r="O97" s="45">
        <v>0.76</v>
      </c>
      <c r="P97" s="45">
        <v>22.5</v>
      </c>
      <c r="Q97" s="41">
        <f t="shared" si="23"/>
        <v>0.0572916666666666</v>
      </c>
      <c r="R97" s="54"/>
      <c r="S97" s="55">
        <f>0.0291/1000+8.4124/6000</f>
        <v>0.00143116666666667</v>
      </c>
      <c r="T97" s="60">
        <f>20/6000</f>
        <v>0.00333333333333333</v>
      </c>
      <c r="U97" s="54"/>
      <c r="V97" s="41">
        <f t="shared" si="24"/>
        <v>0.146308375580178</v>
      </c>
      <c r="W97" s="57" t="s">
        <v>29</v>
      </c>
    </row>
    <row r="98" s="1" customFormat="1" spans="1:23">
      <c r="A98" s="13">
        <v>99</v>
      </c>
      <c r="B98" s="25" t="s">
        <v>229</v>
      </c>
      <c r="C98" s="29" t="s">
        <v>230</v>
      </c>
      <c r="D98" s="30" t="s">
        <v>44</v>
      </c>
      <c r="E98" s="19">
        <f>14/1000</f>
        <v>0.014</v>
      </c>
      <c r="F98" s="20">
        <v>0.0147</v>
      </c>
      <c r="G98" s="21">
        <v>18.5841</v>
      </c>
      <c r="H98" s="22">
        <v>0.96</v>
      </c>
      <c r="I98" s="41">
        <f t="shared" si="21"/>
        <v>0.28456903125</v>
      </c>
      <c r="J98" s="42" t="s">
        <v>50</v>
      </c>
      <c r="K98" s="43">
        <v>48</v>
      </c>
      <c r="L98" s="43">
        <f t="shared" si="22"/>
        <v>75</v>
      </c>
      <c r="M98" s="44">
        <v>2</v>
      </c>
      <c r="N98" s="45">
        <v>48.5</v>
      </c>
      <c r="O98" s="45">
        <v>0.76</v>
      </c>
      <c r="P98" s="45">
        <v>22.5</v>
      </c>
      <c r="Q98" s="41">
        <f t="shared" si="23"/>
        <v>0.234375</v>
      </c>
      <c r="R98" s="54"/>
      <c r="S98" s="55">
        <f>0.0131+0.1307/100+8.4124/400</f>
        <v>0.035438</v>
      </c>
      <c r="T98" s="60">
        <f>20/400</f>
        <v>0.05</v>
      </c>
      <c r="U98" s="54"/>
      <c r="V98" s="41">
        <f t="shared" si="24"/>
        <v>0.907442947591146</v>
      </c>
      <c r="W98" s="57" t="s">
        <v>29</v>
      </c>
    </row>
    <row r="99" s="1" customFormat="1" spans="1:23">
      <c r="A99" s="13">
        <v>100</v>
      </c>
      <c r="B99" s="25" t="s">
        <v>231</v>
      </c>
      <c r="C99" s="29" t="s">
        <v>232</v>
      </c>
      <c r="D99" s="30" t="s">
        <v>44</v>
      </c>
      <c r="E99" s="19">
        <f>15/1000</f>
        <v>0.015</v>
      </c>
      <c r="F99" s="20">
        <v>0.01575</v>
      </c>
      <c r="G99" s="21">
        <v>18.5841</v>
      </c>
      <c r="H99" s="22">
        <v>0.96</v>
      </c>
      <c r="I99" s="41">
        <f t="shared" si="21"/>
        <v>0.304895390625</v>
      </c>
      <c r="J99" s="42" t="s">
        <v>50</v>
      </c>
      <c r="K99" s="43">
        <v>48</v>
      </c>
      <c r="L99" s="43">
        <f t="shared" si="22"/>
        <v>75</v>
      </c>
      <c r="M99" s="44">
        <v>2</v>
      </c>
      <c r="N99" s="45">
        <v>48.5</v>
      </c>
      <c r="O99" s="45">
        <v>0.76</v>
      </c>
      <c r="P99" s="45">
        <v>22.5</v>
      </c>
      <c r="Q99" s="41">
        <f t="shared" si="23"/>
        <v>0.234375</v>
      </c>
      <c r="R99" s="54"/>
      <c r="S99" s="55">
        <f>0.0131+0.1307/50+8.4124/300</f>
        <v>0.0437553333333333</v>
      </c>
      <c r="T99" s="60">
        <f>20/300</f>
        <v>0.0666666666666667</v>
      </c>
      <c r="U99" s="54"/>
      <c r="V99" s="41">
        <f t="shared" si="24"/>
        <v>0.95592930061849</v>
      </c>
      <c r="W99" s="57" t="s">
        <v>29</v>
      </c>
    </row>
    <row r="100" s="1" customFormat="1" spans="1:23">
      <c r="A100" s="13">
        <v>101</v>
      </c>
      <c r="B100" s="25" t="s">
        <v>233</v>
      </c>
      <c r="C100" s="29" t="s">
        <v>234</v>
      </c>
      <c r="D100" s="30" t="s">
        <v>44</v>
      </c>
      <c r="E100" s="19">
        <f>15/1000</f>
        <v>0.015</v>
      </c>
      <c r="F100" s="20">
        <v>0.01575</v>
      </c>
      <c r="G100" s="21">
        <v>18.5841</v>
      </c>
      <c r="H100" s="22">
        <v>0.96</v>
      </c>
      <c r="I100" s="41">
        <f t="shared" si="21"/>
        <v>0.304895390625</v>
      </c>
      <c r="J100" s="42" t="s">
        <v>50</v>
      </c>
      <c r="K100" s="43">
        <v>48</v>
      </c>
      <c r="L100" s="43">
        <f t="shared" si="22"/>
        <v>75</v>
      </c>
      <c r="M100" s="44">
        <v>2</v>
      </c>
      <c r="N100" s="45">
        <v>48.5</v>
      </c>
      <c r="O100" s="45">
        <v>0.76</v>
      </c>
      <c r="P100" s="45">
        <v>22.5</v>
      </c>
      <c r="Q100" s="41">
        <f t="shared" si="23"/>
        <v>0.234375</v>
      </c>
      <c r="R100" s="54"/>
      <c r="S100" s="55">
        <f>0.0131+0.1307/50+8.4124/300</f>
        <v>0.0437553333333333</v>
      </c>
      <c r="T100" s="60">
        <f>20/300</f>
        <v>0.0666666666666667</v>
      </c>
      <c r="U100" s="54">
        <v>0.3</v>
      </c>
      <c r="V100" s="41">
        <f t="shared" si="24"/>
        <v>1.25592930061849</v>
      </c>
      <c r="W100" s="57" t="s">
        <v>29</v>
      </c>
    </row>
    <row r="101" s="1" customFormat="1" spans="1:23">
      <c r="A101" s="13">
        <v>102</v>
      </c>
      <c r="B101" s="25" t="s">
        <v>235</v>
      </c>
      <c r="C101" s="25" t="s">
        <v>236</v>
      </c>
      <c r="D101" s="23" t="s">
        <v>77</v>
      </c>
      <c r="E101" s="19"/>
      <c r="F101" s="20">
        <v>0.124</v>
      </c>
      <c r="G101" s="21">
        <v>13.7168</v>
      </c>
      <c r="H101" s="22">
        <v>0.95</v>
      </c>
      <c r="I101" s="41">
        <f t="shared" si="21"/>
        <v>1.79040336842105</v>
      </c>
      <c r="J101" s="42" t="s">
        <v>78</v>
      </c>
      <c r="K101" s="43">
        <v>45</v>
      </c>
      <c r="L101" s="43">
        <f t="shared" si="22"/>
        <v>80</v>
      </c>
      <c r="M101" s="44">
        <v>2</v>
      </c>
      <c r="N101" s="45">
        <v>75.9</v>
      </c>
      <c r="O101" s="45">
        <v>0.76</v>
      </c>
      <c r="P101" s="45">
        <v>22.5</v>
      </c>
      <c r="Q101" s="41">
        <f t="shared" si="23"/>
        <v>0.25</v>
      </c>
      <c r="R101" s="54"/>
      <c r="S101" s="55">
        <f t="shared" ref="S101:S105" si="30">8.4124/150</f>
        <v>0.0560826666666667</v>
      </c>
      <c r="T101" s="56">
        <v>0.133333333333333</v>
      </c>
      <c r="U101" s="54"/>
      <c r="V101" s="41">
        <f t="shared" si="24"/>
        <v>2.94790625152355</v>
      </c>
      <c r="W101" s="57" t="s">
        <v>29</v>
      </c>
    </row>
    <row r="102" s="1" customFormat="1" spans="1:23">
      <c r="A102" s="13">
        <v>103</v>
      </c>
      <c r="B102" s="25" t="s">
        <v>237</v>
      </c>
      <c r="C102" s="25" t="s">
        <v>238</v>
      </c>
      <c r="D102" s="23" t="s">
        <v>77</v>
      </c>
      <c r="E102" s="19"/>
      <c r="F102" s="20">
        <v>0.09475</v>
      </c>
      <c r="G102" s="21">
        <v>13.7168</v>
      </c>
      <c r="H102" s="22">
        <v>0.95</v>
      </c>
      <c r="I102" s="41">
        <f t="shared" si="21"/>
        <v>1.36807031578947</v>
      </c>
      <c r="J102" s="42" t="s">
        <v>78</v>
      </c>
      <c r="K102" s="43">
        <v>45</v>
      </c>
      <c r="L102" s="43">
        <f t="shared" si="22"/>
        <v>80</v>
      </c>
      <c r="M102" s="44">
        <v>2</v>
      </c>
      <c r="N102" s="45">
        <v>75.9</v>
      </c>
      <c r="O102" s="45">
        <v>0.76</v>
      </c>
      <c r="P102" s="45">
        <v>22.5</v>
      </c>
      <c r="Q102" s="41">
        <f t="shared" si="23"/>
        <v>0.25</v>
      </c>
      <c r="R102" s="54"/>
      <c r="S102" s="55">
        <f t="shared" si="30"/>
        <v>0.0560826666666667</v>
      </c>
      <c r="T102" s="56">
        <v>0.133333333333333</v>
      </c>
      <c r="U102" s="54"/>
      <c r="V102" s="41">
        <f t="shared" ref="V102:V133" si="31">(I102+Q102+(N102*O102/K102/M102)/2)/H102*1.11+R102*1.03+S102+T102+U102</f>
        <v>2.45444342160665</v>
      </c>
      <c r="W102" s="57" t="s">
        <v>29</v>
      </c>
    </row>
    <row r="103" s="1" customFormat="1" spans="1:23">
      <c r="A103" s="13">
        <v>104</v>
      </c>
      <c r="B103" s="25" t="s">
        <v>239</v>
      </c>
      <c r="C103" s="25" t="s">
        <v>154</v>
      </c>
      <c r="D103" s="23" t="s">
        <v>77</v>
      </c>
      <c r="E103" s="19">
        <f>240/1000</f>
        <v>0.24</v>
      </c>
      <c r="F103" s="20">
        <v>0.2544</v>
      </c>
      <c r="G103" s="21">
        <v>13.7168</v>
      </c>
      <c r="H103" s="22">
        <v>0.95</v>
      </c>
      <c r="I103" s="41">
        <f t="shared" si="21"/>
        <v>3.67321465263158</v>
      </c>
      <c r="J103" s="42" t="s">
        <v>240</v>
      </c>
      <c r="K103" s="43">
        <v>32.7272727272727</v>
      </c>
      <c r="L103" s="43">
        <f t="shared" si="22"/>
        <v>110</v>
      </c>
      <c r="M103" s="44">
        <v>2</v>
      </c>
      <c r="N103" s="1">
        <v>84.3</v>
      </c>
      <c r="O103" s="45">
        <v>0.76</v>
      </c>
      <c r="P103" s="45">
        <v>22.5</v>
      </c>
      <c r="Q103" s="41">
        <f t="shared" si="23"/>
        <v>0.34375</v>
      </c>
      <c r="R103" s="54"/>
      <c r="S103" s="55">
        <f t="shared" si="30"/>
        <v>0.0560826666666667</v>
      </c>
      <c r="T103" s="60">
        <f>20/150</f>
        <v>0.133333333333333</v>
      </c>
      <c r="U103" s="54"/>
      <c r="V103" s="41">
        <f t="shared" si="31"/>
        <v>5.45475706781164</v>
      </c>
      <c r="W103" s="57" t="s">
        <v>29</v>
      </c>
    </row>
    <row r="104" s="1" customFormat="1" spans="1:23">
      <c r="A104" s="13">
        <v>105</v>
      </c>
      <c r="B104" s="25" t="s">
        <v>241</v>
      </c>
      <c r="C104" s="25" t="s">
        <v>242</v>
      </c>
      <c r="D104" s="23" t="s">
        <v>77</v>
      </c>
      <c r="E104" s="19">
        <f>98/1000</f>
        <v>0.098</v>
      </c>
      <c r="F104" s="20">
        <v>0.1029</v>
      </c>
      <c r="G104" s="21">
        <v>13.7168</v>
      </c>
      <c r="H104" s="22">
        <v>0.95</v>
      </c>
      <c r="I104" s="41">
        <f t="shared" si="21"/>
        <v>1.48574602105263</v>
      </c>
      <c r="J104" s="42" t="s">
        <v>78</v>
      </c>
      <c r="K104" s="43">
        <v>30</v>
      </c>
      <c r="L104" s="43">
        <f t="shared" si="22"/>
        <v>120</v>
      </c>
      <c r="M104" s="44">
        <v>1</v>
      </c>
      <c r="N104" s="1">
        <v>75.9</v>
      </c>
      <c r="O104" s="45">
        <v>0.76</v>
      </c>
      <c r="P104" s="45">
        <v>22.5</v>
      </c>
      <c r="Q104" s="41">
        <f t="shared" si="23"/>
        <v>0.75</v>
      </c>
      <c r="R104" s="54">
        <v>1.25</v>
      </c>
      <c r="S104" s="55">
        <f t="shared" si="30"/>
        <v>0.0560826666666667</v>
      </c>
      <c r="T104" s="60">
        <f>20/150</f>
        <v>0.133333333333333</v>
      </c>
      <c r="U104" s="54"/>
      <c r="V104" s="41">
        <f t="shared" si="31"/>
        <v>5.21252871933518</v>
      </c>
      <c r="W104" s="57" t="s">
        <v>29</v>
      </c>
    </row>
    <row r="105" s="1" customFormat="1" spans="1:23">
      <c r="A105" s="13">
        <v>106</v>
      </c>
      <c r="B105" s="25" t="s">
        <v>243</v>
      </c>
      <c r="C105" s="25" t="s">
        <v>244</v>
      </c>
      <c r="D105" s="23" t="s">
        <v>77</v>
      </c>
      <c r="E105" s="19"/>
      <c r="F105" s="20">
        <v>0.1372</v>
      </c>
      <c r="G105" s="21">
        <v>13.7168</v>
      </c>
      <c r="H105" s="22">
        <v>0.95</v>
      </c>
      <c r="I105" s="41">
        <f t="shared" si="21"/>
        <v>1.98099469473684</v>
      </c>
      <c r="J105" s="46" t="s">
        <v>245</v>
      </c>
      <c r="K105" s="43">
        <v>45</v>
      </c>
      <c r="L105" s="43">
        <v>110</v>
      </c>
      <c r="M105" s="44">
        <v>2</v>
      </c>
      <c r="N105" s="45">
        <v>52.05</v>
      </c>
      <c r="O105" s="45">
        <v>0.76</v>
      </c>
      <c r="P105" s="45">
        <v>22.5</v>
      </c>
      <c r="Q105" s="41">
        <f t="shared" si="23"/>
        <v>0.25</v>
      </c>
      <c r="R105" s="54">
        <v>1.05</v>
      </c>
      <c r="S105" s="55">
        <f t="shared" si="30"/>
        <v>0.0560826666666667</v>
      </c>
      <c r="T105" s="56">
        <v>0.133333333333333</v>
      </c>
      <c r="U105" s="54"/>
      <c r="V105" s="41">
        <f t="shared" si="31"/>
        <v>4.13443716963989</v>
      </c>
      <c r="W105" s="57" t="s">
        <v>29</v>
      </c>
    </row>
    <row r="106" s="1" customFormat="1" spans="1:23">
      <c r="A106" s="13">
        <v>107</v>
      </c>
      <c r="B106" s="25" t="s">
        <v>246</v>
      </c>
      <c r="C106" s="25" t="s">
        <v>247</v>
      </c>
      <c r="D106" s="23" t="s">
        <v>77</v>
      </c>
      <c r="E106" s="19"/>
      <c r="F106" s="20">
        <v>0.0774</v>
      </c>
      <c r="G106" s="21">
        <v>13.7168</v>
      </c>
      <c r="H106" s="22">
        <v>0.95</v>
      </c>
      <c r="I106" s="41">
        <f t="shared" si="21"/>
        <v>1.11755823157895</v>
      </c>
      <c r="J106" s="46" t="s">
        <v>245</v>
      </c>
      <c r="K106" s="43">
        <v>45</v>
      </c>
      <c r="L106" s="43">
        <v>100</v>
      </c>
      <c r="M106" s="44">
        <v>2</v>
      </c>
      <c r="N106" s="45">
        <v>52.05</v>
      </c>
      <c r="O106" s="45">
        <v>0.76</v>
      </c>
      <c r="P106" s="45">
        <v>22.5</v>
      </c>
      <c r="Q106" s="41">
        <f t="shared" si="23"/>
        <v>0.25</v>
      </c>
      <c r="R106" s="54">
        <v>1.25</v>
      </c>
      <c r="S106" s="55">
        <f>8.4124/200</f>
        <v>0.042062</v>
      </c>
      <c r="T106" s="56">
        <v>0.1</v>
      </c>
      <c r="U106" s="54"/>
      <c r="V106" s="41">
        <f t="shared" si="31"/>
        <v>3.28422582847645</v>
      </c>
      <c r="W106" s="57" t="s">
        <v>29</v>
      </c>
    </row>
    <row r="107" s="1" customFormat="1" spans="1:23">
      <c r="A107" s="13">
        <v>108</v>
      </c>
      <c r="B107" s="25" t="s">
        <v>248</v>
      </c>
      <c r="C107" s="25" t="s">
        <v>249</v>
      </c>
      <c r="D107" s="23" t="s">
        <v>27</v>
      </c>
      <c r="E107" s="19"/>
      <c r="F107" s="20">
        <v>0.01155</v>
      </c>
      <c r="G107" s="21">
        <v>15.3097</v>
      </c>
      <c r="H107" s="22">
        <v>0.9</v>
      </c>
      <c r="I107" s="41">
        <f t="shared" si="21"/>
        <v>0.196474483333333</v>
      </c>
      <c r="J107" s="42" t="s">
        <v>32</v>
      </c>
      <c r="K107" s="43">
        <v>65</v>
      </c>
      <c r="L107" s="43">
        <f t="shared" ref="L107:L155" si="32">3600/K107</f>
        <v>55.3846153846154</v>
      </c>
      <c r="M107" s="44">
        <v>1</v>
      </c>
      <c r="N107" s="45">
        <v>21.2</v>
      </c>
      <c r="O107" s="45">
        <v>0.76</v>
      </c>
      <c r="P107" s="45">
        <v>22.5</v>
      </c>
      <c r="Q107" s="41">
        <f t="shared" si="23"/>
        <v>0.346153846153846</v>
      </c>
      <c r="R107" s="54"/>
      <c r="S107" s="55">
        <f>8.4124/500</f>
        <v>0.0168248</v>
      </c>
      <c r="T107" s="56">
        <v>0.04</v>
      </c>
      <c r="U107" s="54"/>
      <c r="V107" s="41">
        <f t="shared" si="31"/>
        <v>0.878923842264957</v>
      </c>
      <c r="W107" s="57" t="s">
        <v>29</v>
      </c>
    </row>
    <row r="108" s="1" customFormat="1" spans="1:23">
      <c r="A108" s="13">
        <v>109</v>
      </c>
      <c r="B108" s="25" t="s">
        <v>250</v>
      </c>
      <c r="C108" s="25" t="s">
        <v>251</v>
      </c>
      <c r="D108" s="23" t="s">
        <v>27</v>
      </c>
      <c r="E108" s="19"/>
      <c r="F108" s="20">
        <v>0.00363</v>
      </c>
      <c r="G108" s="21">
        <v>15.3097</v>
      </c>
      <c r="H108" s="22">
        <v>0.88</v>
      </c>
      <c r="I108" s="41">
        <f t="shared" si="21"/>
        <v>0.0631525125</v>
      </c>
      <c r="J108" s="42" t="s">
        <v>39</v>
      </c>
      <c r="K108" s="43">
        <v>72</v>
      </c>
      <c r="L108" s="43">
        <f t="shared" si="32"/>
        <v>50</v>
      </c>
      <c r="M108" s="44">
        <v>2</v>
      </c>
      <c r="N108" s="45">
        <v>17.41</v>
      </c>
      <c r="O108" s="45">
        <v>0.76</v>
      </c>
      <c r="P108" s="45">
        <v>22.5</v>
      </c>
      <c r="Q108" s="41">
        <f t="shared" si="23"/>
        <v>0.15625</v>
      </c>
      <c r="R108" s="54"/>
      <c r="S108" s="55">
        <f>0.0131/1000+8.4124/6000</f>
        <v>0.00141516666666667</v>
      </c>
      <c r="T108" s="56">
        <v>0.00333333333333333</v>
      </c>
      <c r="U108" s="54"/>
      <c r="V108" s="41">
        <f t="shared" si="31"/>
        <v>0.33944575061553</v>
      </c>
      <c r="W108" s="57" t="s">
        <v>29</v>
      </c>
    </row>
    <row r="109" s="1" customFormat="1" spans="1:23">
      <c r="A109" s="13">
        <v>110</v>
      </c>
      <c r="B109" s="25" t="s">
        <v>252</v>
      </c>
      <c r="C109" s="25" t="s">
        <v>253</v>
      </c>
      <c r="D109" s="23" t="s">
        <v>27</v>
      </c>
      <c r="E109" s="19"/>
      <c r="F109" s="20">
        <v>0.00046</v>
      </c>
      <c r="G109" s="21">
        <v>15.3097</v>
      </c>
      <c r="H109" s="22">
        <v>0.9</v>
      </c>
      <c r="I109" s="41">
        <f t="shared" si="21"/>
        <v>0.00782495777777778</v>
      </c>
      <c r="J109" s="42" t="s">
        <v>39</v>
      </c>
      <c r="K109" s="43">
        <v>65</v>
      </c>
      <c r="L109" s="43">
        <f t="shared" si="32"/>
        <v>55.3846153846154</v>
      </c>
      <c r="M109" s="44">
        <v>2</v>
      </c>
      <c r="N109" s="45">
        <v>17.41</v>
      </c>
      <c r="O109" s="45">
        <v>0.76</v>
      </c>
      <c r="P109" s="45">
        <v>22.5</v>
      </c>
      <c r="Q109" s="41">
        <f t="shared" si="23"/>
        <v>0.173076923076923</v>
      </c>
      <c r="R109" s="54"/>
      <c r="S109" s="55">
        <f>0.0291/2000+8.4124/12000</f>
        <v>0.000715583333333333</v>
      </c>
      <c r="T109" s="56">
        <v>0.00166666666666667</v>
      </c>
      <c r="U109" s="54"/>
      <c r="V109" s="41">
        <f t="shared" si="31"/>
        <v>0.28825985177208</v>
      </c>
      <c r="W109" s="57" t="s">
        <v>29</v>
      </c>
    </row>
    <row r="110" s="1" customFormat="1" spans="1:23">
      <c r="A110" s="13">
        <v>111</v>
      </c>
      <c r="B110" s="25" t="s">
        <v>254</v>
      </c>
      <c r="C110" s="25" t="s">
        <v>255</v>
      </c>
      <c r="D110" s="23" t="s">
        <v>27</v>
      </c>
      <c r="E110" s="19"/>
      <c r="F110" s="20">
        <v>0.0022</v>
      </c>
      <c r="G110" s="21">
        <v>15.3097</v>
      </c>
      <c r="H110" s="22">
        <v>0.98</v>
      </c>
      <c r="I110" s="41">
        <f t="shared" si="21"/>
        <v>0.0343687142857143</v>
      </c>
      <c r="J110" s="42" t="s">
        <v>39</v>
      </c>
      <c r="K110" s="43">
        <v>65</v>
      </c>
      <c r="L110" s="43">
        <f t="shared" si="32"/>
        <v>55.3846153846154</v>
      </c>
      <c r="M110" s="44">
        <v>4</v>
      </c>
      <c r="N110" s="45">
        <v>17.41</v>
      </c>
      <c r="O110" s="45">
        <v>0.76</v>
      </c>
      <c r="P110" s="45">
        <v>22.5</v>
      </c>
      <c r="Q110" s="41">
        <f t="shared" si="23"/>
        <v>0.0865384615384615</v>
      </c>
      <c r="R110" s="54"/>
      <c r="S110" s="55">
        <f>0.0291/2000+8.4124/12000</f>
        <v>0.000715583333333333</v>
      </c>
      <c r="T110" s="56">
        <v>0.00166666666666667</v>
      </c>
      <c r="U110" s="54"/>
      <c r="V110" s="41">
        <f t="shared" si="31"/>
        <v>0.16814892559991</v>
      </c>
      <c r="W110" s="57" t="s">
        <v>29</v>
      </c>
    </row>
    <row r="111" s="1" customFormat="1" spans="1:23">
      <c r="A111" s="13">
        <v>112</v>
      </c>
      <c r="B111" s="25" t="s">
        <v>256</v>
      </c>
      <c r="C111" s="25" t="s">
        <v>257</v>
      </c>
      <c r="D111" s="23" t="s">
        <v>27</v>
      </c>
      <c r="E111" s="19"/>
      <c r="F111" s="20">
        <v>0.0064118</v>
      </c>
      <c r="G111" s="21">
        <v>15.3097</v>
      </c>
      <c r="H111" s="22">
        <v>0.98</v>
      </c>
      <c r="I111" s="41">
        <f t="shared" si="21"/>
        <v>0.100166055571429</v>
      </c>
      <c r="J111" s="42" t="s">
        <v>39</v>
      </c>
      <c r="K111" s="43">
        <v>103</v>
      </c>
      <c r="L111" s="43">
        <f t="shared" si="32"/>
        <v>34.9514563106796</v>
      </c>
      <c r="M111" s="44">
        <v>4</v>
      </c>
      <c r="N111" s="45">
        <v>17.41</v>
      </c>
      <c r="O111" s="45">
        <v>0.76</v>
      </c>
      <c r="P111" s="45">
        <v>22.5</v>
      </c>
      <c r="Q111" s="41">
        <f t="shared" si="23"/>
        <v>0.0546116504854369</v>
      </c>
      <c r="R111" s="54"/>
      <c r="S111" s="55">
        <f>0.0131/500+8.4124/3000</f>
        <v>0.00283033333333333</v>
      </c>
      <c r="T111" s="56">
        <v>0.00666666666666667</v>
      </c>
      <c r="U111" s="54"/>
      <c r="V111" s="41">
        <f t="shared" si="31"/>
        <v>0.202994321512596</v>
      </c>
      <c r="W111" s="57" t="s">
        <v>29</v>
      </c>
    </row>
    <row r="112" s="1" customFormat="1" spans="1:23">
      <c r="A112" s="13">
        <v>113</v>
      </c>
      <c r="B112" s="25" t="s">
        <v>258</v>
      </c>
      <c r="C112" s="29" t="s">
        <v>259</v>
      </c>
      <c r="D112" s="23" t="s">
        <v>27</v>
      </c>
      <c r="E112" s="19"/>
      <c r="F112" s="20">
        <v>0.00105</v>
      </c>
      <c r="G112" s="21">
        <v>15.3097</v>
      </c>
      <c r="H112" s="22">
        <v>0.98</v>
      </c>
      <c r="I112" s="41">
        <f t="shared" si="21"/>
        <v>0.01640325</v>
      </c>
      <c r="J112" s="42" t="s">
        <v>32</v>
      </c>
      <c r="K112" s="43">
        <v>103</v>
      </c>
      <c r="L112" s="43">
        <f t="shared" si="32"/>
        <v>34.9514563106796</v>
      </c>
      <c r="M112" s="44">
        <v>4</v>
      </c>
      <c r="N112" s="45">
        <v>21.2</v>
      </c>
      <c r="O112" s="45">
        <v>0.76</v>
      </c>
      <c r="P112" s="45">
        <v>22.5</v>
      </c>
      <c r="Q112" s="41">
        <f t="shared" si="23"/>
        <v>0.0546116504854369</v>
      </c>
      <c r="R112" s="54"/>
      <c r="S112" s="55">
        <f>0.0131/500+8.4124/3000</f>
        <v>0.00283033333333333</v>
      </c>
      <c r="T112" s="56">
        <v>0.00666666666666667</v>
      </c>
      <c r="U112" s="54"/>
      <c r="V112" s="41">
        <f t="shared" si="31"/>
        <v>0.112079460595403</v>
      </c>
      <c r="W112" s="57" t="s">
        <v>29</v>
      </c>
    </row>
    <row r="113" s="1" customFormat="1" spans="1:23">
      <c r="A113" s="13">
        <v>114</v>
      </c>
      <c r="B113" s="25" t="s">
        <v>260</v>
      </c>
      <c r="C113" s="29" t="s">
        <v>261</v>
      </c>
      <c r="D113" s="18" t="s">
        <v>77</v>
      </c>
      <c r="E113" s="19">
        <f>39.2/1000</f>
        <v>0.0392</v>
      </c>
      <c r="F113" s="20">
        <v>0.042336</v>
      </c>
      <c r="G113" s="21">
        <v>13.7168</v>
      </c>
      <c r="H113" s="22">
        <v>0.85</v>
      </c>
      <c r="I113" s="41">
        <f t="shared" si="21"/>
        <v>0.683193464470588</v>
      </c>
      <c r="J113" s="42" t="s">
        <v>78</v>
      </c>
      <c r="K113" s="43">
        <v>45</v>
      </c>
      <c r="L113" s="43">
        <f t="shared" si="32"/>
        <v>80</v>
      </c>
      <c r="M113" s="44">
        <v>2</v>
      </c>
      <c r="N113" s="45">
        <v>75.9</v>
      </c>
      <c r="O113" s="45">
        <v>0.76</v>
      </c>
      <c r="P113" s="45">
        <v>22.5</v>
      </c>
      <c r="Q113" s="41">
        <f t="shared" si="23"/>
        <v>0.25</v>
      </c>
      <c r="R113" s="54"/>
      <c r="S113" s="55">
        <f>0.1307/50+8.4124/200</f>
        <v>0.044676</v>
      </c>
      <c r="T113" s="60">
        <f>20/200</f>
        <v>0.1</v>
      </c>
      <c r="U113" s="54"/>
      <c r="V113" s="41">
        <f t="shared" si="31"/>
        <v>1.78180864183806</v>
      </c>
      <c r="W113" s="57" t="s">
        <v>29</v>
      </c>
    </row>
    <row r="114" s="1" customFormat="1" spans="1:23">
      <c r="A114" s="13">
        <v>115</v>
      </c>
      <c r="B114" s="25" t="s">
        <v>262</v>
      </c>
      <c r="C114" s="29" t="s">
        <v>263</v>
      </c>
      <c r="D114" s="18" t="s">
        <v>77</v>
      </c>
      <c r="E114" s="19">
        <f>44/1000</f>
        <v>0.044</v>
      </c>
      <c r="F114" s="20">
        <v>0.0462</v>
      </c>
      <c r="G114" s="21">
        <v>13.7168</v>
      </c>
      <c r="H114" s="22">
        <v>0.98</v>
      </c>
      <c r="I114" s="41">
        <f t="shared" si="21"/>
        <v>0.646649142857143</v>
      </c>
      <c r="J114" s="42" t="s">
        <v>78</v>
      </c>
      <c r="K114" s="43">
        <v>42.3529411764705</v>
      </c>
      <c r="L114" s="43">
        <f t="shared" si="32"/>
        <v>85.0000000000002</v>
      </c>
      <c r="M114" s="44">
        <v>2</v>
      </c>
      <c r="N114" s="45">
        <v>75.9</v>
      </c>
      <c r="O114" s="45">
        <v>0.76</v>
      </c>
      <c r="P114" s="45">
        <v>22.5</v>
      </c>
      <c r="Q114" s="41">
        <f t="shared" si="23"/>
        <v>0.265625000000001</v>
      </c>
      <c r="R114" s="54"/>
      <c r="S114" s="55">
        <f>0.1307/50+8.4124/200</f>
        <v>0.044676</v>
      </c>
      <c r="T114" s="62">
        <v>0.1</v>
      </c>
      <c r="U114" s="54"/>
      <c r="V114" s="41">
        <f t="shared" si="31"/>
        <v>1.56362974854228</v>
      </c>
      <c r="W114" s="57" t="s">
        <v>29</v>
      </c>
    </row>
    <row r="115" s="1" customFormat="1" spans="1:23">
      <c r="A115" s="13">
        <v>116</v>
      </c>
      <c r="B115" s="25" t="s">
        <v>264</v>
      </c>
      <c r="C115" s="29" t="s">
        <v>265</v>
      </c>
      <c r="D115" s="30" t="s">
        <v>27</v>
      </c>
      <c r="E115" s="19">
        <f>12/1000</f>
        <v>0.012</v>
      </c>
      <c r="F115" s="20">
        <v>0.0126</v>
      </c>
      <c r="G115" s="21">
        <v>15.3097</v>
      </c>
      <c r="H115" s="22">
        <v>0.99</v>
      </c>
      <c r="I115" s="41">
        <f t="shared" si="21"/>
        <v>0.194850727272727</v>
      </c>
      <c r="J115" s="42" t="s">
        <v>113</v>
      </c>
      <c r="K115" s="43">
        <v>36</v>
      </c>
      <c r="L115" s="43">
        <f t="shared" si="32"/>
        <v>100</v>
      </c>
      <c r="M115" s="44">
        <v>4</v>
      </c>
      <c r="N115" s="45">
        <v>39.75</v>
      </c>
      <c r="O115" s="45">
        <v>0.76</v>
      </c>
      <c r="P115" s="45">
        <v>22.5</v>
      </c>
      <c r="Q115" s="41">
        <f t="shared" si="23"/>
        <v>0.15625</v>
      </c>
      <c r="R115" s="54"/>
      <c r="S115" s="55">
        <f>0.0291/50+8.4124/300</f>
        <v>0.0286233333333333</v>
      </c>
      <c r="T115" s="62">
        <v>0.0666666666666667</v>
      </c>
      <c r="U115" s="54"/>
      <c r="V115" s="41">
        <f t="shared" si="31"/>
        <v>0.606558870982553</v>
      </c>
      <c r="W115" s="57" t="s">
        <v>29</v>
      </c>
    </row>
    <row r="116" s="1" customFormat="1" spans="1:23">
      <c r="A116" s="13">
        <v>117</v>
      </c>
      <c r="B116" s="25" t="s">
        <v>266</v>
      </c>
      <c r="C116" s="29" t="s">
        <v>267</v>
      </c>
      <c r="D116" s="30" t="s">
        <v>27</v>
      </c>
      <c r="E116" s="19">
        <f>27/1000</f>
        <v>0.027</v>
      </c>
      <c r="F116" s="20">
        <v>0.02835</v>
      </c>
      <c r="G116" s="21">
        <v>15.3097</v>
      </c>
      <c r="H116" s="22">
        <v>0.98</v>
      </c>
      <c r="I116" s="41">
        <f t="shared" si="21"/>
        <v>0.44288775</v>
      </c>
      <c r="J116" s="42" t="s">
        <v>113</v>
      </c>
      <c r="K116" s="43">
        <v>36</v>
      </c>
      <c r="L116" s="43">
        <f t="shared" si="32"/>
        <v>100</v>
      </c>
      <c r="M116" s="44">
        <v>4</v>
      </c>
      <c r="N116" s="45">
        <v>39.75</v>
      </c>
      <c r="O116" s="45">
        <v>0.76</v>
      </c>
      <c r="P116" s="45">
        <v>22.5</v>
      </c>
      <c r="Q116" s="41">
        <f t="shared" si="23"/>
        <v>0.15625</v>
      </c>
      <c r="R116" s="54">
        <v>0.45</v>
      </c>
      <c r="S116" s="55">
        <f>0.0291/50+8.4124/300</f>
        <v>0.0286233333333333</v>
      </c>
      <c r="T116" s="62">
        <v>0.0666666666666667</v>
      </c>
      <c r="U116" s="54"/>
      <c r="V116" s="41">
        <f t="shared" si="31"/>
        <v>1.35621579336735</v>
      </c>
      <c r="W116" s="57" t="s">
        <v>29</v>
      </c>
    </row>
    <row r="117" s="1" customFormat="1" spans="1:23">
      <c r="A117" s="13">
        <v>118</v>
      </c>
      <c r="B117" s="25" t="s">
        <v>268</v>
      </c>
      <c r="C117" s="25" t="s">
        <v>269</v>
      </c>
      <c r="D117" s="18" t="s">
        <v>77</v>
      </c>
      <c r="E117" s="19"/>
      <c r="F117" s="20">
        <v>0.04303</v>
      </c>
      <c r="G117" s="21">
        <v>13.7168</v>
      </c>
      <c r="H117" s="22">
        <v>0.85</v>
      </c>
      <c r="I117" s="41">
        <f t="shared" si="21"/>
        <v>0.694392828235294</v>
      </c>
      <c r="J117" s="42" t="s">
        <v>78</v>
      </c>
      <c r="K117" s="43">
        <v>72</v>
      </c>
      <c r="L117" s="43">
        <f t="shared" si="32"/>
        <v>50</v>
      </c>
      <c r="M117" s="44">
        <v>2</v>
      </c>
      <c r="N117" s="45">
        <v>75.9</v>
      </c>
      <c r="O117" s="45">
        <v>0.76</v>
      </c>
      <c r="P117" s="45">
        <v>22.5</v>
      </c>
      <c r="Q117" s="41">
        <f t="shared" si="23"/>
        <v>0.15625</v>
      </c>
      <c r="R117" s="54"/>
      <c r="S117" s="55">
        <f>0.1307/150</f>
        <v>0.000871333333333333</v>
      </c>
      <c r="T117" s="56">
        <v>0.133333333333333</v>
      </c>
      <c r="U117" s="54"/>
      <c r="V117" s="41">
        <f t="shared" si="31"/>
        <v>1.50660147765629</v>
      </c>
      <c r="W117" s="57" t="s">
        <v>29</v>
      </c>
    </row>
    <row r="118" s="1" customFormat="1" spans="1:23">
      <c r="A118" s="13">
        <v>119</v>
      </c>
      <c r="B118" s="25" t="s">
        <v>270</v>
      </c>
      <c r="C118" s="25" t="s">
        <v>271</v>
      </c>
      <c r="D118" s="18" t="s">
        <v>77</v>
      </c>
      <c r="E118" s="19"/>
      <c r="F118" s="20">
        <v>0.00985</v>
      </c>
      <c r="G118" s="21">
        <v>13.7168</v>
      </c>
      <c r="H118" s="22">
        <v>0.95</v>
      </c>
      <c r="I118" s="41">
        <f t="shared" si="21"/>
        <v>0.142221557894737</v>
      </c>
      <c r="J118" s="42" t="s">
        <v>50</v>
      </c>
      <c r="K118" s="43">
        <v>65</v>
      </c>
      <c r="L118" s="43">
        <f t="shared" si="32"/>
        <v>55.3846153846154</v>
      </c>
      <c r="M118" s="44">
        <v>2</v>
      </c>
      <c r="N118" s="45">
        <v>48.5</v>
      </c>
      <c r="O118" s="45">
        <v>0.76</v>
      </c>
      <c r="P118" s="45">
        <v>22.5</v>
      </c>
      <c r="Q118" s="41">
        <f t="shared" si="23"/>
        <v>0.173076923076923</v>
      </c>
      <c r="R118" s="54"/>
      <c r="S118" s="55">
        <f>0.1307/200+8.4124/400</f>
        <v>0.0216845</v>
      </c>
      <c r="T118" s="56">
        <v>0.05</v>
      </c>
      <c r="U118" s="54"/>
      <c r="V118" s="41">
        <f t="shared" si="31"/>
        <v>0.605732036876199</v>
      </c>
      <c r="W118" s="57" t="s">
        <v>29</v>
      </c>
    </row>
    <row r="119" s="1" customFormat="1" spans="1:23">
      <c r="A119" s="13">
        <v>120</v>
      </c>
      <c r="B119" s="25" t="s">
        <v>272</v>
      </c>
      <c r="C119" s="25" t="s">
        <v>273</v>
      </c>
      <c r="D119" s="18" t="s">
        <v>77</v>
      </c>
      <c r="E119" s="19"/>
      <c r="F119" s="20">
        <v>0.03305</v>
      </c>
      <c r="G119" s="21">
        <v>13.7168</v>
      </c>
      <c r="H119" s="22">
        <v>0.95</v>
      </c>
      <c r="I119" s="41">
        <f t="shared" si="21"/>
        <v>0.477200252631579</v>
      </c>
      <c r="J119" s="42" t="s">
        <v>50</v>
      </c>
      <c r="K119" s="43">
        <v>42.3529411764705</v>
      </c>
      <c r="L119" s="43">
        <f t="shared" si="32"/>
        <v>85.0000000000002</v>
      </c>
      <c r="M119" s="44">
        <v>2</v>
      </c>
      <c r="N119" s="45">
        <v>48.5</v>
      </c>
      <c r="O119" s="45">
        <v>0.76</v>
      </c>
      <c r="P119" s="45">
        <v>22.5</v>
      </c>
      <c r="Q119" s="41">
        <f t="shared" si="23"/>
        <v>0.265625000000001</v>
      </c>
      <c r="R119" s="54"/>
      <c r="S119" s="55">
        <f>0.1307/100+8.4124/400</f>
        <v>0.022338</v>
      </c>
      <c r="T119" s="56">
        <v>0.05</v>
      </c>
      <c r="U119" s="54"/>
      <c r="V119" s="41">
        <f t="shared" si="31"/>
        <v>1.19449149693444</v>
      </c>
      <c r="W119" s="57" t="s">
        <v>29</v>
      </c>
    </row>
    <row r="120" s="1" customFormat="1" spans="1:23">
      <c r="A120" s="13">
        <v>121</v>
      </c>
      <c r="B120" s="25" t="s">
        <v>274</v>
      </c>
      <c r="C120" s="25" t="s">
        <v>275</v>
      </c>
      <c r="D120" s="23" t="s">
        <v>27</v>
      </c>
      <c r="E120" s="19"/>
      <c r="F120" s="20">
        <v>0.00763</v>
      </c>
      <c r="G120" s="21">
        <v>15.3097</v>
      </c>
      <c r="H120" s="22">
        <v>0.85</v>
      </c>
      <c r="I120" s="41">
        <f t="shared" si="21"/>
        <v>0.137427071764706</v>
      </c>
      <c r="J120" s="42" t="s">
        <v>28</v>
      </c>
      <c r="K120" s="43">
        <v>60</v>
      </c>
      <c r="L120" s="43">
        <f t="shared" si="32"/>
        <v>60</v>
      </c>
      <c r="M120" s="44">
        <v>4</v>
      </c>
      <c r="N120" s="45">
        <v>27.15</v>
      </c>
      <c r="O120" s="45">
        <v>0.76</v>
      </c>
      <c r="P120" s="45">
        <v>22.5</v>
      </c>
      <c r="Q120" s="41">
        <f t="shared" si="23"/>
        <v>0.09375</v>
      </c>
      <c r="R120" s="54"/>
      <c r="S120" s="55">
        <f>0.0291/100+8.4124/600</f>
        <v>0.0143116666666667</v>
      </c>
      <c r="T120" s="56">
        <v>0.0333333333333333</v>
      </c>
      <c r="U120" s="54"/>
      <c r="V120" s="41">
        <f t="shared" si="31"/>
        <v>0.405671676069204</v>
      </c>
      <c r="W120" s="57" t="s">
        <v>29</v>
      </c>
    </row>
    <row r="121" s="1" customFormat="1" spans="1:23">
      <c r="A121" s="13">
        <v>122</v>
      </c>
      <c r="B121" s="25" t="s">
        <v>276</v>
      </c>
      <c r="C121" s="25" t="s">
        <v>277</v>
      </c>
      <c r="D121" s="18" t="s">
        <v>27</v>
      </c>
      <c r="E121" s="19"/>
      <c r="F121" s="20">
        <v>0.00348</v>
      </c>
      <c r="G121" s="21">
        <v>15.3097</v>
      </c>
      <c r="H121" s="22">
        <v>0.95</v>
      </c>
      <c r="I121" s="41">
        <f t="shared" si="21"/>
        <v>0.0560818484210526</v>
      </c>
      <c r="J121" s="42" t="s">
        <v>28</v>
      </c>
      <c r="K121" s="43">
        <v>60</v>
      </c>
      <c r="L121" s="43">
        <f t="shared" si="32"/>
        <v>60</v>
      </c>
      <c r="M121" s="44">
        <v>4</v>
      </c>
      <c r="N121" s="45">
        <v>27.15</v>
      </c>
      <c r="O121" s="45">
        <v>0.76</v>
      </c>
      <c r="P121" s="45">
        <v>22.5</v>
      </c>
      <c r="Q121" s="41">
        <f t="shared" si="23"/>
        <v>0.09375</v>
      </c>
      <c r="R121" s="54"/>
      <c r="S121" s="55">
        <f t="shared" ref="S121:S124" si="33">0.0291/300+8.4124/1800</f>
        <v>0.00477055555555556</v>
      </c>
      <c r="T121" s="56">
        <v>0.0111111111111111</v>
      </c>
      <c r="U121" s="54"/>
      <c r="V121" s="41">
        <f t="shared" si="31"/>
        <v>0.241175852716528</v>
      </c>
      <c r="W121" s="57" t="s">
        <v>29</v>
      </c>
    </row>
    <row r="122" s="1" customFormat="1" spans="1:23">
      <c r="A122" s="13">
        <v>123</v>
      </c>
      <c r="B122" s="25" t="s">
        <v>278</v>
      </c>
      <c r="C122" s="25" t="s">
        <v>279</v>
      </c>
      <c r="D122" s="23" t="s">
        <v>27</v>
      </c>
      <c r="E122" s="19"/>
      <c r="F122" s="20">
        <v>0.01383</v>
      </c>
      <c r="G122" s="21">
        <v>15.3097</v>
      </c>
      <c r="H122" s="22">
        <v>0.95</v>
      </c>
      <c r="I122" s="41">
        <f t="shared" si="21"/>
        <v>0.222877001052632</v>
      </c>
      <c r="J122" s="42" t="s">
        <v>28</v>
      </c>
      <c r="K122" s="43">
        <v>60</v>
      </c>
      <c r="L122" s="43">
        <f t="shared" si="32"/>
        <v>60</v>
      </c>
      <c r="M122" s="44">
        <v>4</v>
      </c>
      <c r="N122" s="45">
        <v>27.15</v>
      </c>
      <c r="O122" s="45">
        <v>0.76</v>
      </c>
      <c r="P122" s="45">
        <v>22.5</v>
      </c>
      <c r="Q122" s="41">
        <f t="shared" si="23"/>
        <v>0.09375</v>
      </c>
      <c r="R122" s="54">
        <v>0.45</v>
      </c>
      <c r="S122" s="55">
        <f>0.0291/100+8.4124/600</f>
        <v>0.0143116666666667</v>
      </c>
      <c r="T122" s="56">
        <v>0.0333333333333333</v>
      </c>
      <c r="U122" s="54"/>
      <c r="V122" s="41">
        <f t="shared" si="31"/>
        <v>0.931326153861496</v>
      </c>
      <c r="W122" s="57" t="s">
        <v>29</v>
      </c>
    </row>
    <row r="123" s="1" customFormat="1" spans="1:23">
      <c r="A123" s="13">
        <v>124</v>
      </c>
      <c r="B123" s="25" t="s">
        <v>280</v>
      </c>
      <c r="C123" s="25" t="s">
        <v>281</v>
      </c>
      <c r="D123" s="23" t="s">
        <v>27</v>
      </c>
      <c r="E123" s="19"/>
      <c r="F123" s="20">
        <v>0.00208</v>
      </c>
      <c r="G123" s="21">
        <v>15.3097</v>
      </c>
      <c r="H123" s="22">
        <v>0.95</v>
      </c>
      <c r="I123" s="41">
        <f t="shared" si="21"/>
        <v>0.0335201852631579</v>
      </c>
      <c r="J123" s="42" t="s">
        <v>28</v>
      </c>
      <c r="K123" s="43">
        <v>60</v>
      </c>
      <c r="L123" s="43">
        <f t="shared" si="32"/>
        <v>60</v>
      </c>
      <c r="M123" s="44">
        <v>4</v>
      </c>
      <c r="N123" s="45">
        <v>27.15</v>
      </c>
      <c r="O123" s="45">
        <v>0.76</v>
      </c>
      <c r="P123" s="45">
        <v>22.5</v>
      </c>
      <c r="Q123" s="41">
        <f t="shared" si="23"/>
        <v>0.09375</v>
      </c>
      <c r="R123" s="54"/>
      <c r="S123" s="55">
        <f t="shared" si="33"/>
        <v>0.00477055555555556</v>
      </c>
      <c r="T123" s="56">
        <v>0.0111111111111111</v>
      </c>
      <c r="U123" s="54"/>
      <c r="V123" s="41">
        <f t="shared" si="31"/>
        <v>0.214814330500462</v>
      </c>
      <c r="W123" s="57" t="s">
        <v>29</v>
      </c>
    </row>
    <row r="124" s="1" customFormat="1" ht="27" spans="1:23">
      <c r="A124" s="13">
        <v>125</v>
      </c>
      <c r="B124" s="25" t="s">
        <v>282</v>
      </c>
      <c r="C124" s="29" t="s">
        <v>283</v>
      </c>
      <c r="D124" s="23" t="s">
        <v>27</v>
      </c>
      <c r="E124" s="19">
        <f>2.2/1000</f>
        <v>0.0022</v>
      </c>
      <c r="F124" s="20">
        <v>0.00231</v>
      </c>
      <c r="G124" s="21">
        <v>15.3097</v>
      </c>
      <c r="H124" s="22">
        <v>0.95</v>
      </c>
      <c r="I124" s="41">
        <f t="shared" si="21"/>
        <v>0.0372267442105263</v>
      </c>
      <c r="J124" s="42" t="s">
        <v>28</v>
      </c>
      <c r="K124" s="43">
        <v>55.3846153846154</v>
      </c>
      <c r="L124" s="43">
        <f t="shared" si="32"/>
        <v>65</v>
      </c>
      <c r="M124" s="44">
        <v>4</v>
      </c>
      <c r="N124" s="45">
        <v>27.15</v>
      </c>
      <c r="O124" s="45">
        <v>0.76</v>
      </c>
      <c r="P124" s="45">
        <v>22.5</v>
      </c>
      <c r="Q124" s="41">
        <f t="shared" si="23"/>
        <v>0.1015625</v>
      </c>
      <c r="R124" s="54"/>
      <c r="S124" s="55">
        <f t="shared" si="33"/>
        <v>0.00477055555555556</v>
      </c>
      <c r="T124" s="62">
        <v>0.0111111111111111</v>
      </c>
      <c r="U124" s="54"/>
      <c r="V124" s="41">
        <f t="shared" si="31"/>
        <v>0.232459066481071</v>
      </c>
      <c r="W124" s="57" t="s">
        <v>29</v>
      </c>
    </row>
    <row r="125" s="1" customFormat="1" spans="1:23">
      <c r="A125" s="13">
        <v>126</v>
      </c>
      <c r="B125" s="25" t="s">
        <v>284</v>
      </c>
      <c r="C125" s="26" t="s">
        <v>285</v>
      </c>
      <c r="D125" s="18" t="s">
        <v>286</v>
      </c>
      <c r="E125" s="19">
        <f>27/1000</f>
        <v>0.027</v>
      </c>
      <c r="F125" s="20">
        <v>0.02835</v>
      </c>
      <c r="G125" s="21">
        <v>9.02654867256637</v>
      </c>
      <c r="H125" s="22">
        <v>0.95</v>
      </c>
      <c r="I125" s="41">
        <f t="shared" si="21"/>
        <v>0.269371215649744</v>
      </c>
      <c r="J125" s="42" t="s">
        <v>50</v>
      </c>
      <c r="K125" s="43">
        <v>55.3846153846154</v>
      </c>
      <c r="L125" s="43">
        <f t="shared" si="32"/>
        <v>65</v>
      </c>
      <c r="M125" s="44">
        <v>2</v>
      </c>
      <c r="N125" s="45">
        <v>48.5</v>
      </c>
      <c r="O125" s="45">
        <v>0.76</v>
      </c>
      <c r="P125" s="45">
        <v>22.5</v>
      </c>
      <c r="Q125" s="41">
        <f t="shared" si="23"/>
        <v>0.203125</v>
      </c>
      <c r="R125" s="54"/>
      <c r="S125" s="55">
        <f t="shared" ref="S125:S128" si="34">0.0131+8.4124/90</f>
        <v>0.106571111111111</v>
      </c>
      <c r="T125" s="62">
        <v>0.222222222222222</v>
      </c>
      <c r="U125" s="54"/>
      <c r="V125" s="41">
        <f t="shared" si="31"/>
        <v>1.07527202565391</v>
      </c>
      <c r="W125" s="57" t="s">
        <v>29</v>
      </c>
    </row>
    <row r="126" s="1" customFormat="1" spans="1:23">
      <c r="A126" s="13">
        <v>127</v>
      </c>
      <c r="B126" s="25" t="s">
        <v>287</v>
      </c>
      <c r="C126" s="26" t="s">
        <v>288</v>
      </c>
      <c r="D126" s="18" t="s">
        <v>286</v>
      </c>
      <c r="E126" s="19">
        <f>33/1000</f>
        <v>0.033</v>
      </c>
      <c r="F126" s="20">
        <v>0.03465</v>
      </c>
      <c r="G126" s="21">
        <v>9.02654867256637</v>
      </c>
      <c r="H126" s="22">
        <v>0.95</v>
      </c>
      <c r="I126" s="41">
        <f t="shared" si="21"/>
        <v>0.329231485794131</v>
      </c>
      <c r="J126" s="42" t="s">
        <v>50</v>
      </c>
      <c r="K126" s="43">
        <v>51.4285714285715</v>
      </c>
      <c r="L126" s="43">
        <f t="shared" si="32"/>
        <v>69.9999999999999</v>
      </c>
      <c r="M126" s="44">
        <v>2</v>
      </c>
      <c r="N126" s="45">
        <v>48.5</v>
      </c>
      <c r="O126" s="45">
        <v>0.76</v>
      </c>
      <c r="P126" s="45">
        <v>22.5</v>
      </c>
      <c r="Q126" s="41">
        <f t="shared" si="23"/>
        <v>0.21875</v>
      </c>
      <c r="R126" s="54"/>
      <c r="S126" s="55">
        <f t="shared" si="34"/>
        <v>0.106571111111111</v>
      </c>
      <c r="T126" s="62">
        <v>0.222222222222222</v>
      </c>
      <c r="U126" s="54"/>
      <c r="V126" s="41">
        <f t="shared" si="31"/>
        <v>1.17842477112086</v>
      </c>
      <c r="W126" s="57" t="s">
        <v>29</v>
      </c>
    </row>
    <row r="127" s="1" customFormat="1" spans="1:23">
      <c r="A127" s="13">
        <v>128</v>
      </c>
      <c r="B127" s="25" t="s">
        <v>289</v>
      </c>
      <c r="C127" s="28" t="s">
        <v>290</v>
      </c>
      <c r="D127" s="30" t="s">
        <v>291</v>
      </c>
      <c r="E127" s="19">
        <f>29/1000</f>
        <v>0.029</v>
      </c>
      <c r="F127" s="20">
        <v>0.03045</v>
      </c>
      <c r="G127" s="21">
        <v>6.63716814159292</v>
      </c>
      <c r="H127" s="22">
        <v>0.95</v>
      </c>
      <c r="I127" s="41">
        <f t="shared" si="21"/>
        <v>0.212738705170005</v>
      </c>
      <c r="J127" s="42" t="s">
        <v>50</v>
      </c>
      <c r="K127" s="43">
        <v>51.4285714285715</v>
      </c>
      <c r="L127" s="43">
        <f t="shared" si="32"/>
        <v>69.9999999999999</v>
      </c>
      <c r="M127" s="44">
        <v>2</v>
      </c>
      <c r="N127" s="45">
        <v>48.5</v>
      </c>
      <c r="O127" s="45">
        <v>0.76</v>
      </c>
      <c r="P127" s="45">
        <v>22.5</v>
      </c>
      <c r="Q127" s="41">
        <f t="shared" si="23"/>
        <v>0.21875</v>
      </c>
      <c r="R127" s="54"/>
      <c r="S127" s="55">
        <f t="shared" si="34"/>
        <v>0.106571111111111</v>
      </c>
      <c r="T127" s="62">
        <v>0.222222222222222</v>
      </c>
      <c r="U127" s="54"/>
      <c r="V127" s="41">
        <f t="shared" si="31"/>
        <v>1.04231215376004</v>
      </c>
      <c r="W127" s="57" t="s">
        <v>29</v>
      </c>
    </row>
    <row r="128" s="1" customFormat="1" spans="1:23">
      <c r="A128" s="13">
        <v>129</v>
      </c>
      <c r="B128" s="25" t="s">
        <v>292</v>
      </c>
      <c r="C128" s="28" t="s">
        <v>293</v>
      </c>
      <c r="D128" s="30" t="s">
        <v>291</v>
      </c>
      <c r="E128" s="19">
        <f>29/1000</f>
        <v>0.029</v>
      </c>
      <c r="F128" s="20">
        <v>0.03045</v>
      </c>
      <c r="G128" s="21">
        <v>6.63716814159292</v>
      </c>
      <c r="H128" s="22">
        <v>0.95</v>
      </c>
      <c r="I128" s="41">
        <f t="shared" si="21"/>
        <v>0.212738705170005</v>
      </c>
      <c r="J128" s="42" t="s">
        <v>50</v>
      </c>
      <c r="K128" s="43">
        <v>51.4285714285715</v>
      </c>
      <c r="L128" s="43">
        <f t="shared" si="32"/>
        <v>69.9999999999999</v>
      </c>
      <c r="M128" s="44">
        <v>2</v>
      </c>
      <c r="N128" s="45">
        <v>48.5</v>
      </c>
      <c r="O128" s="45">
        <v>0.76</v>
      </c>
      <c r="P128" s="45">
        <v>22.5</v>
      </c>
      <c r="Q128" s="41">
        <f t="shared" si="23"/>
        <v>0.21875</v>
      </c>
      <c r="R128" s="54"/>
      <c r="S128" s="55">
        <f t="shared" si="34"/>
        <v>0.106571111111111</v>
      </c>
      <c r="T128" s="62">
        <v>0.222222222222222</v>
      </c>
      <c r="U128" s="54"/>
      <c r="V128" s="41">
        <f t="shared" si="31"/>
        <v>1.04231215376004</v>
      </c>
      <c r="W128" s="57" t="s">
        <v>29</v>
      </c>
    </row>
    <row r="129" s="1" customFormat="1" ht="40.5" spans="1:23">
      <c r="A129" s="13">
        <v>130</v>
      </c>
      <c r="B129" s="25" t="s">
        <v>294</v>
      </c>
      <c r="C129" s="29" t="s">
        <v>295</v>
      </c>
      <c r="D129" s="30" t="s">
        <v>44</v>
      </c>
      <c r="E129" s="19">
        <f>31/1000</f>
        <v>0.031</v>
      </c>
      <c r="F129" s="20">
        <v>0.03255</v>
      </c>
      <c r="G129" s="21">
        <v>18.5841</v>
      </c>
      <c r="H129" s="22">
        <v>0.95</v>
      </c>
      <c r="I129" s="41">
        <f t="shared" si="21"/>
        <v>0.636749952631579</v>
      </c>
      <c r="J129" s="42" t="s">
        <v>50</v>
      </c>
      <c r="K129" s="43">
        <v>30</v>
      </c>
      <c r="L129" s="43">
        <f t="shared" si="32"/>
        <v>120</v>
      </c>
      <c r="M129" s="44">
        <v>2</v>
      </c>
      <c r="N129" s="45">
        <v>48.5</v>
      </c>
      <c r="O129" s="45">
        <v>0.76</v>
      </c>
      <c r="P129" s="45">
        <v>22.5</v>
      </c>
      <c r="Q129" s="41">
        <f t="shared" si="23"/>
        <v>0.375</v>
      </c>
      <c r="R129" s="65">
        <f>0.4+0.5</f>
        <v>0.9</v>
      </c>
      <c r="S129" s="55">
        <f>8.4124/100</f>
        <v>0.084124</v>
      </c>
      <c r="T129" s="62">
        <v>0.2</v>
      </c>
      <c r="U129" s="65"/>
      <c r="V129" s="41">
        <f t="shared" si="31"/>
        <v>2.75217394465374</v>
      </c>
      <c r="W129" s="57" t="s">
        <v>29</v>
      </c>
    </row>
    <row r="130" s="1" customFormat="1" ht="40.5" spans="1:23">
      <c r="A130" s="13">
        <v>131</v>
      </c>
      <c r="B130" s="25" t="s">
        <v>296</v>
      </c>
      <c r="C130" s="29" t="s">
        <v>297</v>
      </c>
      <c r="D130" s="30" t="s">
        <v>44</v>
      </c>
      <c r="E130" s="19">
        <f t="shared" ref="E130:E132" si="35">26/1000</f>
        <v>0.026</v>
      </c>
      <c r="F130" s="20">
        <v>0.0273</v>
      </c>
      <c r="G130" s="21">
        <v>18.5841</v>
      </c>
      <c r="H130" s="22">
        <v>0.9</v>
      </c>
      <c r="I130" s="41">
        <f t="shared" si="21"/>
        <v>0.5637177</v>
      </c>
      <c r="J130" s="42" t="s">
        <v>50</v>
      </c>
      <c r="K130" s="43">
        <v>30</v>
      </c>
      <c r="L130" s="43">
        <f t="shared" si="32"/>
        <v>120</v>
      </c>
      <c r="M130" s="44">
        <v>2</v>
      </c>
      <c r="N130" s="45">
        <v>48.5</v>
      </c>
      <c r="O130" s="45">
        <v>0.76</v>
      </c>
      <c r="P130" s="45">
        <v>22.5</v>
      </c>
      <c r="Q130" s="41">
        <f t="shared" si="23"/>
        <v>0.375</v>
      </c>
      <c r="R130" s="65">
        <f>0.4+0.5</f>
        <v>0.9</v>
      </c>
      <c r="S130" s="55">
        <f>8.4124/100</f>
        <v>0.084124</v>
      </c>
      <c r="T130" s="62">
        <v>0.2</v>
      </c>
      <c r="U130" s="54"/>
      <c r="V130" s="41">
        <f t="shared" si="31"/>
        <v>2.74771471888889</v>
      </c>
      <c r="W130" s="57" t="s">
        <v>29</v>
      </c>
    </row>
    <row r="131" s="1" customFormat="1" ht="27" spans="1:23">
      <c r="A131" s="13">
        <v>132</v>
      </c>
      <c r="B131" s="25" t="s">
        <v>298</v>
      </c>
      <c r="C131" s="29" t="s">
        <v>299</v>
      </c>
      <c r="D131" s="30" t="s">
        <v>44</v>
      </c>
      <c r="E131" s="19">
        <f t="shared" si="35"/>
        <v>0.026</v>
      </c>
      <c r="F131" s="20">
        <v>0.0273</v>
      </c>
      <c r="G131" s="21">
        <v>18.5841</v>
      </c>
      <c r="H131" s="22">
        <v>0.9</v>
      </c>
      <c r="I131" s="41">
        <f t="shared" ref="I131:I154" si="36">F131*G131/H131</f>
        <v>0.5637177</v>
      </c>
      <c r="J131" s="42" t="s">
        <v>113</v>
      </c>
      <c r="K131" s="43">
        <v>48</v>
      </c>
      <c r="L131" s="43">
        <f t="shared" si="32"/>
        <v>75</v>
      </c>
      <c r="M131" s="44">
        <v>2</v>
      </c>
      <c r="N131" s="45">
        <v>39.75</v>
      </c>
      <c r="O131" s="45">
        <v>0.76</v>
      </c>
      <c r="P131" s="45">
        <v>22.5</v>
      </c>
      <c r="Q131" s="41">
        <f t="shared" ref="Q131:Q167" si="37">P131/K131/M131</f>
        <v>0.234375</v>
      </c>
      <c r="R131" s="54"/>
      <c r="S131" s="55">
        <f t="shared" ref="S131:S137" si="38">0.0131+8.4124/90</f>
        <v>0.106571111111111</v>
      </c>
      <c r="T131" s="62">
        <v>0.222222222222222</v>
      </c>
      <c r="U131" s="54">
        <v>0.3</v>
      </c>
      <c r="V131" s="41">
        <f t="shared" si="31"/>
        <v>1.807164955</v>
      </c>
      <c r="W131" s="57" t="s">
        <v>29</v>
      </c>
    </row>
    <row r="132" s="1" customFormat="1" ht="27" spans="1:23">
      <c r="A132" s="13">
        <v>133</v>
      </c>
      <c r="B132" s="25" t="s">
        <v>300</v>
      </c>
      <c r="C132" s="29" t="s">
        <v>301</v>
      </c>
      <c r="D132" s="30" t="s">
        <v>44</v>
      </c>
      <c r="E132" s="19">
        <f t="shared" si="35"/>
        <v>0.026</v>
      </c>
      <c r="F132" s="20">
        <v>0.0273</v>
      </c>
      <c r="G132" s="21">
        <v>18.5841</v>
      </c>
      <c r="H132" s="22">
        <v>0.9</v>
      </c>
      <c r="I132" s="41">
        <f t="shared" si="36"/>
        <v>0.5637177</v>
      </c>
      <c r="J132" s="42" t="s">
        <v>113</v>
      </c>
      <c r="K132" s="43">
        <v>48</v>
      </c>
      <c r="L132" s="43">
        <f t="shared" si="32"/>
        <v>75</v>
      </c>
      <c r="M132" s="44">
        <v>2</v>
      </c>
      <c r="N132" s="45">
        <v>39.75</v>
      </c>
      <c r="O132" s="45">
        <v>0.76</v>
      </c>
      <c r="P132" s="45">
        <v>22.5</v>
      </c>
      <c r="Q132" s="41">
        <f t="shared" si="37"/>
        <v>0.234375</v>
      </c>
      <c r="R132" s="54"/>
      <c r="S132" s="55">
        <f t="shared" si="38"/>
        <v>0.106571111111111</v>
      </c>
      <c r="T132" s="62">
        <v>0.222222222222222</v>
      </c>
      <c r="U132" s="54">
        <v>0.3</v>
      </c>
      <c r="V132" s="41">
        <f t="shared" si="31"/>
        <v>1.807164955</v>
      </c>
      <c r="W132" s="57" t="s">
        <v>29</v>
      </c>
    </row>
    <row r="133" s="1" customFormat="1" ht="27" spans="1:23">
      <c r="A133" s="13">
        <v>134</v>
      </c>
      <c r="B133" s="25" t="s">
        <v>302</v>
      </c>
      <c r="C133" s="29" t="s">
        <v>303</v>
      </c>
      <c r="D133" s="18" t="s">
        <v>77</v>
      </c>
      <c r="E133" s="19"/>
      <c r="F133" s="20">
        <v>0.02573</v>
      </c>
      <c r="G133" s="21">
        <v>13.7168</v>
      </c>
      <c r="H133" s="22">
        <v>0.98</v>
      </c>
      <c r="I133" s="41">
        <f t="shared" si="36"/>
        <v>0.360135983673469</v>
      </c>
      <c r="J133" s="42" t="s">
        <v>304</v>
      </c>
      <c r="K133" s="43">
        <v>80</v>
      </c>
      <c r="L133" s="43">
        <f t="shared" si="32"/>
        <v>45</v>
      </c>
      <c r="M133" s="44">
        <v>2</v>
      </c>
      <c r="N133" s="45">
        <v>47.5</v>
      </c>
      <c r="O133" s="45">
        <v>0.76</v>
      </c>
      <c r="P133" s="45">
        <v>22.5</v>
      </c>
      <c r="Q133" s="41">
        <f t="shared" si="37"/>
        <v>0.140625</v>
      </c>
      <c r="R133" s="54"/>
      <c r="S133" s="55">
        <f>0.1307/100+8.4124/400</f>
        <v>0.022338</v>
      </c>
      <c r="T133" s="56">
        <v>0.05</v>
      </c>
      <c r="U133" s="54"/>
      <c r="V133" s="41">
        <f t="shared" si="31"/>
        <v>0.76730388456893</v>
      </c>
      <c r="W133" s="57" t="s">
        <v>29</v>
      </c>
    </row>
    <row r="134" s="1" customFormat="1" ht="27" spans="1:23">
      <c r="A134" s="13">
        <v>135</v>
      </c>
      <c r="B134" s="25" t="s">
        <v>305</v>
      </c>
      <c r="C134" s="29" t="s">
        <v>306</v>
      </c>
      <c r="D134" s="18" t="s">
        <v>77</v>
      </c>
      <c r="E134" s="19">
        <f>18/1000</f>
        <v>0.018</v>
      </c>
      <c r="F134" s="20">
        <v>0.0189</v>
      </c>
      <c r="G134" s="21">
        <v>13.7168</v>
      </c>
      <c r="H134" s="22">
        <v>0.98</v>
      </c>
      <c r="I134" s="41">
        <f t="shared" si="36"/>
        <v>0.264538285714286</v>
      </c>
      <c r="J134" s="42" t="s">
        <v>50</v>
      </c>
      <c r="K134" s="43">
        <v>48</v>
      </c>
      <c r="L134" s="43">
        <f t="shared" si="32"/>
        <v>75</v>
      </c>
      <c r="M134" s="44">
        <v>2</v>
      </c>
      <c r="N134" s="45">
        <v>48.5</v>
      </c>
      <c r="O134" s="45">
        <v>0.76</v>
      </c>
      <c r="P134" s="45">
        <v>22.5</v>
      </c>
      <c r="Q134" s="41">
        <f t="shared" si="37"/>
        <v>0.234375</v>
      </c>
      <c r="R134" s="54"/>
      <c r="S134" s="55">
        <f t="shared" si="38"/>
        <v>0.106571111111111</v>
      </c>
      <c r="T134" s="62">
        <v>0.222222222222222</v>
      </c>
      <c r="U134" s="54"/>
      <c r="V134" s="41">
        <f t="shared" ref="V134:V155" si="39">(I134+Q134+(N134*O134/K134/M134)/2)/H134*1.11+R134*1.03+S134+T134+U134</f>
        <v>1.11133478449951</v>
      </c>
      <c r="W134" s="57" t="s">
        <v>29</v>
      </c>
    </row>
    <row r="135" s="1" customFormat="1" ht="27" spans="1:23">
      <c r="A135" s="13">
        <v>136</v>
      </c>
      <c r="B135" s="25" t="s">
        <v>307</v>
      </c>
      <c r="C135" s="29" t="s">
        <v>308</v>
      </c>
      <c r="D135" s="30" t="s">
        <v>44</v>
      </c>
      <c r="E135" s="19">
        <f>22/1000</f>
        <v>0.022</v>
      </c>
      <c r="F135" s="20">
        <v>0.0231</v>
      </c>
      <c r="G135" s="21">
        <v>18.5841</v>
      </c>
      <c r="H135" s="22">
        <v>0.9</v>
      </c>
      <c r="I135" s="41">
        <f t="shared" si="36"/>
        <v>0.4769919</v>
      </c>
      <c r="J135" s="42" t="s">
        <v>113</v>
      </c>
      <c r="K135" s="43">
        <v>48</v>
      </c>
      <c r="L135" s="43">
        <f t="shared" si="32"/>
        <v>75</v>
      </c>
      <c r="M135" s="44">
        <v>2</v>
      </c>
      <c r="N135" s="45">
        <v>39.75</v>
      </c>
      <c r="O135" s="45">
        <v>0.76</v>
      </c>
      <c r="P135" s="45">
        <v>22.5</v>
      </c>
      <c r="Q135" s="41">
        <f t="shared" si="37"/>
        <v>0.234375</v>
      </c>
      <c r="R135" s="54"/>
      <c r="S135" s="55">
        <f t="shared" si="38"/>
        <v>0.106571111111111</v>
      </c>
      <c r="T135" s="62">
        <v>0.222222222222222</v>
      </c>
      <c r="U135" s="54">
        <v>0.3</v>
      </c>
      <c r="V135" s="41">
        <f t="shared" si="39"/>
        <v>1.700203135</v>
      </c>
      <c r="W135" s="57" t="s">
        <v>29</v>
      </c>
    </row>
    <row r="136" s="1" customFormat="1" ht="27" spans="1:23">
      <c r="A136" s="13">
        <v>137</v>
      </c>
      <c r="B136" s="25" t="s">
        <v>309</v>
      </c>
      <c r="C136" s="29" t="s">
        <v>310</v>
      </c>
      <c r="D136" s="30" t="s">
        <v>44</v>
      </c>
      <c r="E136" s="19"/>
      <c r="F136" s="20">
        <v>0.045524</v>
      </c>
      <c r="G136" s="21">
        <v>18.5841</v>
      </c>
      <c r="H136" s="22">
        <v>0.9</v>
      </c>
      <c r="I136" s="41">
        <f t="shared" si="36"/>
        <v>0.940025076</v>
      </c>
      <c r="J136" s="47" t="s">
        <v>113</v>
      </c>
      <c r="K136" s="43">
        <v>60</v>
      </c>
      <c r="L136" s="43">
        <f t="shared" si="32"/>
        <v>60</v>
      </c>
      <c r="M136" s="44">
        <v>2</v>
      </c>
      <c r="N136" s="45">
        <v>39.75</v>
      </c>
      <c r="O136" s="45">
        <v>0.76</v>
      </c>
      <c r="P136" s="45">
        <v>22.5</v>
      </c>
      <c r="Q136" s="41">
        <f t="shared" si="37"/>
        <v>0.1875</v>
      </c>
      <c r="R136" s="54"/>
      <c r="S136" s="55">
        <f t="shared" si="38"/>
        <v>0.106571111111111</v>
      </c>
      <c r="T136" s="56">
        <v>0.222222222222222</v>
      </c>
      <c r="U136" s="54">
        <v>0.3</v>
      </c>
      <c r="V136" s="41">
        <f t="shared" si="39"/>
        <v>2.17465342706667</v>
      </c>
      <c r="W136" s="57" t="s">
        <v>29</v>
      </c>
    </row>
    <row r="137" s="1" customFormat="1" spans="1:23">
      <c r="A137" s="13">
        <v>138</v>
      </c>
      <c r="B137" s="25" t="s">
        <v>311</v>
      </c>
      <c r="C137" s="29" t="s">
        <v>312</v>
      </c>
      <c r="D137" s="30" t="s">
        <v>313</v>
      </c>
      <c r="E137" s="19">
        <f>44/1000</f>
        <v>0.044</v>
      </c>
      <c r="F137" s="20">
        <v>0.0462</v>
      </c>
      <c r="G137" s="21">
        <v>10.5</v>
      </c>
      <c r="H137" s="22">
        <v>0.98</v>
      </c>
      <c r="I137" s="41">
        <f t="shared" si="36"/>
        <v>0.495</v>
      </c>
      <c r="J137" s="42" t="s">
        <v>50</v>
      </c>
      <c r="K137" s="43">
        <v>51.4285714285715</v>
      </c>
      <c r="L137" s="43">
        <f t="shared" si="32"/>
        <v>69.9999999999999</v>
      </c>
      <c r="M137" s="44">
        <v>2</v>
      </c>
      <c r="N137" s="45">
        <v>48.5</v>
      </c>
      <c r="O137" s="45">
        <v>0.76</v>
      </c>
      <c r="P137" s="45">
        <v>22.5</v>
      </c>
      <c r="Q137" s="41">
        <f t="shared" si="37"/>
        <v>0.21875</v>
      </c>
      <c r="R137" s="54"/>
      <c r="S137" s="55">
        <f t="shared" si="38"/>
        <v>0.106571111111111</v>
      </c>
      <c r="T137" s="62">
        <v>0.222222222222222</v>
      </c>
      <c r="U137" s="54">
        <v>0.3</v>
      </c>
      <c r="V137" s="41">
        <f t="shared" si="39"/>
        <v>1.64017386054422</v>
      </c>
      <c r="W137" s="57" t="s">
        <v>29</v>
      </c>
    </row>
    <row r="138" s="1" customFormat="1" ht="27" spans="1:23">
      <c r="A138" s="13">
        <v>139</v>
      </c>
      <c r="B138" s="25" t="s">
        <v>314</v>
      </c>
      <c r="C138" s="29" t="s">
        <v>315</v>
      </c>
      <c r="D138" s="30" t="s">
        <v>313</v>
      </c>
      <c r="E138" s="19">
        <f>26/1000</f>
        <v>0.026</v>
      </c>
      <c r="F138" s="20">
        <v>0.0273</v>
      </c>
      <c r="G138" s="21">
        <v>10.5</v>
      </c>
      <c r="H138" s="22">
        <v>0.98</v>
      </c>
      <c r="I138" s="41">
        <f t="shared" si="36"/>
        <v>0.2925</v>
      </c>
      <c r="J138" s="42" t="s">
        <v>50</v>
      </c>
      <c r="K138" s="43">
        <v>51.4285714285715</v>
      </c>
      <c r="L138" s="43">
        <f t="shared" si="32"/>
        <v>69.9999999999999</v>
      </c>
      <c r="M138" s="44">
        <v>2</v>
      </c>
      <c r="N138" s="45">
        <v>48.5</v>
      </c>
      <c r="O138" s="45">
        <v>0.76</v>
      </c>
      <c r="P138" s="45">
        <v>22.5</v>
      </c>
      <c r="Q138" s="41">
        <f t="shared" si="37"/>
        <v>0.21875</v>
      </c>
      <c r="R138" s="54"/>
      <c r="S138" s="55">
        <f>8.4124/100</f>
        <v>0.084124</v>
      </c>
      <c r="T138" s="62">
        <v>0.2</v>
      </c>
      <c r="U138" s="54"/>
      <c r="V138" s="41">
        <f t="shared" si="39"/>
        <v>1.06614228231292</v>
      </c>
      <c r="W138" s="57" t="s">
        <v>29</v>
      </c>
    </row>
    <row r="139" s="1" customFormat="1" spans="1:23">
      <c r="A139" s="13">
        <v>140</v>
      </c>
      <c r="B139" s="25" t="s">
        <v>316</v>
      </c>
      <c r="C139" s="29" t="s">
        <v>317</v>
      </c>
      <c r="D139" s="30" t="s">
        <v>49</v>
      </c>
      <c r="E139" s="19">
        <f t="shared" ref="E139:E142" si="40">2/1000</f>
        <v>0.002</v>
      </c>
      <c r="F139" s="20">
        <v>0.0021</v>
      </c>
      <c r="G139" s="21">
        <v>21.2389</v>
      </c>
      <c r="H139" s="22">
        <v>0.95</v>
      </c>
      <c r="I139" s="41">
        <f t="shared" si="36"/>
        <v>0.0469491473684211</v>
      </c>
      <c r="J139" s="42" t="s">
        <v>113</v>
      </c>
      <c r="K139" s="43">
        <v>65.4545454545455</v>
      </c>
      <c r="L139" s="43">
        <f t="shared" si="32"/>
        <v>55</v>
      </c>
      <c r="M139" s="44">
        <v>2</v>
      </c>
      <c r="N139" s="45">
        <v>39.75</v>
      </c>
      <c r="O139" s="45">
        <v>0.76</v>
      </c>
      <c r="P139" s="45">
        <v>22.5</v>
      </c>
      <c r="Q139" s="41">
        <f t="shared" si="37"/>
        <v>0.171875</v>
      </c>
      <c r="R139" s="54"/>
      <c r="S139" s="66">
        <f t="shared" ref="S139:S142" si="41">0.0291/300+8.4124/1800</f>
        <v>0.00477055555555556</v>
      </c>
      <c r="T139" s="62">
        <v>0.0111111111111111</v>
      </c>
      <c r="U139" s="54"/>
      <c r="V139" s="41">
        <f t="shared" si="39"/>
        <v>0.406379157276085</v>
      </c>
      <c r="W139" s="57" t="s">
        <v>29</v>
      </c>
    </row>
    <row r="140" s="1" customFormat="1" spans="1:23">
      <c r="A140" s="13">
        <v>141</v>
      </c>
      <c r="B140" s="25" t="s">
        <v>318</v>
      </c>
      <c r="C140" s="29" t="s">
        <v>206</v>
      </c>
      <c r="D140" s="30" t="s">
        <v>27</v>
      </c>
      <c r="E140" s="19">
        <f t="shared" si="40"/>
        <v>0.002</v>
      </c>
      <c r="F140" s="20">
        <v>0.0026</v>
      </c>
      <c r="G140" s="21">
        <v>15.3097</v>
      </c>
      <c r="H140" s="22">
        <v>0.95</v>
      </c>
      <c r="I140" s="41">
        <f t="shared" si="36"/>
        <v>0.0419002315789474</v>
      </c>
      <c r="J140" s="42" t="s">
        <v>28</v>
      </c>
      <c r="K140" s="43">
        <v>65.4545454545455</v>
      </c>
      <c r="L140" s="43">
        <f t="shared" si="32"/>
        <v>55</v>
      </c>
      <c r="M140" s="44">
        <v>1</v>
      </c>
      <c r="N140" s="45">
        <v>27.15</v>
      </c>
      <c r="O140" s="45">
        <v>0.76</v>
      </c>
      <c r="P140" s="45">
        <v>22.5</v>
      </c>
      <c r="Q140" s="41">
        <f t="shared" si="37"/>
        <v>0.34375</v>
      </c>
      <c r="R140" s="54"/>
      <c r="S140" s="55">
        <f>8.4124/100</f>
        <v>0.084124</v>
      </c>
      <c r="T140" s="62">
        <v>0.2</v>
      </c>
      <c r="U140" s="54"/>
      <c r="V140" s="41">
        <f t="shared" si="39"/>
        <v>0.918893349529086</v>
      </c>
      <c r="W140" s="57" t="s">
        <v>29</v>
      </c>
    </row>
    <row r="141" s="1" customFormat="1" ht="27" spans="1:23">
      <c r="A141" s="13">
        <v>142</v>
      </c>
      <c r="B141" s="25" t="s">
        <v>319</v>
      </c>
      <c r="C141" s="29" t="s">
        <v>320</v>
      </c>
      <c r="D141" s="30" t="s">
        <v>27</v>
      </c>
      <c r="E141" s="19">
        <f>0.7/1000</f>
        <v>0.0007</v>
      </c>
      <c r="F141" s="20">
        <v>0.00091</v>
      </c>
      <c r="G141" s="21">
        <v>15.3097</v>
      </c>
      <c r="H141" s="22">
        <v>0.95</v>
      </c>
      <c r="I141" s="41">
        <f t="shared" si="36"/>
        <v>0.0146650810526316</v>
      </c>
      <c r="J141" s="42" t="s">
        <v>28</v>
      </c>
      <c r="K141" s="43">
        <v>65.4545454545455</v>
      </c>
      <c r="L141" s="43">
        <f t="shared" si="32"/>
        <v>55</v>
      </c>
      <c r="M141" s="44">
        <v>1</v>
      </c>
      <c r="N141" s="45">
        <v>27.15</v>
      </c>
      <c r="O141" s="45">
        <v>0.76</v>
      </c>
      <c r="P141" s="45">
        <v>22.5</v>
      </c>
      <c r="Q141" s="41">
        <f t="shared" si="37"/>
        <v>0.34375</v>
      </c>
      <c r="R141" s="54"/>
      <c r="S141" s="55">
        <f t="shared" si="41"/>
        <v>0.00477055555555556</v>
      </c>
      <c r="T141" s="62">
        <v>0.0111111111111111</v>
      </c>
      <c r="U141" s="54"/>
      <c r="V141" s="41">
        <f t="shared" si="39"/>
        <v>0.618828892949215</v>
      </c>
      <c r="W141" s="57" t="s">
        <v>29</v>
      </c>
    </row>
    <row r="142" s="1" customFormat="1" spans="1:23">
      <c r="A142" s="13">
        <v>143</v>
      </c>
      <c r="B142" s="25" t="s">
        <v>321</v>
      </c>
      <c r="C142" s="29" t="s">
        <v>208</v>
      </c>
      <c r="D142" s="30" t="s">
        <v>27</v>
      </c>
      <c r="E142" s="19">
        <f t="shared" si="40"/>
        <v>0.002</v>
      </c>
      <c r="F142" s="20">
        <v>0.0026</v>
      </c>
      <c r="G142" s="21">
        <v>15.3097</v>
      </c>
      <c r="H142" s="22">
        <v>0.95</v>
      </c>
      <c r="I142" s="41">
        <f t="shared" si="36"/>
        <v>0.0419002315789474</v>
      </c>
      <c r="J142" s="42" t="s">
        <v>28</v>
      </c>
      <c r="K142" s="43">
        <v>65.4545454545455</v>
      </c>
      <c r="L142" s="43">
        <f t="shared" si="32"/>
        <v>55</v>
      </c>
      <c r="M142" s="44">
        <v>1</v>
      </c>
      <c r="N142" s="45">
        <v>27.15</v>
      </c>
      <c r="O142" s="45">
        <v>0.76</v>
      </c>
      <c r="P142" s="45">
        <v>22.5</v>
      </c>
      <c r="Q142" s="41">
        <f t="shared" si="37"/>
        <v>0.34375</v>
      </c>
      <c r="R142" s="54"/>
      <c r="S142" s="55">
        <f t="shared" si="41"/>
        <v>0.00477055555555556</v>
      </c>
      <c r="T142" s="62">
        <v>0.0111111111111111</v>
      </c>
      <c r="U142" s="54"/>
      <c r="V142" s="41">
        <f t="shared" si="39"/>
        <v>0.650651016195752</v>
      </c>
      <c r="W142" s="57" t="s">
        <v>29</v>
      </c>
    </row>
    <row r="143" s="1" customFormat="1" ht="40.5" spans="1:23">
      <c r="A143" s="13">
        <v>144</v>
      </c>
      <c r="B143" s="25" t="s">
        <v>322</v>
      </c>
      <c r="C143" s="29" t="s">
        <v>323</v>
      </c>
      <c r="D143" s="30" t="s">
        <v>27</v>
      </c>
      <c r="E143" s="19">
        <f>4/1000</f>
        <v>0.004</v>
      </c>
      <c r="F143" s="20">
        <v>0.0042</v>
      </c>
      <c r="G143" s="21">
        <v>15.3097</v>
      </c>
      <c r="H143" s="22">
        <v>0.95</v>
      </c>
      <c r="I143" s="41">
        <f t="shared" si="36"/>
        <v>0.0676849894736842</v>
      </c>
      <c r="J143" s="42" t="s">
        <v>32</v>
      </c>
      <c r="K143" s="43">
        <v>65.4545454545455</v>
      </c>
      <c r="L143" s="43">
        <f t="shared" si="32"/>
        <v>55</v>
      </c>
      <c r="M143" s="44">
        <v>2</v>
      </c>
      <c r="N143" s="45">
        <v>21.2</v>
      </c>
      <c r="O143" s="45">
        <v>0.76</v>
      </c>
      <c r="P143" s="45">
        <v>22.5</v>
      </c>
      <c r="Q143" s="41">
        <f t="shared" si="37"/>
        <v>0.171875</v>
      </c>
      <c r="R143" s="54"/>
      <c r="S143" s="55">
        <f>0.1307/100+8.4124/300</f>
        <v>0.0293483333333333</v>
      </c>
      <c r="T143" s="62">
        <v>0.0666666666666667</v>
      </c>
      <c r="U143" s="54"/>
      <c r="V143" s="41">
        <f t="shared" si="39"/>
        <v>0.447825268402585</v>
      </c>
      <c r="W143" s="57" t="s">
        <v>29</v>
      </c>
    </row>
    <row r="144" s="1" customFormat="1" spans="1:23">
      <c r="A144" s="13">
        <v>145</v>
      </c>
      <c r="B144" s="25" t="s">
        <v>324</v>
      </c>
      <c r="C144" s="29" t="s">
        <v>325</v>
      </c>
      <c r="D144" s="30" t="s">
        <v>326</v>
      </c>
      <c r="E144" s="19">
        <f>29/1000</f>
        <v>0.029</v>
      </c>
      <c r="F144" s="20">
        <v>0.03045</v>
      </c>
      <c r="G144" s="21">
        <v>13.7168</v>
      </c>
      <c r="H144" s="22">
        <v>0.95</v>
      </c>
      <c r="I144" s="41">
        <f t="shared" si="36"/>
        <v>0.439659536842105</v>
      </c>
      <c r="J144" s="42" t="s">
        <v>50</v>
      </c>
      <c r="K144" s="43">
        <v>51.4285714285715</v>
      </c>
      <c r="L144" s="43">
        <f t="shared" si="32"/>
        <v>69.9999999999999</v>
      </c>
      <c r="M144" s="44">
        <v>2</v>
      </c>
      <c r="N144" s="45">
        <v>48.5</v>
      </c>
      <c r="O144" s="45">
        <v>0.76</v>
      </c>
      <c r="P144" s="45">
        <v>22.5</v>
      </c>
      <c r="Q144" s="41">
        <f t="shared" si="37"/>
        <v>0.21875</v>
      </c>
      <c r="R144" s="54"/>
      <c r="S144" s="55">
        <f>0.1307/100+8.4124/300</f>
        <v>0.0293483333333333</v>
      </c>
      <c r="T144" s="62">
        <v>0.0666666666666667</v>
      </c>
      <c r="U144" s="54"/>
      <c r="V144" s="41">
        <f t="shared" si="39"/>
        <v>1.07467289743306</v>
      </c>
      <c r="W144" s="57" t="s">
        <v>29</v>
      </c>
    </row>
    <row r="145" s="1" customFormat="1" spans="1:23">
      <c r="A145" s="13">
        <v>146</v>
      </c>
      <c r="B145" s="25" t="s">
        <v>327</v>
      </c>
      <c r="C145" s="29" t="s">
        <v>328</v>
      </c>
      <c r="D145" s="18" t="s">
        <v>77</v>
      </c>
      <c r="E145" s="19">
        <f>52/1000</f>
        <v>0.052</v>
      </c>
      <c r="F145" s="20">
        <v>0.0546</v>
      </c>
      <c r="G145" s="21">
        <v>13.7168</v>
      </c>
      <c r="H145" s="22">
        <v>0.95</v>
      </c>
      <c r="I145" s="41">
        <f t="shared" si="36"/>
        <v>0.788355031578947</v>
      </c>
      <c r="J145" s="42" t="s">
        <v>50</v>
      </c>
      <c r="K145" s="43">
        <v>48</v>
      </c>
      <c r="L145" s="43">
        <f t="shared" si="32"/>
        <v>75</v>
      </c>
      <c r="M145" s="44">
        <v>2</v>
      </c>
      <c r="N145" s="45">
        <v>48.5</v>
      </c>
      <c r="O145" s="45">
        <v>0.76</v>
      </c>
      <c r="P145" s="45">
        <v>22.5</v>
      </c>
      <c r="Q145" s="41">
        <f t="shared" si="37"/>
        <v>0.234375</v>
      </c>
      <c r="R145" s="54"/>
      <c r="S145" s="55">
        <f t="shared" ref="S145:S149" si="42">0.0131+8.4124/90</f>
        <v>0.106571111111111</v>
      </c>
      <c r="T145" s="62">
        <v>0.222222222222222</v>
      </c>
      <c r="U145" s="54"/>
      <c r="V145" s="41">
        <f t="shared" si="39"/>
        <v>1.74808513338874</v>
      </c>
      <c r="W145" s="57" t="s">
        <v>29</v>
      </c>
    </row>
    <row r="146" s="1" customFormat="1" ht="27" spans="1:23">
      <c r="A146" s="13">
        <v>147</v>
      </c>
      <c r="B146" s="25" t="s">
        <v>329</v>
      </c>
      <c r="C146" s="29" t="s">
        <v>330</v>
      </c>
      <c r="D146" s="18" t="s">
        <v>77</v>
      </c>
      <c r="E146" s="19">
        <f>38/1000</f>
        <v>0.038</v>
      </c>
      <c r="F146" s="20">
        <v>0.0399</v>
      </c>
      <c r="G146" s="21">
        <v>13.7168</v>
      </c>
      <c r="H146" s="22">
        <v>0.95</v>
      </c>
      <c r="I146" s="41">
        <f t="shared" si="36"/>
        <v>0.5761056</v>
      </c>
      <c r="J146" s="42" t="s">
        <v>50</v>
      </c>
      <c r="K146" s="43">
        <v>51.4285714285715</v>
      </c>
      <c r="L146" s="43">
        <f t="shared" si="32"/>
        <v>69.9999999999999</v>
      </c>
      <c r="M146" s="44">
        <v>2</v>
      </c>
      <c r="N146" s="45">
        <v>48.5</v>
      </c>
      <c r="O146" s="45">
        <v>0.76</v>
      </c>
      <c r="P146" s="45">
        <v>22.5</v>
      </c>
      <c r="Q146" s="41">
        <f t="shared" si="37"/>
        <v>0.21875</v>
      </c>
      <c r="R146" s="54"/>
      <c r="S146" s="55">
        <f>8.4124/100</f>
        <v>0.084124</v>
      </c>
      <c r="T146" s="62">
        <v>0.2</v>
      </c>
      <c r="U146" s="54"/>
      <c r="V146" s="41">
        <f t="shared" si="39"/>
        <v>1.42220835017544</v>
      </c>
      <c r="W146" s="57" t="s">
        <v>29</v>
      </c>
    </row>
    <row r="147" s="1" customFormat="1" ht="40.5" spans="1:23">
      <c r="A147" s="13">
        <v>148</v>
      </c>
      <c r="B147" s="25" t="s">
        <v>331</v>
      </c>
      <c r="C147" s="29" t="s">
        <v>332</v>
      </c>
      <c r="D147" s="23" t="s">
        <v>77</v>
      </c>
      <c r="E147" s="19">
        <f>6/1000</f>
        <v>0.006</v>
      </c>
      <c r="F147" s="20">
        <v>0.0063</v>
      </c>
      <c r="G147" s="21">
        <v>13.7168</v>
      </c>
      <c r="H147" s="22">
        <v>0.8</v>
      </c>
      <c r="I147" s="41">
        <f t="shared" si="36"/>
        <v>0.1080198</v>
      </c>
      <c r="J147" s="42" t="s">
        <v>113</v>
      </c>
      <c r="K147" s="43">
        <v>48</v>
      </c>
      <c r="L147" s="43">
        <f t="shared" si="32"/>
        <v>75</v>
      </c>
      <c r="M147" s="44">
        <v>2</v>
      </c>
      <c r="N147" s="45">
        <v>39.75</v>
      </c>
      <c r="O147" s="45">
        <v>0.76</v>
      </c>
      <c r="P147" s="45">
        <v>22.5</v>
      </c>
      <c r="Q147" s="41">
        <f t="shared" si="37"/>
        <v>0.234375</v>
      </c>
      <c r="R147" s="54"/>
      <c r="S147" s="55">
        <f t="shared" ref="S147:S153" si="43">0.0291/300+8.4124/1800</f>
        <v>0.00477055555555556</v>
      </c>
      <c r="T147" s="62">
        <v>0.0111111111111111</v>
      </c>
      <c r="U147" s="54"/>
      <c r="V147" s="41">
        <f t="shared" si="39"/>
        <v>0.709268904791667</v>
      </c>
      <c r="W147" s="57" t="s">
        <v>29</v>
      </c>
    </row>
    <row r="148" s="1" customFormat="1" ht="40.5" spans="1:23">
      <c r="A148" s="13">
        <v>149</v>
      </c>
      <c r="B148" s="25" t="s">
        <v>333</v>
      </c>
      <c r="C148" s="29" t="s">
        <v>334</v>
      </c>
      <c r="D148" s="23" t="s">
        <v>77</v>
      </c>
      <c r="E148" s="19">
        <f>2/1000</f>
        <v>0.002</v>
      </c>
      <c r="F148" s="20">
        <v>0.0021</v>
      </c>
      <c r="G148" s="21">
        <v>13.7168</v>
      </c>
      <c r="H148" s="22">
        <v>0.8</v>
      </c>
      <c r="I148" s="41">
        <f t="shared" si="36"/>
        <v>0.0360066</v>
      </c>
      <c r="J148" s="42" t="s">
        <v>113</v>
      </c>
      <c r="K148" s="43">
        <v>48</v>
      </c>
      <c r="L148" s="43">
        <f t="shared" si="32"/>
        <v>75</v>
      </c>
      <c r="M148" s="44">
        <v>2</v>
      </c>
      <c r="N148" s="45">
        <v>39.75</v>
      </c>
      <c r="O148" s="45">
        <v>0.76</v>
      </c>
      <c r="P148" s="45">
        <v>22.5</v>
      </c>
      <c r="Q148" s="41">
        <f t="shared" si="37"/>
        <v>0.234375</v>
      </c>
      <c r="R148" s="54"/>
      <c r="S148" s="55">
        <f t="shared" si="42"/>
        <v>0.106571111111111</v>
      </c>
      <c r="T148" s="62">
        <v>0.222222222222222</v>
      </c>
      <c r="U148" s="54"/>
      <c r="V148" s="41">
        <f t="shared" si="39"/>
        <v>0.922262256458333</v>
      </c>
      <c r="W148" s="57" t="s">
        <v>29</v>
      </c>
    </row>
    <row r="149" s="1" customFormat="1" ht="40.5" spans="1:23">
      <c r="A149" s="13">
        <v>150</v>
      </c>
      <c r="B149" s="25" t="s">
        <v>335</v>
      </c>
      <c r="C149" s="29" t="s">
        <v>336</v>
      </c>
      <c r="D149" s="30" t="s">
        <v>77</v>
      </c>
      <c r="E149" s="19">
        <f>85/1000</f>
        <v>0.085</v>
      </c>
      <c r="F149" s="20">
        <v>0.08925</v>
      </c>
      <c r="G149" s="21">
        <v>13.7168</v>
      </c>
      <c r="H149" s="22">
        <v>0.95</v>
      </c>
      <c r="I149" s="41">
        <f t="shared" si="36"/>
        <v>1.28865726315789</v>
      </c>
      <c r="J149" s="42" t="s">
        <v>113</v>
      </c>
      <c r="K149" s="43">
        <v>48</v>
      </c>
      <c r="L149" s="43">
        <f t="shared" si="32"/>
        <v>75</v>
      </c>
      <c r="M149" s="44">
        <v>2</v>
      </c>
      <c r="N149" s="45">
        <v>39.75</v>
      </c>
      <c r="O149" s="45">
        <v>0.76</v>
      </c>
      <c r="P149" s="45">
        <v>22.5</v>
      </c>
      <c r="Q149" s="41">
        <f t="shared" si="37"/>
        <v>0.234375</v>
      </c>
      <c r="R149" s="54"/>
      <c r="S149" s="55">
        <f t="shared" si="42"/>
        <v>0.106571111111111</v>
      </c>
      <c r="T149" s="62">
        <v>0.222222222222222</v>
      </c>
      <c r="U149" s="54"/>
      <c r="V149" s="41">
        <f t="shared" si="39"/>
        <v>2.29218004344414</v>
      </c>
      <c r="W149" s="57" t="s">
        <v>29</v>
      </c>
    </row>
    <row r="150" s="1" customFormat="1" ht="27" spans="1:23">
      <c r="A150" s="13">
        <v>151</v>
      </c>
      <c r="B150" s="25" t="s">
        <v>337</v>
      </c>
      <c r="C150" s="29" t="s">
        <v>338</v>
      </c>
      <c r="D150" s="30" t="s">
        <v>44</v>
      </c>
      <c r="E150" s="19">
        <f>16/1000</f>
        <v>0.016</v>
      </c>
      <c r="F150" s="20">
        <v>0.0168</v>
      </c>
      <c r="G150" s="21">
        <v>18.5841</v>
      </c>
      <c r="H150" s="22">
        <v>0.95</v>
      </c>
      <c r="I150" s="41">
        <f t="shared" si="36"/>
        <v>0.328645136842105</v>
      </c>
      <c r="J150" s="42" t="s">
        <v>113</v>
      </c>
      <c r="K150" s="43">
        <v>51.4285714285715</v>
      </c>
      <c r="L150" s="43">
        <f t="shared" si="32"/>
        <v>69.9999999999999</v>
      </c>
      <c r="M150" s="44">
        <v>2</v>
      </c>
      <c r="N150" s="45">
        <v>39.75</v>
      </c>
      <c r="O150" s="45">
        <v>0.76</v>
      </c>
      <c r="P150" s="45">
        <v>22.5</v>
      </c>
      <c r="Q150" s="41">
        <f t="shared" si="37"/>
        <v>0.21875</v>
      </c>
      <c r="R150" s="54"/>
      <c r="S150" s="66">
        <f t="shared" si="43"/>
        <v>0.00477055555555556</v>
      </c>
      <c r="T150" s="62">
        <v>0.0111111111111111</v>
      </c>
      <c r="U150" s="54"/>
      <c r="V150" s="41">
        <f t="shared" si="39"/>
        <v>0.827057168661126</v>
      </c>
      <c r="W150" s="57" t="s">
        <v>29</v>
      </c>
    </row>
    <row r="151" s="1" customFormat="1" ht="27" spans="1:23">
      <c r="A151" s="13">
        <v>152</v>
      </c>
      <c r="B151" s="25" t="s">
        <v>339</v>
      </c>
      <c r="C151" s="29" t="s">
        <v>340</v>
      </c>
      <c r="D151" s="30" t="s">
        <v>27</v>
      </c>
      <c r="E151" s="19">
        <f>1/1000</f>
        <v>0.001</v>
      </c>
      <c r="F151" s="20">
        <v>0.00105</v>
      </c>
      <c r="G151" s="21">
        <v>15.3097</v>
      </c>
      <c r="H151" s="22">
        <v>0.95</v>
      </c>
      <c r="I151" s="41">
        <f t="shared" si="36"/>
        <v>0.0169212473684211</v>
      </c>
      <c r="J151" s="42" t="s">
        <v>28</v>
      </c>
      <c r="K151" s="43">
        <v>51.4285714285715</v>
      </c>
      <c r="L151" s="43">
        <f t="shared" si="32"/>
        <v>69.9999999999999</v>
      </c>
      <c r="M151" s="44">
        <v>2</v>
      </c>
      <c r="N151" s="45">
        <v>27.15</v>
      </c>
      <c r="O151" s="45">
        <v>0.76</v>
      </c>
      <c r="P151" s="45">
        <v>22.5</v>
      </c>
      <c r="Q151" s="41">
        <f t="shared" si="37"/>
        <v>0.21875</v>
      </c>
      <c r="R151" s="54"/>
      <c r="S151" s="66">
        <f t="shared" si="43"/>
        <v>0.00477055555555556</v>
      </c>
      <c r="T151" s="62">
        <v>0.0111111111111111</v>
      </c>
      <c r="U151" s="54"/>
      <c r="V151" s="41">
        <f t="shared" si="39"/>
        <v>0.408442413591874</v>
      </c>
      <c r="W151" s="57" t="s">
        <v>29</v>
      </c>
    </row>
    <row r="152" s="1" customFormat="1" ht="27" spans="1:23">
      <c r="A152" s="13">
        <v>153</v>
      </c>
      <c r="B152" s="25" t="s">
        <v>341</v>
      </c>
      <c r="C152" s="29" t="s">
        <v>342</v>
      </c>
      <c r="D152" s="30" t="s">
        <v>27</v>
      </c>
      <c r="E152" s="19">
        <f>10/1000</f>
        <v>0.01</v>
      </c>
      <c r="F152" s="20">
        <v>0.0105</v>
      </c>
      <c r="G152" s="21">
        <v>15.3097</v>
      </c>
      <c r="H152" s="22">
        <v>0.95</v>
      </c>
      <c r="I152" s="41">
        <f t="shared" si="36"/>
        <v>0.169212473684211</v>
      </c>
      <c r="J152" s="42" t="s">
        <v>28</v>
      </c>
      <c r="K152" s="43">
        <v>51.4285714285715</v>
      </c>
      <c r="L152" s="43">
        <f t="shared" si="32"/>
        <v>69.9999999999999</v>
      </c>
      <c r="M152" s="44">
        <v>8</v>
      </c>
      <c r="N152" s="45">
        <v>27.15</v>
      </c>
      <c r="O152" s="45">
        <v>0.76</v>
      </c>
      <c r="P152" s="45">
        <v>22.5</v>
      </c>
      <c r="Q152" s="41">
        <f t="shared" si="37"/>
        <v>0.0546874999999999</v>
      </c>
      <c r="R152" s="54"/>
      <c r="S152" s="66">
        <f t="shared" si="43"/>
        <v>0.00477055555555556</v>
      </c>
      <c r="T152" s="62">
        <v>0.0111111111111111</v>
      </c>
      <c r="U152" s="54"/>
      <c r="V152" s="41">
        <f t="shared" si="39"/>
        <v>0.306790484602955</v>
      </c>
      <c r="W152" s="57" t="s">
        <v>29</v>
      </c>
    </row>
    <row r="153" s="1" customFormat="1" ht="27" spans="1:23">
      <c r="A153" s="13">
        <v>154</v>
      </c>
      <c r="B153" s="25" t="s">
        <v>343</v>
      </c>
      <c r="C153" s="29" t="s">
        <v>344</v>
      </c>
      <c r="D153" s="30" t="s">
        <v>27</v>
      </c>
      <c r="E153" s="19">
        <f>1/1000</f>
        <v>0.001</v>
      </c>
      <c r="F153" s="20">
        <v>0.00105</v>
      </c>
      <c r="G153" s="21">
        <v>15.3097</v>
      </c>
      <c r="H153" s="22">
        <v>0.95</v>
      </c>
      <c r="I153" s="41">
        <f t="shared" si="36"/>
        <v>0.0169212473684211</v>
      </c>
      <c r="J153" s="42" t="s">
        <v>28</v>
      </c>
      <c r="K153" s="43">
        <v>51.4285714285715</v>
      </c>
      <c r="L153" s="43">
        <f t="shared" si="32"/>
        <v>69.9999999999999</v>
      </c>
      <c r="M153" s="44">
        <v>2</v>
      </c>
      <c r="N153" s="45">
        <v>27.15</v>
      </c>
      <c r="O153" s="45">
        <v>0.76</v>
      </c>
      <c r="P153" s="45">
        <v>22.5</v>
      </c>
      <c r="Q153" s="41">
        <f t="shared" si="37"/>
        <v>0.21875</v>
      </c>
      <c r="R153" s="54"/>
      <c r="S153" s="66">
        <f t="shared" si="43"/>
        <v>0.00477055555555556</v>
      </c>
      <c r="T153" s="62">
        <v>0.0111111111111111</v>
      </c>
      <c r="U153" s="54"/>
      <c r="V153" s="41">
        <f t="shared" si="39"/>
        <v>0.408442413591874</v>
      </c>
      <c r="W153" s="57" t="s">
        <v>29</v>
      </c>
    </row>
    <row r="154" s="1" customFormat="1" ht="27" spans="1:23">
      <c r="A154" s="13">
        <v>155</v>
      </c>
      <c r="B154" s="25" t="s">
        <v>345</v>
      </c>
      <c r="C154" s="29" t="s">
        <v>346</v>
      </c>
      <c r="D154" s="30" t="s">
        <v>27</v>
      </c>
      <c r="E154" s="19"/>
      <c r="F154" s="20">
        <v>0.00255</v>
      </c>
      <c r="G154" s="21">
        <v>15.3097</v>
      </c>
      <c r="H154" s="22">
        <v>0.95</v>
      </c>
      <c r="I154" s="41">
        <f t="shared" si="36"/>
        <v>0.0410944578947368</v>
      </c>
      <c r="J154" s="47" t="s">
        <v>347</v>
      </c>
      <c r="K154" s="43">
        <v>60</v>
      </c>
      <c r="L154" s="43">
        <f t="shared" si="32"/>
        <v>60</v>
      </c>
      <c r="M154" s="44">
        <v>8</v>
      </c>
      <c r="N154" s="45">
        <v>38.75</v>
      </c>
      <c r="O154" s="45">
        <v>0.76</v>
      </c>
      <c r="P154" s="45">
        <v>22.5</v>
      </c>
      <c r="Q154" s="41">
        <f t="shared" si="37"/>
        <v>0.046875</v>
      </c>
      <c r="R154" s="65">
        <v>1.6</v>
      </c>
      <c r="S154" s="55">
        <f>0.1307/50+8.4124/200</f>
        <v>0.044676</v>
      </c>
      <c r="T154" s="56">
        <v>0.1</v>
      </c>
      <c r="U154" s="54"/>
      <c r="V154" s="41">
        <f t="shared" si="39"/>
        <v>1.9313051165928</v>
      </c>
      <c r="W154" s="57" t="s">
        <v>29</v>
      </c>
    </row>
    <row r="155" s="1" customFormat="1" spans="1:23">
      <c r="A155" s="13">
        <v>156</v>
      </c>
      <c r="B155" s="25" t="s">
        <v>348</v>
      </c>
      <c r="C155" s="29" t="s">
        <v>349</v>
      </c>
      <c r="D155" s="30" t="s">
        <v>49</v>
      </c>
      <c r="E155" s="19"/>
      <c r="F155" s="20">
        <v>0.00605</v>
      </c>
      <c r="G155" s="21">
        <v>21.2389</v>
      </c>
      <c r="H155" s="22">
        <v>0.95</v>
      </c>
      <c r="I155" s="41">
        <f>F155*G155</f>
        <v>0.128495345</v>
      </c>
      <c r="J155" s="42" t="s">
        <v>50</v>
      </c>
      <c r="K155" s="43">
        <v>102</v>
      </c>
      <c r="L155" s="43">
        <v>55</v>
      </c>
      <c r="M155" s="44">
        <v>6</v>
      </c>
      <c r="N155" s="45">
        <v>48.5</v>
      </c>
      <c r="O155" s="45">
        <v>0.76</v>
      </c>
      <c r="P155" s="45">
        <v>22.5</v>
      </c>
      <c r="Q155" s="41">
        <f t="shared" si="37"/>
        <v>0.0367647058823529</v>
      </c>
      <c r="R155" s="54"/>
      <c r="S155" s="55">
        <f>0.1307/500+8.4124/1000</f>
        <v>0.0086738</v>
      </c>
      <c r="T155" s="56">
        <v>0.02</v>
      </c>
      <c r="U155" s="54"/>
      <c r="V155" s="41">
        <f t="shared" si="39"/>
        <v>0.256953397119711</v>
      </c>
      <c r="W155" s="57" t="s">
        <v>29</v>
      </c>
    </row>
    <row r="156" spans="1:23">
      <c r="A156" s="13">
        <v>157</v>
      </c>
      <c r="B156" s="63" t="s">
        <v>350</v>
      </c>
      <c r="C156" s="63" t="s">
        <v>351</v>
      </c>
      <c r="D156" s="30" t="s">
        <v>27</v>
      </c>
      <c r="E156" s="45"/>
      <c r="F156" s="45">
        <v>0.00159</v>
      </c>
      <c r="G156" s="21">
        <v>15.3097</v>
      </c>
      <c r="H156" s="22">
        <v>0.98</v>
      </c>
      <c r="I156" s="41">
        <f t="shared" ref="I156:I167" si="44">F156*G156/H156</f>
        <v>0.0248392071428571</v>
      </c>
      <c r="J156" s="42" t="s">
        <v>28</v>
      </c>
      <c r="K156" s="43">
        <v>65</v>
      </c>
      <c r="L156" s="43">
        <v>55</v>
      </c>
      <c r="M156" s="44">
        <v>4</v>
      </c>
      <c r="N156" s="45">
        <v>27.15</v>
      </c>
      <c r="O156" s="45">
        <v>0.76</v>
      </c>
      <c r="P156" s="45">
        <v>22.5</v>
      </c>
      <c r="Q156" s="41">
        <f t="shared" si="37"/>
        <v>0.0865384615384615</v>
      </c>
      <c r="R156" s="54"/>
      <c r="S156" s="66">
        <f t="shared" ref="S156:S167" si="45">0.0291/300+8.4124/1800</f>
        <v>0.00477055555555556</v>
      </c>
      <c r="T156" s="62">
        <v>0.0111111111111111</v>
      </c>
      <c r="U156" s="54"/>
      <c r="V156" s="41">
        <f t="shared" ref="V156:V167" si="46">(I156+Q156+(N156*O156/K156/M156)/2)*1.11+R156*1.03+S156+T156+U156</f>
        <v>0.183556532749084</v>
      </c>
      <c r="W156" s="57" t="s">
        <v>29</v>
      </c>
    </row>
    <row r="157" spans="1:23">
      <c r="A157" s="13">
        <v>158</v>
      </c>
      <c r="B157" s="63" t="s">
        <v>352</v>
      </c>
      <c r="C157" s="63" t="s">
        <v>353</v>
      </c>
      <c r="D157" s="30" t="s">
        <v>27</v>
      </c>
      <c r="E157" s="45"/>
      <c r="F157" s="45">
        <v>0.0037</v>
      </c>
      <c r="G157" s="21">
        <v>15.3097</v>
      </c>
      <c r="H157" s="22">
        <v>0.98</v>
      </c>
      <c r="I157" s="41">
        <f t="shared" si="44"/>
        <v>0.0578019285714286</v>
      </c>
      <c r="J157" s="42" t="s">
        <v>28</v>
      </c>
      <c r="K157" s="43">
        <v>65</v>
      </c>
      <c r="L157" s="43">
        <v>55</v>
      </c>
      <c r="M157" s="44">
        <v>4</v>
      </c>
      <c r="N157" s="45">
        <v>27.15</v>
      </c>
      <c r="O157" s="45">
        <v>0.76</v>
      </c>
      <c r="P157" s="45">
        <v>22.5</v>
      </c>
      <c r="Q157" s="41">
        <f t="shared" si="37"/>
        <v>0.0865384615384615</v>
      </c>
      <c r="R157" s="54"/>
      <c r="S157" s="66">
        <f t="shared" si="45"/>
        <v>0.00477055555555556</v>
      </c>
      <c r="T157" s="62">
        <v>0.0111111111111111</v>
      </c>
      <c r="U157" s="54"/>
      <c r="V157" s="41">
        <f t="shared" si="46"/>
        <v>0.220145153534799</v>
      </c>
      <c r="W157" s="57" t="s">
        <v>29</v>
      </c>
    </row>
    <row r="158" spans="1:23">
      <c r="A158" s="13">
        <v>159</v>
      </c>
      <c r="B158" s="63" t="s">
        <v>354</v>
      </c>
      <c r="C158" s="63" t="s">
        <v>355</v>
      </c>
      <c r="D158" s="30" t="s">
        <v>27</v>
      </c>
      <c r="E158" s="45"/>
      <c r="F158" s="45">
        <v>0.00232</v>
      </c>
      <c r="G158" s="21">
        <v>15.3097</v>
      </c>
      <c r="H158" s="22">
        <v>0.98</v>
      </c>
      <c r="I158" s="41">
        <f t="shared" si="44"/>
        <v>0.0362433714285714</v>
      </c>
      <c r="J158" s="42" t="s">
        <v>28</v>
      </c>
      <c r="K158" s="43">
        <v>65</v>
      </c>
      <c r="L158" s="43">
        <v>55</v>
      </c>
      <c r="M158" s="44">
        <v>8</v>
      </c>
      <c r="N158" s="45">
        <v>27.15</v>
      </c>
      <c r="O158" s="45">
        <v>0.76</v>
      </c>
      <c r="P158" s="45">
        <v>22.5</v>
      </c>
      <c r="Q158" s="41">
        <f t="shared" si="37"/>
        <v>0.0432692307692308</v>
      </c>
      <c r="R158" s="54"/>
      <c r="S158" s="66">
        <f t="shared" si="45"/>
        <v>0.00477055555555556</v>
      </c>
      <c r="T158" s="62">
        <v>0.0111111111111111</v>
      </c>
      <c r="U158" s="54"/>
      <c r="V158" s="41">
        <f t="shared" si="46"/>
        <v>0.126163482029304</v>
      </c>
      <c r="W158" s="57" t="s">
        <v>29</v>
      </c>
    </row>
    <row r="159" spans="1:23">
      <c r="A159" s="13">
        <v>160</v>
      </c>
      <c r="B159" s="63" t="s">
        <v>356</v>
      </c>
      <c r="C159" s="63" t="s">
        <v>357</v>
      </c>
      <c r="D159" s="30" t="s">
        <v>44</v>
      </c>
      <c r="E159" s="45"/>
      <c r="F159" s="45">
        <v>0.0033</v>
      </c>
      <c r="G159" s="21">
        <v>18.5841</v>
      </c>
      <c r="H159" s="22">
        <v>0.98</v>
      </c>
      <c r="I159" s="41">
        <f t="shared" si="44"/>
        <v>0.062579112244898</v>
      </c>
      <c r="J159" s="42" t="s">
        <v>28</v>
      </c>
      <c r="K159" s="43">
        <v>65</v>
      </c>
      <c r="L159" s="43">
        <v>55</v>
      </c>
      <c r="M159" s="44">
        <v>3</v>
      </c>
      <c r="N159" s="45">
        <v>27.15</v>
      </c>
      <c r="O159" s="45">
        <v>0.76</v>
      </c>
      <c r="P159" s="45">
        <v>22.5</v>
      </c>
      <c r="Q159" s="41">
        <f t="shared" si="37"/>
        <v>0.115384615384615</v>
      </c>
      <c r="R159" s="54"/>
      <c r="S159" s="66">
        <f t="shared" si="45"/>
        <v>0.00477055555555556</v>
      </c>
      <c r="T159" s="62">
        <v>0.0111111111111111</v>
      </c>
      <c r="U159" s="54">
        <v>0.2</v>
      </c>
      <c r="V159" s="41">
        <f t="shared" si="46"/>
        <v>0.472148942796965</v>
      </c>
      <c r="W159" s="57" t="s">
        <v>29</v>
      </c>
    </row>
    <row r="160" spans="1:23">
      <c r="A160" s="13">
        <v>161</v>
      </c>
      <c r="B160" s="63" t="s">
        <v>358</v>
      </c>
      <c r="C160" s="63" t="s">
        <v>359</v>
      </c>
      <c r="D160" s="30" t="s">
        <v>44</v>
      </c>
      <c r="E160" s="45"/>
      <c r="F160" s="45">
        <v>0.0033</v>
      </c>
      <c r="G160" s="21">
        <v>18.5841</v>
      </c>
      <c r="H160" s="22">
        <v>0.98</v>
      </c>
      <c r="I160" s="41">
        <f t="shared" si="44"/>
        <v>0.062579112244898</v>
      </c>
      <c r="J160" s="42" t="s">
        <v>28</v>
      </c>
      <c r="K160" s="43">
        <v>65</v>
      </c>
      <c r="L160" s="43">
        <v>55</v>
      </c>
      <c r="M160" s="44">
        <v>3</v>
      </c>
      <c r="N160" s="45">
        <v>27.15</v>
      </c>
      <c r="O160" s="45">
        <v>0.76</v>
      </c>
      <c r="P160" s="45">
        <v>22.5</v>
      </c>
      <c r="Q160" s="41">
        <f t="shared" si="37"/>
        <v>0.115384615384615</v>
      </c>
      <c r="R160" s="54"/>
      <c r="S160" s="66">
        <f t="shared" si="45"/>
        <v>0.00477055555555556</v>
      </c>
      <c r="T160" s="62">
        <v>0.0111111111111111</v>
      </c>
      <c r="U160" s="54">
        <v>0.2</v>
      </c>
      <c r="V160" s="41">
        <f t="shared" si="46"/>
        <v>0.472148942796965</v>
      </c>
      <c r="W160" s="57" t="s">
        <v>29</v>
      </c>
    </row>
    <row r="161" spans="1:23">
      <c r="A161" s="13">
        <v>162</v>
      </c>
      <c r="B161" s="63" t="s">
        <v>360</v>
      </c>
      <c r="C161" s="63" t="s">
        <v>361</v>
      </c>
      <c r="D161" s="30" t="s">
        <v>44</v>
      </c>
      <c r="E161" s="45"/>
      <c r="F161" s="45">
        <v>0.0033</v>
      </c>
      <c r="G161" s="21">
        <v>18.5841</v>
      </c>
      <c r="H161" s="22">
        <v>0.98</v>
      </c>
      <c r="I161" s="41">
        <f t="shared" si="44"/>
        <v>0.062579112244898</v>
      </c>
      <c r="J161" s="42" t="s">
        <v>28</v>
      </c>
      <c r="K161" s="43">
        <v>65</v>
      </c>
      <c r="L161" s="43">
        <v>55</v>
      </c>
      <c r="M161" s="44">
        <v>3</v>
      </c>
      <c r="N161" s="45">
        <v>27.15</v>
      </c>
      <c r="O161" s="45">
        <v>0.76</v>
      </c>
      <c r="P161" s="45">
        <v>22.5</v>
      </c>
      <c r="Q161" s="41">
        <f t="shared" si="37"/>
        <v>0.115384615384615</v>
      </c>
      <c r="R161" s="54"/>
      <c r="S161" s="66">
        <f t="shared" si="45"/>
        <v>0.00477055555555556</v>
      </c>
      <c r="T161" s="62">
        <v>0.0111111111111111</v>
      </c>
      <c r="U161" s="54">
        <v>0.2</v>
      </c>
      <c r="V161" s="41">
        <f t="shared" si="46"/>
        <v>0.472148942796965</v>
      </c>
      <c r="W161" s="57" t="s">
        <v>29</v>
      </c>
    </row>
    <row r="162" spans="1:23">
      <c r="A162" s="13">
        <v>163</v>
      </c>
      <c r="B162" s="63" t="s">
        <v>362</v>
      </c>
      <c r="C162" s="64" t="s">
        <v>363</v>
      </c>
      <c r="D162" s="6" t="s">
        <v>364</v>
      </c>
      <c r="E162" s="45"/>
      <c r="F162" s="45">
        <v>0.0097</v>
      </c>
      <c r="G162" s="45">
        <f>24.3515/1.13</f>
        <v>21.55</v>
      </c>
      <c r="H162" s="22">
        <v>0.98</v>
      </c>
      <c r="I162" s="41">
        <f t="shared" si="44"/>
        <v>0.213301020408163</v>
      </c>
      <c r="J162" s="42" t="s">
        <v>113</v>
      </c>
      <c r="K162" s="43">
        <v>60</v>
      </c>
      <c r="L162" s="43">
        <v>60</v>
      </c>
      <c r="M162" s="44">
        <v>4</v>
      </c>
      <c r="N162" s="45">
        <v>39.75</v>
      </c>
      <c r="O162" s="45">
        <v>0.76</v>
      </c>
      <c r="P162" s="45">
        <v>22.5</v>
      </c>
      <c r="Q162" s="41">
        <f t="shared" si="37"/>
        <v>0.09375</v>
      </c>
      <c r="R162" s="54"/>
      <c r="S162" s="66">
        <f t="shared" si="45"/>
        <v>0.00477055555555556</v>
      </c>
      <c r="T162" s="62">
        <v>0.0111111111111111</v>
      </c>
      <c r="U162" s="54"/>
      <c r="V162" s="41">
        <f t="shared" si="46"/>
        <v>0.426568924319728</v>
      </c>
      <c r="W162" s="57" t="s">
        <v>29</v>
      </c>
    </row>
    <row r="163" spans="1:23">
      <c r="A163" s="13">
        <v>164</v>
      </c>
      <c r="B163" s="63" t="s">
        <v>365</v>
      </c>
      <c r="C163" s="63" t="s">
        <v>366</v>
      </c>
      <c r="D163" s="30" t="s">
        <v>44</v>
      </c>
      <c r="E163" s="45"/>
      <c r="F163" s="45">
        <v>0.00128</v>
      </c>
      <c r="G163" s="21">
        <v>18.5841</v>
      </c>
      <c r="H163" s="22">
        <v>0.98</v>
      </c>
      <c r="I163" s="41">
        <f t="shared" si="44"/>
        <v>0.0242731102040816</v>
      </c>
      <c r="J163" s="42" t="s">
        <v>28</v>
      </c>
      <c r="K163" s="43">
        <v>72</v>
      </c>
      <c r="L163" s="43">
        <v>50</v>
      </c>
      <c r="M163" s="44">
        <v>4</v>
      </c>
      <c r="N163" s="45">
        <v>27.15</v>
      </c>
      <c r="O163" s="45">
        <v>0.76</v>
      </c>
      <c r="P163" s="45">
        <v>22.5</v>
      </c>
      <c r="Q163" s="41">
        <f t="shared" si="37"/>
        <v>0.078125</v>
      </c>
      <c r="R163" s="54"/>
      <c r="S163" s="66">
        <f t="shared" si="45"/>
        <v>0.00477055555555556</v>
      </c>
      <c r="T163" s="62">
        <v>0.0111111111111111</v>
      </c>
      <c r="U163" s="54"/>
      <c r="V163" s="41">
        <f t="shared" si="46"/>
        <v>0.169307006493197</v>
      </c>
      <c r="W163" s="57" t="s">
        <v>29</v>
      </c>
    </row>
    <row r="164" spans="1:23">
      <c r="A164" s="13">
        <v>165</v>
      </c>
      <c r="B164" s="63" t="s">
        <v>367</v>
      </c>
      <c r="C164" s="63" t="s">
        <v>368</v>
      </c>
      <c r="D164" s="30" t="s">
        <v>44</v>
      </c>
      <c r="E164" s="45"/>
      <c r="F164" s="45">
        <v>0.0022</v>
      </c>
      <c r="G164" s="21">
        <v>18.5841</v>
      </c>
      <c r="H164" s="22">
        <v>0.98</v>
      </c>
      <c r="I164" s="41">
        <f t="shared" si="44"/>
        <v>0.0417194081632653</v>
      </c>
      <c r="J164" s="42" t="s">
        <v>28</v>
      </c>
      <c r="K164" s="43">
        <v>72</v>
      </c>
      <c r="L164" s="43">
        <v>50</v>
      </c>
      <c r="M164" s="44">
        <v>3</v>
      </c>
      <c r="N164" s="45">
        <v>27.15</v>
      </c>
      <c r="O164" s="45">
        <v>0.76</v>
      </c>
      <c r="P164" s="45">
        <v>22.5</v>
      </c>
      <c r="Q164" s="41">
        <f t="shared" si="37"/>
        <v>0.104166666666667</v>
      </c>
      <c r="R164" s="54"/>
      <c r="S164" s="66">
        <f t="shared" si="45"/>
        <v>0.00477055555555556</v>
      </c>
      <c r="T164" s="62">
        <v>0.0111111111111111</v>
      </c>
      <c r="U164" s="54">
        <v>0.2</v>
      </c>
      <c r="V164" s="41">
        <f t="shared" si="46"/>
        <v>0.430833126394558</v>
      </c>
      <c r="W164" s="57" t="s">
        <v>29</v>
      </c>
    </row>
    <row r="165" spans="1:23">
      <c r="A165" s="13">
        <v>166</v>
      </c>
      <c r="B165" s="63" t="s">
        <v>369</v>
      </c>
      <c r="C165" s="63" t="s">
        <v>370</v>
      </c>
      <c r="D165" s="30" t="s">
        <v>44</v>
      </c>
      <c r="E165" s="45"/>
      <c r="F165" s="45">
        <v>0.0022</v>
      </c>
      <c r="G165" s="21">
        <v>18.5841</v>
      </c>
      <c r="H165" s="22">
        <v>0.98</v>
      </c>
      <c r="I165" s="41">
        <f t="shared" si="44"/>
        <v>0.0417194081632653</v>
      </c>
      <c r="J165" s="42" t="s">
        <v>28</v>
      </c>
      <c r="K165" s="43">
        <v>72</v>
      </c>
      <c r="L165" s="43">
        <v>50</v>
      </c>
      <c r="M165" s="44">
        <v>3</v>
      </c>
      <c r="N165" s="45">
        <v>27.15</v>
      </c>
      <c r="O165" s="45">
        <v>0.76</v>
      </c>
      <c r="P165" s="45">
        <v>22.5</v>
      </c>
      <c r="Q165" s="41">
        <f t="shared" si="37"/>
        <v>0.104166666666667</v>
      </c>
      <c r="R165" s="54"/>
      <c r="S165" s="66">
        <f t="shared" si="45"/>
        <v>0.00477055555555556</v>
      </c>
      <c r="T165" s="62">
        <v>0.0111111111111111</v>
      </c>
      <c r="U165" s="54">
        <v>0.2</v>
      </c>
      <c r="V165" s="41">
        <f t="shared" si="46"/>
        <v>0.430833126394558</v>
      </c>
      <c r="W165" s="57" t="s">
        <v>29</v>
      </c>
    </row>
    <row r="166" spans="1:23">
      <c r="A166" s="13">
        <v>167</v>
      </c>
      <c r="B166" s="63" t="s">
        <v>371</v>
      </c>
      <c r="C166" s="63" t="s">
        <v>372</v>
      </c>
      <c r="D166" s="30" t="s">
        <v>44</v>
      </c>
      <c r="E166" s="45"/>
      <c r="F166" s="45">
        <v>0.0022</v>
      </c>
      <c r="G166" s="21">
        <v>18.5841</v>
      </c>
      <c r="H166" s="22">
        <v>0.98</v>
      </c>
      <c r="I166" s="41">
        <f t="shared" si="44"/>
        <v>0.0417194081632653</v>
      </c>
      <c r="J166" s="42" t="s">
        <v>28</v>
      </c>
      <c r="K166" s="43">
        <v>72</v>
      </c>
      <c r="L166" s="43">
        <v>50</v>
      </c>
      <c r="M166" s="44">
        <v>3</v>
      </c>
      <c r="N166" s="45">
        <v>27.15</v>
      </c>
      <c r="O166" s="45">
        <v>0.76</v>
      </c>
      <c r="P166" s="45">
        <v>22.5</v>
      </c>
      <c r="Q166" s="41">
        <f t="shared" si="37"/>
        <v>0.104166666666667</v>
      </c>
      <c r="R166" s="54"/>
      <c r="S166" s="66">
        <f t="shared" si="45"/>
        <v>0.00477055555555556</v>
      </c>
      <c r="T166" s="62">
        <v>0.0111111111111111</v>
      </c>
      <c r="U166" s="54">
        <v>0.2</v>
      </c>
      <c r="V166" s="41">
        <f t="shared" si="46"/>
        <v>0.430833126394558</v>
      </c>
      <c r="W166" s="57" t="s">
        <v>29</v>
      </c>
    </row>
    <row r="167" spans="1:23">
      <c r="A167" s="13">
        <v>168</v>
      </c>
      <c r="B167" s="63" t="s">
        <v>373</v>
      </c>
      <c r="C167" s="63" t="s">
        <v>374</v>
      </c>
      <c r="D167" s="30" t="s">
        <v>27</v>
      </c>
      <c r="E167" s="45"/>
      <c r="F167" s="45">
        <v>0.00176</v>
      </c>
      <c r="G167" s="21">
        <v>15.3097</v>
      </c>
      <c r="H167" s="22">
        <v>0.98</v>
      </c>
      <c r="I167" s="41">
        <f t="shared" si="44"/>
        <v>0.0274949714285714</v>
      </c>
      <c r="J167" s="42" t="s">
        <v>28</v>
      </c>
      <c r="K167" s="43">
        <v>65</v>
      </c>
      <c r="L167" s="43">
        <v>55</v>
      </c>
      <c r="M167" s="44">
        <v>4</v>
      </c>
      <c r="N167" s="45">
        <v>27.15</v>
      </c>
      <c r="O167" s="45">
        <v>0.76</v>
      </c>
      <c r="P167" s="45">
        <v>22.5</v>
      </c>
      <c r="Q167" s="41">
        <f t="shared" si="37"/>
        <v>0.0865384615384615</v>
      </c>
      <c r="R167" s="54"/>
      <c r="S167" s="66">
        <f t="shared" si="45"/>
        <v>0.00477055555555556</v>
      </c>
      <c r="T167" s="62">
        <v>0.0111111111111111</v>
      </c>
      <c r="U167" s="54"/>
      <c r="V167" s="41">
        <f t="shared" si="46"/>
        <v>0.186504431106227</v>
      </c>
      <c r="W167" s="57" t="s">
        <v>29</v>
      </c>
    </row>
  </sheetData>
  <autoFilter ref="A2:W167">
    <extLst/>
  </autoFilter>
  <mergeCells count="21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conditionalFormatting sqref="B14">
    <cfRule type="duplicateValues" dxfId="0" priority="282"/>
    <cfRule type="duplicateValues" dxfId="0" priority="210"/>
    <cfRule type="duplicateValues" dxfId="0" priority="138"/>
    <cfRule type="duplicateValues" dxfId="0" priority="66"/>
  </conditionalFormatting>
  <conditionalFormatting sqref="B16">
    <cfRule type="duplicateValues" dxfId="0" priority="307"/>
    <cfRule type="duplicateValues" dxfId="0" priority="235"/>
    <cfRule type="duplicateValues" dxfId="0" priority="163"/>
    <cfRule type="duplicateValues" dxfId="0" priority="91"/>
  </conditionalFormatting>
  <conditionalFormatting sqref="B18">
    <cfRule type="duplicateValues" dxfId="0" priority="258"/>
    <cfRule type="duplicateValues" dxfId="0" priority="186"/>
    <cfRule type="duplicateValues" dxfId="0" priority="114"/>
    <cfRule type="duplicateValues" dxfId="0" priority="42"/>
  </conditionalFormatting>
  <conditionalFormatting sqref="B19">
    <cfRule type="duplicateValues" dxfId="0" priority="308"/>
    <cfRule type="duplicateValues" dxfId="0" priority="236"/>
    <cfRule type="duplicateValues" dxfId="0" priority="164"/>
    <cfRule type="duplicateValues" dxfId="0" priority="92"/>
  </conditionalFormatting>
  <conditionalFormatting sqref="B20">
    <cfRule type="duplicateValues" dxfId="0" priority="309"/>
    <cfRule type="duplicateValues" dxfId="0" priority="237"/>
    <cfRule type="duplicateValues" dxfId="0" priority="165"/>
    <cfRule type="duplicateValues" dxfId="0" priority="93"/>
  </conditionalFormatting>
  <conditionalFormatting sqref="B24">
    <cfRule type="duplicateValues" dxfId="0" priority="23"/>
    <cfRule type="duplicateValues" dxfId="0" priority="22"/>
    <cfRule type="duplicateValues" dxfId="0" priority="21"/>
  </conditionalFormatting>
  <conditionalFormatting sqref="B32">
    <cfRule type="duplicateValues" dxfId="0" priority="278"/>
    <cfRule type="duplicateValues" dxfId="0" priority="206"/>
    <cfRule type="duplicateValues" dxfId="0" priority="134"/>
    <cfRule type="duplicateValues" dxfId="0" priority="62"/>
  </conditionalFormatting>
  <conditionalFormatting sqref="B33">
    <cfRule type="duplicateValues" dxfId="0" priority="272"/>
    <cfRule type="duplicateValues" dxfId="0" priority="200"/>
    <cfRule type="duplicateValues" dxfId="0" priority="128"/>
    <cfRule type="duplicateValues" dxfId="0" priority="56"/>
  </conditionalFormatting>
  <conditionalFormatting sqref="B34">
    <cfRule type="duplicateValues" dxfId="0" priority="277"/>
    <cfRule type="duplicateValues" dxfId="0" priority="205"/>
    <cfRule type="duplicateValues" dxfId="0" priority="133"/>
    <cfRule type="duplicateValues" dxfId="0" priority="61"/>
  </conditionalFormatting>
  <conditionalFormatting sqref="B35">
    <cfRule type="duplicateValues" dxfId="0" priority="276"/>
    <cfRule type="duplicateValues" dxfId="0" priority="204"/>
    <cfRule type="duplicateValues" dxfId="0" priority="132"/>
    <cfRule type="duplicateValues" dxfId="0" priority="60"/>
  </conditionalFormatting>
  <conditionalFormatting sqref="B36">
    <cfRule type="duplicateValues" dxfId="0" priority="275"/>
    <cfRule type="duplicateValues" dxfId="0" priority="203"/>
    <cfRule type="duplicateValues" dxfId="0" priority="131"/>
    <cfRule type="duplicateValues" dxfId="0" priority="59"/>
  </conditionalFormatting>
  <conditionalFormatting sqref="B37">
    <cfRule type="duplicateValues" dxfId="0" priority="274"/>
    <cfRule type="duplicateValues" dxfId="0" priority="202"/>
    <cfRule type="duplicateValues" dxfId="0" priority="130"/>
    <cfRule type="duplicateValues" dxfId="0" priority="58"/>
  </conditionalFormatting>
  <conditionalFormatting sqref="B38">
    <cfRule type="duplicateValues" dxfId="0" priority="273"/>
    <cfRule type="duplicateValues" dxfId="0" priority="201"/>
    <cfRule type="duplicateValues" dxfId="0" priority="129"/>
    <cfRule type="duplicateValues" dxfId="0" priority="57"/>
  </conditionalFormatting>
  <conditionalFormatting sqref="B40"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B41">
    <cfRule type="duplicateValues" dxfId="0" priority="271"/>
    <cfRule type="duplicateValues" dxfId="0" priority="199"/>
    <cfRule type="duplicateValues" dxfId="0" priority="127"/>
    <cfRule type="duplicateValues" dxfId="0" priority="55"/>
  </conditionalFormatting>
  <conditionalFormatting sqref="B42">
    <cfRule type="duplicateValues" dxfId="0" priority="304"/>
    <cfRule type="duplicateValues" dxfId="0" priority="232"/>
    <cfRule type="duplicateValues" dxfId="0" priority="160"/>
    <cfRule type="duplicateValues" dxfId="0" priority="88"/>
  </conditionalFormatting>
  <conditionalFormatting sqref="B43">
    <cfRule type="duplicateValues" dxfId="0" priority="259"/>
    <cfRule type="duplicateValues" dxfId="0" priority="187"/>
    <cfRule type="duplicateValues" dxfId="0" priority="115"/>
    <cfRule type="duplicateValues" dxfId="0" priority="43"/>
  </conditionalFormatting>
  <conditionalFormatting sqref="B44">
    <cfRule type="duplicateValues" dxfId="0" priority="303"/>
    <cfRule type="duplicateValues" dxfId="0" priority="231"/>
    <cfRule type="duplicateValues" dxfId="0" priority="159"/>
    <cfRule type="duplicateValues" dxfId="0" priority="87"/>
  </conditionalFormatting>
  <conditionalFormatting sqref="B45">
    <cfRule type="duplicateValues" dxfId="0" priority="302"/>
    <cfRule type="duplicateValues" dxfId="0" priority="230"/>
    <cfRule type="duplicateValues" dxfId="0" priority="158"/>
    <cfRule type="duplicateValues" dxfId="0" priority="86"/>
  </conditionalFormatting>
  <conditionalFormatting sqref="B46">
    <cfRule type="duplicateValues" dxfId="0" priority="301"/>
    <cfRule type="duplicateValues" dxfId="0" priority="229"/>
    <cfRule type="duplicateValues" dxfId="0" priority="157"/>
    <cfRule type="duplicateValues" dxfId="0" priority="85"/>
  </conditionalFormatting>
  <conditionalFormatting sqref="B47">
    <cfRule type="duplicateValues" dxfId="0" priority="299"/>
    <cfRule type="duplicateValues" dxfId="0" priority="227"/>
    <cfRule type="duplicateValues" dxfId="0" priority="155"/>
    <cfRule type="duplicateValues" dxfId="0" priority="83"/>
  </conditionalFormatting>
  <conditionalFormatting sqref="B48">
    <cfRule type="duplicateValues" dxfId="0" priority="300"/>
    <cfRule type="duplicateValues" dxfId="0" priority="228"/>
    <cfRule type="duplicateValues" dxfId="0" priority="156"/>
    <cfRule type="duplicateValues" dxfId="0" priority="84"/>
  </conditionalFormatting>
  <conditionalFormatting sqref="B49">
    <cfRule type="duplicateValues" dxfId="0" priority="285"/>
    <cfRule type="duplicateValues" dxfId="0" priority="213"/>
    <cfRule type="duplicateValues" dxfId="0" priority="141"/>
    <cfRule type="duplicateValues" dxfId="0" priority="69"/>
  </conditionalFormatting>
  <conditionalFormatting sqref="B50">
    <cfRule type="duplicateValues" dxfId="0" priority="260"/>
    <cfRule type="duplicateValues" dxfId="0" priority="188"/>
    <cfRule type="duplicateValues" dxfId="0" priority="116"/>
    <cfRule type="duplicateValues" dxfId="0" priority="44"/>
  </conditionalFormatting>
  <conditionalFormatting sqref="B51">
    <cfRule type="duplicateValues" dxfId="0" priority="262"/>
    <cfRule type="duplicateValues" dxfId="0" priority="190"/>
    <cfRule type="duplicateValues" dxfId="0" priority="118"/>
    <cfRule type="duplicateValues" dxfId="0" priority="46"/>
  </conditionalFormatting>
  <conditionalFormatting sqref="B53">
    <cfRule type="duplicateValues" dxfId="0" priority="270"/>
    <cfRule type="duplicateValues" dxfId="0" priority="198"/>
    <cfRule type="duplicateValues" dxfId="0" priority="126"/>
    <cfRule type="duplicateValues" dxfId="0" priority="54"/>
  </conditionalFormatting>
  <conditionalFormatting sqref="B54">
    <cfRule type="duplicateValues" dxfId="0" priority="269"/>
    <cfRule type="duplicateValues" dxfId="0" priority="197"/>
    <cfRule type="duplicateValues" dxfId="0" priority="125"/>
    <cfRule type="duplicateValues" dxfId="0" priority="53"/>
  </conditionalFormatting>
  <conditionalFormatting sqref="B55">
    <cfRule type="duplicateValues" dxfId="0" priority="255"/>
    <cfRule type="duplicateValues" dxfId="0" priority="183"/>
    <cfRule type="duplicateValues" dxfId="0" priority="111"/>
    <cfRule type="duplicateValues" dxfId="0" priority="39"/>
  </conditionalFormatting>
  <conditionalFormatting sqref="B56">
    <cfRule type="duplicateValues" dxfId="0" priority="254"/>
    <cfRule type="duplicateValues" dxfId="0" priority="182"/>
    <cfRule type="duplicateValues" dxfId="0" priority="110"/>
    <cfRule type="duplicateValues" dxfId="0" priority="38"/>
  </conditionalFormatting>
  <conditionalFormatting sqref="B57">
    <cfRule type="duplicateValues" dxfId="0" priority="268"/>
    <cfRule type="duplicateValues" dxfId="0" priority="196"/>
    <cfRule type="duplicateValues" dxfId="0" priority="124"/>
    <cfRule type="duplicateValues" dxfId="0" priority="52"/>
  </conditionalFormatting>
  <conditionalFormatting sqref="B58">
    <cfRule type="duplicateValues" dxfId="0" priority="267"/>
    <cfRule type="duplicateValues" dxfId="0" priority="195"/>
    <cfRule type="duplicateValues" dxfId="0" priority="123"/>
    <cfRule type="duplicateValues" dxfId="0" priority="51"/>
  </conditionalFormatting>
  <conditionalFormatting sqref="B61">
    <cfRule type="duplicateValues" dxfId="0" priority="252"/>
    <cfRule type="duplicateValues" dxfId="0" priority="180"/>
    <cfRule type="duplicateValues" dxfId="0" priority="108"/>
    <cfRule type="duplicateValues" dxfId="0" priority="36"/>
  </conditionalFormatting>
  <conditionalFormatting sqref="B62">
    <cfRule type="duplicateValues" dxfId="0" priority="253"/>
    <cfRule type="duplicateValues" dxfId="0" priority="181"/>
    <cfRule type="duplicateValues" dxfId="0" priority="109"/>
    <cfRule type="duplicateValues" dxfId="0" priority="37"/>
  </conditionalFormatting>
  <conditionalFormatting sqref="B63">
    <cfRule type="duplicateValues" dxfId="0" priority="280"/>
    <cfRule type="duplicateValues" dxfId="0" priority="208"/>
    <cfRule type="duplicateValues" dxfId="0" priority="136"/>
    <cfRule type="duplicateValues" dxfId="0" priority="64"/>
  </conditionalFormatting>
  <conditionalFormatting sqref="B69">
    <cfRule type="duplicateValues" dxfId="0" priority="279"/>
    <cfRule type="duplicateValues" dxfId="0" priority="207"/>
    <cfRule type="duplicateValues" dxfId="0" priority="135"/>
    <cfRule type="duplicateValues" dxfId="0" priority="63"/>
  </conditionalFormatting>
  <conditionalFormatting sqref="B71">
    <cfRule type="duplicateValues" dxfId="0" priority="261"/>
    <cfRule type="duplicateValues" dxfId="0" priority="189"/>
    <cfRule type="duplicateValues" dxfId="0" priority="117"/>
    <cfRule type="duplicateValues" dxfId="0" priority="45"/>
  </conditionalFormatting>
  <conditionalFormatting sqref="B72">
    <cfRule type="duplicateValues" dxfId="0" priority="256"/>
    <cfRule type="duplicateValues" dxfId="0" priority="184"/>
    <cfRule type="duplicateValues" dxfId="0" priority="112"/>
    <cfRule type="duplicateValues" dxfId="0" priority="40"/>
  </conditionalFormatting>
  <conditionalFormatting sqref="B73">
    <cfRule type="duplicateValues" dxfId="0" priority="257"/>
    <cfRule type="duplicateValues" dxfId="0" priority="185"/>
    <cfRule type="duplicateValues" dxfId="0" priority="113"/>
    <cfRule type="duplicateValues" dxfId="0" priority="41"/>
  </conditionalFormatting>
  <conditionalFormatting sqref="B75">
    <cfRule type="duplicateValues" dxfId="0" priority="291"/>
    <cfRule type="duplicateValues" dxfId="0" priority="219"/>
    <cfRule type="duplicateValues" dxfId="0" priority="147"/>
    <cfRule type="duplicateValues" dxfId="0" priority="75"/>
  </conditionalFormatting>
  <conditionalFormatting sqref="B77">
    <cfRule type="duplicateValues" dxfId="0" priority="290"/>
    <cfRule type="duplicateValues" dxfId="0" priority="218"/>
    <cfRule type="duplicateValues" dxfId="0" priority="146"/>
    <cfRule type="duplicateValues" dxfId="0" priority="74"/>
  </conditionalFormatting>
  <conditionalFormatting sqref="B78">
    <cfRule type="duplicateValues" dxfId="0" priority="296"/>
    <cfRule type="duplicateValues" dxfId="0" priority="224"/>
    <cfRule type="duplicateValues" dxfId="0" priority="152"/>
    <cfRule type="duplicateValues" dxfId="0" priority="80"/>
  </conditionalFormatting>
  <conditionalFormatting sqref="B79">
    <cfRule type="duplicateValues" dxfId="0" priority="289"/>
    <cfRule type="duplicateValues" dxfId="0" priority="217"/>
    <cfRule type="duplicateValues" dxfId="0" priority="145"/>
    <cfRule type="duplicateValues" dxfId="0" priority="73"/>
  </conditionalFormatting>
  <conditionalFormatting sqref="B80">
    <cfRule type="duplicateValues" dxfId="0" priority="297"/>
    <cfRule type="duplicateValues" dxfId="0" priority="225"/>
    <cfRule type="duplicateValues" dxfId="0" priority="153"/>
    <cfRule type="duplicateValues" dxfId="0" priority="81"/>
  </conditionalFormatting>
  <conditionalFormatting sqref="B81">
    <cfRule type="duplicateValues" dxfId="0" priority="284"/>
    <cfRule type="duplicateValues" dxfId="0" priority="212"/>
    <cfRule type="duplicateValues" dxfId="0" priority="140"/>
    <cfRule type="duplicateValues" dxfId="0" priority="68"/>
  </conditionalFormatting>
  <conditionalFormatting sqref="B82">
    <cfRule type="duplicateValues" dxfId="0" priority="298"/>
    <cfRule type="duplicateValues" dxfId="0" priority="226"/>
    <cfRule type="duplicateValues" dxfId="0" priority="154"/>
    <cfRule type="duplicateValues" dxfId="0" priority="82"/>
  </conditionalFormatting>
  <conditionalFormatting sqref="B83">
    <cfRule type="duplicateValues" dxfId="0" priority="295"/>
    <cfRule type="duplicateValues" dxfId="0" priority="223"/>
    <cfRule type="duplicateValues" dxfId="0" priority="151"/>
    <cfRule type="duplicateValues" dxfId="0" priority="79"/>
  </conditionalFormatting>
  <conditionalFormatting sqref="B84">
    <cfRule type="duplicateValues" dxfId="0" priority="294"/>
    <cfRule type="duplicateValues" dxfId="0" priority="222"/>
    <cfRule type="duplicateValues" dxfId="0" priority="150"/>
    <cfRule type="duplicateValues" dxfId="0" priority="78"/>
  </conditionalFormatting>
  <conditionalFormatting sqref="B85">
    <cfRule type="duplicateValues" dxfId="0" priority="293"/>
    <cfRule type="duplicateValues" dxfId="0" priority="221"/>
    <cfRule type="duplicateValues" dxfId="0" priority="149"/>
    <cfRule type="duplicateValues" dxfId="0" priority="77"/>
  </conditionalFormatting>
  <conditionalFormatting sqref="B86">
    <cfRule type="duplicateValues" dxfId="0" priority="292"/>
    <cfRule type="duplicateValues" dxfId="0" priority="220"/>
    <cfRule type="duplicateValues" dxfId="0" priority="148"/>
    <cfRule type="duplicateValues" dxfId="0" priority="76"/>
  </conditionalFormatting>
  <conditionalFormatting sqref="B91">
    <cfRule type="duplicateValues" dxfId="0" priority="281"/>
    <cfRule type="duplicateValues" dxfId="0" priority="209"/>
    <cfRule type="duplicateValues" dxfId="0" priority="137"/>
    <cfRule type="duplicateValues" dxfId="0" priority="65"/>
  </conditionalFormatting>
  <conditionalFormatting sqref="B98">
    <cfRule type="duplicateValues" dxfId="0" priority="288"/>
    <cfRule type="duplicateValues" dxfId="0" priority="216"/>
    <cfRule type="duplicateValues" dxfId="0" priority="144"/>
    <cfRule type="duplicateValues" dxfId="0" priority="72"/>
  </conditionalFormatting>
  <conditionalFormatting sqref="B99">
    <cfRule type="duplicateValues" dxfId="0" priority="287"/>
    <cfRule type="duplicateValues" dxfId="0" priority="215"/>
    <cfRule type="duplicateValues" dxfId="0" priority="143"/>
    <cfRule type="duplicateValues" dxfId="0" priority="71"/>
  </conditionalFormatting>
  <conditionalFormatting sqref="B100">
    <cfRule type="duplicateValues" dxfId="0" priority="286"/>
    <cfRule type="duplicateValues" dxfId="0" priority="214"/>
    <cfRule type="duplicateValues" dxfId="0" priority="142"/>
    <cfRule type="duplicateValues" dxfId="0" priority="70"/>
  </conditionalFormatting>
  <conditionalFormatting sqref="B112">
    <cfRule type="duplicateValues" dxfId="0" priority="317"/>
    <cfRule type="duplicateValues" dxfId="0" priority="245"/>
    <cfRule type="duplicateValues" dxfId="0" priority="173"/>
    <cfRule type="duplicateValues" dxfId="0" priority="101"/>
  </conditionalFormatting>
  <conditionalFormatting sqref="B113">
    <cfRule type="duplicateValues" dxfId="0" priority="264"/>
    <cfRule type="duplicateValues" dxfId="0" priority="192"/>
    <cfRule type="duplicateValues" dxfId="0" priority="120"/>
    <cfRule type="duplicateValues" dxfId="0" priority="48"/>
  </conditionalFormatting>
  <conditionalFormatting sqref="B114">
    <cfRule type="duplicateValues" dxfId="0" priority="316"/>
    <cfRule type="duplicateValues" dxfId="0" priority="244"/>
    <cfRule type="duplicateValues" dxfId="0" priority="172"/>
    <cfRule type="duplicateValues" dxfId="0" priority="100"/>
  </conditionalFormatting>
  <conditionalFormatting sqref="B115">
    <cfRule type="duplicateValues" dxfId="0" priority="314"/>
    <cfRule type="duplicateValues" dxfId="0" priority="242"/>
    <cfRule type="duplicateValues" dxfId="0" priority="170"/>
    <cfRule type="duplicateValues" dxfId="0" priority="98"/>
  </conditionalFormatting>
  <conditionalFormatting sqref="B116">
    <cfRule type="duplicateValues" dxfId="0" priority="315"/>
    <cfRule type="duplicateValues" dxfId="0" priority="243"/>
    <cfRule type="duplicateValues" dxfId="0" priority="171"/>
    <cfRule type="duplicateValues" dxfId="0" priority="99"/>
  </conditionalFormatting>
  <conditionalFormatting sqref="B124">
    <cfRule type="duplicateValues" dxfId="0" priority="328"/>
    <cfRule type="duplicateValues" dxfId="0" priority="327"/>
  </conditionalFormatting>
  <conditionalFormatting sqref="B127">
    <cfRule type="duplicateValues" dxfId="0" priority="323"/>
    <cfRule type="duplicateValues" dxfId="0" priority="251"/>
    <cfRule type="duplicateValues" dxfId="0" priority="179"/>
    <cfRule type="duplicateValues" dxfId="0" priority="107"/>
  </conditionalFormatting>
  <conditionalFormatting sqref="B128">
    <cfRule type="duplicateValues" dxfId="0" priority="322"/>
    <cfRule type="duplicateValues" dxfId="0" priority="250"/>
    <cfRule type="duplicateValues" dxfId="0" priority="178"/>
    <cfRule type="duplicateValues" dxfId="0" priority="106"/>
  </conditionalFormatting>
  <conditionalFormatting sqref="B129">
    <cfRule type="duplicateValues" dxfId="0" priority="321"/>
    <cfRule type="duplicateValues" dxfId="0" priority="249"/>
    <cfRule type="duplicateValues" dxfId="0" priority="177"/>
    <cfRule type="duplicateValues" dxfId="0" priority="105"/>
  </conditionalFormatting>
  <conditionalFormatting sqref="B130">
    <cfRule type="duplicateValues" dxfId="0" priority="320"/>
    <cfRule type="duplicateValues" dxfId="0" priority="248"/>
    <cfRule type="duplicateValues" dxfId="0" priority="176"/>
    <cfRule type="duplicateValues" dxfId="0" priority="104"/>
  </conditionalFormatting>
  <conditionalFormatting sqref="B131">
    <cfRule type="duplicateValues" dxfId="0" priority="319"/>
    <cfRule type="duplicateValues" dxfId="0" priority="247"/>
    <cfRule type="duplicateValues" dxfId="0" priority="175"/>
    <cfRule type="duplicateValues" dxfId="0" priority="103"/>
  </conditionalFormatting>
  <conditionalFormatting sqref="B132">
    <cfRule type="duplicateValues" dxfId="0" priority="318"/>
    <cfRule type="duplicateValues" dxfId="0" priority="246"/>
    <cfRule type="duplicateValues" dxfId="0" priority="174"/>
    <cfRule type="duplicateValues" dxfId="0" priority="102"/>
  </conditionalFormatting>
  <conditionalFormatting sqref="B133">
    <cfRule type="duplicateValues" dxfId="0" priority="313"/>
    <cfRule type="duplicateValues" dxfId="0" priority="241"/>
    <cfRule type="duplicateValues" dxfId="0" priority="169"/>
    <cfRule type="duplicateValues" dxfId="0" priority="97"/>
  </conditionalFormatting>
  <conditionalFormatting sqref="B134">
    <cfRule type="duplicateValues" dxfId="0" priority="312"/>
    <cfRule type="duplicateValues" dxfId="0" priority="240"/>
    <cfRule type="duplicateValues" dxfId="0" priority="168"/>
    <cfRule type="duplicateValues" dxfId="0" priority="96"/>
  </conditionalFormatting>
  <conditionalFormatting sqref="B135">
    <cfRule type="duplicateValues" dxfId="0" priority="311"/>
    <cfRule type="duplicateValues" dxfId="0" priority="239"/>
    <cfRule type="duplicateValues" dxfId="0" priority="167"/>
    <cfRule type="duplicateValues" dxfId="0" priority="95"/>
  </conditionalFormatting>
  <conditionalFormatting sqref="B136">
    <cfRule type="duplicateValues" dxfId="0" priority="310"/>
    <cfRule type="duplicateValues" dxfId="0" priority="238"/>
    <cfRule type="duplicateValues" dxfId="0" priority="166"/>
    <cfRule type="duplicateValues" dxfId="0" priority="94"/>
  </conditionalFormatting>
  <conditionalFormatting sqref="B137">
    <cfRule type="duplicateValues" dxfId="0" priority="306"/>
    <cfRule type="duplicateValues" dxfId="0" priority="234"/>
    <cfRule type="duplicateValues" dxfId="0" priority="162"/>
    <cfRule type="duplicateValues" dxfId="0" priority="90"/>
  </conditionalFormatting>
  <conditionalFormatting sqref="B138">
    <cfRule type="duplicateValues" dxfId="0" priority="305"/>
    <cfRule type="duplicateValues" dxfId="0" priority="233"/>
    <cfRule type="duplicateValues" dxfId="0" priority="161"/>
    <cfRule type="duplicateValues" dxfId="0" priority="89"/>
  </conditionalFormatting>
  <conditionalFormatting sqref="B143">
    <cfRule type="duplicateValues" dxfId="0" priority="263"/>
    <cfRule type="duplicateValues" dxfId="0" priority="191"/>
    <cfRule type="duplicateValues" dxfId="0" priority="119"/>
    <cfRule type="duplicateValues" dxfId="0" priority="47"/>
  </conditionalFormatting>
  <conditionalFormatting sqref="B144">
    <cfRule type="duplicateValues" dxfId="0" priority="283"/>
    <cfRule type="duplicateValues" dxfId="0" priority="211"/>
    <cfRule type="duplicateValues" dxfId="0" priority="139"/>
    <cfRule type="duplicateValues" dxfId="0" priority="67"/>
  </conditionalFormatting>
  <conditionalFormatting sqref="B145">
    <cfRule type="duplicateValues" dxfId="0" priority="266"/>
    <cfRule type="duplicateValues" dxfId="0" priority="194"/>
    <cfRule type="duplicateValues" dxfId="0" priority="122"/>
    <cfRule type="duplicateValues" dxfId="0" priority="50"/>
  </conditionalFormatting>
  <conditionalFormatting sqref="B146">
    <cfRule type="duplicateValues" dxfId="0" priority="265"/>
    <cfRule type="duplicateValues" dxfId="0" priority="193"/>
    <cfRule type="duplicateValues" dxfId="0" priority="121"/>
    <cfRule type="duplicateValues" dxfId="0" priority="49"/>
  </conditionalFormatting>
  <conditionalFormatting sqref="B149">
    <cfRule type="duplicateValues" dxfId="0" priority="31"/>
    <cfRule type="duplicateValues" dxfId="0" priority="29"/>
    <cfRule type="duplicateValues" dxfId="0" priority="27"/>
    <cfRule type="duplicateValues" dxfId="0" priority="25"/>
  </conditionalFormatting>
  <conditionalFormatting sqref="B150">
    <cfRule type="duplicateValues" dxfId="0" priority="30"/>
    <cfRule type="duplicateValues" dxfId="0" priority="28"/>
    <cfRule type="duplicateValues" dxfId="0" priority="26"/>
    <cfRule type="duplicateValues" dxfId="0" priority="24"/>
  </conditionalFormatting>
  <conditionalFormatting sqref="B151">
    <cfRule type="duplicateValues" dxfId="0" priority="20"/>
    <cfRule type="duplicateValues" dxfId="0" priority="17"/>
    <cfRule type="duplicateValues" dxfId="0" priority="14"/>
    <cfRule type="duplicateValues" dxfId="0" priority="11"/>
  </conditionalFormatting>
  <conditionalFormatting sqref="B152">
    <cfRule type="duplicateValues" dxfId="0" priority="19"/>
    <cfRule type="duplicateValues" dxfId="0" priority="16"/>
    <cfRule type="duplicateValues" dxfId="0" priority="13"/>
    <cfRule type="duplicateValues" dxfId="0" priority="10"/>
  </conditionalFormatting>
  <conditionalFormatting sqref="B153">
    <cfRule type="duplicateValues" dxfId="0" priority="18"/>
    <cfRule type="duplicateValues" dxfId="0" priority="15"/>
    <cfRule type="duplicateValues" dxfId="0" priority="12"/>
    <cfRule type="duplicateValues" dxfId="0" priority="9"/>
  </conditionalFormatting>
  <conditionalFormatting sqref="B154"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B155"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B103:B104">
    <cfRule type="duplicateValues" dxfId="0" priority="326"/>
    <cfRule type="duplicateValues" dxfId="0" priority="325"/>
  </conditionalFormatting>
  <conditionalFormatting sqref="B3:B12 B17 B21:B23 B52 B121 B123 B125:B126 B92 B87:B88">
    <cfRule type="duplicateValues" dxfId="0" priority="330"/>
  </conditionalFormatting>
  <conditionalFormatting sqref="B15 B3:B13 B17 B21:B23 B74 B76 B59:B60 B25:B31 B52 B70 B64:B68 B39 B147:B148 B101:B102 B92:B97 B117:B123 B105:B111 B139:B142 B125:B126 B87:B88">
    <cfRule type="duplicateValues" dxfId="0" priority="329"/>
  </conditionalFormatting>
  <conditionalFormatting sqref="B3:B13 B17 B15 B52 B21:B23 B74 B76 B25:B31 B70 B64:B68 B59:B60 B39 B101:B111 B92:B97 B139:B142 B117:B126 B87:B90 B147:B148">
    <cfRule type="duplicateValues" dxfId="0" priority="324"/>
  </conditionalFormatting>
  <conditionalFormatting sqref="B15 B39 B13 B25:B31 B59:B60 B122 B101:B102 B93:B97 B117:B120 B105:B111">
    <cfRule type="duplicateValues" dxfId="0" priority="331"/>
  </conditionalFormatting>
  <conditionalFormatting sqref="B70 B64:B68 B74 B76 B147:B148 B89:B90 B139:B142">
    <cfRule type="duplicateValues" dxfId="0" priority="333"/>
    <cfRule type="duplicateValues" dxfId="0" priority="332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安路普产品报价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2023-05-12T11:15:00Z</dcterms:created>
  <dcterms:modified xsi:type="dcterms:W3CDTF">2023-12-18T08:27:56Z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A6FC0003571C4BE1A792E73AC27BBB8E_13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