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0" activeTab="2"/>
  </bookViews>
  <sheets>
    <sheet name="假设条件" sheetId="34" r:id="rId1"/>
    <sheet name="现金" sheetId="36" state="hidden" r:id="rId2"/>
    <sheet name="损益表" sheetId="56" r:id="rId3"/>
    <sheet name="2024年" sheetId="43" r:id="rId4"/>
    <sheet name="2025年" sheetId="57" r:id="rId5"/>
    <sheet name="2026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  <externalReference r:id="rId14"/>
  </externalReferences>
  <definedNames>
    <definedName name="_xlnm.Print_Area" localSheetId="3">'2024年'!$A$1:$Q$48</definedName>
    <definedName name="_xlnm.Print_Area" localSheetId="4">'2025年'!$A$1:$Q$48</definedName>
    <definedName name="_xlnm.Print_Area" localSheetId="5">'2026年'!$A$1:$Q$48</definedName>
    <definedName name="_xlnm.Print_Area" localSheetId="6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S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<sst xmlns="http://schemas.openxmlformats.org/spreadsheetml/2006/main" count="1411" uniqueCount="310">
  <si>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</si>
  <si>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</si>
  <si>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</si>
  <si>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</si>
  <si>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</si>
  <si>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</si>
  <si>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</si>
  <si>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</si>
  <si>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</si>
  <si>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</si>
  <si>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</si>
  <si>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</si>
  <si>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</si>
  <si>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</si>
  <si>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</si>
  <si>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</si>
  <si>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</si>
  <si>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</si>
  <si>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</si>
  <si>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</si>
  <si>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</si>
  <si>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</si>
  <si>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</si>
  <si>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</si>
  <si>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</si>
  <si>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</si>
  <si>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</si>
  <si>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</si>
  <si>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</si>
  <si>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</si>
  <si>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</si>
  <si>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</si>
  <si>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</si>
  <si>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</si>
  <si>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</si>
  <si>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</si>
  <si>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</si>
  <si>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</si>
  <si>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</si>
  <si>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</si>
  <si>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</si>
  <si>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</si>
  <si>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</si>
  <si>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</si>
  <si>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</si>
  <si>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</si>
  <si>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</si>
  <si>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</si>
  <si>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</si>
  <si>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</si>
  <si>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</si>
  <si>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重汽统帅座椅项目可行性分析            单位：元</t>
  </si>
  <si>
    <r>
      <t>2024</t>
    </r>
    <r>
      <rPr>
        <b/>
        <sz val="10"/>
        <rFont val="宋体"/>
        <charset val="134"/>
      </rPr>
      <t>年</t>
    </r>
  </si>
  <si>
    <r>
      <t>2025</t>
    </r>
    <r>
      <rPr>
        <b/>
        <sz val="10"/>
        <rFont val="宋体"/>
        <charset val="134"/>
      </rPr>
      <t>年</t>
    </r>
  </si>
  <si>
    <r>
      <t>2026</t>
    </r>
    <r>
      <rPr>
        <b/>
        <sz val="10"/>
        <rFont val="宋体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</si>
  <si>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</si>
  <si>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</si>
  <si>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</si>
  <si>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</si>
  <si>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</si>
  <si>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</si>
  <si>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</si>
  <si>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</si>
  <si>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</si>
  <si>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</si>
  <si>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</si>
  <si>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</si>
  <si>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</si>
  <si>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</si>
  <si>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</si>
  <si>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</si>
  <si>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</si>
  <si>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</si>
  <si>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</si>
  <si>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</si>
  <si>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</si>
  <si>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</si>
  <si>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</si>
  <si>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</si>
  <si>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</si>
  <si>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</si>
  <si>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</si>
  <si>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</si>
  <si>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</si>
  <si>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</si>
  <si>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</si>
  <si>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</si>
  <si>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</si>
  <si>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</si>
  <si>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</si>
  <si>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</si>
  <si>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</si>
  <si>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</si>
  <si>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</si>
  <si>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</si>
  <si>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</si>
  <si>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</si>
  <si>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</si>
  <si>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</si>
  <si>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</si>
  <si>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</si>
  <si>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2025年</t>
  </si>
  <si>
    <t>2026年</t>
  </si>
  <si>
    <t>2027年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</si>
  <si>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</si>
  <si>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</si>
  <si>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</si>
  <si>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</si>
  <si>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</si>
  <si>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</si>
  <si>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</si>
  <si>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</si>
  <si>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</si>
  <si>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</si>
  <si>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</si>
  <si>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</si>
  <si>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</si>
  <si>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</si>
  <si>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</si>
  <si>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</si>
  <si>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</si>
  <si>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</si>
  <si>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</si>
  <si>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</si>
  <si>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</si>
  <si>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</si>
  <si>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</si>
  <si>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</si>
  <si>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</si>
  <si>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</si>
  <si>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</si>
  <si>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</si>
  <si>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</si>
  <si>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</si>
  <si>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</si>
  <si>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</si>
  <si>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</si>
  <si>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</si>
  <si>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</si>
  <si>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</si>
  <si>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</si>
  <si>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</si>
  <si>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</si>
  <si>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</si>
  <si>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</si>
  <si>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</si>
  <si>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</si>
  <si>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</si>
  <si>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</si>
  <si>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</si>
  <si>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</si>
  <si>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</si>
  <si>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重汽统帅</t>
  </si>
  <si>
    <t>产品名称</t>
  </si>
  <si>
    <t>主驾驶座椅</t>
  </si>
  <si>
    <t>副驾驶座椅1880</t>
  </si>
  <si>
    <t>主驾驶座椅（带扶手）</t>
  </si>
  <si>
    <t>副驾驶员座椅2080</t>
  </si>
  <si>
    <t>主驾驶座椅（通风加热、扶手）2080</t>
  </si>
  <si>
    <t>副驾驶员（通风加热）</t>
  </si>
  <si>
    <t>主驾驶座椅（通风加热）</t>
  </si>
  <si>
    <t>副驾驶座椅</t>
  </si>
  <si>
    <t>驾驶员座椅单加热带扶手</t>
  </si>
  <si>
    <t>主驾驶座椅（单加热）</t>
  </si>
  <si>
    <t>主驾驶座椅（通风加热、扶手）</t>
  </si>
  <si>
    <t>主驾驶座椅（加热）</t>
  </si>
  <si>
    <t>产品图号</t>
  </si>
  <si>
    <t>LZ161251000601</t>
  </si>
  <si>
    <t>LZ161251000621</t>
  </si>
  <si>
    <t>LZ161351000601</t>
  </si>
  <si>
    <t>LZ161351000621</t>
  </si>
  <si>
    <t>LZ161351000603</t>
  </si>
  <si>
    <t>LZ161351000622</t>
  </si>
  <si>
    <t>LZ161251000603</t>
  </si>
  <si>
    <t>LZ161251000622</t>
  </si>
  <si>
    <t>LZ161351000602</t>
  </si>
  <si>
    <t>LZ161251000602</t>
  </si>
  <si>
    <t>LZ161251000703</t>
  </si>
  <si>
    <t>LZ161351000703</t>
  </si>
  <si>
    <t>LZ161251000702</t>
  </si>
  <si>
    <t>车型</t>
  </si>
  <si>
    <t>统帅</t>
  </si>
  <si>
    <t>悍将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</si>
  <si>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</si>
  <si>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</si>
  <si>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</si>
  <si>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</si>
  <si>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</si>
  <si>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</si>
  <si>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</si>
  <si>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>北京福田戴姆勒</t>
  </si>
  <si>
    <t xml:space="preserve">2027年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</si>
  <si>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</si>
  <si>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北京福田戴姆勒驾驶员座椅项目研发费用预算表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</si>
  <si>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</si>
  <si>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</si>
  <si>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</si>
  <si>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</si>
  <si>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</si>
  <si>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</si>
  <si>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</si>
  <si>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</si>
  <si>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</si>
  <si>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</si>
  <si>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</si>
  <si>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</si>
  <si>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</si>
  <si>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</si>
  <si>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</si>
  <si>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</si>
  <si>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</si>
  <si>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</si>
  <si>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</si>
  <si>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</si>
  <si>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</si>
  <si>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</si>
  <si>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</si>
  <si>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</si>
  <si>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</si>
  <si>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</si>
  <si>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</si>
  <si>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</si>
  <si>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</si>
  <si>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</si>
  <si>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</si>
  <si>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</si>
  <si>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</si>
  <si>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</si>
  <si>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</si>
  <si>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</si>
  <si>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</si>
  <si>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</si>
  <si>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</si>
  <si>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</si>
  <si>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</si>
  <si>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</si>
  <si>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</si>
  <si>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</si>
  <si>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</si>
  <si>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2024年</t>
  </si>
  <si>
    <t>原材料成本</t>
  </si>
  <si>
    <t>附加值率</t>
  </si>
  <si>
    <t>预估原材料成本（单位：元，未税）</t>
  </si>
  <si>
    <t>供应商年降：       年2%</t>
  </si>
  <si>
    <t>模块</t>
  </si>
  <si>
    <t>项目名称</t>
  </si>
  <si>
    <t>项目编号</t>
  </si>
  <si>
    <t>ZY2403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</si>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</sst>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8"/>
      <color theme="1"/>
      <name val="仿宋"/>
      <charset val="134"/>
    </font>
    <font>
      <sz val="8"/>
      <color theme="1"/>
      <name val="宋体"/>
      <charset val="134"/>
      <scheme val="minor"/>
    </font>
    <font>
      <b/>
      <sz val="10"/>
      <name val="仿宋"/>
      <charset val="134"/>
    </font>
    <font>
      <b/>
      <sz val="10"/>
      <name val="宋体"/>
      <charset val="134"/>
      <scheme val="minor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8"/>
      <color rgb="FFFF0000"/>
      <name val="仿宋"/>
      <charset val="134"/>
    </font>
    <font>
      <b/>
      <sz val="10"/>
      <color theme="1"/>
      <name val="微软雅黑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19" applyNumberFormat="0" applyAlignment="0" applyProtection="0">
      <alignment vertical="center"/>
    </xf>
    <xf numFmtId="0" fontId="49" fillId="12" borderId="20" applyNumberFormat="0" applyAlignment="0" applyProtection="0">
      <alignment vertical="center"/>
    </xf>
    <xf numFmtId="0" fontId="50" fillId="12" borderId="19" applyNumberFormat="0" applyAlignment="0" applyProtection="0">
      <alignment vertical="center"/>
    </xf>
    <xf numFmtId="0" fontId="51" fillId="13" borderId="21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9" fillId="0" borderId="0"/>
    <xf numFmtId="0" fontId="60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61" fillId="0" borderId="0"/>
    <xf numFmtId="0" fontId="62" fillId="0" borderId="0"/>
    <xf numFmtId="1" fontId="63" fillId="0" borderId="2" applyBorder="0"/>
    <xf numFmtId="43" fontId="64" fillId="0" borderId="0" applyFont="0" applyFill="0" applyBorder="0" applyAlignment="0" applyProtection="0">
      <alignment vertical="center"/>
    </xf>
    <xf numFmtId="0" fontId="61" fillId="0" borderId="0"/>
  </cellStyleXfs>
  <cellXfs count="2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176" fontId="0" fillId="5" borderId="2" xfId="0" applyNumberForma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NumberFormat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3" fontId="5" fillId="0" borderId="2" xfId="0" applyNumberFormat="1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1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14" fillId="0" borderId="2" xfId="0" applyNumberFormat="1" applyFont="1" applyFill="1" applyBorder="1" applyAlignment="1">
      <alignment horizontal="center" vertical="center" wrapText="1"/>
    </xf>
    <xf numFmtId="43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 readingOrder="1"/>
    </xf>
    <xf numFmtId="0" fontId="0" fillId="0" borderId="2" xfId="0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 readingOrder="1"/>
    </xf>
    <xf numFmtId="176" fontId="17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8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 readingOrder="1"/>
    </xf>
    <xf numFmtId="0" fontId="19" fillId="0" borderId="0" xfId="0" applyFont="1" applyFill="1">
      <alignment vertical="center"/>
    </xf>
    <xf numFmtId="176" fontId="19" fillId="0" borderId="0" xfId="0" applyNumberFormat="1" applyFont="1" applyFill="1">
      <alignment vertical="center"/>
    </xf>
    <xf numFmtId="0" fontId="16" fillId="0" borderId="7" xfId="0" applyFont="1" applyFill="1" applyBorder="1" applyAlignment="1">
      <alignment horizontal="center" vertical="center" wrapText="1" readingOrder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16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20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21" fillId="7" borderId="2" xfId="53" applyNumberFormat="1" applyFont="1" applyFill="1" applyBorder="1" applyAlignment="1">
      <alignment horizontal="center" vertical="center" wrapText="1"/>
    </xf>
    <xf numFmtId="43" fontId="21" fillId="7" borderId="2" xfId="1" applyFont="1" applyFill="1" applyBorder="1" applyAlignment="1">
      <alignment horizontal="center" vertical="center" wrapText="1"/>
    </xf>
    <xf numFmtId="0" fontId="21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22" fillId="0" borderId="2" xfId="53" applyNumberFormat="1" applyFont="1" applyFill="1" applyBorder="1" applyAlignment="1">
      <alignment horizontal="left" vertical="center"/>
    </xf>
    <xf numFmtId="43" fontId="22" fillId="4" borderId="2" xfId="1" applyFont="1" applyFill="1" applyBorder="1" applyAlignment="1">
      <alignment horizontal="center" vertical="center"/>
    </xf>
    <xf numFmtId="0" fontId="23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4" fillId="6" borderId="2" xfId="49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43" fontId="22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9" xfId="0" applyBorder="1" applyAlignment="1">
      <alignment horizontal="center" vertical="center" wrapText="1"/>
    </xf>
    <xf numFmtId="179" fontId="22" fillId="0" borderId="3" xfId="53" applyNumberFormat="1" applyFont="1" applyFill="1" applyBorder="1" applyAlignment="1">
      <alignment horizontal="center" vertical="center"/>
    </xf>
    <xf numFmtId="179" fontId="22" fillId="0" borderId="3" xfId="53" applyNumberFormat="1" applyFont="1" applyFill="1" applyBorder="1" applyAlignment="1">
      <alignment horizontal="left" vertical="center" wrapText="1"/>
    </xf>
    <xf numFmtId="0" fontId="23" fillId="6" borderId="2" xfId="49" applyNumberFormat="1" applyFont="1" applyFill="1" applyBorder="1" applyAlignment="1" applyProtection="1">
      <alignment horizontal="center" vertical="center" wrapText="1"/>
    </xf>
    <xf numFmtId="43" fontId="22" fillId="3" borderId="2" xfId="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3" fontId="25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6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28" fillId="0" borderId="0" xfId="0" applyFont="1" applyFill="1">
      <alignment vertical="center"/>
    </xf>
    <xf numFmtId="43" fontId="28" fillId="0" borderId="0" xfId="1" applyFont="1" applyFill="1">
      <alignment vertical="center"/>
    </xf>
    <xf numFmtId="0" fontId="28" fillId="0" borderId="2" xfId="0" applyFont="1" applyFill="1" applyBorder="1" applyAlignment="1">
      <alignment horizontal="center" vertical="center"/>
    </xf>
    <xf numFmtId="43" fontId="28" fillId="0" borderId="3" xfId="1" applyFont="1" applyFill="1" applyBorder="1" applyAlignment="1">
      <alignment horizontal="center" vertical="center"/>
    </xf>
    <xf numFmtId="43" fontId="28" fillId="0" borderId="4" xfId="1" applyFont="1" applyFill="1" applyBorder="1" applyAlignment="1">
      <alignment horizontal="center" vertical="center"/>
    </xf>
    <xf numFmtId="43" fontId="28" fillId="4" borderId="2" xfId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>
      <alignment vertical="center"/>
    </xf>
    <xf numFmtId="0" fontId="30" fillId="0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 readingOrder="1"/>
    </xf>
    <xf numFmtId="43" fontId="28" fillId="0" borderId="2" xfId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10" fontId="28" fillId="0" borderId="2" xfId="3" applyNumberFormat="1" applyFont="1" applyFill="1" applyBorder="1" applyAlignment="1">
      <alignment horizontal="center" vertical="center"/>
    </xf>
    <xf numFmtId="0" fontId="26" fillId="0" borderId="2" xfId="0" applyFont="1" applyFill="1" applyBorder="1">
      <alignment vertical="center"/>
    </xf>
    <xf numFmtId="43" fontId="26" fillId="0" borderId="2" xfId="1" applyFont="1" applyFill="1" applyBorder="1">
      <alignment vertical="center"/>
    </xf>
    <xf numFmtId="43" fontId="28" fillId="0" borderId="2" xfId="1" applyFont="1" applyFill="1" applyBorder="1">
      <alignment vertical="center"/>
    </xf>
    <xf numFmtId="0" fontId="27" fillId="0" borderId="2" xfId="0" applyFont="1" applyFill="1" applyBorder="1">
      <alignment vertical="center"/>
    </xf>
    <xf numFmtId="9" fontId="28" fillId="0" borderId="2" xfId="3" applyFont="1" applyFill="1" applyBorder="1">
      <alignment vertical="center"/>
    </xf>
    <xf numFmtId="43" fontId="26" fillId="0" borderId="2" xfId="1" applyFont="1" applyFill="1" applyBorder="1" applyAlignment="1">
      <alignment horizontal="center" vertical="center"/>
    </xf>
    <xf numFmtId="43" fontId="28" fillId="0" borderId="2" xfId="0" applyNumberFormat="1" applyFont="1" applyFill="1" applyBorder="1">
      <alignment vertical="center"/>
    </xf>
    <xf numFmtId="43" fontId="27" fillId="0" borderId="2" xfId="1" applyFont="1" applyFill="1" applyBorder="1">
      <alignment vertical="center"/>
    </xf>
    <xf numFmtId="43" fontId="28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8" fillId="0" borderId="4" xfId="1" applyFont="1" applyFill="1" applyBorder="1" applyAlignment="1">
      <alignment horizontal="center" vertical="center"/>
    </xf>
    <xf numFmtId="43" fontId="26" fillId="0" borderId="2" xfId="1" applyNumberFormat="1" applyFont="1" applyFill="1" applyBorder="1">
      <alignment vertical="center"/>
    </xf>
    <xf numFmtId="43" fontId="28" fillId="0" borderId="5" xfId="1" applyFont="1" applyFill="1" applyBorder="1" applyAlignment="1">
      <alignment horizontal="center" vertical="center"/>
    </xf>
    <xf numFmtId="43" fontId="31" fillId="0" borderId="6" xfId="1" applyFont="1" applyFill="1" applyBorder="1" applyAlignment="1">
      <alignment horizontal="center" vertical="center" wrapText="1"/>
    </xf>
    <xf numFmtId="43" fontId="31" fillId="0" borderId="9" xfId="1" applyFont="1" applyFill="1" applyBorder="1" applyAlignment="1">
      <alignment horizontal="center" vertical="center" wrapText="1"/>
    </xf>
    <xf numFmtId="43" fontId="31" fillId="0" borderId="7" xfId="1" applyFont="1" applyFill="1" applyBorder="1" applyAlignment="1">
      <alignment horizontal="center" vertical="center" wrapText="1"/>
    </xf>
    <xf numFmtId="43" fontId="28" fillId="0" borderId="0" xfId="0" applyNumberFormat="1" applyFont="1" applyFill="1">
      <alignment vertical="center"/>
    </xf>
    <xf numFmtId="10" fontId="28" fillId="0" borderId="0" xfId="0" applyNumberFormat="1" applyFont="1" applyFill="1">
      <alignment vertical="center"/>
    </xf>
    <xf numFmtId="0" fontId="32" fillId="0" borderId="0" xfId="0" applyFont="1" applyFill="1">
      <alignment vertical="center"/>
    </xf>
    <xf numFmtId="180" fontId="28" fillId="0" borderId="0" xfId="0" applyNumberFormat="1" applyFont="1" applyFill="1">
      <alignment vertical="center"/>
    </xf>
    <xf numFmtId="10" fontId="28" fillId="0" borderId="2" xfId="3" applyNumberFormat="1" applyFont="1" applyFill="1" applyBorder="1">
      <alignment vertical="center"/>
    </xf>
    <xf numFmtId="43" fontId="16" fillId="4" borderId="2" xfId="0" applyNumberFormat="1" applyFont="1" applyFill="1" applyBorder="1" applyAlignment="1">
      <alignment horizontal="center" vertical="center" wrapText="1" readingOrder="1"/>
    </xf>
    <xf numFmtId="43" fontId="27" fillId="0" borderId="2" xfId="1" applyNumberFormat="1" applyFont="1" applyFill="1" applyBorder="1">
      <alignment vertical="center"/>
    </xf>
    <xf numFmtId="43" fontId="28" fillId="0" borderId="2" xfId="1" applyNumberFormat="1" applyFont="1" applyFill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Border="1">
      <alignment vertical="center"/>
    </xf>
    <xf numFmtId="0" fontId="28" fillId="0" borderId="0" xfId="0" applyFont="1">
      <alignment vertical="center"/>
    </xf>
    <xf numFmtId="43" fontId="28" fillId="0" borderId="0" xfId="1" applyFont="1">
      <alignment vertical="center"/>
    </xf>
    <xf numFmtId="0" fontId="33" fillId="0" borderId="1" xfId="0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3" fontId="34" fillId="0" borderId="2" xfId="1" applyFont="1" applyFill="1" applyBorder="1" applyAlignment="1">
      <alignment horizontal="center" vertical="center" wrapText="1"/>
    </xf>
    <xf numFmtId="43" fontId="31" fillId="0" borderId="2" xfId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177" fontId="28" fillId="0" borderId="2" xfId="1" applyNumberFormat="1" applyFont="1" applyFill="1" applyBorder="1" applyAlignment="1">
      <alignment horizontal="center" vertical="center"/>
    </xf>
    <xf numFmtId="177" fontId="27" fillId="0" borderId="2" xfId="1" applyNumberFormat="1" applyFont="1" applyFill="1" applyBorder="1" applyAlignment="1">
      <alignment horizontal="center" vertical="center"/>
    </xf>
    <xf numFmtId="0" fontId="30" fillId="9" borderId="2" xfId="0" applyFont="1" applyFill="1" applyBorder="1">
      <alignment vertical="center"/>
    </xf>
    <xf numFmtId="177" fontId="27" fillId="9" borderId="2" xfId="1" applyNumberFormat="1" applyFont="1" applyFill="1" applyBorder="1" applyAlignment="1">
      <alignment horizontal="center" vertical="center"/>
    </xf>
    <xf numFmtId="0" fontId="35" fillId="0" borderId="2" xfId="0" applyFont="1" applyFill="1" applyBorder="1">
      <alignment vertical="center"/>
    </xf>
    <xf numFmtId="0" fontId="28" fillId="0" borderId="2" xfId="0" applyFont="1" applyBorder="1">
      <alignment vertical="center"/>
    </xf>
    <xf numFmtId="10" fontId="27" fillId="0" borderId="2" xfId="3" applyNumberFormat="1" applyFont="1" applyBorder="1" applyAlignment="1">
      <alignment vertical="center"/>
    </xf>
    <xf numFmtId="177" fontId="27" fillId="0" borderId="2" xfId="1" applyNumberFormat="1" applyFont="1" applyBorder="1" applyAlignment="1">
      <alignment horizontal="center" vertical="center"/>
    </xf>
    <xf numFmtId="177" fontId="28" fillId="0" borderId="2" xfId="1" applyNumberFormat="1" applyFont="1" applyFill="1" applyBorder="1">
      <alignment vertical="center"/>
    </xf>
    <xf numFmtId="0" fontId="35" fillId="9" borderId="2" xfId="0" applyFont="1" applyFill="1" applyBorder="1">
      <alignment vertical="center"/>
    </xf>
    <xf numFmtId="177" fontId="28" fillId="0" borderId="2" xfId="1" applyNumberFormat="1" applyFont="1" applyBorder="1" applyAlignment="1">
      <alignment horizontal="center" vertical="center"/>
    </xf>
    <xf numFmtId="43" fontId="26" fillId="0" borderId="0" xfId="0" applyNumberFormat="1" applyFont="1" applyFill="1">
      <alignment vertical="center"/>
    </xf>
    <xf numFmtId="10" fontId="28" fillId="0" borderId="2" xfId="3" applyNumberFormat="1" applyFont="1" applyBorder="1">
      <alignment vertical="center"/>
    </xf>
    <xf numFmtId="10" fontId="28" fillId="0" borderId="0" xfId="3" applyNumberFormat="1" applyFont="1" applyBorder="1">
      <alignment vertical="center"/>
    </xf>
    <xf numFmtId="43" fontId="28" fillId="0" borderId="0" xfId="0" applyNumberFormat="1" applyFont="1" applyFill="1" applyBorder="1">
      <alignment vertical="center"/>
    </xf>
    <xf numFmtId="43" fontId="28" fillId="0" borderId="0" xfId="1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43" fontId="28" fillId="0" borderId="2" xfId="1" applyFont="1" applyBorder="1">
      <alignment vertical="center"/>
    </xf>
    <xf numFmtId="177" fontId="28" fillId="0" borderId="2" xfId="1" applyNumberFormat="1" applyFont="1" applyBorder="1">
      <alignment vertical="center"/>
    </xf>
    <xf numFmtId="0" fontId="27" fillId="0" borderId="2" xfId="0" applyFont="1" applyBorder="1">
      <alignment vertical="center"/>
    </xf>
    <xf numFmtId="0" fontId="35" fillId="0" borderId="2" xfId="0" applyFont="1" applyBorder="1">
      <alignment vertical="center"/>
    </xf>
    <xf numFmtId="0" fontId="28" fillId="0" borderId="6" xfId="0" applyFont="1" applyBorder="1">
      <alignment vertical="center"/>
    </xf>
    <xf numFmtId="1" fontId="22" fillId="6" borderId="0" xfId="49" applyNumberFormat="1" applyFont="1" applyFill="1" applyProtection="1"/>
    <xf numFmtId="0" fontId="22" fillId="6" borderId="0" xfId="49" applyFont="1" applyFill="1" applyProtection="1"/>
    <xf numFmtId="0" fontId="36" fillId="6" borderId="0" xfId="49" applyFont="1" applyFill="1" applyAlignment="1" applyProtection="1">
      <alignment horizontal="centerContinuous"/>
    </xf>
    <xf numFmtId="0" fontId="22" fillId="6" borderId="0" xfId="49" applyFont="1" applyFill="1" applyAlignment="1">
      <alignment horizontal="centerContinuous"/>
    </xf>
    <xf numFmtId="0" fontId="22" fillId="6" borderId="0" xfId="49" applyFont="1" applyFill="1" applyAlignment="1" applyProtection="1">
      <alignment horizontal="centerContinuous"/>
    </xf>
    <xf numFmtId="9" fontId="22" fillId="6" borderId="0" xfId="49" applyNumberFormat="1" applyFont="1" applyFill="1" applyProtection="1"/>
    <xf numFmtId="0" fontId="22" fillId="6" borderId="6" xfId="49" applyFont="1" applyFill="1" applyBorder="1" applyAlignment="1" applyProtection="1">
      <alignment horizontal="center"/>
    </xf>
    <xf numFmtId="0" fontId="24" fillId="6" borderId="2" xfId="49" applyFont="1" applyFill="1" applyBorder="1" applyAlignment="1" applyProtection="1">
      <alignment horizontal="center"/>
    </xf>
    <xf numFmtId="0" fontId="24" fillId="6" borderId="4" xfId="49" applyFont="1" applyFill="1" applyBorder="1" applyAlignment="1" applyProtection="1">
      <alignment horizontal="center"/>
    </xf>
    <xf numFmtId="1" fontId="24" fillId="6" borderId="4" xfId="54" applyFont="1" applyFill="1" applyBorder="1"/>
    <xf numFmtId="1" fontId="22" fillId="6" borderId="4" xfId="54" applyFont="1" applyFill="1" applyBorder="1"/>
    <xf numFmtId="0" fontId="22" fillId="6" borderId="7" xfId="49" applyFont="1" applyFill="1" applyBorder="1" applyProtection="1"/>
    <xf numFmtId="0" fontId="22" fillId="6" borderId="2" xfId="49" applyFont="1" applyFill="1" applyBorder="1" applyAlignment="1" applyProtection="1">
      <alignment horizontal="center"/>
    </xf>
    <xf numFmtId="0" fontId="22" fillId="6" borderId="2" xfId="49" applyFont="1" applyFill="1" applyBorder="1" applyAlignment="1" applyProtection="1">
      <alignment horizontal="left"/>
    </xf>
    <xf numFmtId="0" fontId="22" fillId="9" borderId="2" xfId="49" applyFont="1" applyFill="1" applyBorder="1" applyProtection="1"/>
    <xf numFmtId="177" fontId="22" fillId="9" borderId="2" xfId="1" applyNumberFormat="1" applyFont="1" applyFill="1" applyBorder="1" applyAlignment="1" applyProtection="1"/>
    <xf numFmtId="0" fontId="22" fillId="6" borderId="2" xfId="49" applyFont="1" applyFill="1" applyBorder="1" applyProtection="1"/>
    <xf numFmtId="177" fontId="22" fillId="6" borderId="2" xfId="1" applyNumberFormat="1" applyFont="1" applyFill="1" applyBorder="1" applyAlignment="1" applyProtection="1"/>
    <xf numFmtId="0" fontId="22" fillId="6" borderId="2" xfId="49" applyNumberFormat="1" applyFont="1" applyFill="1" applyBorder="1" applyAlignment="1" applyProtection="1">
      <alignment horizontal="left"/>
    </xf>
    <xf numFmtId="1" fontId="22" fillId="6" borderId="2" xfId="49" applyNumberFormat="1" applyFont="1" applyFill="1" applyBorder="1" applyProtection="1"/>
    <xf numFmtId="1" fontId="22" fillId="6" borderId="2" xfId="49" applyNumberFormat="1" applyFont="1" applyFill="1" applyBorder="1" applyAlignment="1" applyProtection="1">
      <alignment horizontal="left"/>
    </xf>
    <xf numFmtId="0" fontId="22" fillId="6" borderId="10" xfId="49" applyFont="1" applyFill="1" applyBorder="1" applyProtection="1"/>
    <xf numFmtId="0" fontId="22" fillId="6" borderId="11" xfId="49" applyFont="1" applyFill="1" applyBorder="1" applyProtection="1"/>
    <xf numFmtId="0" fontId="22" fillId="6" borderId="12" xfId="49" applyFont="1" applyFill="1" applyBorder="1" applyProtection="1"/>
    <xf numFmtId="0" fontId="22" fillId="6" borderId="0" xfId="49" applyFont="1" applyFill="1" applyBorder="1" applyProtection="1"/>
    <xf numFmtId="181" fontId="22" fillId="6" borderId="0" xfId="49" applyNumberFormat="1" applyFont="1" applyFill="1" applyBorder="1" applyProtection="1"/>
    <xf numFmtId="10" fontId="22" fillId="6" borderId="0" xfId="49" applyNumberFormat="1" applyFont="1" applyFill="1" applyBorder="1" applyProtection="1"/>
    <xf numFmtId="1" fontId="22" fillId="6" borderId="0" xfId="49" applyNumberFormat="1" applyFont="1" applyFill="1" applyBorder="1" applyProtection="1"/>
    <xf numFmtId="0" fontId="22" fillId="6" borderId="13" xfId="49" applyFont="1" applyFill="1" applyBorder="1" applyProtection="1"/>
    <xf numFmtId="0" fontId="22" fillId="6" borderId="1" xfId="49" applyFont="1" applyFill="1" applyBorder="1" applyProtection="1"/>
    <xf numFmtId="2" fontId="22" fillId="6" borderId="1" xfId="49" applyNumberFormat="1" applyFont="1" applyFill="1" applyBorder="1" applyProtection="1"/>
    <xf numFmtId="0" fontId="22" fillId="6" borderId="5" xfId="49" applyFont="1" applyFill="1" applyBorder="1"/>
    <xf numFmtId="1" fontId="22" fillId="6" borderId="7" xfId="54" applyFont="1" applyFill="1" applyBorder="1" applyAlignment="1">
      <alignment horizontal="center"/>
    </xf>
    <xf numFmtId="0" fontId="22" fillId="6" borderId="8" xfId="49" applyFont="1" applyFill="1" applyBorder="1" applyProtection="1"/>
    <xf numFmtId="0" fontId="22" fillId="6" borderId="14" xfId="49" applyFont="1" applyFill="1" applyBorder="1" applyProtection="1"/>
    <xf numFmtId="0" fontId="22" fillId="6" borderId="15" xfId="49" applyFont="1" applyFill="1" applyBorder="1" applyProtection="1"/>
    <xf numFmtId="0" fontId="37" fillId="0" borderId="0" xfId="0" applyFont="1">
      <alignment vertical="center"/>
    </xf>
    <xf numFmtId="0" fontId="38" fillId="0" borderId="2" xfId="0" applyFont="1" applyBorder="1" applyAlignment="1">
      <alignment horizontal="center" vertical="center" wrapText="1" readingOrder="1"/>
    </xf>
    <xf numFmtId="0" fontId="37" fillId="0" borderId="0" xfId="0" applyFont="1" applyFill="1">
      <alignment vertical="center"/>
    </xf>
    <xf numFmtId="0" fontId="16" fillId="0" borderId="2" xfId="0" applyFont="1" applyBorder="1" applyAlignment="1">
      <alignment horizontal="center" vertical="center" wrapText="1" readingOrder="1"/>
    </xf>
    <xf numFmtId="0" fontId="39" fillId="0" borderId="2" xfId="0" applyFont="1" applyBorder="1" applyAlignment="1">
      <alignment horizontal="left" vertical="center" wrapText="1" readingOrder="1"/>
    </xf>
    <xf numFmtId="0" fontId="16" fillId="0" borderId="6" xfId="0" applyFont="1" applyBorder="1" applyAlignment="1">
      <alignment horizontal="center" vertical="center" wrapText="1" readingOrder="1"/>
    </xf>
    <xf numFmtId="0" fontId="39" fillId="0" borderId="2" xfId="0" applyFont="1" applyFill="1" applyBorder="1" applyAlignment="1">
      <alignment horizontal="left" vertical="center" wrapText="1" readingOrder="1"/>
    </xf>
    <xf numFmtId="0" fontId="16" fillId="0" borderId="9" xfId="0" applyFont="1" applyBorder="1" applyAlignment="1">
      <alignment horizontal="center" vertical="center" wrapText="1" readingOrder="1"/>
    </xf>
    <xf numFmtId="0" fontId="39" fillId="0" borderId="2" xfId="0" applyFont="1" applyBorder="1" applyAlignment="1">
      <alignment horizontal="center" vertical="center" wrapText="1" readingOrder="1"/>
    </xf>
    <xf numFmtId="0" fontId="39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79;&#24069;&#24231;&#26885;G&#29256;&#24037;&#33402;BOM&#28165;&#21333;-2080&amp;1880&#37197;&#32622;&#27719;&#24635;-&#23458;&#25143;&#26032;&#22686;&#37197;&#32622;-20240122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配置信息表"/>
      <sheetName val="驾驶员首页"/>
      <sheetName val="2080&amp;1880驾驶员座总成工艺清单"/>
      <sheetName val="2080副座椅总成首页"/>
      <sheetName val="副驾2080-工艺BOM"/>
      <sheetName val="1880副座椅总成首页"/>
      <sheetName val="副驾1880-工艺BOM20220608"/>
      <sheetName val="统帅护面BOM"/>
      <sheetName val="统帅护面BOM (2)"/>
    </sheetNames>
    <sheetDataSet>
      <sheetData sheetId="0"/>
      <sheetData sheetId="1"/>
      <sheetData sheetId="2">
        <row r="7">
          <cell r="CP7">
            <v>328.69393093223</v>
          </cell>
          <cell r="CQ7">
            <v>504.04553093223</v>
          </cell>
          <cell r="CR7">
            <v>669.13032693223</v>
          </cell>
          <cell r="CS7">
            <v>382.54692093223</v>
          </cell>
          <cell r="CT7">
            <v>557.89852093223</v>
          </cell>
          <cell r="CU7">
            <v>722.98331693223</v>
          </cell>
        </row>
        <row r="7">
          <cell r="CW7">
            <v>506.14878453223</v>
          </cell>
          <cell r="CX7">
            <v>673.05176053223</v>
          </cell>
        </row>
        <row r="7">
          <cell r="DA7">
            <v>726.90475053223</v>
          </cell>
        </row>
      </sheetData>
      <sheetData sheetId="3"/>
      <sheetData sheetId="4">
        <row r="7">
          <cell r="BR7">
            <v>367.074058557028</v>
          </cell>
          <cell r="BS7">
            <v>371.031778557028</v>
          </cell>
        </row>
      </sheetData>
      <sheetData sheetId="5"/>
      <sheetData sheetId="6">
        <row r="7">
          <cell r="BU7">
            <v>293.458484477173</v>
          </cell>
          <cell r="BV7">
            <v>297.259736477173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51" customFormat="1" ht="35.25" customHeight="1" spans="1:4">
      <c r="A2" s="252" t="s">
        <v>0</v>
      </c>
      <c r="B2" s="252" t="s">
        <v>1</v>
      </c>
      <c r="C2" s="252" t="s">
        <v>2</v>
      </c>
      <c r="D2" s="253"/>
    </row>
    <row r="3" s="251" customFormat="1" ht="33.75" customHeight="1" spans="1:4">
      <c r="A3" s="254">
        <v>1</v>
      </c>
      <c r="B3" s="254" t="s">
        <v>3</v>
      </c>
      <c r="C3" s="255" t="s">
        <v>4</v>
      </c>
      <c r="D3" s="253"/>
    </row>
    <row r="4" s="251" customFormat="1" ht="33.75" customHeight="1" spans="1:3">
      <c r="A4" s="254">
        <v>2</v>
      </c>
      <c r="B4" s="254" t="s">
        <v>5</v>
      </c>
      <c r="C4" s="255" t="s">
        <v>6</v>
      </c>
    </row>
    <row r="5" s="251" customFormat="1" ht="33.75" customHeight="1" spans="1:3">
      <c r="A5" s="254">
        <v>3</v>
      </c>
      <c r="B5" s="256" t="s">
        <v>7</v>
      </c>
      <c r="C5" s="257" t="s">
        <v>8</v>
      </c>
    </row>
    <row r="6" s="251" customFormat="1" ht="33.75" customHeight="1" spans="1:3">
      <c r="A6" s="254">
        <v>4</v>
      </c>
      <c r="B6" s="258"/>
      <c r="C6" s="255" t="s">
        <v>9</v>
      </c>
    </row>
    <row r="7" s="251" customFormat="1" ht="33.75" customHeight="1" spans="1:3">
      <c r="A7" s="254">
        <v>5</v>
      </c>
      <c r="B7" s="259" t="s">
        <v>10</v>
      </c>
      <c r="C7" s="255" t="s">
        <v>11</v>
      </c>
    </row>
    <row r="8" s="251" customFormat="1" ht="33.75" customHeight="1" spans="1:3">
      <c r="A8" s="254">
        <v>6</v>
      </c>
      <c r="B8" s="256" t="s">
        <v>12</v>
      </c>
      <c r="C8" s="255" t="s">
        <v>13</v>
      </c>
    </row>
    <row r="9" s="251" customFormat="1" ht="33.75" customHeight="1" spans="1:3">
      <c r="A9" s="254">
        <v>7</v>
      </c>
      <c r="B9" s="258"/>
      <c r="C9" s="255" t="s">
        <v>14</v>
      </c>
    </row>
    <row r="10" s="251" customFormat="1" ht="33.75" customHeight="1" spans="1:3">
      <c r="A10" s="254">
        <v>8</v>
      </c>
      <c r="B10" s="258"/>
      <c r="C10" s="257" t="s">
        <v>15</v>
      </c>
    </row>
    <row r="11" s="251" customFormat="1" ht="33.75" customHeight="1" spans="1:3">
      <c r="A11" s="254">
        <v>9</v>
      </c>
      <c r="B11" s="258"/>
      <c r="C11" s="255" t="s">
        <v>16</v>
      </c>
    </row>
    <row r="12" s="251" customFormat="1" ht="33.75" customHeight="1" spans="1:3">
      <c r="A12" s="254">
        <v>10</v>
      </c>
      <c r="B12" s="259" t="s">
        <v>17</v>
      </c>
      <c r="C12" s="255" t="s">
        <v>18</v>
      </c>
    </row>
    <row r="13" ht="33.75" customHeight="1"/>
    <row r="14" ht="33.75" customHeight="1"/>
    <row r="15" ht="33.75" customHeight="1" spans="3:3">
      <c r="C15" s="260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266</v>
      </c>
      <c r="C1" s="25" t="s">
        <v>267</v>
      </c>
      <c r="D1" s="25" t="s">
        <v>268</v>
      </c>
    </row>
    <row r="2" ht="19.5" customHeight="1" spans="1:4">
      <c r="A2" s="25">
        <v>1</v>
      </c>
      <c r="B2" s="26" t="s">
        <v>269</v>
      </c>
      <c r="C2" s="27" t="s">
        <v>270</v>
      </c>
      <c r="D2" s="25"/>
    </row>
    <row r="3" ht="36" customHeight="1" spans="1:4">
      <c r="A3" s="25">
        <v>2</v>
      </c>
      <c r="B3" s="26" t="s">
        <v>271</v>
      </c>
      <c r="C3" s="28" t="s">
        <v>272</v>
      </c>
      <c r="D3" s="25" t="s">
        <v>273</v>
      </c>
    </row>
    <row r="4" ht="19.5" customHeight="1" spans="1:4">
      <c r="A4" s="25">
        <v>3</v>
      </c>
      <c r="B4" s="26" t="s">
        <v>274</v>
      </c>
      <c r="C4" s="27" t="s">
        <v>275</v>
      </c>
      <c r="D4" s="25"/>
    </row>
    <row r="5" ht="42.75" customHeight="1" spans="1:4">
      <c r="A5" s="25">
        <v>4</v>
      </c>
      <c r="B5" s="26" t="s">
        <v>276</v>
      </c>
      <c r="C5" s="27"/>
      <c r="D5" s="25"/>
    </row>
    <row r="6" ht="39" customHeight="1" spans="1:4">
      <c r="A6" s="25">
        <v>5</v>
      </c>
      <c r="B6" s="26" t="s">
        <v>277</v>
      </c>
      <c r="C6" s="27"/>
      <c r="D6" s="25"/>
    </row>
    <row r="7" ht="27.75" customHeight="1" spans="1:3">
      <c r="A7" s="25">
        <v>6</v>
      </c>
      <c r="B7" s="25" t="s">
        <v>278</v>
      </c>
      <c r="C7" s="28" t="s">
        <v>279</v>
      </c>
    </row>
    <row r="8" ht="36" customHeight="1" spans="1:4">
      <c r="A8" s="25">
        <v>7</v>
      </c>
      <c r="B8" s="26" t="s">
        <v>280</v>
      </c>
      <c r="C8" s="29" t="s">
        <v>281</v>
      </c>
      <c r="D8" s="25"/>
    </row>
    <row r="9" ht="34.5" customHeight="1" spans="1:4">
      <c r="A9" s="25">
        <v>8</v>
      </c>
      <c r="B9" s="25" t="s">
        <v>282</v>
      </c>
      <c r="C9" s="30">
        <v>0.003</v>
      </c>
      <c r="D9" s="25"/>
    </row>
    <row r="10" ht="34.5" customHeight="1" spans="1:4">
      <c r="A10" s="25">
        <v>9</v>
      </c>
      <c r="B10" s="25" t="s">
        <v>283</v>
      </c>
      <c r="C10" s="29" t="s">
        <v>284</v>
      </c>
      <c r="D10" s="25"/>
    </row>
    <row r="11" ht="34.5" customHeight="1" spans="1:4">
      <c r="A11" s="25">
        <v>10</v>
      </c>
      <c r="B11" s="25" t="s">
        <v>285</v>
      </c>
      <c r="C11" s="29"/>
      <c r="D11" s="25" t="s">
        <v>286</v>
      </c>
    </row>
    <row r="12" ht="34.5" customHeight="1" spans="1:4">
      <c r="A12" s="25">
        <v>11</v>
      </c>
      <c r="B12" s="25" t="s">
        <v>287</v>
      </c>
      <c r="C12" s="29"/>
      <c r="D12" s="25"/>
    </row>
    <row r="13" ht="24" customHeight="1" spans="1:4">
      <c r="A13" s="25">
        <v>12</v>
      </c>
      <c r="B13" s="26" t="s">
        <v>288</v>
      </c>
      <c r="C13" s="29" t="s">
        <v>289</v>
      </c>
      <c r="D13" s="25"/>
    </row>
    <row r="14" ht="24" customHeight="1" spans="1:4">
      <c r="A14" s="25">
        <v>13</v>
      </c>
      <c r="B14" s="26" t="s">
        <v>290</v>
      </c>
      <c r="C14" s="29" t="s">
        <v>291</v>
      </c>
      <c r="D14" s="25"/>
    </row>
    <row r="15" ht="24" customHeight="1" spans="1:4">
      <c r="A15" s="25">
        <v>14</v>
      </c>
      <c r="B15" s="26" t="s">
        <v>292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293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79"/>
  <sheetViews>
    <sheetView zoomScale="85" zoomScaleNormal="85" workbookViewId="0">
      <selection activeCell="I171" sqref="I171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294</v>
      </c>
      <c r="H1" s="4"/>
      <c r="I1" s="21" t="str">
        <f>销量!C6</f>
        <v>LZ161251000601</v>
      </c>
    </row>
    <row r="2" ht="39" customHeight="1" spans="1:9">
      <c r="A2" s="5" t="s">
        <v>295</v>
      </c>
      <c r="B2" s="5"/>
      <c r="C2" s="6" t="s">
        <v>296</v>
      </c>
      <c r="D2" s="7"/>
      <c r="E2" s="7"/>
      <c r="F2" s="7"/>
      <c r="G2" s="7"/>
      <c r="H2" s="8"/>
      <c r="I2" s="3" t="s">
        <v>297</v>
      </c>
    </row>
    <row r="3" ht="34.5" customHeight="1" spans="1:9">
      <c r="A3" s="5"/>
      <c r="B3" s="5"/>
      <c r="C3" s="9" t="s">
        <v>298</v>
      </c>
      <c r="D3" s="9" t="s">
        <v>299</v>
      </c>
      <c r="E3" s="9" t="s">
        <v>300</v>
      </c>
      <c r="F3" s="10" t="s">
        <v>301</v>
      </c>
      <c r="G3" s="10" t="s">
        <v>302</v>
      </c>
      <c r="H3" s="10" t="s">
        <v>303</v>
      </c>
      <c r="I3" s="22">
        <f>销量!C8</f>
        <v>350</v>
      </c>
    </row>
    <row r="4" ht="24" customHeight="1" spans="1:9">
      <c r="A4" s="11" t="s">
        <v>304</v>
      </c>
      <c r="B4" s="11"/>
      <c r="C4" s="12"/>
      <c r="D4" s="13"/>
      <c r="E4" s="14">
        <f>I3*I4</f>
        <v>15.085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305</v>
      </c>
      <c r="B5" s="11" t="s">
        <v>306</v>
      </c>
      <c r="C5" s="12"/>
      <c r="D5" s="13"/>
      <c r="E5" s="14">
        <f>$I$3*I5</f>
        <v>14.35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307</v>
      </c>
      <c r="C6" s="12"/>
      <c r="D6" s="13"/>
      <c r="E6" s="14">
        <f>$I$3*I6</f>
        <v>7.595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308</v>
      </c>
      <c r="B7" s="8"/>
      <c r="C7" s="16"/>
      <c r="D7" s="17"/>
      <c r="E7" s="14">
        <f t="shared" ref="E7:E11" si="0">$I$3*I7</f>
        <v>37.03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85</v>
      </c>
      <c r="B8" s="11"/>
      <c r="C8" s="12"/>
      <c r="D8" s="13"/>
      <c r="E8" s="14">
        <f t="shared" si="0"/>
        <v>11.9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309</v>
      </c>
      <c r="B9" s="11" t="s">
        <v>306</v>
      </c>
      <c r="C9" s="12"/>
      <c r="D9" s="13"/>
      <c r="E9" s="14">
        <f t="shared" si="0"/>
        <v>2.45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307</v>
      </c>
      <c r="C10" s="12"/>
      <c r="D10" s="13"/>
      <c r="E10" s="14">
        <f t="shared" si="0"/>
        <v>15.4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88</v>
      </c>
      <c r="B11" s="11"/>
      <c r="C11" s="12"/>
      <c r="D11" s="13"/>
      <c r="E11" s="14">
        <f t="shared" si="0"/>
        <v>10.5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294</v>
      </c>
      <c r="H13" s="4"/>
      <c r="I13" s="23" t="str">
        <f>销量!D6</f>
        <v>LZ161251000621</v>
      </c>
    </row>
    <row r="14" ht="39" customHeight="1" spans="1:9">
      <c r="A14" s="5" t="s">
        <v>295</v>
      </c>
      <c r="B14" s="5"/>
      <c r="C14" s="6" t="s">
        <v>296</v>
      </c>
      <c r="D14" s="7"/>
      <c r="E14" s="7"/>
      <c r="F14" s="7"/>
      <c r="G14" s="7"/>
      <c r="H14" s="8"/>
      <c r="I14" s="3" t="s">
        <v>297</v>
      </c>
    </row>
    <row r="15" ht="34.5" customHeight="1" spans="1:9">
      <c r="A15" s="5"/>
      <c r="B15" s="5"/>
      <c r="C15" s="9" t="s">
        <v>298</v>
      </c>
      <c r="D15" s="9" t="s">
        <v>299</v>
      </c>
      <c r="E15" s="9" t="s">
        <v>300</v>
      </c>
      <c r="F15" s="10" t="s">
        <v>301</v>
      </c>
      <c r="G15" s="10" t="s">
        <v>302</v>
      </c>
      <c r="H15" s="10" t="s">
        <v>303</v>
      </c>
      <c r="I15" s="22">
        <f>销量!D8</f>
        <v>340</v>
      </c>
    </row>
    <row r="16" ht="24" customHeight="1" spans="1:9">
      <c r="A16" s="11" t="s">
        <v>304</v>
      </c>
      <c r="B16" s="11"/>
      <c r="C16" s="12"/>
      <c r="D16" s="13"/>
      <c r="E16" s="14">
        <f>I15*I16</f>
        <v>14.654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305</v>
      </c>
      <c r="B17" s="11" t="s">
        <v>306</v>
      </c>
      <c r="C17" s="12"/>
      <c r="D17" s="13"/>
      <c r="E17" s="14">
        <f>$I$15*I17</f>
        <v>13.94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307</v>
      </c>
      <c r="C18" s="12"/>
      <c r="D18" s="13"/>
      <c r="E18" s="14">
        <f t="shared" ref="E18:E23" si="1">$I$15*I18</f>
        <v>7.378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308</v>
      </c>
      <c r="B19" s="8"/>
      <c r="C19" s="16"/>
      <c r="D19" s="17"/>
      <c r="E19" s="14">
        <f t="shared" si="1"/>
        <v>35.972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85</v>
      </c>
      <c r="B20" s="11"/>
      <c r="C20" s="12"/>
      <c r="D20" s="13"/>
      <c r="E20" s="14">
        <f t="shared" si="1"/>
        <v>11.56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309</v>
      </c>
      <c r="B21" s="11" t="s">
        <v>306</v>
      </c>
      <c r="C21" s="12"/>
      <c r="D21" s="13"/>
      <c r="E21" s="14">
        <f t="shared" si="1"/>
        <v>2.38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307</v>
      </c>
      <c r="C22" s="12"/>
      <c r="D22" s="13"/>
      <c r="E22" s="14">
        <f t="shared" si="1"/>
        <v>14.96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88</v>
      </c>
      <c r="B23" s="11"/>
      <c r="C23" s="12"/>
      <c r="D23" s="13"/>
      <c r="E23" s="14">
        <f t="shared" si="1"/>
        <v>10.2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294</v>
      </c>
      <c r="H26" s="4"/>
      <c r="I26" s="23" t="str">
        <f>销量!E6</f>
        <v>LZ161351000601</v>
      </c>
    </row>
    <row r="27" ht="39" customHeight="1" spans="1:9">
      <c r="A27" s="5" t="s">
        <v>295</v>
      </c>
      <c r="B27" s="5"/>
      <c r="C27" s="6" t="s">
        <v>296</v>
      </c>
      <c r="D27" s="7"/>
      <c r="E27" s="7"/>
      <c r="F27" s="7"/>
      <c r="G27" s="7"/>
      <c r="H27" s="8"/>
      <c r="I27" s="3" t="s">
        <v>297</v>
      </c>
    </row>
    <row r="28" ht="34.5" customHeight="1" spans="1:9">
      <c r="A28" s="5"/>
      <c r="B28" s="5"/>
      <c r="C28" s="9" t="s">
        <v>298</v>
      </c>
      <c r="D28" s="9" t="s">
        <v>299</v>
      </c>
      <c r="E28" s="9" t="s">
        <v>300</v>
      </c>
      <c r="F28" s="10" t="s">
        <v>301</v>
      </c>
      <c r="G28" s="10" t="s">
        <v>302</v>
      </c>
      <c r="H28" s="10" t="s">
        <v>303</v>
      </c>
      <c r="I28" s="22">
        <f>销量!E8</f>
        <v>369</v>
      </c>
    </row>
    <row r="29" ht="24" customHeight="1" spans="1:9">
      <c r="A29" s="11" t="s">
        <v>304</v>
      </c>
      <c r="B29" s="11"/>
      <c r="C29" s="12"/>
      <c r="D29" s="13"/>
      <c r="E29" s="14">
        <f>I28*I29</f>
        <v>15.9039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305</v>
      </c>
      <c r="B30" s="11" t="s">
        <v>306</v>
      </c>
      <c r="C30" s="12"/>
      <c r="D30" s="13"/>
      <c r="E30" s="14">
        <f t="shared" ref="E30:E36" si="2">$I$28*I30</f>
        <v>15.129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307</v>
      </c>
      <c r="C31" s="12"/>
      <c r="D31" s="13"/>
      <c r="E31" s="14">
        <f t="shared" si="2"/>
        <v>8.0073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308</v>
      </c>
      <c r="B32" s="8"/>
      <c r="C32" s="16"/>
      <c r="D32" s="17"/>
      <c r="E32" s="14">
        <f t="shared" si="2"/>
        <v>39.0402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85</v>
      </c>
      <c r="B33" s="11"/>
      <c r="C33" s="12"/>
      <c r="D33" s="13"/>
      <c r="E33" s="14">
        <f t="shared" si="2"/>
        <v>12.546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309</v>
      </c>
      <c r="B34" s="11" t="s">
        <v>306</v>
      </c>
      <c r="C34" s="12"/>
      <c r="D34" s="13"/>
      <c r="E34" s="14">
        <f t="shared" si="2"/>
        <v>2.583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307</v>
      </c>
      <c r="C35" s="12"/>
      <c r="D35" s="13"/>
      <c r="E35" s="14">
        <f t="shared" si="2"/>
        <v>16.236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88</v>
      </c>
      <c r="B36" s="11"/>
      <c r="C36" s="12"/>
      <c r="D36" s="13"/>
      <c r="E36" s="14">
        <f t="shared" si="2"/>
        <v>11.07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294</v>
      </c>
      <c r="H39" s="4"/>
      <c r="I39" s="23" t="str">
        <f>销量!F6</f>
        <v>LZ161351000621</v>
      </c>
    </row>
    <row r="40" ht="39" customHeight="1" spans="1:9">
      <c r="A40" s="5" t="s">
        <v>295</v>
      </c>
      <c r="B40" s="5"/>
      <c r="C40" s="6" t="s">
        <v>296</v>
      </c>
      <c r="D40" s="7"/>
      <c r="E40" s="7"/>
      <c r="F40" s="7"/>
      <c r="G40" s="7"/>
      <c r="H40" s="8"/>
      <c r="I40" s="3" t="s">
        <v>297</v>
      </c>
    </row>
    <row r="41" ht="34.5" customHeight="1" spans="1:9">
      <c r="A41" s="5"/>
      <c r="B41" s="5"/>
      <c r="C41" s="9" t="s">
        <v>298</v>
      </c>
      <c r="D41" s="9" t="s">
        <v>299</v>
      </c>
      <c r="E41" s="9" t="s">
        <v>300</v>
      </c>
      <c r="F41" s="10" t="s">
        <v>301</v>
      </c>
      <c r="G41" s="10" t="s">
        <v>302</v>
      </c>
      <c r="H41" s="10" t="s">
        <v>303</v>
      </c>
      <c r="I41" s="22">
        <f>销量!F8</f>
        <v>375</v>
      </c>
    </row>
    <row r="42" ht="24" customHeight="1" spans="1:9">
      <c r="A42" s="11" t="s">
        <v>304</v>
      </c>
      <c r="B42" s="11"/>
      <c r="C42" s="12"/>
      <c r="D42" s="13"/>
      <c r="E42" s="14">
        <f>I41*I42</f>
        <v>16.1625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305</v>
      </c>
      <c r="B43" s="11" t="s">
        <v>306</v>
      </c>
      <c r="C43" s="12"/>
      <c r="D43" s="13"/>
      <c r="E43" s="14">
        <f>$I$28*I43</f>
        <v>15.129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307</v>
      </c>
      <c r="C44" s="12"/>
      <c r="D44" s="13"/>
      <c r="E44" s="14">
        <f t="shared" ref="E44:E49" si="3">$I$28*I44</f>
        <v>8.0073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308</v>
      </c>
      <c r="B45" s="8"/>
      <c r="C45" s="16"/>
      <c r="D45" s="17"/>
      <c r="E45" s="14">
        <f t="shared" si="3"/>
        <v>39.0402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85</v>
      </c>
      <c r="B46" s="11"/>
      <c r="C46" s="12"/>
      <c r="D46" s="13"/>
      <c r="E46" s="14">
        <f t="shared" si="3"/>
        <v>12.546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309</v>
      </c>
      <c r="B47" s="11" t="s">
        <v>306</v>
      </c>
      <c r="C47" s="12"/>
      <c r="D47" s="13"/>
      <c r="E47" s="14">
        <f t="shared" si="3"/>
        <v>2.583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307</v>
      </c>
      <c r="C48" s="12"/>
      <c r="D48" s="13"/>
      <c r="E48" s="14">
        <f t="shared" si="3"/>
        <v>16.236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88</v>
      </c>
      <c r="B49" s="11"/>
      <c r="C49" s="12"/>
      <c r="D49" s="13"/>
      <c r="E49" s="14">
        <f t="shared" si="3"/>
        <v>11.07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294</v>
      </c>
      <c r="H52" s="4"/>
      <c r="I52" s="23" t="str">
        <f>销量!G6</f>
        <v>LZ161351000603</v>
      </c>
    </row>
    <row r="53" ht="39" customHeight="1" spans="1:9">
      <c r="A53" s="5" t="s">
        <v>295</v>
      </c>
      <c r="B53" s="5"/>
      <c r="C53" s="6" t="s">
        <v>296</v>
      </c>
      <c r="D53" s="7"/>
      <c r="E53" s="7"/>
      <c r="F53" s="7"/>
      <c r="G53" s="7"/>
      <c r="H53" s="8"/>
      <c r="I53" s="3" t="s">
        <v>297</v>
      </c>
    </row>
    <row r="54" ht="34.5" customHeight="1" spans="1:9">
      <c r="A54" s="5"/>
      <c r="B54" s="5"/>
      <c r="C54" s="9" t="s">
        <v>298</v>
      </c>
      <c r="D54" s="9" t="s">
        <v>299</v>
      </c>
      <c r="E54" s="9" t="s">
        <v>300</v>
      </c>
      <c r="F54" s="10" t="s">
        <v>301</v>
      </c>
      <c r="G54" s="10" t="s">
        <v>302</v>
      </c>
      <c r="H54" s="10" t="s">
        <v>303</v>
      </c>
      <c r="I54" s="22">
        <f>销量!G8</f>
        <v>780</v>
      </c>
    </row>
    <row r="55" ht="24" customHeight="1" spans="1:9">
      <c r="A55" s="11" t="s">
        <v>304</v>
      </c>
      <c r="B55" s="11"/>
      <c r="C55" s="12"/>
      <c r="D55" s="13"/>
      <c r="E55" s="14">
        <f>I54*I55</f>
        <v>33.618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305</v>
      </c>
      <c r="B56" s="11" t="s">
        <v>306</v>
      </c>
      <c r="C56" s="12"/>
      <c r="D56" s="13"/>
      <c r="E56" s="14">
        <f>$I$54*I56</f>
        <v>31.98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307</v>
      </c>
      <c r="C57" s="12"/>
      <c r="D57" s="13"/>
      <c r="E57" s="14">
        <f t="shared" ref="E57:E62" si="4">$I$54*I57</f>
        <v>16.926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308</v>
      </c>
      <c r="B58" s="8"/>
      <c r="C58" s="16"/>
      <c r="D58" s="17"/>
      <c r="E58" s="14">
        <f t="shared" si="4"/>
        <v>82.524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85</v>
      </c>
      <c r="B59" s="11"/>
      <c r="C59" s="12"/>
      <c r="D59" s="13"/>
      <c r="E59" s="14">
        <f t="shared" si="4"/>
        <v>26.52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309</v>
      </c>
      <c r="B60" s="11" t="s">
        <v>306</v>
      </c>
      <c r="C60" s="12"/>
      <c r="D60" s="13"/>
      <c r="E60" s="14">
        <f t="shared" si="4"/>
        <v>5.46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307</v>
      </c>
      <c r="C61" s="12"/>
      <c r="D61" s="13"/>
      <c r="E61" s="14">
        <f t="shared" si="4"/>
        <v>34.32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88</v>
      </c>
      <c r="B62" s="11"/>
      <c r="C62" s="12"/>
      <c r="D62" s="13"/>
      <c r="E62" s="14">
        <f t="shared" si="4"/>
        <v>23.4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294</v>
      </c>
      <c r="H65" s="4"/>
      <c r="I65" s="23" t="str">
        <f>销量!H6</f>
        <v>LZ161351000622</v>
      </c>
    </row>
    <row r="66" ht="39" customHeight="1" spans="1:9">
      <c r="A66" s="5" t="s">
        <v>295</v>
      </c>
      <c r="B66" s="5"/>
      <c r="C66" s="6" t="s">
        <v>296</v>
      </c>
      <c r="D66" s="7"/>
      <c r="E66" s="7"/>
      <c r="F66" s="7"/>
      <c r="G66" s="7"/>
      <c r="H66" s="8"/>
      <c r="I66" s="3" t="s">
        <v>297</v>
      </c>
    </row>
    <row r="67" ht="34.5" customHeight="1" spans="1:9">
      <c r="A67" s="5"/>
      <c r="B67" s="5"/>
      <c r="C67" s="9" t="s">
        <v>298</v>
      </c>
      <c r="D67" s="9" t="s">
        <v>299</v>
      </c>
      <c r="E67" s="9" t="s">
        <v>300</v>
      </c>
      <c r="F67" s="10" t="s">
        <v>301</v>
      </c>
      <c r="G67" s="10" t="s">
        <v>302</v>
      </c>
      <c r="H67" s="10" t="s">
        <v>303</v>
      </c>
      <c r="I67" s="22">
        <f>销量!H8</f>
        <v>390</v>
      </c>
    </row>
    <row r="68" ht="24" customHeight="1" spans="1:9">
      <c r="A68" s="11" t="s">
        <v>304</v>
      </c>
      <c r="B68" s="11"/>
      <c r="C68" s="12"/>
      <c r="D68" s="13"/>
      <c r="E68" s="14">
        <f>I67*I68</f>
        <v>16.809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305</v>
      </c>
      <c r="B69" s="11" t="s">
        <v>306</v>
      </c>
      <c r="C69" s="12"/>
      <c r="D69" s="13"/>
      <c r="E69" s="14">
        <f t="shared" ref="E69:E75" si="5">$I$67*I69</f>
        <v>15.99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307</v>
      </c>
      <c r="C70" s="12"/>
      <c r="D70" s="13"/>
      <c r="E70" s="14">
        <f t="shared" si="5"/>
        <v>8.463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308</v>
      </c>
      <c r="B71" s="8"/>
      <c r="C71" s="16"/>
      <c r="D71" s="17"/>
      <c r="E71" s="14">
        <f t="shared" si="5"/>
        <v>41.262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85</v>
      </c>
      <c r="B72" s="11"/>
      <c r="C72" s="12"/>
      <c r="D72" s="13"/>
      <c r="E72" s="14">
        <f t="shared" si="5"/>
        <v>13.26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309</v>
      </c>
      <c r="B73" s="11" t="s">
        <v>306</v>
      </c>
      <c r="C73" s="12"/>
      <c r="D73" s="13"/>
      <c r="E73" s="14">
        <f t="shared" si="5"/>
        <v>2.73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307</v>
      </c>
      <c r="C74" s="12"/>
      <c r="D74" s="13"/>
      <c r="E74" s="14">
        <f t="shared" si="5"/>
        <v>17.16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88</v>
      </c>
      <c r="B75" s="11"/>
      <c r="C75" s="12"/>
      <c r="D75" s="13"/>
      <c r="E75" s="14">
        <f t="shared" si="5"/>
        <v>11.7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294</v>
      </c>
      <c r="H78" s="4"/>
      <c r="I78" s="23" t="str">
        <f>销量!I6</f>
        <v>LZ161251000603</v>
      </c>
    </row>
    <row r="79" ht="39" customHeight="1" spans="1:9">
      <c r="A79" s="5" t="s">
        <v>295</v>
      </c>
      <c r="B79" s="5"/>
      <c r="C79" s="6" t="s">
        <v>296</v>
      </c>
      <c r="D79" s="7"/>
      <c r="E79" s="7"/>
      <c r="F79" s="7"/>
      <c r="G79" s="7"/>
      <c r="H79" s="8"/>
      <c r="I79" s="3" t="s">
        <v>297</v>
      </c>
    </row>
    <row r="80" ht="34.5" customHeight="1" spans="1:9">
      <c r="A80" s="5"/>
      <c r="B80" s="5"/>
      <c r="C80" s="9" t="s">
        <v>298</v>
      </c>
      <c r="D80" s="9" t="s">
        <v>299</v>
      </c>
      <c r="E80" s="9" t="s">
        <v>300</v>
      </c>
      <c r="F80" s="10" t="s">
        <v>301</v>
      </c>
      <c r="G80" s="10" t="s">
        <v>302</v>
      </c>
      <c r="H80" s="10" t="s">
        <v>303</v>
      </c>
      <c r="I80" s="22">
        <f>销量!I8</f>
        <v>760</v>
      </c>
    </row>
    <row r="81" ht="24" customHeight="1" spans="1:9">
      <c r="A81" s="11" t="s">
        <v>304</v>
      </c>
      <c r="B81" s="11"/>
      <c r="C81" s="12"/>
      <c r="D81" s="13"/>
      <c r="E81" s="14">
        <f>I80*I81</f>
        <v>32.756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305</v>
      </c>
      <c r="B82" s="11" t="s">
        <v>306</v>
      </c>
      <c r="C82" s="12"/>
      <c r="D82" s="13"/>
      <c r="E82" s="14">
        <f t="shared" ref="E82:E88" si="6">$I$80*I82</f>
        <v>31.16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307</v>
      </c>
      <c r="C83" s="12"/>
      <c r="D83" s="13"/>
      <c r="E83" s="14">
        <f t="shared" si="6"/>
        <v>16.492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308</v>
      </c>
      <c r="B84" s="8"/>
      <c r="C84" s="16"/>
      <c r="D84" s="17"/>
      <c r="E84" s="14">
        <f t="shared" si="6"/>
        <v>80.408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85</v>
      </c>
      <c r="B85" s="11"/>
      <c r="C85" s="12"/>
      <c r="D85" s="13"/>
      <c r="E85" s="14">
        <f t="shared" si="6"/>
        <v>25.84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309</v>
      </c>
      <c r="B86" s="11" t="s">
        <v>306</v>
      </c>
      <c r="C86" s="12"/>
      <c r="D86" s="13"/>
      <c r="E86" s="14">
        <f t="shared" si="6"/>
        <v>5.32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307</v>
      </c>
      <c r="C87" s="12"/>
      <c r="D87" s="13"/>
      <c r="E87" s="14">
        <f t="shared" si="6"/>
        <v>33.44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88</v>
      </c>
      <c r="B88" s="11"/>
      <c r="C88" s="12"/>
      <c r="D88" s="13"/>
      <c r="E88" s="14">
        <f t="shared" si="6"/>
        <v>22.8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294</v>
      </c>
      <c r="H91" s="4"/>
      <c r="I91" s="23" t="str">
        <f>销量!J6</f>
        <v>LZ161251000622</v>
      </c>
    </row>
    <row r="92" ht="39" customHeight="1" spans="1:9">
      <c r="A92" s="5" t="s">
        <v>295</v>
      </c>
      <c r="B92" s="5"/>
      <c r="C92" s="6" t="s">
        <v>296</v>
      </c>
      <c r="D92" s="7"/>
      <c r="E92" s="7"/>
      <c r="F92" s="7"/>
      <c r="G92" s="7"/>
      <c r="H92" s="8"/>
      <c r="I92" s="3" t="s">
        <v>297</v>
      </c>
    </row>
    <row r="93" ht="34.5" customHeight="1" spans="1:9">
      <c r="A93" s="5"/>
      <c r="B93" s="5"/>
      <c r="C93" s="9" t="s">
        <v>298</v>
      </c>
      <c r="D93" s="9" t="s">
        <v>299</v>
      </c>
      <c r="E93" s="9" t="s">
        <v>300</v>
      </c>
      <c r="F93" s="10" t="s">
        <v>301</v>
      </c>
      <c r="G93" s="10" t="s">
        <v>302</v>
      </c>
      <c r="H93" s="10" t="s">
        <v>303</v>
      </c>
      <c r="I93" s="22">
        <f>销量!J8</f>
        <v>345</v>
      </c>
    </row>
    <row r="94" ht="24" customHeight="1" spans="1:9">
      <c r="A94" s="11" t="s">
        <v>304</v>
      </c>
      <c r="B94" s="11"/>
      <c r="C94" s="12"/>
      <c r="D94" s="13"/>
      <c r="E94" s="14">
        <f>I93*I94</f>
        <v>14.8695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305</v>
      </c>
      <c r="B95" s="11" t="s">
        <v>306</v>
      </c>
      <c r="C95" s="12"/>
      <c r="D95" s="13"/>
      <c r="E95" s="14">
        <f>$I$93*I95</f>
        <v>14.145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307</v>
      </c>
      <c r="C96" s="12"/>
      <c r="D96" s="13"/>
      <c r="E96" s="14">
        <f t="shared" ref="E96:E101" si="7">$I$93*I96</f>
        <v>7.4865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308</v>
      </c>
      <c r="B97" s="8"/>
      <c r="C97" s="16"/>
      <c r="D97" s="17"/>
      <c r="E97" s="14">
        <f t="shared" si="7"/>
        <v>36.501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85</v>
      </c>
      <c r="B98" s="11"/>
      <c r="C98" s="12"/>
      <c r="D98" s="13"/>
      <c r="E98" s="14">
        <f t="shared" si="7"/>
        <v>11.73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309</v>
      </c>
      <c r="B99" s="11" t="s">
        <v>306</v>
      </c>
      <c r="C99" s="12"/>
      <c r="D99" s="13"/>
      <c r="E99" s="14">
        <f t="shared" si="7"/>
        <v>2.415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307</v>
      </c>
      <c r="C100" s="12"/>
      <c r="D100" s="13"/>
      <c r="E100" s="14">
        <f t="shared" si="7"/>
        <v>15.18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88</v>
      </c>
      <c r="B101" s="11"/>
      <c r="C101" s="12"/>
      <c r="D101" s="13"/>
      <c r="E101" s="14">
        <f t="shared" si="7"/>
        <v>10.35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294</v>
      </c>
      <c r="H104" s="4"/>
      <c r="I104" s="23" t="str">
        <f>销量!K6</f>
        <v>LZ161351000602</v>
      </c>
    </row>
    <row r="105" ht="39" customHeight="1" spans="1:9">
      <c r="A105" s="5" t="s">
        <v>295</v>
      </c>
      <c r="B105" s="5"/>
      <c r="C105" s="6" t="s">
        <v>296</v>
      </c>
      <c r="D105" s="7"/>
      <c r="E105" s="7"/>
      <c r="F105" s="7"/>
      <c r="G105" s="7"/>
      <c r="H105" s="8"/>
      <c r="I105" s="3" t="s">
        <v>297</v>
      </c>
    </row>
    <row r="106" ht="34.5" customHeight="1" spans="1:9">
      <c r="A106" s="5"/>
      <c r="B106" s="5"/>
      <c r="C106" s="9" t="s">
        <v>298</v>
      </c>
      <c r="D106" s="9" t="s">
        <v>299</v>
      </c>
      <c r="E106" s="9" t="s">
        <v>300</v>
      </c>
      <c r="F106" s="10" t="s">
        <v>301</v>
      </c>
      <c r="G106" s="10" t="s">
        <v>302</v>
      </c>
      <c r="H106" s="10" t="s">
        <v>303</v>
      </c>
      <c r="I106" s="22">
        <f>销量!K8</f>
        <v>570</v>
      </c>
    </row>
    <row r="107" ht="24" customHeight="1" spans="1:9">
      <c r="A107" s="11" t="s">
        <v>304</v>
      </c>
      <c r="B107" s="11"/>
      <c r="C107" s="12"/>
      <c r="D107" s="13"/>
      <c r="E107" s="14">
        <f>I106*I107</f>
        <v>24.567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305</v>
      </c>
      <c r="B108" s="11" t="s">
        <v>306</v>
      </c>
      <c r="C108" s="12"/>
      <c r="D108" s="13"/>
      <c r="E108" s="14">
        <f t="shared" ref="E108:E114" si="8">$I$106*I108</f>
        <v>23.37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307</v>
      </c>
      <c r="C109" s="12"/>
      <c r="D109" s="13"/>
      <c r="E109" s="14">
        <f t="shared" si="8"/>
        <v>12.369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308</v>
      </c>
      <c r="B110" s="8"/>
      <c r="C110" s="16"/>
      <c r="D110" s="17"/>
      <c r="E110" s="14">
        <f t="shared" si="8"/>
        <v>60.306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85</v>
      </c>
      <c r="B111" s="11"/>
      <c r="C111" s="12"/>
      <c r="D111" s="13"/>
      <c r="E111" s="14">
        <f t="shared" si="8"/>
        <v>19.38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309</v>
      </c>
      <c r="B112" s="11" t="s">
        <v>306</v>
      </c>
      <c r="C112" s="12"/>
      <c r="D112" s="13"/>
      <c r="E112" s="14">
        <f t="shared" si="8"/>
        <v>3.99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307</v>
      </c>
      <c r="C113" s="12"/>
      <c r="D113" s="13"/>
      <c r="E113" s="14">
        <f t="shared" si="8"/>
        <v>25.08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88</v>
      </c>
      <c r="B114" s="11"/>
      <c r="C114" s="12"/>
      <c r="D114" s="13"/>
      <c r="E114" s="14">
        <f t="shared" si="8"/>
        <v>17.1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294</v>
      </c>
      <c r="H117" s="4"/>
      <c r="I117" s="23" t="str">
        <f>销量!L6</f>
        <v>LZ161251000602</v>
      </c>
    </row>
    <row r="118" ht="39" customHeight="1" spans="1:9">
      <c r="A118" s="5" t="s">
        <v>295</v>
      </c>
      <c r="B118" s="5"/>
      <c r="C118" s="6" t="s">
        <v>296</v>
      </c>
      <c r="D118" s="7"/>
      <c r="E118" s="7"/>
      <c r="F118" s="7"/>
      <c r="G118" s="7"/>
      <c r="H118" s="8"/>
      <c r="I118" s="3" t="s">
        <v>297</v>
      </c>
    </row>
    <row r="119" ht="34.5" customHeight="1" spans="1:9">
      <c r="A119" s="5"/>
      <c r="B119" s="5"/>
      <c r="C119" s="9" t="s">
        <v>298</v>
      </c>
      <c r="D119" s="9" t="s">
        <v>299</v>
      </c>
      <c r="E119" s="9" t="s">
        <v>300</v>
      </c>
      <c r="F119" s="10" t="s">
        <v>301</v>
      </c>
      <c r="G119" s="10" t="s">
        <v>302</v>
      </c>
      <c r="H119" s="10" t="s">
        <v>303</v>
      </c>
      <c r="I119" s="22">
        <f>销量!L8</f>
        <v>550</v>
      </c>
    </row>
    <row r="120" ht="24" customHeight="1" spans="1:9">
      <c r="A120" s="11" t="s">
        <v>304</v>
      </c>
      <c r="B120" s="11"/>
      <c r="C120" s="12"/>
      <c r="D120" s="13"/>
      <c r="E120" s="14">
        <f>I119*I120</f>
        <v>23.705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305</v>
      </c>
      <c r="B121" s="11" t="s">
        <v>306</v>
      </c>
      <c r="C121" s="12"/>
      <c r="D121" s="13"/>
      <c r="E121" s="14">
        <f>$I$119*I121</f>
        <v>22.55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307</v>
      </c>
      <c r="C122" s="12"/>
      <c r="D122" s="13"/>
      <c r="E122" s="14">
        <f t="shared" ref="E122:E127" si="9">$I$119*I122</f>
        <v>11.935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308</v>
      </c>
      <c r="B123" s="8"/>
      <c r="C123" s="16"/>
      <c r="D123" s="17"/>
      <c r="E123" s="14">
        <f t="shared" si="9"/>
        <v>58.19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85</v>
      </c>
      <c r="B124" s="11"/>
      <c r="C124" s="12"/>
      <c r="D124" s="13"/>
      <c r="E124" s="14">
        <f t="shared" si="9"/>
        <v>18.7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309</v>
      </c>
      <c r="B125" s="11" t="s">
        <v>306</v>
      </c>
      <c r="C125" s="12"/>
      <c r="D125" s="13"/>
      <c r="E125" s="14">
        <f t="shared" si="9"/>
        <v>3.85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307</v>
      </c>
      <c r="C126" s="12"/>
      <c r="D126" s="13"/>
      <c r="E126" s="14">
        <f t="shared" si="9"/>
        <v>24.2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88</v>
      </c>
      <c r="B127" s="11"/>
      <c r="C127" s="12"/>
      <c r="D127" s="13"/>
      <c r="E127" s="14">
        <f t="shared" si="9"/>
        <v>16.5</v>
      </c>
      <c r="F127" s="14"/>
      <c r="G127" s="14"/>
      <c r="H127" s="15">
        <v>0.011</v>
      </c>
      <c r="I127" s="3">
        <v>0.03</v>
      </c>
    </row>
    <row r="130" s="1" customFormat="1" ht="18.75" customHeight="1" spans="7:9">
      <c r="G130" s="4" t="s">
        <v>294</v>
      </c>
      <c r="H130" s="4"/>
      <c r="I130" s="23" t="str">
        <f>销量!M6</f>
        <v>LZ161251000703</v>
      </c>
    </row>
    <row r="131" ht="39" customHeight="1" spans="1:9">
      <c r="A131" s="5" t="s">
        <v>295</v>
      </c>
      <c r="B131" s="5"/>
      <c r="C131" s="6" t="s">
        <v>296</v>
      </c>
      <c r="D131" s="7"/>
      <c r="E131" s="7"/>
      <c r="F131" s="7"/>
      <c r="G131" s="7"/>
      <c r="H131" s="8"/>
      <c r="I131" s="3" t="s">
        <v>297</v>
      </c>
    </row>
    <row r="132" ht="34.5" customHeight="1" spans="1:9">
      <c r="A132" s="5"/>
      <c r="B132" s="5"/>
      <c r="C132" s="9" t="s">
        <v>298</v>
      </c>
      <c r="D132" s="9" t="s">
        <v>299</v>
      </c>
      <c r="E132" s="9" t="s">
        <v>300</v>
      </c>
      <c r="F132" s="10" t="s">
        <v>301</v>
      </c>
      <c r="G132" s="10" t="s">
        <v>302</v>
      </c>
      <c r="H132" s="10" t="s">
        <v>303</v>
      </c>
      <c r="I132" s="22">
        <f>销量!M8</f>
        <v>770</v>
      </c>
    </row>
    <row r="133" ht="24" customHeight="1" spans="1:9">
      <c r="A133" s="11" t="s">
        <v>304</v>
      </c>
      <c r="B133" s="11"/>
      <c r="C133" s="12"/>
      <c r="D133" s="13"/>
      <c r="E133" s="14">
        <f>I132*I133</f>
        <v>33.187</v>
      </c>
      <c r="F133" s="14"/>
      <c r="G133" s="14"/>
      <c r="H133" s="15">
        <v>0.0448</v>
      </c>
      <c r="I133" s="3">
        <v>0.0431</v>
      </c>
    </row>
    <row r="134" ht="24" customHeight="1" spans="1:9">
      <c r="A134" s="11" t="s">
        <v>305</v>
      </c>
      <c r="B134" s="11" t="s">
        <v>306</v>
      </c>
      <c r="C134" s="12"/>
      <c r="D134" s="13"/>
      <c r="E134" s="14">
        <f>$I$132*I134</f>
        <v>31.57</v>
      </c>
      <c r="F134" s="14"/>
      <c r="G134" s="14"/>
      <c r="H134" s="15">
        <v>0.0404</v>
      </c>
      <c r="I134" s="3">
        <v>0.041</v>
      </c>
    </row>
    <row r="135" ht="24" customHeight="1" spans="1:9">
      <c r="A135" s="11"/>
      <c r="B135" s="11" t="s">
        <v>307</v>
      </c>
      <c r="C135" s="12"/>
      <c r="D135" s="13"/>
      <c r="E135" s="14">
        <f t="shared" ref="E135:E140" si="10">$I$132*I135</f>
        <v>16.709</v>
      </c>
      <c r="F135" s="14"/>
      <c r="G135" s="14"/>
      <c r="H135" s="15">
        <v>0.0166</v>
      </c>
      <c r="I135" s="3">
        <v>0.0217</v>
      </c>
    </row>
    <row r="136" ht="24" customHeight="1" spans="1:9">
      <c r="A136" s="6" t="s">
        <v>308</v>
      </c>
      <c r="B136" s="8"/>
      <c r="C136" s="16"/>
      <c r="D136" s="17"/>
      <c r="E136" s="14">
        <f t="shared" si="10"/>
        <v>81.466</v>
      </c>
      <c r="F136" s="14"/>
      <c r="G136" s="14"/>
      <c r="H136" s="18">
        <f>SUM(H133:H135)</f>
        <v>0.1018</v>
      </c>
      <c r="I136" s="3">
        <f>SUM(I133:I135)</f>
        <v>0.1058</v>
      </c>
    </row>
    <row r="137" ht="24" customHeight="1" spans="1:9">
      <c r="A137" s="11" t="s">
        <v>85</v>
      </c>
      <c r="B137" s="11"/>
      <c r="C137" s="12"/>
      <c r="D137" s="13"/>
      <c r="E137" s="14">
        <f t="shared" si="10"/>
        <v>26.18</v>
      </c>
      <c r="F137" s="14"/>
      <c r="G137" s="14"/>
      <c r="H137" s="15">
        <f>1.97%+0.75%</f>
        <v>0.0272</v>
      </c>
      <c r="I137" s="3">
        <v>0.034</v>
      </c>
    </row>
    <row r="138" ht="24" customHeight="1" spans="1:9">
      <c r="A138" s="19" t="s">
        <v>309</v>
      </c>
      <c r="B138" s="11" t="s">
        <v>306</v>
      </c>
      <c r="C138" s="12"/>
      <c r="D138" s="13"/>
      <c r="E138" s="14">
        <f t="shared" si="10"/>
        <v>5.39</v>
      </c>
      <c r="F138" s="14"/>
      <c r="G138" s="14"/>
      <c r="H138" s="15">
        <v>0.0053</v>
      </c>
      <c r="I138" s="3">
        <v>0.007</v>
      </c>
    </row>
    <row r="139" ht="24" customHeight="1" spans="1:9">
      <c r="A139" s="20"/>
      <c r="B139" s="11" t="s">
        <v>307</v>
      </c>
      <c r="C139" s="12"/>
      <c r="D139" s="13"/>
      <c r="E139" s="14">
        <f t="shared" si="10"/>
        <v>33.88</v>
      </c>
      <c r="F139" s="14"/>
      <c r="G139" s="14"/>
      <c r="H139" s="15">
        <v>0.0341</v>
      </c>
      <c r="I139" s="3">
        <f>2.8%+1.6%</f>
        <v>0.044</v>
      </c>
    </row>
    <row r="140" ht="24" customHeight="1" spans="1:9">
      <c r="A140" s="11" t="s">
        <v>88</v>
      </c>
      <c r="B140" s="11"/>
      <c r="C140" s="12"/>
      <c r="D140" s="13"/>
      <c r="E140" s="14">
        <f t="shared" si="10"/>
        <v>23.1</v>
      </c>
      <c r="F140" s="14"/>
      <c r="G140" s="14"/>
      <c r="H140" s="15">
        <v>0.011</v>
      </c>
      <c r="I140" s="3">
        <v>0.03</v>
      </c>
    </row>
    <row r="143" s="1" customFormat="1" ht="18.75" customHeight="1" spans="7:9">
      <c r="G143" s="4" t="s">
        <v>294</v>
      </c>
      <c r="H143" s="4"/>
      <c r="I143" s="23" t="str">
        <f>销量!N6</f>
        <v>LZ161351000703</v>
      </c>
    </row>
    <row r="144" ht="39" customHeight="1" spans="1:9">
      <c r="A144" s="5" t="s">
        <v>295</v>
      </c>
      <c r="B144" s="5"/>
      <c r="C144" s="6" t="s">
        <v>296</v>
      </c>
      <c r="D144" s="7"/>
      <c r="E144" s="7"/>
      <c r="F144" s="7"/>
      <c r="G144" s="7"/>
      <c r="H144" s="8"/>
      <c r="I144" s="3" t="s">
        <v>297</v>
      </c>
    </row>
    <row r="145" ht="34.5" customHeight="1" spans="1:9">
      <c r="A145" s="5"/>
      <c r="B145" s="5"/>
      <c r="C145" s="9" t="s">
        <v>298</v>
      </c>
      <c r="D145" s="9" t="s">
        <v>299</v>
      </c>
      <c r="E145" s="9" t="s">
        <v>300</v>
      </c>
      <c r="F145" s="10" t="s">
        <v>301</v>
      </c>
      <c r="G145" s="10" t="s">
        <v>302</v>
      </c>
      <c r="H145" s="10" t="s">
        <v>303</v>
      </c>
      <c r="I145" s="22">
        <f>销量!N8</f>
        <v>790</v>
      </c>
    </row>
    <row r="146" ht="24" customHeight="1" spans="1:9">
      <c r="A146" s="11" t="s">
        <v>304</v>
      </c>
      <c r="B146" s="11"/>
      <c r="C146" s="12"/>
      <c r="D146" s="13"/>
      <c r="E146" s="14">
        <f>I145*I146</f>
        <v>34.049</v>
      </c>
      <c r="F146" s="14"/>
      <c r="G146" s="14"/>
      <c r="H146" s="15">
        <v>0.0448</v>
      </c>
      <c r="I146" s="3">
        <v>0.0431</v>
      </c>
    </row>
    <row r="147" ht="24" customHeight="1" spans="1:9">
      <c r="A147" s="11" t="s">
        <v>305</v>
      </c>
      <c r="B147" s="11" t="s">
        <v>306</v>
      </c>
      <c r="C147" s="12"/>
      <c r="D147" s="13"/>
      <c r="E147" s="14">
        <f t="shared" ref="E147:E153" si="11">$I$132*I147</f>
        <v>31.57</v>
      </c>
      <c r="F147" s="14"/>
      <c r="G147" s="14"/>
      <c r="H147" s="15">
        <v>0.0404</v>
      </c>
      <c r="I147" s="3">
        <v>0.041</v>
      </c>
    </row>
    <row r="148" ht="24" customHeight="1" spans="1:9">
      <c r="A148" s="11"/>
      <c r="B148" s="11" t="s">
        <v>307</v>
      </c>
      <c r="C148" s="12"/>
      <c r="D148" s="13"/>
      <c r="E148" s="14">
        <f t="shared" si="11"/>
        <v>16.709</v>
      </c>
      <c r="F148" s="14"/>
      <c r="G148" s="14"/>
      <c r="H148" s="15">
        <v>0.0166</v>
      </c>
      <c r="I148" s="3">
        <v>0.0217</v>
      </c>
    </row>
    <row r="149" ht="24" customHeight="1" spans="1:9">
      <c r="A149" s="6" t="s">
        <v>308</v>
      </c>
      <c r="B149" s="8"/>
      <c r="C149" s="16"/>
      <c r="D149" s="17"/>
      <c r="E149" s="14">
        <f t="shared" si="11"/>
        <v>81.466</v>
      </c>
      <c r="F149" s="14"/>
      <c r="G149" s="14"/>
      <c r="H149" s="18">
        <f>SUM(H146:H148)</f>
        <v>0.1018</v>
      </c>
      <c r="I149" s="3">
        <f>SUM(I146:I148)</f>
        <v>0.1058</v>
      </c>
    </row>
    <row r="150" ht="24" customHeight="1" spans="1:9">
      <c r="A150" s="11" t="s">
        <v>85</v>
      </c>
      <c r="B150" s="11"/>
      <c r="C150" s="12"/>
      <c r="D150" s="13"/>
      <c r="E150" s="14">
        <f t="shared" si="11"/>
        <v>26.18</v>
      </c>
      <c r="F150" s="14"/>
      <c r="G150" s="14"/>
      <c r="H150" s="15">
        <f>1.97%+0.75%</f>
        <v>0.0272</v>
      </c>
      <c r="I150" s="3">
        <v>0.034</v>
      </c>
    </row>
    <row r="151" ht="24" customHeight="1" spans="1:9">
      <c r="A151" s="19" t="s">
        <v>309</v>
      </c>
      <c r="B151" s="11" t="s">
        <v>306</v>
      </c>
      <c r="C151" s="12"/>
      <c r="D151" s="13"/>
      <c r="E151" s="14">
        <f t="shared" si="11"/>
        <v>5.39</v>
      </c>
      <c r="F151" s="14"/>
      <c r="G151" s="14"/>
      <c r="H151" s="15">
        <v>0.0053</v>
      </c>
      <c r="I151" s="3">
        <v>0.007</v>
      </c>
    </row>
    <row r="152" ht="24" customHeight="1" spans="1:9">
      <c r="A152" s="20"/>
      <c r="B152" s="11" t="s">
        <v>307</v>
      </c>
      <c r="C152" s="12"/>
      <c r="D152" s="13"/>
      <c r="E152" s="14">
        <f t="shared" si="11"/>
        <v>33.88</v>
      </c>
      <c r="F152" s="14"/>
      <c r="G152" s="14"/>
      <c r="H152" s="15">
        <v>0.0341</v>
      </c>
      <c r="I152" s="3">
        <f>2.8%+1.6%</f>
        <v>0.044</v>
      </c>
    </row>
    <row r="153" ht="24" customHeight="1" spans="1:9">
      <c r="A153" s="11" t="s">
        <v>88</v>
      </c>
      <c r="B153" s="11"/>
      <c r="C153" s="12"/>
      <c r="D153" s="13"/>
      <c r="E153" s="14">
        <f t="shared" si="11"/>
        <v>23.1</v>
      </c>
      <c r="F153" s="14"/>
      <c r="G153" s="14"/>
      <c r="H153" s="15">
        <v>0.011</v>
      </c>
      <c r="I153" s="3">
        <v>0.03</v>
      </c>
    </row>
    <row r="156" s="1" customFormat="1" ht="18.75" customHeight="1" spans="7:9">
      <c r="G156" s="4" t="s">
        <v>294</v>
      </c>
      <c r="H156" s="4"/>
      <c r="I156" s="23" t="str">
        <f>销量!O6</f>
        <v>LZ161251000702</v>
      </c>
    </row>
    <row r="157" ht="39" customHeight="1" spans="1:9">
      <c r="A157" s="5" t="s">
        <v>295</v>
      </c>
      <c r="B157" s="5"/>
      <c r="C157" s="6" t="s">
        <v>296</v>
      </c>
      <c r="D157" s="7"/>
      <c r="E157" s="7"/>
      <c r="F157" s="7"/>
      <c r="G157" s="7"/>
      <c r="H157" s="8"/>
      <c r="I157" s="3" t="s">
        <v>297</v>
      </c>
    </row>
    <row r="158" ht="34.5" customHeight="1" spans="1:9">
      <c r="A158" s="5"/>
      <c r="B158" s="5"/>
      <c r="C158" s="9" t="s">
        <v>298</v>
      </c>
      <c r="D158" s="9" t="s">
        <v>299</v>
      </c>
      <c r="E158" s="9" t="s">
        <v>300</v>
      </c>
      <c r="F158" s="10" t="s">
        <v>301</v>
      </c>
      <c r="G158" s="10" t="s">
        <v>302</v>
      </c>
      <c r="H158" s="10" t="s">
        <v>303</v>
      </c>
      <c r="I158" s="22">
        <f>销量!O8</f>
        <v>565</v>
      </c>
    </row>
    <row r="159" ht="24" customHeight="1" spans="1:9">
      <c r="A159" s="11" t="s">
        <v>304</v>
      </c>
      <c r="B159" s="11"/>
      <c r="C159" s="12"/>
      <c r="D159" s="13"/>
      <c r="E159" s="14">
        <f>I158*I159</f>
        <v>24.3515</v>
      </c>
      <c r="F159" s="14"/>
      <c r="G159" s="14"/>
      <c r="H159" s="15">
        <v>0.0448</v>
      </c>
      <c r="I159" s="3">
        <v>0.0431</v>
      </c>
    </row>
    <row r="160" ht="24" customHeight="1" spans="1:9">
      <c r="A160" s="11" t="s">
        <v>305</v>
      </c>
      <c r="B160" s="11" t="s">
        <v>306</v>
      </c>
      <c r="C160" s="12"/>
      <c r="D160" s="13"/>
      <c r="E160" s="14">
        <f t="shared" ref="E160:E166" si="12">$I$132*I160</f>
        <v>31.57</v>
      </c>
      <c r="F160" s="14"/>
      <c r="G160" s="14"/>
      <c r="H160" s="15">
        <v>0.0404</v>
      </c>
      <c r="I160" s="3">
        <v>0.041</v>
      </c>
    </row>
    <row r="161" ht="24" customHeight="1" spans="1:9">
      <c r="A161" s="11"/>
      <c r="B161" s="11" t="s">
        <v>307</v>
      </c>
      <c r="C161" s="12"/>
      <c r="D161" s="13"/>
      <c r="E161" s="14">
        <f t="shared" si="12"/>
        <v>16.709</v>
      </c>
      <c r="F161" s="14"/>
      <c r="G161" s="14"/>
      <c r="H161" s="15">
        <v>0.0166</v>
      </c>
      <c r="I161" s="3">
        <v>0.0217</v>
      </c>
    </row>
    <row r="162" ht="24" customHeight="1" spans="1:9">
      <c r="A162" s="6" t="s">
        <v>308</v>
      </c>
      <c r="B162" s="8"/>
      <c r="C162" s="16"/>
      <c r="D162" s="17"/>
      <c r="E162" s="14">
        <f t="shared" si="12"/>
        <v>81.466</v>
      </c>
      <c r="F162" s="14"/>
      <c r="G162" s="14"/>
      <c r="H162" s="18">
        <f>SUM(H159:H161)</f>
        <v>0.1018</v>
      </c>
      <c r="I162" s="3">
        <f>SUM(I159:I161)</f>
        <v>0.1058</v>
      </c>
    </row>
    <row r="163" ht="24" customHeight="1" spans="1:9">
      <c r="A163" s="11" t="s">
        <v>85</v>
      </c>
      <c r="B163" s="11"/>
      <c r="C163" s="12"/>
      <c r="D163" s="13"/>
      <c r="E163" s="14">
        <f t="shared" si="12"/>
        <v>26.18</v>
      </c>
      <c r="F163" s="14"/>
      <c r="G163" s="14"/>
      <c r="H163" s="15">
        <f>1.97%+0.75%</f>
        <v>0.0272</v>
      </c>
      <c r="I163" s="3">
        <v>0.034</v>
      </c>
    </row>
    <row r="164" ht="24" customHeight="1" spans="1:9">
      <c r="A164" s="19" t="s">
        <v>309</v>
      </c>
      <c r="B164" s="11" t="s">
        <v>306</v>
      </c>
      <c r="C164" s="12"/>
      <c r="D164" s="13"/>
      <c r="E164" s="14">
        <f t="shared" si="12"/>
        <v>5.39</v>
      </c>
      <c r="F164" s="14"/>
      <c r="G164" s="14"/>
      <c r="H164" s="15">
        <v>0.0053</v>
      </c>
      <c r="I164" s="3">
        <v>0.007</v>
      </c>
    </row>
    <row r="165" ht="24" customHeight="1" spans="1:9">
      <c r="A165" s="20"/>
      <c r="B165" s="11" t="s">
        <v>307</v>
      </c>
      <c r="C165" s="12"/>
      <c r="D165" s="13"/>
      <c r="E165" s="14">
        <f t="shared" si="12"/>
        <v>33.88</v>
      </c>
      <c r="F165" s="14"/>
      <c r="G165" s="14"/>
      <c r="H165" s="15">
        <v>0.0341</v>
      </c>
      <c r="I165" s="3">
        <f>2.8%+1.6%</f>
        <v>0.044</v>
      </c>
    </row>
    <row r="166" ht="24" customHeight="1" spans="1:9">
      <c r="A166" s="11" t="s">
        <v>88</v>
      </c>
      <c r="B166" s="11"/>
      <c r="C166" s="12"/>
      <c r="D166" s="13"/>
      <c r="E166" s="14">
        <f t="shared" si="12"/>
        <v>23.1</v>
      </c>
      <c r="F166" s="14"/>
      <c r="G166" s="14"/>
      <c r="H166" s="15">
        <v>0.011</v>
      </c>
      <c r="I166" s="3">
        <v>0.03</v>
      </c>
    </row>
    <row r="169" s="1" customFormat="1" ht="18.75" customHeight="1" spans="7:9">
      <c r="G169" s="4" t="s">
        <v>294</v>
      </c>
      <c r="H169" s="4"/>
      <c r="I169" s="23" t="str">
        <f>销量!P6</f>
        <v>LZ161251000703</v>
      </c>
    </row>
    <row r="170" ht="39" customHeight="1" spans="1:9">
      <c r="A170" s="5" t="s">
        <v>295</v>
      </c>
      <c r="B170" s="5"/>
      <c r="C170" s="6" t="s">
        <v>296</v>
      </c>
      <c r="D170" s="7"/>
      <c r="E170" s="7"/>
      <c r="F170" s="7"/>
      <c r="G170" s="7"/>
      <c r="H170" s="8"/>
      <c r="I170" s="3" t="s">
        <v>297</v>
      </c>
    </row>
    <row r="171" ht="34.5" customHeight="1" spans="1:9">
      <c r="A171" s="5"/>
      <c r="B171" s="5"/>
      <c r="C171" s="9" t="s">
        <v>298</v>
      </c>
      <c r="D171" s="9" t="s">
        <v>299</v>
      </c>
      <c r="E171" s="9" t="s">
        <v>300</v>
      </c>
      <c r="F171" s="10" t="s">
        <v>301</v>
      </c>
      <c r="G171" s="10" t="s">
        <v>302</v>
      </c>
      <c r="H171" s="10" t="s">
        <v>303</v>
      </c>
      <c r="I171" s="22">
        <f>销量!P8</f>
        <v>770</v>
      </c>
    </row>
    <row r="172" ht="24" customHeight="1" spans="1:9">
      <c r="A172" s="11" t="s">
        <v>304</v>
      </c>
      <c r="B172" s="11"/>
      <c r="C172" s="12"/>
      <c r="D172" s="13"/>
      <c r="E172" s="14">
        <f>I171*I172</f>
        <v>33.187</v>
      </c>
      <c r="F172" s="14"/>
      <c r="G172" s="14"/>
      <c r="H172" s="15">
        <v>0.0448</v>
      </c>
      <c r="I172" s="3">
        <v>0.0431</v>
      </c>
    </row>
    <row r="173" ht="24" customHeight="1" spans="1:9">
      <c r="A173" s="11" t="s">
        <v>305</v>
      </c>
      <c r="B173" s="11" t="s">
        <v>306</v>
      </c>
      <c r="C173" s="12"/>
      <c r="D173" s="13"/>
      <c r="E173" s="14">
        <f t="shared" ref="E173:E179" si="13">$I$132*I173</f>
        <v>31.57</v>
      </c>
      <c r="F173" s="14"/>
      <c r="G173" s="14"/>
      <c r="H173" s="15">
        <v>0.0404</v>
      </c>
      <c r="I173" s="3">
        <v>0.041</v>
      </c>
    </row>
    <row r="174" ht="24" customHeight="1" spans="1:9">
      <c r="A174" s="11"/>
      <c r="B174" s="11" t="s">
        <v>307</v>
      </c>
      <c r="C174" s="12"/>
      <c r="D174" s="13"/>
      <c r="E174" s="14">
        <f t="shared" si="13"/>
        <v>16.709</v>
      </c>
      <c r="F174" s="14"/>
      <c r="G174" s="14"/>
      <c r="H174" s="15">
        <v>0.0166</v>
      </c>
      <c r="I174" s="3">
        <v>0.0217</v>
      </c>
    </row>
    <row r="175" ht="24" customHeight="1" spans="1:9">
      <c r="A175" s="6" t="s">
        <v>308</v>
      </c>
      <c r="B175" s="8"/>
      <c r="C175" s="16"/>
      <c r="D175" s="17"/>
      <c r="E175" s="14">
        <f t="shared" si="13"/>
        <v>81.466</v>
      </c>
      <c r="F175" s="14"/>
      <c r="G175" s="14"/>
      <c r="H175" s="18">
        <f>SUM(H172:H174)</f>
        <v>0.1018</v>
      </c>
      <c r="I175" s="3">
        <f>SUM(I172:I174)</f>
        <v>0.1058</v>
      </c>
    </row>
    <row r="176" ht="24" customHeight="1" spans="1:9">
      <c r="A176" s="11" t="s">
        <v>85</v>
      </c>
      <c r="B176" s="11"/>
      <c r="C176" s="12"/>
      <c r="D176" s="13"/>
      <c r="E176" s="14">
        <f t="shared" si="13"/>
        <v>26.18</v>
      </c>
      <c r="F176" s="14"/>
      <c r="G176" s="14"/>
      <c r="H176" s="15">
        <f>1.97%+0.75%</f>
        <v>0.0272</v>
      </c>
      <c r="I176" s="3">
        <v>0.034</v>
      </c>
    </row>
    <row r="177" ht="24" customHeight="1" spans="1:9">
      <c r="A177" s="19" t="s">
        <v>309</v>
      </c>
      <c r="B177" s="11" t="s">
        <v>306</v>
      </c>
      <c r="C177" s="12"/>
      <c r="D177" s="13"/>
      <c r="E177" s="14">
        <f t="shared" si="13"/>
        <v>5.39</v>
      </c>
      <c r="F177" s="14"/>
      <c r="G177" s="14"/>
      <c r="H177" s="15">
        <v>0.0053</v>
      </c>
      <c r="I177" s="3">
        <v>0.007</v>
      </c>
    </row>
    <row r="178" ht="24" customHeight="1" spans="1:9">
      <c r="A178" s="20"/>
      <c r="B178" s="11" t="s">
        <v>307</v>
      </c>
      <c r="C178" s="12"/>
      <c r="D178" s="13"/>
      <c r="E178" s="14">
        <f t="shared" si="13"/>
        <v>33.88</v>
      </c>
      <c r="F178" s="14"/>
      <c r="G178" s="14"/>
      <c r="H178" s="15">
        <v>0.0341</v>
      </c>
      <c r="I178" s="3">
        <f>2.8%+1.6%</f>
        <v>0.044</v>
      </c>
    </row>
    <row r="179" ht="24" customHeight="1" spans="1:9">
      <c r="A179" s="11" t="s">
        <v>88</v>
      </c>
      <c r="B179" s="11"/>
      <c r="C179" s="12"/>
      <c r="D179" s="13"/>
      <c r="E179" s="14">
        <f t="shared" si="13"/>
        <v>23.1</v>
      </c>
      <c r="F179" s="14"/>
      <c r="G179" s="14"/>
      <c r="H179" s="15">
        <v>0.011</v>
      </c>
      <c r="I179" s="3">
        <v>0.03</v>
      </c>
    </row>
  </sheetData>
  <mergeCells count="126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G130:H130"/>
    <mergeCell ref="C131:H131"/>
    <mergeCell ref="A133:B133"/>
    <mergeCell ref="A136:B136"/>
    <mergeCell ref="A137:B137"/>
    <mergeCell ref="A140:B140"/>
    <mergeCell ref="G143:H143"/>
    <mergeCell ref="C144:H144"/>
    <mergeCell ref="A146:B146"/>
    <mergeCell ref="A149:B149"/>
    <mergeCell ref="A150:B150"/>
    <mergeCell ref="A153:B153"/>
    <mergeCell ref="G156:H156"/>
    <mergeCell ref="C157:H157"/>
    <mergeCell ref="A159:B159"/>
    <mergeCell ref="A162:B162"/>
    <mergeCell ref="A163:B163"/>
    <mergeCell ref="A166:B166"/>
    <mergeCell ref="G169:H169"/>
    <mergeCell ref="C170:H170"/>
    <mergeCell ref="A172:B172"/>
    <mergeCell ref="A175:B175"/>
    <mergeCell ref="A176:B176"/>
    <mergeCell ref="A179:B179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134:A135"/>
    <mergeCell ref="A138:A139"/>
    <mergeCell ref="A147:A148"/>
    <mergeCell ref="A151:A152"/>
    <mergeCell ref="A160:A161"/>
    <mergeCell ref="A164:A165"/>
    <mergeCell ref="A173:A174"/>
    <mergeCell ref="A177:A178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44:B145"/>
    <mergeCell ref="A157:B158"/>
    <mergeCell ref="A170:B17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16" customWidth="1"/>
    <col min="2" max="2" width="28.5" style="216" customWidth="1"/>
    <col min="3" max="4" width="9.12727272727273" style="216"/>
    <col min="5" max="5" width="13.8727272727273" style="216" customWidth="1"/>
    <col min="6" max="12" width="16.1272727272727" style="216" customWidth="1"/>
    <col min="13" max="13" width="10.6272727272727" style="216" customWidth="1"/>
    <col min="14" max="254" width="9.12727272727273" style="216"/>
    <col min="255" max="255" width="8" style="216" customWidth="1"/>
    <col min="256" max="256" width="28.5" style="216" customWidth="1"/>
    <col min="257" max="268" width="9.12727272727273" style="216"/>
    <col min="269" max="269" width="10.6272727272727" style="216" customWidth="1"/>
    <col min="270" max="510" width="9.12727272727273" style="216"/>
    <col min="511" max="511" width="8" style="216" customWidth="1"/>
    <col min="512" max="512" width="28.5" style="216" customWidth="1"/>
    <col min="513" max="524" width="9.12727272727273" style="216"/>
    <col min="525" max="525" width="10.6272727272727" style="216" customWidth="1"/>
    <col min="526" max="766" width="9.12727272727273" style="216"/>
    <col min="767" max="767" width="8" style="216" customWidth="1"/>
    <col min="768" max="768" width="28.5" style="216" customWidth="1"/>
    <col min="769" max="780" width="9.12727272727273" style="216"/>
    <col min="781" max="781" width="10.6272727272727" style="216" customWidth="1"/>
    <col min="782" max="1022" width="9.12727272727273" style="216"/>
    <col min="1023" max="1023" width="8" style="216" customWidth="1"/>
    <col min="1024" max="1024" width="28.5" style="216" customWidth="1"/>
    <col min="1025" max="1036" width="9.12727272727273" style="216"/>
    <col min="1037" max="1037" width="10.6272727272727" style="216" customWidth="1"/>
    <col min="1038" max="1278" width="9.12727272727273" style="216"/>
    <col min="1279" max="1279" width="8" style="216" customWidth="1"/>
    <col min="1280" max="1280" width="28.5" style="216" customWidth="1"/>
    <col min="1281" max="1292" width="9.12727272727273" style="216"/>
    <col min="1293" max="1293" width="10.6272727272727" style="216" customWidth="1"/>
    <col min="1294" max="1534" width="9.12727272727273" style="216"/>
    <col min="1535" max="1535" width="8" style="216" customWidth="1"/>
    <col min="1536" max="1536" width="28.5" style="216" customWidth="1"/>
    <col min="1537" max="1548" width="9.12727272727273" style="216"/>
    <col min="1549" max="1549" width="10.6272727272727" style="216" customWidth="1"/>
    <col min="1550" max="1790" width="9.12727272727273" style="216"/>
    <col min="1791" max="1791" width="8" style="216" customWidth="1"/>
    <col min="1792" max="1792" width="28.5" style="216" customWidth="1"/>
    <col min="1793" max="1804" width="9.12727272727273" style="216"/>
    <col min="1805" max="1805" width="10.6272727272727" style="216" customWidth="1"/>
    <col min="1806" max="2046" width="9.12727272727273" style="216"/>
    <col min="2047" max="2047" width="8" style="216" customWidth="1"/>
    <col min="2048" max="2048" width="28.5" style="216" customWidth="1"/>
    <col min="2049" max="2060" width="9.12727272727273" style="216"/>
    <col min="2061" max="2061" width="10.6272727272727" style="216" customWidth="1"/>
    <col min="2062" max="2302" width="9.12727272727273" style="216"/>
    <col min="2303" max="2303" width="8" style="216" customWidth="1"/>
    <col min="2304" max="2304" width="28.5" style="216" customWidth="1"/>
    <col min="2305" max="2316" width="9.12727272727273" style="216"/>
    <col min="2317" max="2317" width="10.6272727272727" style="216" customWidth="1"/>
    <col min="2318" max="2558" width="9.12727272727273" style="216"/>
    <col min="2559" max="2559" width="8" style="216" customWidth="1"/>
    <col min="2560" max="2560" width="28.5" style="216" customWidth="1"/>
    <col min="2561" max="2572" width="9.12727272727273" style="216"/>
    <col min="2573" max="2573" width="10.6272727272727" style="216" customWidth="1"/>
    <col min="2574" max="2814" width="9.12727272727273" style="216"/>
    <col min="2815" max="2815" width="8" style="216" customWidth="1"/>
    <col min="2816" max="2816" width="28.5" style="216" customWidth="1"/>
    <col min="2817" max="2828" width="9.12727272727273" style="216"/>
    <col min="2829" max="2829" width="10.6272727272727" style="216" customWidth="1"/>
    <col min="2830" max="3070" width="9.12727272727273" style="216"/>
    <col min="3071" max="3071" width="8" style="216" customWidth="1"/>
    <col min="3072" max="3072" width="28.5" style="216" customWidth="1"/>
    <col min="3073" max="3084" width="9.12727272727273" style="216"/>
    <col min="3085" max="3085" width="10.6272727272727" style="216" customWidth="1"/>
    <col min="3086" max="3326" width="9.12727272727273" style="216"/>
    <col min="3327" max="3327" width="8" style="216" customWidth="1"/>
    <col min="3328" max="3328" width="28.5" style="216" customWidth="1"/>
    <col min="3329" max="3340" width="9.12727272727273" style="216"/>
    <col min="3341" max="3341" width="10.6272727272727" style="216" customWidth="1"/>
    <col min="3342" max="3582" width="9.12727272727273" style="216"/>
    <col min="3583" max="3583" width="8" style="216" customWidth="1"/>
    <col min="3584" max="3584" width="28.5" style="216" customWidth="1"/>
    <col min="3585" max="3596" width="9.12727272727273" style="216"/>
    <col min="3597" max="3597" width="10.6272727272727" style="216" customWidth="1"/>
    <col min="3598" max="3838" width="9.12727272727273" style="216"/>
    <col min="3839" max="3839" width="8" style="216" customWidth="1"/>
    <col min="3840" max="3840" width="28.5" style="216" customWidth="1"/>
    <col min="3841" max="3852" width="9.12727272727273" style="216"/>
    <col min="3853" max="3853" width="10.6272727272727" style="216" customWidth="1"/>
    <col min="3854" max="4094" width="9.12727272727273" style="216"/>
    <col min="4095" max="4095" width="8" style="216" customWidth="1"/>
    <col min="4096" max="4096" width="28.5" style="216" customWidth="1"/>
    <col min="4097" max="4108" width="9.12727272727273" style="216"/>
    <col min="4109" max="4109" width="10.6272727272727" style="216" customWidth="1"/>
    <col min="4110" max="4350" width="9.12727272727273" style="216"/>
    <col min="4351" max="4351" width="8" style="216" customWidth="1"/>
    <col min="4352" max="4352" width="28.5" style="216" customWidth="1"/>
    <col min="4353" max="4364" width="9.12727272727273" style="216"/>
    <col min="4365" max="4365" width="10.6272727272727" style="216" customWidth="1"/>
    <col min="4366" max="4606" width="9.12727272727273" style="216"/>
    <col min="4607" max="4607" width="8" style="216" customWidth="1"/>
    <col min="4608" max="4608" width="28.5" style="216" customWidth="1"/>
    <col min="4609" max="4620" width="9.12727272727273" style="216"/>
    <col min="4621" max="4621" width="10.6272727272727" style="216" customWidth="1"/>
    <col min="4622" max="4862" width="9.12727272727273" style="216"/>
    <col min="4863" max="4863" width="8" style="216" customWidth="1"/>
    <col min="4864" max="4864" width="28.5" style="216" customWidth="1"/>
    <col min="4865" max="4876" width="9.12727272727273" style="216"/>
    <col min="4877" max="4877" width="10.6272727272727" style="216" customWidth="1"/>
    <col min="4878" max="5118" width="9.12727272727273" style="216"/>
    <col min="5119" max="5119" width="8" style="216" customWidth="1"/>
    <col min="5120" max="5120" width="28.5" style="216" customWidth="1"/>
    <col min="5121" max="5132" width="9.12727272727273" style="216"/>
    <col min="5133" max="5133" width="10.6272727272727" style="216" customWidth="1"/>
    <col min="5134" max="5374" width="9.12727272727273" style="216"/>
    <col min="5375" max="5375" width="8" style="216" customWidth="1"/>
    <col min="5376" max="5376" width="28.5" style="216" customWidth="1"/>
    <col min="5377" max="5388" width="9.12727272727273" style="216"/>
    <col min="5389" max="5389" width="10.6272727272727" style="216" customWidth="1"/>
    <col min="5390" max="5630" width="9.12727272727273" style="216"/>
    <col min="5631" max="5631" width="8" style="216" customWidth="1"/>
    <col min="5632" max="5632" width="28.5" style="216" customWidth="1"/>
    <col min="5633" max="5644" width="9.12727272727273" style="216"/>
    <col min="5645" max="5645" width="10.6272727272727" style="216" customWidth="1"/>
    <col min="5646" max="5886" width="9.12727272727273" style="216"/>
    <col min="5887" max="5887" width="8" style="216" customWidth="1"/>
    <col min="5888" max="5888" width="28.5" style="216" customWidth="1"/>
    <col min="5889" max="5900" width="9.12727272727273" style="216"/>
    <col min="5901" max="5901" width="10.6272727272727" style="216" customWidth="1"/>
    <col min="5902" max="6142" width="9.12727272727273" style="216"/>
    <col min="6143" max="6143" width="8" style="216" customWidth="1"/>
    <col min="6144" max="6144" width="28.5" style="216" customWidth="1"/>
    <col min="6145" max="6156" width="9.12727272727273" style="216"/>
    <col min="6157" max="6157" width="10.6272727272727" style="216" customWidth="1"/>
    <col min="6158" max="6398" width="9.12727272727273" style="216"/>
    <col min="6399" max="6399" width="8" style="216" customWidth="1"/>
    <col min="6400" max="6400" width="28.5" style="216" customWidth="1"/>
    <col min="6401" max="6412" width="9.12727272727273" style="216"/>
    <col min="6413" max="6413" width="10.6272727272727" style="216" customWidth="1"/>
    <col min="6414" max="6654" width="9.12727272727273" style="216"/>
    <col min="6655" max="6655" width="8" style="216" customWidth="1"/>
    <col min="6656" max="6656" width="28.5" style="216" customWidth="1"/>
    <col min="6657" max="6668" width="9.12727272727273" style="216"/>
    <col min="6669" max="6669" width="10.6272727272727" style="216" customWidth="1"/>
    <col min="6670" max="6910" width="9.12727272727273" style="216"/>
    <col min="6911" max="6911" width="8" style="216" customWidth="1"/>
    <col min="6912" max="6912" width="28.5" style="216" customWidth="1"/>
    <col min="6913" max="6924" width="9.12727272727273" style="216"/>
    <col min="6925" max="6925" width="10.6272727272727" style="216" customWidth="1"/>
    <col min="6926" max="7166" width="9.12727272727273" style="216"/>
    <col min="7167" max="7167" width="8" style="216" customWidth="1"/>
    <col min="7168" max="7168" width="28.5" style="216" customWidth="1"/>
    <col min="7169" max="7180" width="9.12727272727273" style="216"/>
    <col min="7181" max="7181" width="10.6272727272727" style="216" customWidth="1"/>
    <col min="7182" max="7422" width="9.12727272727273" style="216"/>
    <col min="7423" max="7423" width="8" style="216" customWidth="1"/>
    <col min="7424" max="7424" width="28.5" style="216" customWidth="1"/>
    <col min="7425" max="7436" width="9.12727272727273" style="216"/>
    <col min="7437" max="7437" width="10.6272727272727" style="216" customWidth="1"/>
    <col min="7438" max="7678" width="9.12727272727273" style="216"/>
    <col min="7679" max="7679" width="8" style="216" customWidth="1"/>
    <col min="7680" max="7680" width="28.5" style="216" customWidth="1"/>
    <col min="7681" max="7692" width="9.12727272727273" style="216"/>
    <col min="7693" max="7693" width="10.6272727272727" style="216" customWidth="1"/>
    <col min="7694" max="7934" width="9.12727272727273" style="216"/>
    <col min="7935" max="7935" width="8" style="216" customWidth="1"/>
    <col min="7936" max="7936" width="28.5" style="216" customWidth="1"/>
    <col min="7937" max="7948" width="9.12727272727273" style="216"/>
    <col min="7949" max="7949" width="10.6272727272727" style="216" customWidth="1"/>
    <col min="7950" max="8190" width="9.12727272727273" style="216"/>
    <col min="8191" max="8191" width="8" style="216" customWidth="1"/>
    <col min="8192" max="8192" width="28.5" style="216" customWidth="1"/>
    <col min="8193" max="8204" width="9.12727272727273" style="216"/>
    <col min="8205" max="8205" width="10.6272727272727" style="216" customWidth="1"/>
    <col min="8206" max="8446" width="9.12727272727273" style="216"/>
    <col min="8447" max="8447" width="8" style="216" customWidth="1"/>
    <col min="8448" max="8448" width="28.5" style="216" customWidth="1"/>
    <col min="8449" max="8460" width="9.12727272727273" style="216"/>
    <col min="8461" max="8461" width="10.6272727272727" style="216" customWidth="1"/>
    <col min="8462" max="8702" width="9.12727272727273" style="216"/>
    <col min="8703" max="8703" width="8" style="216" customWidth="1"/>
    <col min="8704" max="8704" width="28.5" style="216" customWidth="1"/>
    <col min="8705" max="8716" width="9.12727272727273" style="216"/>
    <col min="8717" max="8717" width="10.6272727272727" style="216" customWidth="1"/>
    <col min="8718" max="8958" width="9.12727272727273" style="216"/>
    <col min="8959" max="8959" width="8" style="216" customWidth="1"/>
    <col min="8960" max="8960" width="28.5" style="216" customWidth="1"/>
    <col min="8961" max="8972" width="9.12727272727273" style="216"/>
    <col min="8973" max="8973" width="10.6272727272727" style="216" customWidth="1"/>
    <col min="8974" max="9214" width="9.12727272727273" style="216"/>
    <col min="9215" max="9215" width="8" style="216" customWidth="1"/>
    <col min="9216" max="9216" width="28.5" style="216" customWidth="1"/>
    <col min="9217" max="9228" width="9.12727272727273" style="216"/>
    <col min="9229" max="9229" width="10.6272727272727" style="216" customWidth="1"/>
    <col min="9230" max="9470" width="9.12727272727273" style="216"/>
    <col min="9471" max="9471" width="8" style="216" customWidth="1"/>
    <col min="9472" max="9472" width="28.5" style="216" customWidth="1"/>
    <col min="9473" max="9484" width="9.12727272727273" style="216"/>
    <col min="9485" max="9485" width="10.6272727272727" style="216" customWidth="1"/>
    <col min="9486" max="9726" width="9.12727272727273" style="216"/>
    <col min="9727" max="9727" width="8" style="216" customWidth="1"/>
    <col min="9728" max="9728" width="28.5" style="216" customWidth="1"/>
    <col min="9729" max="9740" width="9.12727272727273" style="216"/>
    <col min="9741" max="9741" width="10.6272727272727" style="216" customWidth="1"/>
    <col min="9742" max="9982" width="9.12727272727273" style="216"/>
    <col min="9983" max="9983" width="8" style="216" customWidth="1"/>
    <col min="9984" max="9984" width="28.5" style="216" customWidth="1"/>
    <col min="9985" max="9996" width="9.12727272727273" style="216"/>
    <col min="9997" max="9997" width="10.6272727272727" style="216" customWidth="1"/>
    <col min="9998" max="10238" width="9.12727272727273" style="216"/>
    <col min="10239" max="10239" width="8" style="216" customWidth="1"/>
    <col min="10240" max="10240" width="28.5" style="216" customWidth="1"/>
    <col min="10241" max="10252" width="9.12727272727273" style="216"/>
    <col min="10253" max="10253" width="10.6272727272727" style="216" customWidth="1"/>
    <col min="10254" max="10494" width="9.12727272727273" style="216"/>
    <col min="10495" max="10495" width="8" style="216" customWidth="1"/>
    <col min="10496" max="10496" width="28.5" style="216" customWidth="1"/>
    <col min="10497" max="10508" width="9.12727272727273" style="216"/>
    <col min="10509" max="10509" width="10.6272727272727" style="216" customWidth="1"/>
    <col min="10510" max="10750" width="9.12727272727273" style="216"/>
    <col min="10751" max="10751" width="8" style="216" customWidth="1"/>
    <col min="10752" max="10752" width="28.5" style="216" customWidth="1"/>
    <col min="10753" max="10764" width="9.12727272727273" style="216"/>
    <col min="10765" max="10765" width="10.6272727272727" style="216" customWidth="1"/>
    <col min="10766" max="11006" width="9.12727272727273" style="216"/>
    <col min="11007" max="11007" width="8" style="216" customWidth="1"/>
    <col min="11008" max="11008" width="28.5" style="216" customWidth="1"/>
    <col min="11009" max="11020" width="9.12727272727273" style="216"/>
    <col min="11021" max="11021" width="10.6272727272727" style="216" customWidth="1"/>
    <col min="11022" max="11262" width="9.12727272727273" style="216"/>
    <col min="11263" max="11263" width="8" style="216" customWidth="1"/>
    <col min="11264" max="11264" width="28.5" style="216" customWidth="1"/>
    <col min="11265" max="11276" width="9.12727272727273" style="216"/>
    <col min="11277" max="11277" width="10.6272727272727" style="216" customWidth="1"/>
    <col min="11278" max="11518" width="9.12727272727273" style="216"/>
    <col min="11519" max="11519" width="8" style="216" customWidth="1"/>
    <col min="11520" max="11520" width="28.5" style="216" customWidth="1"/>
    <col min="11521" max="11532" width="9.12727272727273" style="216"/>
    <col min="11533" max="11533" width="10.6272727272727" style="216" customWidth="1"/>
    <col min="11534" max="11774" width="9.12727272727273" style="216"/>
    <col min="11775" max="11775" width="8" style="216" customWidth="1"/>
    <col min="11776" max="11776" width="28.5" style="216" customWidth="1"/>
    <col min="11777" max="11788" width="9.12727272727273" style="216"/>
    <col min="11789" max="11789" width="10.6272727272727" style="216" customWidth="1"/>
    <col min="11790" max="12030" width="9.12727272727273" style="216"/>
    <col min="12031" max="12031" width="8" style="216" customWidth="1"/>
    <col min="12032" max="12032" width="28.5" style="216" customWidth="1"/>
    <col min="12033" max="12044" width="9.12727272727273" style="216"/>
    <col min="12045" max="12045" width="10.6272727272727" style="216" customWidth="1"/>
    <col min="12046" max="12286" width="9.12727272727273" style="216"/>
    <col min="12287" max="12287" width="8" style="216" customWidth="1"/>
    <col min="12288" max="12288" width="28.5" style="216" customWidth="1"/>
    <col min="12289" max="12300" width="9.12727272727273" style="216"/>
    <col min="12301" max="12301" width="10.6272727272727" style="216" customWidth="1"/>
    <col min="12302" max="12542" width="9.12727272727273" style="216"/>
    <col min="12543" max="12543" width="8" style="216" customWidth="1"/>
    <col min="12544" max="12544" width="28.5" style="216" customWidth="1"/>
    <col min="12545" max="12556" width="9.12727272727273" style="216"/>
    <col min="12557" max="12557" width="10.6272727272727" style="216" customWidth="1"/>
    <col min="12558" max="12798" width="9.12727272727273" style="216"/>
    <col min="12799" max="12799" width="8" style="216" customWidth="1"/>
    <col min="12800" max="12800" width="28.5" style="216" customWidth="1"/>
    <col min="12801" max="12812" width="9.12727272727273" style="216"/>
    <col min="12813" max="12813" width="10.6272727272727" style="216" customWidth="1"/>
    <col min="12814" max="13054" width="9.12727272727273" style="216"/>
    <col min="13055" max="13055" width="8" style="216" customWidth="1"/>
    <col min="13056" max="13056" width="28.5" style="216" customWidth="1"/>
    <col min="13057" max="13068" width="9.12727272727273" style="216"/>
    <col min="13069" max="13069" width="10.6272727272727" style="216" customWidth="1"/>
    <col min="13070" max="13310" width="9.12727272727273" style="216"/>
    <col min="13311" max="13311" width="8" style="216" customWidth="1"/>
    <col min="13312" max="13312" width="28.5" style="216" customWidth="1"/>
    <col min="13313" max="13324" width="9.12727272727273" style="216"/>
    <col min="13325" max="13325" width="10.6272727272727" style="216" customWidth="1"/>
    <col min="13326" max="13566" width="9.12727272727273" style="216"/>
    <col min="13567" max="13567" width="8" style="216" customWidth="1"/>
    <col min="13568" max="13568" width="28.5" style="216" customWidth="1"/>
    <col min="13569" max="13580" width="9.12727272727273" style="216"/>
    <col min="13581" max="13581" width="10.6272727272727" style="216" customWidth="1"/>
    <col min="13582" max="13822" width="9.12727272727273" style="216"/>
    <col min="13823" max="13823" width="8" style="216" customWidth="1"/>
    <col min="13824" max="13824" width="28.5" style="216" customWidth="1"/>
    <col min="13825" max="13836" width="9.12727272727273" style="216"/>
    <col min="13837" max="13837" width="10.6272727272727" style="216" customWidth="1"/>
    <col min="13838" max="14078" width="9.12727272727273" style="216"/>
    <col min="14079" max="14079" width="8" style="216" customWidth="1"/>
    <col min="14080" max="14080" width="28.5" style="216" customWidth="1"/>
    <col min="14081" max="14092" width="9.12727272727273" style="216"/>
    <col min="14093" max="14093" width="10.6272727272727" style="216" customWidth="1"/>
    <col min="14094" max="14334" width="9.12727272727273" style="216"/>
    <col min="14335" max="14335" width="8" style="216" customWidth="1"/>
    <col min="14336" max="14336" width="28.5" style="216" customWidth="1"/>
    <col min="14337" max="14348" width="9.12727272727273" style="216"/>
    <col min="14349" max="14349" width="10.6272727272727" style="216" customWidth="1"/>
    <col min="14350" max="14590" width="9.12727272727273" style="216"/>
    <col min="14591" max="14591" width="8" style="216" customWidth="1"/>
    <col min="14592" max="14592" width="28.5" style="216" customWidth="1"/>
    <col min="14593" max="14604" width="9.12727272727273" style="216"/>
    <col min="14605" max="14605" width="10.6272727272727" style="216" customWidth="1"/>
    <col min="14606" max="14846" width="9.12727272727273" style="216"/>
    <col min="14847" max="14847" width="8" style="216" customWidth="1"/>
    <col min="14848" max="14848" width="28.5" style="216" customWidth="1"/>
    <col min="14849" max="14860" width="9.12727272727273" style="216"/>
    <col min="14861" max="14861" width="10.6272727272727" style="216" customWidth="1"/>
    <col min="14862" max="15102" width="9.12727272727273" style="216"/>
    <col min="15103" max="15103" width="8" style="216" customWidth="1"/>
    <col min="15104" max="15104" width="28.5" style="216" customWidth="1"/>
    <col min="15105" max="15116" width="9.12727272727273" style="216"/>
    <col min="15117" max="15117" width="10.6272727272727" style="216" customWidth="1"/>
    <col min="15118" max="15358" width="9.12727272727273" style="216"/>
    <col min="15359" max="15359" width="8" style="216" customWidth="1"/>
    <col min="15360" max="15360" width="28.5" style="216" customWidth="1"/>
    <col min="15361" max="15372" width="9.12727272727273" style="216"/>
    <col min="15373" max="15373" width="10.6272727272727" style="216" customWidth="1"/>
    <col min="15374" max="15614" width="9.12727272727273" style="216"/>
    <col min="15615" max="15615" width="8" style="216" customWidth="1"/>
    <col min="15616" max="15616" width="28.5" style="216" customWidth="1"/>
    <col min="15617" max="15628" width="9.12727272727273" style="216"/>
    <col min="15629" max="15629" width="10.6272727272727" style="216" customWidth="1"/>
    <col min="15630" max="15870" width="9.12727272727273" style="216"/>
    <col min="15871" max="15871" width="8" style="216" customWidth="1"/>
    <col min="15872" max="15872" width="28.5" style="216" customWidth="1"/>
    <col min="15873" max="15884" width="9.12727272727273" style="216"/>
    <col min="15885" max="15885" width="10.6272727272727" style="216" customWidth="1"/>
    <col min="15886" max="16126" width="9.12727272727273" style="216"/>
    <col min="16127" max="16127" width="8" style="216" customWidth="1"/>
    <col min="16128" max="16128" width="28.5" style="216" customWidth="1"/>
    <col min="16129" max="16140" width="9.12727272727273" style="216"/>
    <col min="16141" max="16141" width="10.6272727272727" style="216" customWidth="1"/>
    <col min="16142" max="16384" width="9.12727272727273" style="216"/>
  </cols>
  <sheetData>
    <row r="1" ht="17.5" spans="1:13">
      <c r="A1" s="217" t="s">
        <v>19</v>
      </c>
      <c r="B1" s="218"/>
      <c r="C1" s="219"/>
      <c r="D1" s="219"/>
      <c r="E1" s="218"/>
      <c r="F1" s="219"/>
      <c r="G1" s="219"/>
      <c r="H1" s="218"/>
      <c r="I1" s="219"/>
      <c r="J1" s="219"/>
      <c r="K1" s="219"/>
      <c r="L1" s="219"/>
      <c r="M1" s="219"/>
    </row>
    <row r="2" ht="14" spans="1:2">
      <c r="A2" s="216" t="s">
        <v>20</v>
      </c>
      <c r="B2" s="220"/>
    </row>
    <row r="3" ht="16.9" customHeight="1" spans="1:13">
      <c r="A3" s="221" t="s">
        <v>21</v>
      </c>
      <c r="B3" s="221" t="s">
        <v>22</v>
      </c>
      <c r="C3" s="222" t="s">
        <v>23</v>
      </c>
      <c r="D3" s="222"/>
      <c r="E3" s="222"/>
      <c r="F3" s="223"/>
      <c r="G3" s="224"/>
      <c r="H3" s="225"/>
      <c r="I3" s="225"/>
      <c r="J3" s="225" t="s">
        <v>24</v>
      </c>
      <c r="K3" s="225"/>
      <c r="L3" s="225"/>
      <c r="M3" s="246"/>
    </row>
    <row r="4" ht="16.15" customHeight="1" spans="1:13">
      <c r="A4" s="226"/>
      <c r="B4" s="226" t="s">
        <v>25</v>
      </c>
      <c r="C4" s="222">
        <v>2017</v>
      </c>
      <c r="D4" s="222">
        <f t="shared" ref="D4:L4" si="0">C4+1</f>
        <v>2018</v>
      </c>
      <c r="E4" s="222">
        <f t="shared" si="0"/>
        <v>2019</v>
      </c>
      <c r="F4" s="222">
        <f t="shared" si="0"/>
        <v>2020</v>
      </c>
      <c r="G4" s="222">
        <f t="shared" si="0"/>
        <v>2021</v>
      </c>
      <c r="H4" s="227">
        <f t="shared" si="0"/>
        <v>2022</v>
      </c>
      <c r="I4" s="227">
        <f t="shared" si="0"/>
        <v>2023</v>
      </c>
      <c r="J4" s="227">
        <f t="shared" si="0"/>
        <v>2024</v>
      </c>
      <c r="K4" s="227">
        <f t="shared" si="0"/>
        <v>2025</v>
      </c>
      <c r="L4" s="227">
        <f t="shared" si="0"/>
        <v>2026</v>
      </c>
      <c r="M4" s="247" t="s">
        <v>26</v>
      </c>
    </row>
    <row r="5" ht="15.6" customHeight="1" spans="1:13">
      <c r="A5" s="228">
        <v>1</v>
      </c>
      <c r="B5" s="229" t="s">
        <v>27</v>
      </c>
      <c r="C5" s="230">
        <f>SUM(C6:C9)</f>
        <v>0</v>
      </c>
      <c r="D5" s="230">
        <f t="shared" ref="D5:L5" si="1">SUM(D6:D9)</f>
        <v>0</v>
      </c>
      <c r="E5" s="230" t="e">
        <f t="shared" si="1"/>
        <v>#REF!</v>
      </c>
      <c r="F5" s="230" t="e">
        <f t="shared" si="1"/>
        <v>#REF!</v>
      </c>
      <c r="G5" s="230" t="e">
        <f t="shared" si="1"/>
        <v>#REF!</v>
      </c>
      <c r="H5" s="230" t="e">
        <f t="shared" si="1"/>
        <v>#REF!</v>
      </c>
      <c r="I5" s="230" t="e">
        <f t="shared" si="1"/>
        <v>#REF!</v>
      </c>
      <c r="J5" s="230" t="e">
        <f t="shared" si="1"/>
        <v>#REF!</v>
      </c>
      <c r="K5" s="230" t="e">
        <f t="shared" si="1"/>
        <v>#REF!</v>
      </c>
      <c r="L5" s="230" t="e">
        <f t="shared" si="1"/>
        <v>#REF!</v>
      </c>
      <c r="M5" s="234" t="e">
        <f t="shared" ref="M5:M17" si="2">SUM(C5:L5)</f>
        <v>#REF!</v>
      </c>
    </row>
    <row r="6" ht="15.6" customHeight="1" spans="1:13">
      <c r="A6" s="228">
        <v>1.1</v>
      </c>
      <c r="B6" s="231" t="s">
        <v>28</v>
      </c>
      <c r="C6" s="232"/>
      <c r="D6" s="232"/>
      <c r="E6" s="232" t="e">
        <f>#REF!</f>
        <v>#REF!</v>
      </c>
      <c r="F6" s="232" t="e">
        <f>#REF!</f>
        <v>#REF!</v>
      </c>
      <c r="G6" s="232" t="e">
        <f>#REF!</f>
        <v>#REF!</v>
      </c>
      <c r="H6" s="232" t="e">
        <f>#REF!</f>
        <v>#REF!</v>
      </c>
      <c r="I6" s="232" t="e">
        <f>#REF!</f>
        <v>#REF!</v>
      </c>
      <c r="J6" s="232" t="e">
        <f>#REF!</f>
        <v>#REF!</v>
      </c>
      <c r="K6" s="232" t="e">
        <f>#REF!</f>
        <v>#REF!</v>
      </c>
      <c r="L6" s="232" t="e">
        <f>#REF!</f>
        <v>#REF!</v>
      </c>
      <c r="M6" s="234" t="e">
        <f t="shared" si="2"/>
        <v>#REF!</v>
      </c>
    </row>
    <row r="7" ht="15.6" customHeight="1" spans="1:13">
      <c r="A7" s="228">
        <v>1.2</v>
      </c>
      <c r="B7" s="231" t="s">
        <v>29</v>
      </c>
      <c r="C7" s="232"/>
      <c r="D7" s="232"/>
      <c r="E7" s="232">
        <f>[1]折、摊!G18</f>
        <v>0</v>
      </c>
      <c r="F7" s="232">
        <f>[1]折、摊!H18</f>
        <v>0</v>
      </c>
      <c r="G7" s="232">
        <f>[1]折、摊!I18</f>
        <v>0</v>
      </c>
      <c r="H7" s="232">
        <f>[1]折、摊!J18</f>
        <v>0</v>
      </c>
      <c r="I7" s="232">
        <f>[1]折、摊!K18</f>
        <v>0</v>
      </c>
      <c r="J7" s="232">
        <f>[1]折、摊!L18</f>
        <v>0</v>
      </c>
      <c r="K7" s="232">
        <f>[1]折、摊!M18</f>
        <v>0</v>
      </c>
      <c r="L7" s="232">
        <f>[1]折、摊!N18</f>
        <v>0</v>
      </c>
      <c r="M7" s="234">
        <f t="shared" si="2"/>
        <v>0</v>
      </c>
    </row>
    <row r="8" ht="15.6" customHeight="1" spans="1:13">
      <c r="A8" s="228">
        <v>1.3</v>
      </c>
      <c r="B8" s="231" t="s">
        <v>30</v>
      </c>
      <c r="C8" s="232" t="s">
        <v>31</v>
      </c>
      <c r="D8" s="232" t="s">
        <v>31</v>
      </c>
      <c r="E8" s="232" t="s">
        <v>31</v>
      </c>
      <c r="F8" s="232" t="s">
        <v>31</v>
      </c>
      <c r="G8" s="232" t="s">
        <v>31</v>
      </c>
      <c r="H8" s="232" t="s">
        <v>31</v>
      </c>
      <c r="I8" s="232" t="s">
        <v>31</v>
      </c>
      <c r="J8" s="232" t="s">
        <v>31</v>
      </c>
      <c r="K8" s="232" t="s">
        <v>31</v>
      </c>
      <c r="L8" s="232"/>
      <c r="M8" s="234">
        <f t="shared" si="2"/>
        <v>0</v>
      </c>
    </row>
    <row r="9" s="215" customFormat="1" ht="15.6" customHeight="1" spans="1:13">
      <c r="A9" s="233">
        <v>1.4</v>
      </c>
      <c r="B9" s="234" t="s">
        <v>32</v>
      </c>
      <c r="C9" s="232" t="s">
        <v>31</v>
      </c>
      <c r="D9" s="232" t="s">
        <v>31</v>
      </c>
      <c r="E9" s="232" t="s">
        <v>31</v>
      </c>
      <c r="F9" s="232" t="s">
        <v>31</v>
      </c>
      <c r="G9" s="232" t="s">
        <v>31</v>
      </c>
      <c r="H9" s="232" t="s">
        <v>31</v>
      </c>
      <c r="I9" s="232" t="s">
        <v>31</v>
      </c>
      <c r="J9" s="232" t="s">
        <v>31</v>
      </c>
      <c r="K9" s="232" t="s">
        <v>31</v>
      </c>
      <c r="L9" s="232" t="s">
        <v>31</v>
      </c>
      <c r="M9" s="234">
        <f t="shared" si="2"/>
        <v>0</v>
      </c>
    </row>
    <row r="10" ht="15.6" customHeight="1" spans="1:13">
      <c r="A10" s="233">
        <v>2</v>
      </c>
      <c r="B10" s="229" t="s">
        <v>33</v>
      </c>
      <c r="C10" s="230">
        <f t="shared" ref="C10:L10" si="3">SUM(C11:C16)</f>
        <v>0</v>
      </c>
      <c r="D10" s="230">
        <f t="shared" si="3"/>
        <v>0</v>
      </c>
      <c r="E10" s="230">
        <f t="shared" si="3"/>
        <v>0</v>
      </c>
      <c r="F10" s="230">
        <f t="shared" si="3"/>
        <v>0</v>
      </c>
      <c r="G10" s="230">
        <f t="shared" si="3"/>
        <v>0</v>
      </c>
      <c r="H10" s="230">
        <f t="shared" si="3"/>
        <v>0</v>
      </c>
      <c r="I10" s="230">
        <f t="shared" si="3"/>
        <v>0</v>
      </c>
      <c r="J10" s="230">
        <f t="shared" si="3"/>
        <v>0</v>
      </c>
      <c r="K10" s="230">
        <f t="shared" si="3"/>
        <v>0</v>
      </c>
      <c r="L10" s="230">
        <f t="shared" si="3"/>
        <v>0</v>
      </c>
      <c r="M10" s="234">
        <f t="shared" si="2"/>
        <v>0</v>
      </c>
    </row>
    <row r="11" ht="15" customHeight="1" spans="1:13">
      <c r="A11" s="228">
        <v>2.1</v>
      </c>
      <c r="B11" s="228" t="s">
        <v>34</v>
      </c>
      <c r="C11" s="232">
        <f>([1]计划!C6-[1]计划!C7)</f>
        <v>0</v>
      </c>
      <c r="D11" s="232">
        <f>([1]计划!D6-[1]计划!D7)</f>
        <v>0</v>
      </c>
      <c r="E11" s="232">
        <f>([1]计划!E6-[1]计划!E7)</f>
        <v>0</v>
      </c>
      <c r="F11" s="232">
        <f>([1]计划!F6-[1]计划!F7)</f>
        <v>0</v>
      </c>
      <c r="G11" s="232">
        <f>([1]计划!G6-[1]计划!G7)</f>
        <v>0</v>
      </c>
      <c r="H11" s="232">
        <f>([1]计划!H6-[1]计划!H7)</f>
        <v>0</v>
      </c>
      <c r="I11" s="232">
        <f>([1]计划!I6-[1]计划!I7)</f>
        <v>0</v>
      </c>
      <c r="J11" s="232">
        <f>([1]计划!J6-[1]计划!J7)</f>
        <v>0</v>
      </c>
      <c r="K11" s="232">
        <f>([1]计划!K6-[1]计划!K7)</f>
        <v>0</v>
      </c>
      <c r="L11" s="232">
        <f>([1]计划!L6-[1]计划!L7)</f>
        <v>0</v>
      </c>
      <c r="M11" s="234">
        <f t="shared" si="2"/>
        <v>0</v>
      </c>
    </row>
    <row r="12" s="215" customFormat="1" ht="15" customHeight="1" spans="1:13">
      <c r="A12" s="228">
        <v>2.2</v>
      </c>
      <c r="B12" s="234" t="s">
        <v>35</v>
      </c>
      <c r="C12" s="232">
        <f>[1]计划!C8</f>
        <v>0</v>
      </c>
      <c r="D12" s="232">
        <f>[1]计划!D8</f>
        <v>0</v>
      </c>
      <c r="E12" s="232">
        <f>[1]计划!E8</f>
        <v>0</v>
      </c>
      <c r="F12" s="232">
        <f>[1]计划!F8</f>
        <v>0</v>
      </c>
      <c r="G12" s="232">
        <f>[1]计划!G8</f>
        <v>0</v>
      </c>
      <c r="H12" s="232">
        <f>[1]计划!H8</f>
        <v>0</v>
      </c>
      <c r="I12" s="232">
        <f>[1]计划!I8</f>
        <v>0</v>
      </c>
      <c r="J12" s="232">
        <f>[1]计划!J8</f>
        <v>0</v>
      </c>
      <c r="K12" s="232">
        <f>[1]计划!K8</f>
        <v>0</v>
      </c>
      <c r="L12" s="232">
        <f>[1]计划!L8</f>
        <v>0</v>
      </c>
      <c r="M12" s="234">
        <f t="shared" si="2"/>
        <v>0</v>
      </c>
    </row>
    <row r="13" ht="15" customHeight="1" spans="1:13">
      <c r="A13" s="228">
        <v>2.3</v>
      </c>
      <c r="B13" s="231" t="s">
        <v>36</v>
      </c>
      <c r="C13" s="232">
        <f>[1]总成本!C22</f>
        <v>0</v>
      </c>
      <c r="D13" s="232">
        <f>[1]总成本!D22</f>
        <v>0</v>
      </c>
      <c r="E13" s="232">
        <f>[1]总成本!E22</f>
        <v>0</v>
      </c>
      <c r="F13" s="232">
        <f>[1]总成本!F22</f>
        <v>0</v>
      </c>
      <c r="G13" s="232">
        <f>[1]总成本!G22</f>
        <v>0</v>
      </c>
      <c r="H13" s="232">
        <f>[1]总成本!H22</f>
        <v>0</v>
      </c>
      <c r="I13" s="232">
        <f>[1]总成本!I22</f>
        <v>0</v>
      </c>
      <c r="J13" s="232">
        <f>[1]总成本!J22</f>
        <v>0</v>
      </c>
      <c r="K13" s="232">
        <f>[1]总成本!K22</f>
        <v>0</v>
      </c>
      <c r="L13" s="232">
        <f>[1]总成本!L22</f>
        <v>0</v>
      </c>
      <c r="M13" s="234">
        <f t="shared" si="2"/>
        <v>0</v>
      </c>
    </row>
    <row r="14" ht="15" customHeight="1" spans="1:13">
      <c r="A14" s="228">
        <v>2.4</v>
      </c>
      <c r="B14" s="231" t="s">
        <v>37</v>
      </c>
      <c r="C14" s="232">
        <f>[1]价格!D15</f>
        <v>0</v>
      </c>
      <c r="D14" s="232">
        <f>[1]价格!E15</f>
        <v>0</v>
      </c>
      <c r="E14" s="232">
        <f>[1]价格!F15</f>
        <v>0</v>
      </c>
      <c r="F14" s="232">
        <f>[1]价格!G15</f>
        <v>0</v>
      </c>
      <c r="G14" s="232">
        <f>[1]价格!H15</f>
        <v>0</v>
      </c>
      <c r="H14" s="232">
        <f>[1]价格!I15</f>
        <v>0</v>
      </c>
      <c r="I14" s="232">
        <f>[1]价格!J15</f>
        <v>0</v>
      </c>
      <c r="J14" s="232">
        <f>[1]价格!K15</f>
        <v>0</v>
      </c>
      <c r="K14" s="232">
        <f>[1]价格!L15</f>
        <v>0</v>
      </c>
      <c r="L14" s="232">
        <f>[1]价格!M15</f>
        <v>0</v>
      </c>
      <c r="M14" s="234">
        <f t="shared" si="2"/>
        <v>0</v>
      </c>
    </row>
    <row r="15" ht="15" customHeight="1" spans="1:13">
      <c r="A15" s="228">
        <v>2.5</v>
      </c>
      <c r="B15" s="231" t="s">
        <v>38</v>
      </c>
      <c r="C15" s="232">
        <f>[1]利润!C13</f>
        <v>0</v>
      </c>
      <c r="D15" s="232">
        <f>[1]利润!D13</f>
        <v>0</v>
      </c>
      <c r="E15" s="232">
        <f>[1]利润!E13</f>
        <v>0</v>
      </c>
      <c r="F15" s="232">
        <f>[1]利润!F13</f>
        <v>0</v>
      </c>
      <c r="G15" s="232">
        <f>[1]利润!G13</f>
        <v>0</v>
      </c>
      <c r="H15" s="232">
        <f>[1]利润!H13</f>
        <v>0</v>
      </c>
      <c r="I15" s="232">
        <f>[1]利润!I13</f>
        <v>0</v>
      </c>
      <c r="J15" s="232">
        <f>[1]利润!J13</f>
        <v>0</v>
      </c>
      <c r="K15" s="232">
        <f>[1]利润!K13</f>
        <v>0</v>
      </c>
      <c r="L15" s="232">
        <f>[1]利润!L13</f>
        <v>0</v>
      </c>
      <c r="M15" s="234">
        <f t="shared" si="2"/>
        <v>0</v>
      </c>
    </row>
    <row r="16" ht="15" customHeight="1" spans="1:13">
      <c r="A16" s="228">
        <v>2.6</v>
      </c>
      <c r="B16" s="231" t="s">
        <v>39</v>
      </c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4">
        <f t="shared" si="2"/>
        <v>0</v>
      </c>
    </row>
    <row r="17" ht="14" spans="1:13">
      <c r="A17" s="228">
        <v>3</v>
      </c>
      <c r="B17" s="229" t="s">
        <v>40</v>
      </c>
      <c r="C17" s="230">
        <f t="shared" ref="C17:L17" si="4">C5-C10</f>
        <v>0</v>
      </c>
      <c r="D17" s="230">
        <f t="shared" si="4"/>
        <v>0</v>
      </c>
      <c r="E17" s="230" t="e">
        <f t="shared" si="4"/>
        <v>#REF!</v>
      </c>
      <c r="F17" s="230" t="e">
        <f t="shared" si="4"/>
        <v>#REF!</v>
      </c>
      <c r="G17" s="230" t="e">
        <f t="shared" si="4"/>
        <v>#REF!</v>
      </c>
      <c r="H17" s="230" t="e">
        <f t="shared" si="4"/>
        <v>#REF!</v>
      </c>
      <c r="I17" s="230" t="e">
        <f t="shared" si="4"/>
        <v>#REF!</v>
      </c>
      <c r="J17" s="230" t="e">
        <f t="shared" si="4"/>
        <v>#REF!</v>
      </c>
      <c r="K17" s="230" t="e">
        <f t="shared" si="4"/>
        <v>#REF!</v>
      </c>
      <c r="L17" s="230" t="e">
        <f t="shared" si="4"/>
        <v>#REF!</v>
      </c>
      <c r="M17" s="234" t="e">
        <f t="shared" si="2"/>
        <v>#REF!</v>
      </c>
    </row>
    <row r="18" ht="14" spans="1:13">
      <c r="A18" s="235">
        <v>4</v>
      </c>
      <c r="B18" s="231" t="s">
        <v>41</v>
      </c>
      <c r="C18" s="232">
        <f>C17</f>
        <v>0</v>
      </c>
      <c r="D18" s="232">
        <f t="shared" ref="D18:L18" si="5">C18+D17</f>
        <v>0</v>
      </c>
      <c r="E18" s="232" t="e">
        <f t="shared" si="5"/>
        <v>#REF!</v>
      </c>
      <c r="F18" s="232" t="e">
        <f t="shared" si="5"/>
        <v>#REF!</v>
      </c>
      <c r="G18" s="232" t="e">
        <f t="shared" si="5"/>
        <v>#REF!</v>
      </c>
      <c r="H18" s="232" t="e">
        <f t="shared" si="5"/>
        <v>#REF!</v>
      </c>
      <c r="I18" s="232" t="e">
        <f t="shared" si="5"/>
        <v>#REF!</v>
      </c>
      <c r="J18" s="232" t="e">
        <f t="shared" si="5"/>
        <v>#REF!</v>
      </c>
      <c r="K18" s="232" t="e">
        <f t="shared" si="5"/>
        <v>#REF!</v>
      </c>
      <c r="L18" s="232" t="e">
        <f t="shared" si="5"/>
        <v>#REF!</v>
      </c>
      <c r="M18" s="231" t="s">
        <v>31</v>
      </c>
    </row>
    <row r="19" s="215" customFormat="1" ht="13" spans="1:13">
      <c r="A19" s="235">
        <v>5</v>
      </c>
      <c r="B19" s="231" t="s">
        <v>42</v>
      </c>
      <c r="C19" s="232">
        <f t="shared" ref="C19:L19" si="6">C17+C15</f>
        <v>0</v>
      </c>
      <c r="D19" s="232">
        <f t="shared" si="6"/>
        <v>0</v>
      </c>
      <c r="E19" s="232" t="e">
        <f t="shared" si="6"/>
        <v>#REF!</v>
      </c>
      <c r="F19" s="232" t="e">
        <f t="shared" si="6"/>
        <v>#REF!</v>
      </c>
      <c r="G19" s="232" t="e">
        <f t="shared" si="6"/>
        <v>#REF!</v>
      </c>
      <c r="H19" s="232" t="e">
        <f t="shared" si="6"/>
        <v>#REF!</v>
      </c>
      <c r="I19" s="232" t="e">
        <f t="shared" si="6"/>
        <v>#REF!</v>
      </c>
      <c r="J19" s="232" t="e">
        <f t="shared" si="6"/>
        <v>#REF!</v>
      </c>
      <c r="K19" s="232" t="e">
        <f t="shared" si="6"/>
        <v>#REF!</v>
      </c>
      <c r="L19" s="232" t="e">
        <f t="shared" si="6"/>
        <v>#REF!</v>
      </c>
      <c r="M19" s="234" t="e">
        <f>SUM(C19:L19)</f>
        <v>#REF!</v>
      </c>
    </row>
    <row r="20" s="215" customFormat="1" ht="13" spans="1:13">
      <c r="A20" s="228">
        <v>6</v>
      </c>
      <c r="B20" s="231" t="s">
        <v>43</v>
      </c>
      <c r="C20" s="232">
        <f>C19</f>
        <v>0</v>
      </c>
      <c r="D20" s="232">
        <f t="shared" ref="D20:L20" si="7">C20+D19</f>
        <v>0</v>
      </c>
      <c r="E20" s="232" t="e">
        <f t="shared" si="7"/>
        <v>#REF!</v>
      </c>
      <c r="F20" s="232" t="e">
        <f t="shared" si="7"/>
        <v>#REF!</v>
      </c>
      <c r="G20" s="232" t="e">
        <f t="shared" si="7"/>
        <v>#REF!</v>
      </c>
      <c r="H20" s="232" t="e">
        <f t="shared" si="7"/>
        <v>#REF!</v>
      </c>
      <c r="I20" s="232" t="e">
        <f t="shared" si="7"/>
        <v>#REF!</v>
      </c>
      <c r="J20" s="232" t="e">
        <f t="shared" si="7"/>
        <v>#REF!</v>
      </c>
      <c r="K20" s="232" t="e">
        <f t="shared" si="7"/>
        <v>#REF!</v>
      </c>
      <c r="L20" s="232" t="e">
        <f t="shared" si="7"/>
        <v>#REF!</v>
      </c>
      <c r="M20" s="231" t="s">
        <v>31</v>
      </c>
    </row>
    <row r="21" ht="14" spans="1:13">
      <c r="A21" s="236"/>
      <c r="B21" s="237" t="s">
        <v>44</v>
      </c>
      <c r="C21" s="237"/>
      <c r="D21" s="237"/>
      <c r="E21" s="237" t="s">
        <v>45</v>
      </c>
      <c r="F21" s="237"/>
      <c r="G21" s="237"/>
      <c r="H21" s="237"/>
      <c r="I21" s="237" t="s">
        <v>46</v>
      </c>
      <c r="J21" s="237"/>
      <c r="K21" s="237"/>
      <c r="L21" s="237"/>
      <c r="M21" s="248"/>
    </row>
    <row r="22" ht="14" spans="1:13">
      <c r="A22" s="238"/>
      <c r="B22" s="239" t="s">
        <v>47</v>
      </c>
      <c r="C22" s="239"/>
      <c r="D22" s="240" t="s">
        <v>48</v>
      </c>
      <c r="E22" s="241" t="e">
        <f>IRR(C17:L17,0.15)</f>
        <v>#VALUE!</v>
      </c>
      <c r="F22" s="239"/>
      <c r="G22" s="239"/>
      <c r="H22" s="239"/>
      <c r="I22" s="241" t="e">
        <f>IRR(C19:L19,0.15)</f>
        <v>#VALUE!</v>
      </c>
      <c r="J22" s="239"/>
      <c r="K22" s="239"/>
      <c r="L22" s="239"/>
      <c r="M22" s="249"/>
    </row>
    <row r="23" ht="14" spans="1:18">
      <c r="A23" s="238"/>
      <c r="B23" s="239" t="s">
        <v>49</v>
      </c>
      <c r="C23" s="239"/>
      <c r="D23" s="239"/>
      <c r="E23" s="242" t="e">
        <f>NPV(0.12,C17:L17)</f>
        <v>#REF!</v>
      </c>
      <c r="F23" s="239"/>
      <c r="G23" s="239"/>
      <c r="H23" s="239"/>
      <c r="I23" s="242" t="e">
        <f>NPV(0.12,C19:L19)</f>
        <v>#REF!</v>
      </c>
      <c r="J23" s="239"/>
      <c r="K23" s="239"/>
      <c r="L23" s="239"/>
      <c r="M23" s="249"/>
      <c r="R23" s="216">
        <f>30.9-29.82</f>
        <v>1.08</v>
      </c>
    </row>
    <row r="24" ht="14" spans="1:13">
      <c r="A24" s="243"/>
      <c r="B24" s="244" t="s">
        <v>50</v>
      </c>
      <c r="C24" s="244"/>
      <c r="D24" s="244"/>
      <c r="E24" s="245" t="e">
        <f>6-H18/I17</f>
        <v>#REF!</v>
      </c>
      <c r="F24" s="244"/>
      <c r="G24" s="244"/>
      <c r="H24" s="244"/>
      <c r="I24" s="245" t="e">
        <f>6-H20/I19</f>
        <v>#REF!</v>
      </c>
      <c r="J24" s="244"/>
      <c r="K24" s="244"/>
      <c r="L24" s="244"/>
      <c r="M24" s="25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3"/>
  <sheetViews>
    <sheetView tabSelected="1" workbookViewId="0">
      <pane xSplit="2" ySplit="4" topLeftCell="C47" activePane="bottomRight" state="frozen"/>
      <selection/>
      <selection pane="topRight"/>
      <selection pane="bottomLeft"/>
      <selection pane="bottomRight" activeCell="G1" sqref="G1"/>
    </sheetView>
  </sheetViews>
  <sheetFormatPr defaultColWidth="9" defaultRowHeight="14.5"/>
  <cols>
    <col min="1" max="1" width="5.12727272727273" style="184" customWidth="1"/>
    <col min="2" max="2" width="32.6272727272727" style="184" customWidth="1"/>
    <col min="3" max="3" width="14.5" style="185" customWidth="1"/>
    <col min="4" max="5" width="14.7545454545455" style="185" customWidth="1"/>
    <col min="6" max="6" width="16.5" style="185" customWidth="1"/>
    <col min="7" max="7" width="15.5" style="184" customWidth="1"/>
    <col min="8" max="33" width="9" style="184"/>
    <col min="34" max="34" width="4.37272727272727" style="184" customWidth="1"/>
    <col min="35" max="35" width="13.8727272727273" style="184" customWidth="1"/>
    <col min="36" max="16384" width="9" style="184"/>
  </cols>
  <sheetData>
    <row r="1" ht="27" customHeight="1" spans="1:7">
      <c r="A1" s="186" t="s">
        <v>51</v>
      </c>
      <c r="B1" s="186"/>
      <c r="C1" s="186"/>
      <c r="D1" s="186"/>
      <c r="E1" s="186"/>
      <c r="F1" s="186"/>
      <c r="G1" s="86"/>
    </row>
    <row r="2" ht="15.75" customHeight="1" spans="1:36">
      <c r="A2" s="187" t="s">
        <v>21</v>
      </c>
      <c r="B2" s="188" t="s">
        <v>1</v>
      </c>
      <c r="C2" s="188" t="s">
        <v>52</v>
      </c>
      <c r="D2" s="188" t="s">
        <v>53</v>
      </c>
      <c r="E2" s="188" t="s">
        <v>54</v>
      </c>
      <c r="F2" s="189" t="s">
        <v>55</v>
      </c>
      <c r="AJ2" s="184" t="s">
        <v>56</v>
      </c>
    </row>
    <row r="3" s="145" customFormat="1" ht="15.75" customHeight="1" spans="1:36">
      <c r="A3" s="190"/>
      <c r="B3" s="153" t="s">
        <v>3</v>
      </c>
      <c r="C3" s="191">
        <f>'2024年'!Q6</f>
        <v>21400</v>
      </c>
      <c r="D3" s="191">
        <f>'2025年'!Q6</f>
        <v>28200</v>
      </c>
      <c r="E3" s="191">
        <f>'2026年'!Q6</f>
        <v>28800</v>
      </c>
      <c r="F3" s="191">
        <f t="shared" ref="F3:F7" si="0">SUM(C3:E3)</f>
        <v>78400</v>
      </c>
      <c r="G3" s="174"/>
      <c r="AH3" s="152" t="s">
        <v>21</v>
      </c>
      <c r="AI3" s="153" t="s">
        <v>3</v>
      </c>
      <c r="AJ3" s="145" t="s">
        <v>57</v>
      </c>
    </row>
    <row r="4" s="145" customFormat="1" ht="15.75" customHeight="1" spans="1:36">
      <c r="A4" s="147">
        <v>1</v>
      </c>
      <c r="B4" s="153" t="s">
        <v>58</v>
      </c>
      <c r="C4" s="191">
        <f>'2024年'!Q7</f>
        <v>8344000</v>
      </c>
      <c r="D4" s="191">
        <f>'2025年'!Q7</f>
        <v>10731000</v>
      </c>
      <c r="E4" s="191">
        <f>'2026年'!Q7</f>
        <v>11156000</v>
      </c>
      <c r="F4" s="191">
        <f t="shared" si="0"/>
        <v>30231000</v>
      </c>
      <c r="G4" s="174"/>
      <c r="AH4" s="152" t="s">
        <v>59</v>
      </c>
      <c r="AI4" s="153" t="s">
        <v>58</v>
      </c>
      <c r="AJ4" s="145" t="s">
        <v>57</v>
      </c>
    </row>
    <row r="5" s="145" customFormat="1" ht="15.75" customHeight="1" spans="1:36">
      <c r="A5" s="147">
        <v>2</v>
      </c>
      <c r="B5" s="147" t="s">
        <v>60</v>
      </c>
      <c r="C5" s="191">
        <f>'2024年'!Q8</f>
        <v>0</v>
      </c>
      <c r="D5" s="191">
        <f>'2025年'!Q8</f>
        <v>214620</v>
      </c>
      <c r="E5" s="191">
        <f>'2026年'!Q8</f>
        <v>441777.600000001</v>
      </c>
      <c r="F5" s="191">
        <f t="shared" si="0"/>
        <v>656397.600000001</v>
      </c>
      <c r="G5" s="174"/>
      <c r="AH5" s="152" t="s">
        <v>61</v>
      </c>
      <c r="AI5" s="147" t="s">
        <v>62</v>
      </c>
      <c r="AJ5" s="145" t="s">
        <v>57</v>
      </c>
    </row>
    <row r="6" s="145" customFormat="1" ht="15.75" customHeight="1" spans="1:36">
      <c r="A6" s="147">
        <v>3</v>
      </c>
      <c r="B6" s="153" t="s">
        <v>63</v>
      </c>
      <c r="C6" s="192">
        <f>C4-C5</f>
        <v>8344000</v>
      </c>
      <c r="D6" s="192">
        <f>'2025年'!Q9</f>
        <v>10516380</v>
      </c>
      <c r="E6" s="191">
        <f>'2026年'!Q9</f>
        <v>10714222.4</v>
      </c>
      <c r="F6" s="191">
        <f t="shared" si="0"/>
        <v>29574602.4</v>
      </c>
      <c r="G6" s="174"/>
      <c r="AH6" s="152" t="s">
        <v>64</v>
      </c>
      <c r="AI6" s="153" t="s">
        <v>63</v>
      </c>
      <c r="AJ6" s="145" t="s">
        <v>65</v>
      </c>
    </row>
    <row r="7" s="145" customFormat="1" ht="15.75" customHeight="1" spans="1:36">
      <c r="A7" s="147">
        <v>4</v>
      </c>
      <c r="B7" s="152" t="s">
        <v>66</v>
      </c>
      <c r="C7" s="191">
        <f>'2024年'!Q10</f>
        <v>7893504.61454925</v>
      </c>
      <c r="D7" s="192">
        <f>'2025年'!Q10</f>
        <v>10257935.1350975</v>
      </c>
      <c r="E7" s="191">
        <f>'2026年'!Q10</f>
        <v>10639156.1942168</v>
      </c>
      <c r="F7" s="191">
        <f t="shared" si="0"/>
        <v>28790595.9438636</v>
      </c>
      <c r="G7" s="174"/>
      <c r="AH7" s="152" t="s">
        <v>67</v>
      </c>
      <c r="AI7" s="152" t="s">
        <v>66</v>
      </c>
      <c r="AJ7" s="145" t="s">
        <v>68</v>
      </c>
    </row>
    <row r="8" s="145" customFormat="1" ht="15.75" customHeight="1" spans="1:35">
      <c r="A8" s="147">
        <v>5</v>
      </c>
      <c r="B8" s="152" t="s">
        <v>69</v>
      </c>
      <c r="C8" s="191">
        <f>'2024年'!Q11</f>
        <v>359626.4</v>
      </c>
      <c r="D8" s="192">
        <f>'2025年'!Q11</f>
        <v>462506.1</v>
      </c>
      <c r="E8" s="191">
        <f>'2026年'!Q11</f>
        <v>480823.6</v>
      </c>
      <c r="F8" s="191">
        <f t="shared" ref="F8:F19" si="1">SUM(C8:E8)</f>
        <v>1302956.1</v>
      </c>
      <c r="G8" s="174"/>
      <c r="AH8" s="152" t="s">
        <v>70</v>
      </c>
      <c r="AI8" s="152" t="s">
        <v>69</v>
      </c>
    </row>
    <row r="9" s="145" customFormat="1" ht="15.75" customHeight="1" spans="1:35">
      <c r="A9" s="147">
        <v>6</v>
      </c>
      <c r="B9" s="152" t="s">
        <v>71</v>
      </c>
      <c r="C9" s="191">
        <f>'2024年'!Q12</f>
        <v>180826.1</v>
      </c>
      <c r="D9" s="192">
        <f>'2025年'!Q12</f>
        <v>231300.3</v>
      </c>
      <c r="E9" s="191">
        <f>'2026年'!Q12</f>
        <v>241325.7</v>
      </c>
      <c r="F9" s="191">
        <f t="shared" si="1"/>
        <v>653452.1</v>
      </c>
      <c r="G9" s="174"/>
      <c r="AH9" s="152" t="s">
        <v>72</v>
      </c>
      <c r="AI9" s="152" t="s">
        <v>71</v>
      </c>
    </row>
    <row r="10" s="145" customFormat="1" ht="15.75" customHeight="1" spans="1:36">
      <c r="A10" s="147">
        <v>7</v>
      </c>
      <c r="B10" s="152" t="s">
        <v>73</v>
      </c>
      <c r="C10" s="191">
        <f>'2024年'!Q13</f>
        <v>366652</v>
      </c>
      <c r="D10" s="192">
        <f>'2025年'!Q13</f>
        <v>468996</v>
      </c>
      <c r="E10" s="191">
        <f>'2026年'!Q13</f>
        <v>489324</v>
      </c>
      <c r="F10" s="191">
        <f t="shared" si="1"/>
        <v>1324972</v>
      </c>
      <c r="G10" s="174"/>
      <c r="AH10" s="152" t="s">
        <v>74</v>
      </c>
      <c r="AI10" s="152" t="s">
        <v>73</v>
      </c>
      <c r="AJ10" s="145" t="s">
        <v>57</v>
      </c>
    </row>
    <row r="11" s="145" customFormat="1" ht="15.75" customHeight="1" spans="1:35">
      <c r="A11" s="147">
        <v>8</v>
      </c>
      <c r="B11" s="193" t="s">
        <v>75</v>
      </c>
      <c r="C11" s="194">
        <f>SUM(C8:C10)</f>
        <v>907104.5</v>
      </c>
      <c r="D11" s="194">
        <f>SUM(D8:D10)</f>
        <v>1162802.4</v>
      </c>
      <c r="E11" s="194">
        <f>SUM(E8:E10)</f>
        <v>1211473.3</v>
      </c>
      <c r="F11" s="194">
        <f>SUM(F8:F10)</f>
        <v>3281380.2</v>
      </c>
      <c r="G11" s="174"/>
      <c r="AH11" s="152" t="s">
        <v>76</v>
      </c>
      <c r="AI11" s="156" t="s">
        <v>75</v>
      </c>
    </row>
    <row r="12" s="145" customFormat="1" ht="15.75" customHeight="1" spans="1:35">
      <c r="A12" s="147">
        <v>9</v>
      </c>
      <c r="B12" s="195" t="s">
        <v>77</v>
      </c>
      <c r="C12" s="191">
        <f>'2024年'!Q15</f>
        <v>-456609.11454925</v>
      </c>
      <c r="D12" s="192">
        <f>'2025年'!Q15</f>
        <v>-904357.535097509</v>
      </c>
      <c r="E12" s="191">
        <f>'2026年'!Q15</f>
        <v>-1136407.09421685</v>
      </c>
      <c r="F12" s="191">
        <f>SUM(C12:E12)</f>
        <v>-2497373.74386361</v>
      </c>
      <c r="G12" s="174"/>
      <c r="I12" s="184"/>
      <c r="J12" s="184"/>
      <c r="K12" s="184"/>
      <c r="L12" s="184"/>
      <c r="M12" s="184"/>
      <c r="N12" s="184"/>
      <c r="AH12" s="152" t="s">
        <v>78</v>
      </c>
      <c r="AI12" s="156" t="s">
        <v>77</v>
      </c>
    </row>
    <row r="13" ht="15.75" customHeight="1" spans="1:35">
      <c r="A13" s="147">
        <v>10</v>
      </c>
      <c r="B13" s="196" t="s">
        <v>79</v>
      </c>
      <c r="C13" s="197">
        <f t="shared" ref="C13:F13" si="2">+C12/C6</f>
        <v>-0.0547230482441575</v>
      </c>
      <c r="D13" s="197">
        <f t="shared" si="2"/>
        <v>-0.0859951366437414</v>
      </c>
      <c r="E13" s="197">
        <f t="shared" si="2"/>
        <v>-0.106065288902053</v>
      </c>
      <c r="F13" s="197">
        <f t="shared" si="2"/>
        <v>-0.0844431891285073</v>
      </c>
      <c r="G13" s="174"/>
      <c r="AH13" s="196" t="s">
        <v>80</v>
      </c>
      <c r="AI13" s="196" t="s">
        <v>79</v>
      </c>
    </row>
    <row r="14" ht="15.75" customHeight="1" spans="1:35">
      <c r="A14" s="147">
        <v>11</v>
      </c>
      <c r="B14" s="196" t="s">
        <v>81</v>
      </c>
      <c r="C14" s="191">
        <f>'2024年'!Q17</f>
        <v>341653</v>
      </c>
      <c r="D14" s="192">
        <f>'2025年'!Q17</f>
        <v>437019</v>
      </c>
      <c r="E14" s="191">
        <f>'2026年'!Q17</f>
        <v>455961</v>
      </c>
      <c r="F14" s="191">
        <f t="shared" si="1"/>
        <v>1234633</v>
      </c>
      <c r="G14" s="174"/>
      <c r="AH14" s="196" t="s">
        <v>82</v>
      </c>
      <c r="AI14" s="196" t="s">
        <v>81</v>
      </c>
    </row>
    <row r="15" ht="15.75" customHeight="1" spans="1:35">
      <c r="A15" s="147"/>
      <c r="B15" s="196"/>
      <c r="C15" s="191"/>
      <c r="D15" s="191"/>
      <c r="E15" s="191"/>
      <c r="F15" s="191">
        <f t="shared" si="1"/>
        <v>0</v>
      </c>
      <c r="G15" s="174"/>
      <c r="AH15" s="196"/>
      <c r="AI15" s="196"/>
    </row>
    <row r="16" ht="15.75" customHeight="1" spans="1:36">
      <c r="A16" s="147">
        <v>12</v>
      </c>
      <c r="B16" s="196" t="s">
        <v>83</v>
      </c>
      <c r="C16" s="198">
        <f>'2024年'!Q19</f>
        <v>58331</v>
      </c>
      <c r="D16" s="198">
        <f>'2025年'!Q19</f>
        <v>74613</v>
      </c>
      <c r="E16" s="191">
        <f>'2026年'!Q19</f>
        <v>77847</v>
      </c>
      <c r="F16" s="191">
        <f t="shared" si="1"/>
        <v>210791</v>
      </c>
      <c r="G16" s="174"/>
      <c r="O16" s="174"/>
      <c r="AH16" s="196" t="s">
        <v>84</v>
      </c>
      <c r="AI16" s="196" t="s">
        <v>83</v>
      </c>
      <c r="AJ16" s="184" t="s">
        <v>57</v>
      </c>
    </row>
    <row r="17" ht="15.75" customHeight="1" spans="1:35">
      <c r="A17" s="147">
        <v>13</v>
      </c>
      <c r="B17" s="196" t="s">
        <v>85</v>
      </c>
      <c r="C17" s="198">
        <f>'2024年'!Q20</f>
        <v>283322</v>
      </c>
      <c r="D17" s="198">
        <f>'2025年'!Q20</f>
        <v>362406</v>
      </c>
      <c r="E17" s="191">
        <f>'2026年'!Q20</f>
        <v>378114</v>
      </c>
      <c r="F17" s="191">
        <f t="shared" si="1"/>
        <v>1023842</v>
      </c>
      <c r="G17" s="174"/>
      <c r="AH17" s="196" t="s">
        <v>86</v>
      </c>
      <c r="AI17" s="196" t="s">
        <v>85</v>
      </c>
    </row>
    <row r="18" s="144" customFormat="1" ht="15.75" customHeight="1" spans="1:35">
      <c r="A18" s="147">
        <v>14</v>
      </c>
      <c r="B18" s="161" t="s">
        <v>87</v>
      </c>
      <c r="C18" s="199">
        <f>'2024年'!Q21</f>
        <v>4666.66666666667</v>
      </c>
      <c r="D18" s="199">
        <f>'2025年'!Q21</f>
        <v>4666.66666666667</v>
      </c>
      <c r="E18" s="199">
        <f>'2026年'!Q21</f>
        <v>4666.66666666667</v>
      </c>
      <c r="F18" s="191">
        <f t="shared" si="1"/>
        <v>14000</v>
      </c>
      <c r="G18" s="174"/>
      <c r="AH18" s="161"/>
      <c r="AI18" s="161"/>
    </row>
    <row r="19" s="145" customFormat="1" ht="15.75" customHeight="1" spans="1:35">
      <c r="A19" s="147">
        <v>15</v>
      </c>
      <c r="B19" s="152" t="s">
        <v>88</v>
      </c>
      <c r="C19" s="198">
        <f>'2024年'!Q22</f>
        <v>249990</v>
      </c>
      <c r="D19" s="198">
        <f>'2025年'!Q22</f>
        <v>319770</v>
      </c>
      <c r="E19" s="191">
        <f>'2026年'!Q22</f>
        <v>333630</v>
      </c>
      <c r="F19" s="191">
        <f t="shared" si="1"/>
        <v>903390</v>
      </c>
      <c r="G19" s="174"/>
      <c r="AH19" s="152" t="s">
        <v>89</v>
      </c>
      <c r="AI19" s="152" t="s">
        <v>88</v>
      </c>
    </row>
    <row r="20" s="182" customFormat="1" ht="15.75" customHeight="1" spans="1:35">
      <c r="A20" s="147">
        <v>16</v>
      </c>
      <c r="B20" s="200" t="s">
        <v>90</v>
      </c>
      <c r="C20" s="194">
        <f t="shared" ref="C20:F20" si="3">+C19+C18+C17+C16+C14</f>
        <v>937962.666666667</v>
      </c>
      <c r="D20" s="194">
        <f t="shared" si="3"/>
        <v>1198474.66666667</v>
      </c>
      <c r="E20" s="194">
        <f t="shared" si="3"/>
        <v>1250218.66666667</v>
      </c>
      <c r="F20" s="194">
        <f t="shared" si="3"/>
        <v>3386656</v>
      </c>
      <c r="G20" s="174"/>
      <c r="AH20" s="212" t="s">
        <v>91</v>
      </c>
      <c r="AI20" s="213" t="s">
        <v>90</v>
      </c>
    </row>
    <row r="21" ht="15.75" customHeight="1" spans="1:35">
      <c r="A21" s="147">
        <v>17</v>
      </c>
      <c r="B21" s="196" t="s">
        <v>92</v>
      </c>
      <c r="C21" s="201">
        <f>'2024年'!Q24</f>
        <v>-1394571.78121592</v>
      </c>
      <c r="D21" s="201">
        <f>'2025年'!Q24</f>
        <v>-2102832.20176418</v>
      </c>
      <c r="E21" s="191">
        <f>'2026年'!Q24</f>
        <v>-2386625.76088351</v>
      </c>
      <c r="F21" s="191">
        <f>SUM(C21:E21)</f>
        <v>-5884029.74386361</v>
      </c>
      <c r="G21" s="202"/>
      <c r="AH21" s="196" t="s">
        <v>93</v>
      </c>
      <c r="AI21" s="196" t="s">
        <v>92</v>
      </c>
    </row>
    <row r="22" ht="15.75" customHeight="1" spans="1:35">
      <c r="A22" s="147">
        <v>18</v>
      </c>
      <c r="B22" s="196" t="s">
        <v>38</v>
      </c>
      <c r="C22" s="201">
        <f>'2024年'!Q25</f>
        <v>0</v>
      </c>
      <c r="D22" s="201">
        <f>'2025年'!Q25</f>
        <v>0</v>
      </c>
      <c r="E22" s="191">
        <f>'2026年'!Q25</f>
        <v>0</v>
      </c>
      <c r="F22" s="201"/>
      <c r="G22" s="174"/>
      <c r="AH22" s="196" t="s">
        <v>94</v>
      </c>
      <c r="AI22" s="196" t="s">
        <v>38</v>
      </c>
    </row>
    <row r="23" ht="15.75" customHeight="1" spans="1:35">
      <c r="A23" s="147">
        <v>19</v>
      </c>
      <c r="B23" s="196" t="s">
        <v>95</v>
      </c>
      <c r="C23" s="201">
        <f>'2024年'!Q26</f>
        <v>-1394571.78121592</v>
      </c>
      <c r="D23" s="201">
        <f>'2025年'!Q26</f>
        <v>-2102832.20176418</v>
      </c>
      <c r="E23" s="191">
        <f>'2026年'!Q26</f>
        <v>-2386625.76088352</v>
      </c>
      <c r="F23" s="191">
        <f>SUM(C23:E23)</f>
        <v>-5884029.74386361</v>
      </c>
      <c r="G23" s="202"/>
      <c r="AH23" s="196" t="s">
        <v>96</v>
      </c>
      <c r="AI23" s="196" t="s">
        <v>95</v>
      </c>
    </row>
    <row r="24" ht="15.75" customHeight="1" spans="1:35">
      <c r="A24" s="147">
        <v>20</v>
      </c>
      <c r="B24" s="196" t="s">
        <v>97</v>
      </c>
      <c r="C24" s="203">
        <f t="shared" ref="C24:F24" si="4">C23/C4</f>
        <v>-0.167134681353777</v>
      </c>
      <c r="D24" s="203">
        <f t="shared" si="4"/>
        <v>-0.195958643347701</v>
      </c>
      <c r="E24" s="203">
        <f>E23/E4</f>
        <v>-0.21393203306593</v>
      </c>
      <c r="F24" s="203">
        <f t="shared" si="4"/>
        <v>-0.194635630441057</v>
      </c>
      <c r="G24" s="202"/>
      <c r="AH24" s="214" t="s">
        <v>98</v>
      </c>
      <c r="AI24" s="214" t="s">
        <v>99</v>
      </c>
    </row>
    <row r="25" s="183" customFormat="1" ht="15.75" customHeight="1" spans="3:7">
      <c r="C25" s="204"/>
      <c r="D25" s="204"/>
      <c r="E25" s="204"/>
      <c r="F25" s="204"/>
      <c r="G25" s="205"/>
    </row>
    <row r="26" s="183" customFormat="1" ht="15.75" customHeight="1" spans="1:34">
      <c r="A26" s="183" t="s">
        <v>100</v>
      </c>
      <c r="C26" s="206"/>
      <c r="D26" s="206"/>
      <c r="E26" s="206"/>
      <c r="F26" s="206"/>
      <c r="G26" s="205"/>
      <c r="AH26" s="183" t="s">
        <v>100</v>
      </c>
    </row>
    <row r="27" ht="15.75" customHeight="1" spans="1:36">
      <c r="A27" s="196" t="s">
        <v>21</v>
      </c>
      <c r="B27" s="207" t="s">
        <v>1</v>
      </c>
      <c r="C27" s="188" t="s">
        <v>101</v>
      </c>
      <c r="D27" s="188" t="s">
        <v>102</v>
      </c>
      <c r="E27" s="188" t="s">
        <v>103</v>
      </c>
      <c r="F27" s="189" t="s">
        <v>55</v>
      </c>
      <c r="AJ27" s="184" t="s">
        <v>56</v>
      </c>
    </row>
    <row r="28" s="145" customFormat="1" ht="15.75" customHeight="1" spans="1:35">
      <c r="A28" s="152" t="s">
        <v>104</v>
      </c>
      <c r="B28" s="156" t="s">
        <v>105</v>
      </c>
      <c r="C28" s="160"/>
      <c r="D28" s="160"/>
      <c r="E28" s="160"/>
      <c r="F28" s="160"/>
      <c r="G28" s="174"/>
      <c r="AH28" s="152" t="s">
        <v>106</v>
      </c>
      <c r="AI28" s="156" t="s">
        <v>105</v>
      </c>
    </row>
    <row r="29" s="145" customFormat="1" ht="15.75" customHeight="1" spans="1:35">
      <c r="A29" s="152" t="s">
        <v>59</v>
      </c>
      <c r="B29" s="152" t="s">
        <v>107</v>
      </c>
      <c r="C29" s="155">
        <f t="shared" ref="C29:F29" si="5">+C6/C3</f>
        <v>389.906542056075</v>
      </c>
      <c r="D29" s="155">
        <f t="shared" si="5"/>
        <v>372.921276595745</v>
      </c>
      <c r="E29" s="155">
        <f t="shared" si="5"/>
        <v>372.021611111111</v>
      </c>
      <c r="F29" s="155">
        <f t="shared" si="5"/>
        <v>377.227071428571</v>
      </c>
      <c r="G29" s="174"/>
      <c r="AH29" s="152" t="s">
        <v>59</v>
      </c>
      <c r="AI29" s="152" t="s">
        <v>107</v>
      </c>
    </row>
    <row r="30" s="145" customFormat="1" ht="15.75" customHeight="1" spans="1:35">
      <c r="A30" s="152" t="s">
        <v>61</v>
      </c>
      <c r="B30" s="152" t="s">
        <v>108</v>
      </c>
      <c r="C30" s="155">
        <f t="shared" ref="C30:F30" si="6">+C7/C3</f>
        <v>368.855355820058</v>
      </c>
      <c r="D30" s="155">
        <f t="shared" si="6"/>
        <v>363.75656507438</v>
      </c>
      <c r="E30" s="155">
        <f t="shared" si="6"/>
        <v>369.415145632529</v>
      </c>
      <c r="F30" s="155">
        <f t="shared" si="6"/>
        <v>367.226989079893</v>
      </c>
      <c r="G30" s="174"/>
      <c r="AH30" s="152" t="s">
        <v>61</v>
      </c>
      <c r="AI30" s="152" t="s">
        <v>108</v>
      </c>
    </row>
    <row r="31" s="145" customFormat="1" ht="15.75" customHeight="1" spans="1:35">
      <c r="A31" s="152" t="s">
        <v>109</v>
      </c>
      <c r="B31" s="152" t="s">
        <v>110</v>
      </c>
      <c r="C31" s="160">
        <f t="shared" ref="C31:F31" si="7">C29-C30</f>
        <v>21.0511862360163</v>
      </c>
      <c r="D31" s="160">
        <f t="shared" si="7"/>
        <v>9.16471152136495</v>
      </c>
      <c r="E31" s="160">
        <f t="shared" si="7"/>
        <v>2.60646547858164</v>
      </c>
      <c r="F31" s="160">
        <f t="shared" si="7"/>
        <v>10.0000823486785</v>
      </c>
      <c r="G31" s="174"/>
      <c r="AH31" s="152" t="s">
        <v>109</v>
      </c>
      <c r="AI31" s="152" t="s">
        <v>110</v>
      </c>
    </row>
    <row r="32" s="145" customFormat="1" ht="15.75" customHeight="1" spans="1:35">
      <c r="A32" s="152">
        <v>3.1</v>
      </c>
      <c r="B32" s="152" t="s">
        <v>111</v>
      </c>
      <c r="C32" s="157">
        <f t="shared" ref="C32:F32" si="8">C31/C29</f>
        <v>0.0539903386206555</v>
      </c>
      <c r="D32" s="157">
        <f t="shared" si="8"/>
        <v>0.0245754589414315</v>
      </c>
      <c r="E32" s="157">
        <f t="shared" si="8"/>
        <v>0.00700622060852043</v>
      </c>
      <c r="F32" s="157">
        <f t="shared" si="8"/>
        <v>0.026509450424138</v>
      </c>
      <c r="G32" s="174"/>
      <c r="AH32" s="152"/>
      <c r="AI32" s="152"/>
    </row>
    <row r="33" s="145" customFormat="1" ht="15.75" customHeight="1" spans="1:35">
      <c r="A33" s="152" t="s">
        <v>106</v>
      </c>
      <c r="B33" s="156" t="s">
        <v>10</v>
      </c>
      <c r="C33" s="160"/>
      <c r="D33" s="160"/>
      <c r="E33" s="160"/>
      <c r="F33" s="160"/>
      <c r="G33" s="174"/>
      <c r="AH33" s="152" t="s">
        <v>112</v>
      </c>
      <c r="AI33" s="156" t="s">
        <v>10</v>
      </c>
    </row>
    <row r="34" s="145" customFormat="1" ht="15.75" customHeight="1" spans="1:35">
      <c r="A34" s="152" t="s">
        <v>59</v>
      </c>
      <c r="B34" s="161" t="s">
        <v>113</v>
      </c>
      <c r="C34" s="155">
        <f t="shared" ref="C34:F34" si="9">+C8/C3</f>
        <v>16.8049719626168</v>
      </c>
      <c r="D34" s="155">
        <f t="shared" si="9"/>
        <v>16.4009255319149</v>
      </c>
      <c r="E34" s="155">
        <f t="shared" si="9"/>
        <v>16.6952638888889</v>
      </c>
      <c r="F34" s="155">
        <f t="shared" si="9"/>
        <v>16.6193380102041</v>
      </c>
      <c r="G34" s="174"/>
      <c r="AH34" s="152" t="s">
        <v>109</v>
      </c>
      <c r="AI34" s="152" t="s">
        <v>113</v>
      </c>
    </row>
    <row r="35" s="145" customFormat="1" ht="15.75" customHeight="1" spans="1:35">
      <c r="A35" s="152" t="s">
        <v>61</v>
      </c>
      <c r="B35" s="161" t="s">
        <v>114</v>
      </c>
      <c r="C35" s="155">
        <f t="shared" ref="C35:F35" si="10">+C9/C3</f>
        <v>8.44981775700934</v>
      </c>
      <c r="D35" s="155">
        <f t="shared" si="10"/>
        <v>8.20213829787234</v>
      </c>
      <c r="E35" s="155">
        <f t="shared" si="10"/>
        <v>8.37936458333333</v>
      </c>
      <c r="F35" s="155">
        <f t="shared" si="10"/>
        <v>8.33484821428571</v>
      </c>
      <c r="G35" s="174"/>
      <c r="AH35" s="152" t="s">
        <v>64</v>
      </c>
      <c r="AI35" s="152" t="s">
        <v>114</v>
      </c>
    </row>
    <row r="36" s="145" customFormat="1" ht="15.75" customHeight="1" spans="1:35">
      <c r="A36" s="152" t="s">
        <v>109</v>
      </c>
      <c r="B36" s="161" t="s">
        <v>115</v>
      </c>
      <c r="C36" s="155">
        <f t="shared" ref="C36:F36" si="11">+C10/C3</f>
        <v>17.1332710280374</v>
      </c>
      <c r="D36" s="155">
        <f t="shared" si="11"/>
        <v>16.6310638297872</v>
      </c>
      <c r="E36" s="155">
        <f t="shared" si="11"/>
        <v>16.9904166666667</v>
      </c>
      <c r="F36" s="155">
        <f t="shared" si="11"/>
        <v>16.9001530612245</v>
      </c>
      <c r="G36" s="174"/>
      <c r="AH36" s="152" t="s">
        <v>70</v>
      </c>
      <c r="AI36" s="152" t="s">
        <v>115</v>
      </c>
    </row>
    <row r="37" s="145" customFormat="1" ht="15.75" customHeight="1" spans="1:35">
      <c r="A37" s="152" t="s">
        <v>116</v>
      </c>
      <c r="B37" s="195" t="s">
        <v>117</v>
      </c>
      <c r="C37" s="155"/>
      <c r="D37" s="155"/>
      <c r="E37" s="155"/>
      <c r="F37" s="155"/>
      <c r="G37" s="174"/>
      <c r="AH37" s="152" t="s">
        <v>116</v>
      </c>
      <c r="AI37" s="156" t="s">
        <v>117</v>
      </c>
    </row>
    <row r="38" s="145" customFormat="1" spans="1:35">
      <c r="A38" s="152" t="s">
        <v>59</v>
      </c>
      <c r="B38" s="161" t="s">
        <v>118</v>
      </c>
      <c r="C38" s="155">
        <f t="shared" ref="C38:F38" si="12">+C12/C3</f>
        <v>-21.3368745116472</v>
      </c>
      <c r="D38" s="155">
        <f t="shared" si="12"/>
        <v>-32.0694161382095</v>
      </c>
      <c r="E38" s="155">
        <f t="shared" si="12"/>
        <v>-39.4585796603072</v>
      </c>
      <c r="F38" s="155">
        <f t="shared" si="12"/>
        <v>-31.8542569370358</v>
      </c>
      <c r="G38" s="174"/>
      <c r="AH38" s="152" t="s">
        <v>59</v>
      </c>
      <c r="AI38" s="152" t="s">
        <v>119</v>
      </c>
    </row>
    <row r="39" s="145" customFormat="1" ht="15.75" customHeight="1" spans="1:35">
      <c r="A39" s="152" t="s">
        <v>61</v>
      </c>
      <c r="B39" s="161" t="s">
        <v>120</v>
      </c>
      <c r="C39" s="191">
        <f>+C20/C38</f>
        <v>-43959.7030087353</v>
      </c>
      <c r="D39" s="191">
        <f t="shared" ref="D39:F39" si="13">+D20/D38</f>
        <v>-37371.2655541218</v>
      </c>
      <c r="E39" s="191">
        <f t="shared" si="13"/>
        <v>-31684.3301869861</v>
      </c>
      <c r="F39" s="191">
        <f t="shared" si="13"/>
        <v>-106317.218659163</v>
      </c>
      <c r="G39" s="174"/>
      <c r="AH39" s="152" t="s">
        <v>61</v>
      </c>
      <c r="AI39" s="152" t="s">
        <v>120</v>
      </c>
    </row>
    <row r="40" s="145" customFormat="1" ht="15.75" customHeight="1" spans="1:35">
      <c r="A40" s="152" t="s">
        <v>121</v>
      </c>
      <c r="B40" s="156" t="s">
        <v>122</v>
      </c>
      <c r="C40" s="160"/>
      <c r="D40" s="160"/>
      <c r="E40" s="160"/>
      <c r="F40" s="160"/>
      <c r="G40" s="174"/>
      <c r="AH40" s="152" t="s">
        <v>121</v>
      </c>
      <c r="AI40" s="156" t="s">
        <v>122</v>
      </c>
    </row>
    <row r="41" s="145" customFormat="1" ht="15.75" customHeight="1" spans="1:35">
      <c r="A41" s="152" t="s">
        <v>59</v>
      </c>
      <c r="B41" s="152" t="s">
        <v>123</v>
      </c>
      <c r="C41" s="160">
        <f t="shared" ref="C41:F41" si="14">+C14/C3</f>
        <v>15.9650934579439</v>
      </c>
      <c r="D41" s="160">
        <f t="shared" si="14"/>
        <v>15.4971276595745</v>
      </c>
      <c r="E41" s="160">
        <f t="shared" si="14"/>
        <v>15.8319791666667</v>
      </c>
      <c r="F41" s="160">
        <f t="shared" si="14"/>
        <v>15.7478698979592</v>
      </c>
      <c r="G41" s="174"/>
      <c r="AH41" s="152" t="s">
        <v>59</v>
      </c>
      <c r="AI41" s="152" t="s">
        <v>123</v>
      </c>
    </row>
    <row r="42" s="145" customFormat="1" ht="15.75" customHeight="1" spans="1:35">
      <c r="A42" s="152" t="s">
        <v>61</v>
      </c>
      <c r="B42" s="152" t="s">
        <v>124</v>
      </c>
      <c r="C42" s="160">
        <f t="shared" ref="C42:F42" si="15">+C16/C3</f>
        <v>2.7257476635514</v>
      </c>
      <c r="D42" s="160">
        <f t="shared" si="15"/>
        <v>2.64585106382979</v>
      </c>
      <c r="E42" s="160">
        <f t="shared" si="15"/>
        <v>2.70302083333333</v>
      </c>
      <c r="F42" s="160">
        <f t="shared" si="15"/>
        <v>2.68866071428571</v>
      </c>
      <c r="G42" s="174"/>
      <c r="AH42" s="152" t="s">
        <v>61</v>
      </c>
      <c r="AI42" s="152" t="s">
        <v>124</v>
      </c>
    </row>
    <row r="43" s="145" customFormat="1" ht="15.75" customHeight="1" spans="1:35">
      <c r="A43" s="152" t="s">
        <v>109</v>
      </c>
      <c r="B43" s="152" t="s">
        <v>125</v>
      </c>
      <c r="C43" s="160">
        <f>+C17/C3</f>
        <v>13.2393457943925</v>
      </c>
      <c r="D43" s="160">
        <f t="shared" ref="D43:F43" si="16">+D17/D3</f>
        <v>12.8512765957447</v>
      </c>
      <c r="E43" s="160">
        <f t="shared" si="16"/>
        <v>13.1289583333333</v>
      </c>
      <c r="F43" s="160">
        <f t="shared" si="16"/>
        <v>13.0592091836735</v>
      </c>
      <c r="G43" s="174"/>
      <c r="AH43" s="152" t="s">
        <v>109</v>
      </c>
      <c r="AI43" s="152" t="s">
        <v>125</v>
      </c>
    </row>
    <row r="44" s="145" customFormat="1" ht="15.75" customHeight="1" spans="1:35">
      <c r="A44" s="152" t="s">
        <v>64</v>
      </c>
      <c r="B44" s="152" t="s">
        <v>126</v>
      </c>
      <c r="C44" s="160">
        <f t="shared" ref="C44:F44" si="17">C18/C3</f>
        <v>0.218068535825545</v>
      </c>
      <c r="D44" s="160">
        <f t="shared" si="17"/>
        <v>0.16548463356974</v>
      </c>
      <c r="E44" s="160">
        <f t="shared" si="17"/>
        <v>0.162037037037037</v>
      </c>
      <c r="F44" s="160">
        <f t="shared" si="17"/>
        <v>0.178571428571429</v>
      </c>
      <c r="G44" s="174"/>
      <c r="AH44" s="152" t="s">
        <v>64</v>
      </c>
      <c r="AI44" s="152" t="s">
        <v>127</v>
      </c>
    </row>
    <row r="45" s="145" customFormat="1" ht="15.75" customHeight="1" spans="1:35">
      <c r="A45" s="152" t="s">
        <v>67</v>
      </c>
      <c r="B45" s="152" t="s">
        <v>128</v>
      </c>
      <c r="C45" s="160">
        <f>C19/C3</f>
        <v>11.6817757009346</v>
      </c>
      <c r="D45" s="160">
        <f>D19/D3</f>
        <v>11.3393617021277</v>
      </c>
      <c r="E45" s="160">
        <f t="shared" ref="E45:F45" si="18">E19/E3</f>
        <v>11.584375</v>
      </c>
      <c r="F45" s="160">
        <f t="shared" si="18"/>
        <v>11.5228316326531</v>
      </c>
      <c r="G45" s="174"/>
      <c r="AH45" s="152" t="s">
        <v>67</v>
      </c>
      <c r="AI45" s="152" t="s">
        <v>128</v>
      </c>
    </row>
    <row r="46" s="145" customFormat="1" ht="15.75" customHeight="1" spans="1:35">
      <c r="A46" s="152" t="s">
        <v>129</v>
      </c>
      <c r="B46" s="156" t="s">
        <v>130</v>
      </c>
      <c r="C46" s="160"/>
      <c r="D46" s="160"/>
      <c r="E46" s="160"/>
      <c r="F46" s="160"/>
      <c r="G46" s="174"/>
      <c r="AH46" s="152" t="s">
        <v>129</v>
      </c>
      <c r="AI46" s="156" t="s">
        <v>130</v>
      </c>
    </row>
    <row r="47" s="145" customFormat="1" ht="15.75" customHeight="1" spans="1:35">
      <c r="A47" s="152" t="s">
        <v>59</v>
      </c>
      <c r="B47" s="152" t="s">
        <v>131</v>
      </c>
      <c r="C47" s="178">
        <f t="shared" ref="C47:F47" si="19">+(C10+C16)/C6</f>
        <v>0.0509327660594439</v>
      </c>
      <c r="D47" s="178">
        <f t="shared" si="19"/>
        <v>0.0516916467453629</v>
      </c>
      <c r="E47" s="178">
        <f t="shared" si="19"/>
        <v>0.0529362728180815</v>
      </c>
      <c r="F47" s="178">
        <f t="shared" si="19"/>
        <v>0.0519284411411056</v>
      </c>
      <c r="G47" s="174"/>
      <c r="AH47" s="152" t="s">
        <v>59</v>
      </c>
      <c r="AI47" s="152" t="s">
        <v>131</v>
      </c>
    </row>
    <row r="48" s="145" customFormat="1" ht="15.75" customHeight="1" spans="1:35">
      <c r="A48" s="152" t="s">
        <v>61</v>
      </c>
      <c r="B48" s="152" t="s">
        <v>132</v>
      </c>
      <c r="C48" s="178">
        <f t="shared" ref="C48:F48" si="20">+(C8+C9+C14)/C6</f>
        <v>0.105717341802493</v>
      </c>
      <c r="D48" s="178">
        <f t="shared" si="20"/>
        <v>0.107529910482504</v>
      </c>
      <c r="E48" s="178">
        <f t="shared" si="20"/>
        <v>0.10995761110951</v>
      </c>
      <c r="F48" s="178">
        <f t="shared" si="20"/>
        <v>0.107898025367874</v>
      </c>
      <c r="G48" s="174"/>
      <c r="AH48" s="152" t="s">
        <v>61</v>
      </c>
      <c r="AI48" s="152" t="s">
        <v>132</v>
      </c>
    </row>
    <row r="49" s="145" customFormat="1" ht="15.75" customHeight="1" spans="1:35">
      <c r="A49" s="152" t="s">
        <v>109</v>
      </c>
      <c r="B49" s="152" t="s">
        <v>133</v>
      </c>
      <c r="C49" s="178">
        <f t="shared" ref="C49:F49" si="21">+C17/C6</f>
        <v>0.0339551773729626</v>
      </c>
      <c r="D49" s="178">
        <f t="shared" si="21"/>
        <v>0.034461097830242</v>
      </c>
      <c r="E49" s="178">
        <f t="shared" si="21"/>
        <v>0.0352908485453877</v>
      </c>
      <c r="F49" s="178">
        <f t="shared" si="21"/>
        <v>0.0346189607607371</v>
      </c>
      <c r="G49" s="174"/>
      <c r="AH49" s="152" t="s">
        <v>109</v>
      </c>
      <c r="AI49" s="152" t="s">
        <v>133</v>
      </c>
    </row>
    <row r="50" s="145" customFormat="1" ht="15.75" customHeight="1" spans="1:35">
      <c r="A50" s="152" t="s">
        <v>64</v>
      </c>
      <c r="B50" s="152" t="s">
        <v>134</v>
      </c>
      <c r="C50" s="178">
        <f t="shared" ref="C50:F50" si="22">+C18/C6</f>
        <v>0.000559284116331096</v>
      </c>
      <c r="D50" s="178">
        <f t="shared" si="22"/>
        <v>0.000443752191026443</v>
      </c>
      <c r="E50" s="178">
        <f t="shared" si="22"/>
        <v>0.000435558129413728</v>
      </c>
      <c r="F50" s="178">
        <f t="shared" si="22"/>
        <v>0.000473379145073477</v>
      </c>
      <c r="G50" s="174"/>
      <c r="AH50" s="152" t="s">
        <v>64</v>
      </c>
      <c r="AI50" s="152" t="s">
        <v>134</v>
      </c>
    </row>
    <row r="51" s="145" customFormat="1" ht="15.75" customHeight="1" spans="1:35">
      <c r="A51" s="152" t="s">
        <v>67</v>
      </c>
      <c r="B51" s="152" t="s">
        <v>135</v>
      </c>
      <c r="C51" s="178">
        <f t="shared" ref="C51:F51" si="23">+C19/C6</f>
        <v>0.0299604506232023</v>
      </c>
      <c r="D51" s="178">
        <f t="shared" si="23"/>
        <v>0.0304068510266841</v>
      </c>
      <c r="E51" s="178">
        <f t="shared" si="23"/>
        <v>0.0311389840106362</v>
      </c>
      <c r="F51" s="178">
        <f t="shared" si="23"/>
        <v>0.0305461418477092</v>
      </c>
      <c r="G51" s="174"/>
      <c r="AH51" s="152" t="s">
        <v>67</v>
      </c>
      <c r="AI51" s="152" t="s">
        <v>135</v>
      </c>
    </row>
    <row r="52" s="145" customFormat="1" ht="15.75" customHeight="1" spans="1:35">
      <c r="A52" s="152" t="s">
        <v>70</v>
      </c>
      <c r="B52" s="152" t="s">
        <v>136</v>
      </c>
      <c r="C52" s="178">
        <f t="shared" ref="C52:F52" si="24">+C23/C6</f>
        <v>-0.167134681353777</v>
      </c>
      <c r="D52" s="178">
        <f t="shared" si="24"/>
        <v>-0.199957799334388</v>
      </c>
      <c r="E52" s="178">
        <f t="shared" si="24"/>
        <v>-0.222753054004509</v>
      </c>
      <c r="F52" s="178">
        <f t="shared" si="24"/>
        <v>-0.198955497838362</v>
      </c>
      <c r="G52" s="174"/>
      <c r="AH52" s="152" t="s">
        <v>70</v>
      </c>
      <c r="AI52" s="152" t="s">
        <v>137</v>
      </c>
    </row>
    <row r="53" s="145" customFormat="1" ht="15.75" customHeight="1" spans="1:35">
      <c r="A53" s="152" t="s">
        <v>138</v>
      </c>
      <c r="B53" s="156" t="s">
        <v>139</v>
      </c>
      <c r="C53" s="160">
        <f>+C21/C3</f>
        <v>-65.1669056642952</v>
      </c>
      <c r="D53" s="160">
        <f t="shared" ref="D53:F53" si="25">+D21/D3</f>
        <v>-74.5685177930559</v>
      </c>
      <c r="E53" s="160">
        <f t="shared" si="25"/>
        <v>-82.8689500306776</v>
      </c>
      <c r="F53" s="160">
        <f t="shared" si="25"/>
        <v>-75.0513997941787</v>
      </c>
      <c r="G53" s="174"/>
      <c r="AH53" s="152" t="s">
        <v>138</v>
      </c>
      <c r="AI53" s="156" t="s">
        <v>139</v>
      </c>
    </row>
    <row r="54" s="145" customFormat="1" ht="15.75" customHeight="1" spans="1:35">
      <c r="A54" s="152" t="s">
        <v>140</v>
      </c>
      <c r="B54" s="208" t="s">
        <v>141</v>
      </c>
      <c r="C54" s="160"/>
      <c r="D54" s="160"/>
      <c r="E54" s="160"/>
      <c r="F54" s="160"/>
      <c r="G54" s="174"/>
      <c r="AH54" s="152"/>
      <c r="AI54" s="156"/>
    </row>
    <row r="55" s="145" customFormat="1" ht="15.75" customHeight="1" spans="1:7">
      <c r="A55" s="152" t="s">
        <v>59</v>
      </c>
      <c r="B55" s="152" t="s">
        <v>142</v>
      </c>
      <c r="C55" s="160">
        <f>C56+C57</f>
        <v>14000</v>
      </c>
      <c r="D55" s="160"/>
      <c r="E55" s="160"/>
      <c r="F55" s="160"/>
      <c r="G55" s="174"/>
    </row>
    <row r="56" s="145" customFormat="1" ht="15.75" customHeight="1" spans="1:7">
      <c r="A56" s="152">
        <v>1.1</v>
      </c>
      <c r="B56" s="209" t="s">
        <v>143</v>
      </c>
      <c r="C56" s="160">
        <f>项目投资!B27</f>
        <v>14000</v>
      </c>
      <c r="D56" s="160"/>
      <c r="E56" s="160"/>
      <c r="F56" s="160"/>
      <c r="G56" s="174"/>
    </row>
    <row r="57" s="145" customFormat="1" ht="15.75" customHeight="1" spans="1:7">
      <c r="A57" s="152">
        <v>1.2</v>
      </c>
      <c r="B57" s="152" t="s">
        <v>144</v>
      </c>
      <c r="C57" s="160">
        <f>项目投资!B26</f>
        <v>0</v>
      </c>
      <c r="D57" s="160"/>
      <c r="E57" s="160"/>
      <c r="F57" s="160"/>
      <c r="G57" s="174"/>
    </row>
    <row r="58" ht="15.75" customHeight="1" spans="1:7">
      <c r="A58" s="196" t="s">
        <v>61</v>
      </c>
      <c r="B58" s="196" t="s">
        <v>145</v>
      </c>
      <c r="C58" s="210">
        <f>C59+C60</f>
        <v>-1394571.78121592</v>
      </c>
      <c r="D58" s="210">
        <f t="shared" ref="D58:F58" si="26">D59+D60</f>
        <v>-2102832.20176418</v>
      </c>
      <c r="E58" s="210">
        <f t="shared" si="26"/>
        <v>-2386625.76088352</v>
      </c>
      <c r="F58" s="210">
        <f t="shared" si="26"/>
        <v>-5884029.74386361</v>
      </c>
      <c r="G58" s="174"/>
    </row>
    <row r="59" ht="15.75" customHeight="1" spans="1:7">
      <c r="A59" s="196" t="s">
        <v>109</v>
      </c>
      <c r="B59" s="196" t="s">
        <v>146</v>
      </c>
      <c r="C59" s="210">
        <f t="shared" ref="C59:F59" si="27">C23</f>
        <v>-1394571.78121592</v>
      </c>
      <c r="D59" s="210">
        <f t="shared" si="27"/>
        <v>-2102832.20176418</v>
      </c>
      <c r="E59" s="210">
        <f t="shared" si="27"/>
        <v>-2386625.76088352</v>
      </c>
      <c r="F59" s="210">
        <f t="shared" si="27"/>
        <v>-5884029.74386361</v>
      </c>
      <c r="G59" s="174"/>
    </row>
    <row r="60" ht="15.75" customHeight="1" spans="1:7">
      <c r="A60" s="196" t="s">
        <v>64</v>
      </c>
      <c r="B60" s="196" t="s">
        <v>147</v>
      </c>
      <c r="C60" s="210">
        <f>'[2]2023年'!I18</f>
        <v>0</v>
      </c>
      <c r="D60" s="210"/>
      <c r="E60" s="210"/>
      <c r="F60" s="210">
        <f>[2]项目投资!G26</f>
        <v>0</v>
      </c>
      <c r="G60" s="174"/>
    </row>
    <row r="61" ht="15.75" customHeight="1" spans="1:7">
      <c r="A61" s="196" t="s">
        <v>67</v>
      </c>
      <c r="B61" s="196" t="s">
        <v>148</v>
      </c>
      <c r="C61" s="211"/>
      <c r="D61" s="211"/>
      <c r="E61" s="211"/>
      <c r="F61" s="210"/>
      <c r="G61" s="174"/>
    </row>
    <row r="63" spans="2:2">
      <c r="B63"/>
    </row>
  </sheetData>
  <mergeCells count="2">
    <mergeCell ref="A1:F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74"/>
  <sheetViews>
    <sheetView zoomScale="85" zoomScaleNormal="85" workbookViewId="0">
      <pane xSplit="2" ySplit="7" topLeftCell="D8" activePane="bottomRight" state="frozen"/>
      <selection/>
      <selection pane="topRight"/>
      <selection pane="bottomLeft"/>
      <selection pane="bottomRight" activeCell="Q25" sqref="Q25"/>
    </sheetView>
  </sheetViews>
  <sheetFormatPr defaultColWidth="9" defaultRowHeight="14.5"/>
  <cols>
    <col min="1" max="1" width="5.12727272727273" style="145" customWidth="1"/>
    <col min="2" max="2" width="17.5" style="145" customWidth="1"/>
    <col min="3" max="6" width="14.3636363636364" style="146" customWidth="1"/>
    <col min="7" max="7" width="12" style="146" customWidth="1"/>
    <col min="8" max="8" width="13.5727272727273" style="146" customWidth="1"/>
    <col min="9" max="16" width="12" style="146" customWidth="1"/>
    <col min="17" max="17" width="18.7545454545455" style="146" customWidth="1"/>
    <col min="18" max="18" width="12.3727272727273" style="145" customWidth="1"/>
    <col min="19" max="19" width="10.1272727272727" style="145" customWidth="1"/>
    <col min="20" max="26" width="9" style="145" customWidth="1"/>
    <col min="27" max="43" width="9" style="145"/>
    <col min="44" max="44" width="4.37272727272727" style="145" customWidth="1"/>
    <col min="45" max="45" width="13.8727272727273" style="145" customWidth="1"/>
    <col min="46" max="16384" width="9" style="145"/>
  </cols>
  <sheetData>
    <row r="1" spans="1:17">
      <c r="A1" s="147" t="s">
        <v>149</v>
      </c>
      <c r="B1" s="147"/>
      <c r="C1" s="148" t="s">
        <v>150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70"/>
    </row>
    <row r="2" spans="1:17">
      <c r="A2" s="147" t="s">
        <v>151</v>
      </c>
      <c r="B2" s="147"/>
      <c r="C2" s="150" t="s">
        <v>152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ht="28.5" spans="1:17">
      <c r="A3" s="147" t="s">
        <v>153</v>
      </c>
      <c r="B3" s="147"/>
      <c r="C3" s="75" t="s">
        <v>154</v>
      </c>
      <c r="D3" s="76" t="s">
        <v>155</v>
      </c>
      <c r="E3" s="76" t="s">
        <v>156</v>
      </c>
      <c r="F3" s="75" t="s">
        <v>157</v>
      </c>
      <c r="G3" s="75" t="s">
        <v>158</v>
      </c>
      <c r="H3" s="75" t="s">
        <v>159</v>
      </c>
      <c r="I3" s="75" t="s">
        <v>160</v>
      </c>
      <c r="J3" s="75" t="s">
        <v>161</v>
      </c>
      <c r="K3" s="75" t="s">
        <v>162</v>
      </c>
      <c r="L3" s="75" t="s">
        <v>163</v>
      </c>
      <c r="M3" s="75" t="s">
        <v>160</v>
      </c>
      <c r="N3" s="75" t="s">
        <v>164</v>
      </c>
      <c r="O3" s="75" t="s">
        <v>165</v>
      </c>
      <c r="P3" s="75" t="s">
        <v>160</v>
      </c>
      <c r="Q3" s="171" t="s">
        <v>55</v>
      </c>
    </row>
    <row r="4" ht="37" customHeight="1" spans="1:17">
      <c r="A4" s="147" t="s">
        <v>166</v>
      </c>
      <c r="B4" s="147"/>
      <c r="C4" s="75" t="s">
        <v>167</v>
      </c>
      <c r="D4" s="76" t="s">
        <v>168</v>
      </c>
      <c r="E4" s="76" t="s">
        <v>169</v>
      </c>
      <c r="F4" s="75" t="s">
        <v>170</v>
      </c>
      <c r="G4" s="75" t="s">
        <v>171</v>
      </c>
      <c r="H4" s="75" t="s">
        <v>172</v>
      </c>
      <c r="I4" s="75" t="s">
        <v>173</v>
      </c>
      <c r="J4" s="75" t="s">
        <v>174</v>
      </c>
      <c r="K4" s="75" t="s">
        <v>175</v>
      </c>
      <c r="L4" s="75" t="s">
        <v>176</v>
      </c>
      <c r="M4" s="75" t="s">
        <v>177</v>
      </c>
      <c r="N4" s="75" t="s">
        <v>178</v>
      </c>
      <c r="O4" s="75" t="s">
        <v>179</v>
      </c>
      <c r="P4" s="75" t="s">
        <v>177</v>
      </c>
      <c r="Q4" s="172"/>
    </row>
    <row r="5" spans="1:46">
      <c r="A5" s="147" t="s">
        <v>180</v>
      </c>
      <c r="B5" s="147"/>
      <c r="C5" s="151" t="s">
        <v>181</v>
      </c>
      <c r="D5" s="151" t="s">
        <v>181</v>
      </c>
      <c r="E5" s="151" t="s">
        <v>181</v>
      </c>
      <c r="F5" s="151" t="s">
        <v>181</v>
      </c>
      <c r="G5" s="151" t="s">
        <v>181</v>
      </c>
      <c r="H5" s="151" t="s">
        <v>181</v>
      </c>
      <c r="I5" s="151" t="s">
        <v>181</v>
      </c>
      <c r="J5" s="151" t="s">
        <v>181</v>
      </c>
      <c r="K5" s="151" t="s">
        <v>181</v>
      </c>
      <c r="L5" s="151" t="s">
        <v>181</v>
      </c>
      <c r="M5" s="75" t="s">
        <v>182</v>
      </c>
      <c r="N5" s="75" t="s">
        <v>182</v>
      </c>
      <c r="O5" s="75" t="s">
        <v>182</v>
      </c>
      <c r="P5" s="75"/>
      <c r="Q5" s="173"/>
      <c r="AT5" s="145" t="s">
        <v>56</v>
      </c>
    </row>
    <row r="6" ht="16.5" spans="1:46">
      <c r="A6" s="152" t="s">
        <v>21</v>
      </c>
      <c r="B6" s="153" t="s">
        <v>183</v>
      </c>
      <c r="C6" s="179">
        <f>销量!C9</f>
        <v>3000</v>
      </c>
      <c r="D6" s="179">
        <f>销量!D9</f>
        <v>5000</v>
      </c>
      <c r="E6" s="179">
        <f>销量!E9</f>
        <v>3000</v>
      </c>
      <c r="F6" s="179">
        <f>销量!F9</f>
        <v>8000</v>
      </c>
      <c r="G6" s="179">
        <f>销量!G9</f>
        <v>300</v>
      </c>
      <c r="H6" s="179">
        <f>销量!H9</f>
        <v>300</v>
      </c>
      <c r="I6" s="179">
        <f>销量!I9</f>
        <v>200</v>
      </c>
      <c r="J6" s="179">
        <f>销量!J9</f>
        <v>200</v>
      </c>
      <c r="K6" s="179">
        <f>销量!K9</f>
        <v>300</v>
      </c>
      <c r="L6" s="179">
        <f>销量!L9</f>
        <v>300</v>
      </c>
      <c r="M6" s="179">
        <f>销量!M9</f>
        <v>200</v>
      </c>
      <c r="N6" s="179">
        <f>销量!N9</f>
        <v>200</v>
      </c>
      <c r="O6" s="179">
        <f>销量!O9</f>
        <v>200</v>
      </c>
      <c r="P6" s="179">
        <f>销量!P9</f>
        <v>200</v>
      </c>
      <c r="Q6" s="155">
        <f t="shared" ref="Q6:Q15" si="0">+SUM(C6:P6)</f>
        <v>21400</v>
      </c>
      <c r="AB6" s="153" t="s">
        <v>3</v>
      </c>
      <c r="AR6" s="152" t="s">
        <v>21</v>
      </c>
      <c r="AS6" s="153" t="s">
        <v>3</v>
      </c>
      <c r="AT6" s="145" t="s">
        <v>57</v>
      </c>
    </row>
    <row r="7" spans="1:46">
      <c r="A7" s="147">
        <v>1</v>
      </c>
      <c r="B7" s="153" t="s">
        <v>58</v>
      </c>
      <c r="C7" s="155">
        <f>C6*销量!C8</f>
        <v>1050000</v>
      </c>
      <c r="D7" s="155">
        <f>D6*销量!D8</f>
        <v>1700000</v>
      </c>
      <c r="E7" s="155">
        <f>E6*销量!E8</f>
        <v>1107000</v>
      </c>
      <c r="F7" s="155">
        <f>F6*销量!F8</f>
        <v>3000000</v>
      </c>
      <c r="G7" s="155">
        <f>G6*销量!G8</f>
        <v>234000</v>
      </c>
      <c r="H7" s="155">
        <f>H6*销量!H8</f>
        <v>117000</v>
      </c>
      <c r="I7" s="155">
        <f>I6*销量!I8</f>
        <v>152000</v>
      </c>
      <c r="J7" s="155">
        <f>J6*销量!J8</f>
        <v>69000</v>
      </c>
      <c r="K7" s="155">
        <f>K6*销量!K8</f>
        <v>171000</v>
      </c>
      <c r="L7" s="155">
        <f>L6*销量!L8</f>
        <v>165000</v>
      </c>
      <c r="M7" s="155">
        <f>M6*销量!M8</f>
        <v>154000</v>
      </c>
      <c r="N7" s="155">
        <f>N6*销量!N8</f>
        <v>158000</v>
      </c>
      <c r="O7" s="155">
        <f>O6*销量!O8</f>
        <v>113000</v>
      </c>
      <c r="P7" s="155">
        <f>P6*销量!P8</f>
        <v>154000</v>
      </c>
      <c r="Q7" s="155">
        <f t="shared" si="0"/>
        <v>8344000</v>
      </c>
      <c r="R7" s="146"/>
      <c r="AB7" s="153" t="s">
        <v>58</v>
      </c>
      <c r="AR7" s="152" t="s">
        <v>59</v>
      </c>
      <c r="AS7" s="153" t="s">
        <v>58</v>
      </c>
      <c r="AT7" s="145" t="s">
        <v>57</v>
      </c>
    </row>
    <row r="8" spans="1:46">
      <c r="A8" s="147">
        <v>2</v>
      </c>
      <c r="B8" s="147" t="s">
        <v>60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>
        <f t="shared" si="0"/>
        <v>0</v>
      </c>
      <c r="R8" s="174"/>
      <c r="AB8" s="147" t="s">
        <v>62</v>
      </c>
      <c r="AR8" s="152" t="s">
        <v>61</v>
      </c>
      <c r="AS8" s="147" t="s">
        <v>62</v>
      </c>
      <c r="AT8" s="145" t="s">
        <v>57</v>
      </c>
    </row>
    <row r="9" spans="1:46">
      <c r="A9" s="147">
        <v>3</v>
      </c>
      <c r="B9" s="153" t="s">
        <v>63</v>
      </c>
      <c r="C9" s="155">
        <f t="shared" ref="C9:M9" si="1">+C7-C8</f>
        <v>1050000</v>
      </c>
      <c r="D9" s="155">
        <f t="shared" ref="D9:E9" si="2">+D7-D8</f>
        <v>1700000</v>
      </c>
      <c r="E9" s="155">
        <f t="shared" si="2"/>
        <v>1107000</v>
      </c>
      <c r="F9" s="155">
        <f t="shared" si="1"/>
        <v>3000000</v>
      </c>
      <c r="G9" s="155">
        <f t="shared" si="1"/>
        <v>234000</v>
      </c>
      <c r="H9" s="155">
        <f t="shared" si="1"/>
        <v>117000</v>
      </c>
      <c r="I9" s="155">
        <f t="shared" si="1"/>
        <v>152000</v>
      </c>
      <c r="J9" s="155">
        <f t="shared" si="1"/>
        <v>69000</v>
      </c>
      <c r="K9" s="155">
        <f t="shared" si="1"/>
        <v>171000</v>
      </c>
      <c r="L9" s="155">
        <f t="shared" si="1"/>
        <v>165000</v>
      </c>
      <c r="M9" s="155">
        <f t="shared" si="1"/>
        <v>154000</v>
      </c>
      <c r="N9" s="155">
        <f>+N7-N8</f>
        <v>158000</v>
      </c>
      <c r="O9" s="155">
        <f>+O7-O8</f>
        <v>113000</v>
      </c>
      <c r="P9" s="155">
        <f>+P7-P8</f>
        <v>154000</v>
      </c>
      <c r="Q9" s="155">
        <f>+SUM(C9:P9)</f>
        <v>8344000</v>
      </c>
      <c r="AB9" s="153" t="s">
        <v>63</v>
      </c>
      <c r="AR9" s="152" t="s">
        <v>64</v>
      </c>
      <c r="AS9" s="153" t="s">
        <v>63</v>
      </c>
      <c r="AT9" s="145" t="s">
        <v>65</v>
      </c>
    </row>
    <row r="10" spans="1:46">
      <c r="A10" s="147">
        <v>4</v>
      </c>
      <c r="B10" s="152" t="s">
        <v>66</v>
      </c>
      <c r="C10" s="155">
        <f t="shared" ref="C10:M10" si="3">C6*C33</f>
        <v>986081.79279669</v>
      </c>
      <c r="D10" s="155">
        <f t="shared" si="3"/>
        <v>1467292.42238587</v>
      </c>
      <c r="E10" s="155">
        <f t="shared" si="3"/>
        <v>1147640.76279669</v>
      </c>
      <c r="F10" s="155">
        <f t="shared" si="3"/>
        <v>2936592.46845622</v>
      </c>
      <c r="G10" s="155">
        <f t="shared" si="3"/>
        <v>216894.995079669</v>
      </c>
      <c r="H10" s="155">
        <f t="shared" si="3"/>
        <v>111309.533567108</v>
      </c>
      <c r="I10" s="155">
        <f t="shared" si="3"/>
        <v>133826.065386446</v>
      </c>
      <c r="J10" s="155">
        <f t="shared" si="3"/>
        <v>59451.9472954347</v>
      </c>
      <c r="K10" s="155">
        <f t="shared" si="3"/>
        <v>167369.556279669</v>
      </c>
      <c r="L10" s="155">
        <f t="shared" si="3"/>
        <v>151213.659279669</v>
      </c>
      <c r="M10" s="155">
        <f>M6*M33</f>
        <v>134610.352106446</v>
      </c>
      <c r="N10" s="155">
        <f>N6*N33</f>
        <v>145380.950106446</v>
      </c>
      <c r="O10" s="155">
        <f>O6*O33</f>
        <v>101229.756906446</v>
      </c>
      <c r="P10" s="155">
        <f>P6*P33</f>
        <v>134610.352106446</v>
      </c>
      <c r="Q10" s="155">
        <f t="shared" si="0"/>
        <v>7893504.61454925</v>
      </c>
      <c r="AB10" s="152" t="s">
        <v>66</v>
      </c>
      <c r="AR10" s="152" t="s">
        <v>67</v>
      </c>
      <c r="AS10" s="152" t="s">
        <v>66</v>
      </c>
      <c r="AT10" s="145" t="s">
        <v>68</v>
      </c>
    </row>
    <row r="11" spans="1:45">
      <c r="A11" s="147">
        <v>5</v>
      </c>
      <c r="B11" s="152" t="s">
        <v>69</v>
      </c>
      <c r="C11" s="155">
        <f t="shared" ref="C11:M11" si="4">+C6*C36</f>
        <v>45255</v>
      </c>
      <c r="D11" s="155">
        <f t="shared" si="4"/>
        <v>73270</v>
      </c>
      <c r="E11" s="155">
        <f t="shared" si="4"/>
        <v>47711.7</v>
      </c>
      <c r="F11" s="155">
        <f t="shared" si="4"/>
        <v>129300</v>
      </c>
      <c r="G11" s="155">
        <f t="shared" si="4"/>
        <v>10085.4</v>
      </c>
      <c r="H11" s="155">
        <f t="shared" si="4"/>
        <v>5042.7</v>
      </c>
      <c r="I11" s="155">
        <f t="shared" si="4"/>
        <v>6551.2</v>
      </c>
      <c r="J11" s="155">
        <f t="shared" si="4"/>
        <v>2973.9</v>
      </c>
      <c r="K11" s="155">
        <f t="shared" si="4"/>
        <v>7370.1</v>
      </c>
      <c r="L11" s="155">
        <f t="shared" si="4"/>
        <v>7111.5</v>
      </c>
      <c r="M11" s="155">
        <f t="shared" si="4"/>
        <v>6637.4</v>
      </c>
      <c r="N11" s="155">
        <f>+N6*N36</f>
        <v>6809.8</v>
      </c>
      <c r="O11" s="155">
        <f>+O6*O36</f>
        <v>4870.3</v>
      </c>
      <c r="P11" s="155">
        <f>+P6*P36</f>
        <v>6637.4</v>
      </c>
      <c r="Q11" s="155">
        <f t="shared" si="0"/>
        <v>359626.4</v>
      </c>
      <c r="AB11" s="152" t="s">
        <v>69</v>
      </c>
      <c r="AR11" s="152" t="s">
        <v>70</v>
      </c>
      <c r="AS11" s="152" t="s">
        <v>69</v>
      </c>
    </row>
    <row r="12" spans="1:45">
      <c r="A12" s="147">
        <v>6</v>
      </c>
      <c r="B12" s="152" t="s">
        <v>71</v>
      </c>
      <c r="C12" s="155">
        <f>+C6*C37</f>
        <v>22785</v>
      </c>
      <c r="D12" s="155">
        <f t="shared" ref="D12:M12" si="5">+D6*D37</f>
        <v>36890</v>
      </c>
      <c r="E12" s="155">
        <f t="shared" si="5"/>
        <v>24021.9</v>
      </c>
      <c r="F12" s="155">
        <f t="shared" si="5"/>
        <v>64058.4</v>
      </c>
      <c r="G12" s="155">
        <f t="shared" si="5"/>
        <v>5077.8</v>
      </c>
      <c r="H12" s="155">
        <f t="shared" si="5"/>
        <v>2538.9</v>
      </c>
      <c r="I12" s="155">
        <f t="shared" si="5"/>
        <v>3298.4</v>
      </c>
      <c r="J12" s="155">
        <f t="shared" si="5"/>
        <v>1497.3</v>
      </c>
      <c r="K12" s="155">
        <f t="shared" si="5"/>
        <v>3710.7</v>
      </c>
      <c r="L12" s="155">
        <f t="shared" si="5"/>
        <v>3580.5</v>
      </c>
      <c r="M12" s="155">
        <f t="shared" si="5"/>
        <v>3341.8</v>
      </c>
      <c r="N12" s="155">
        <f>+N6*N37</f>
        <v>3341.8</v>
      </c>
      <c r="O12" s="155">
        <f>+O6*O37</f>
        <v>3341.8</v>
      </c>
      <c r="P12" s="155">
        <f>+P6*P37</f>
        <v>3341.8</v>
      </c>
      <c r="Q12" s="155">
        <f>+SUM(C12:P12)</f>
        <v>180826.1</v>
      </c>
      <c r="AB12" s="152" t="s">
        <v>71</v>
      </c>
      <c r="AR12" s="152" t="s">
        <v>72</v>
      </c>
      <c r="AS12" s="152" t="s">
        <v>71</v>
      </c>
    </row>
    <row r="13" spans="1:46">
      <c r="A13" s="147">
        <v>7</v>
      </c>
      <c r="B13" s="152" t="s">
        <v>73</v>
      </c>
      <c r="C13" s="155">
        <f>+C6*C38</f>
        <v>46200</v>
      </c>
      <c r="D13" s="155">
        <f t="shared" ref="D13:M13" si="6">+D6*D38</f>
        <v>74800</v>
      </c>
      <c r="E13" s="155">
        <f t="shared" si="6"/>
        <v>48708</v>
      </c>
      <c r="F13" s="155">
        <f t="shared" si="6"/>
        <v>129888</v>
      </c>
      <c r="G13" s="155">
        <f t="shared" si="6"/>
        <v>10296</v>
      </c>
      <c r="H13" s="155">
        <f t="shared" si="6"/>
        <v>5148</v>
      </c>
      <c r="I13" s="155">
        <f t="shared" si="6"/>
        <v>6688</v>
      </c>
      <c r="J13" s="155">
        <f t="shared" si="6"/>
        <v>3036</v>
      </c>
      <c r="K13" s="155">
        <f t="shared" si="6"/>
        <v>7524</v>
      </c>
      <c r="L13" s="155">
        <f t="shared" si="6"/>
        <v>7260</v>
      </c>
      <c r="M13" s="155">
        <f t="shared" si="6"/>
        <v>6776</v>
      </c>
      <c r="N13" s="155">
        <f>+N6*N38</f>
        <v>6776</v>
      </c>
      <c r="O13" s="155">
        <f>+O6*O38</f>
        <v>6776</v>
      </c>
      <c r="P13" s="155">
        <f>+P6*P38</f>
        <v>6776</v>
      </c>
      <c r="Q13" s="155">
        <f t="shared" si="0"/>
        <v>366652</v>
      </c>
      <c r="AB13" s="152" t="s">
        <v>73</v>
      </c>
      <c r="AR13" s="152" t="s">
        <v>74</v>
      </c>
      <c r="AS13" s="152" t="s">
        <v>73</v>
      </c>
      <c r="AT13" s="145" t="s">
        <v>57</v>
      </c>
    </row>
    <row r="14" spans="1:45">
      <c r="A14" s="147">
        <v>8</v>
      </c>
      <c r="B14" s="156" t="s">
        <v>75</v>
      </c>
      <c r="C14" s="155">
        <f>SUM(C11:C13)</f>
        <v>114240</v>
      </c>
      <c r="D14" s="155">
        <f t="shared" ref="D14:M14" si="7">SUM(D11:D13)</f>
        <v>184960</v>
      </c>
      <c r="E14" s="155">
        <f t="shared" si="7"/>
        <v>120441.6</v>
      </c>
      <c r="F14" s="155">
        <f t="shared" si="7"/>
        <v>323246.4</v>
      </c>
      <c r="G14" s="155">
        <f t="shared" si="7"/>
        <v>25459.2</v>
      </c>
      <c r="H14" s="155">
        <f t="shared" si="7"/>
        <v>12729.6</v>
      </c>
      <c r="I14" s="155">
        <f t="shared" si="7"/>
        <v>16537.6</v>
      </c>
      <c r="J14" s="155">
        <f t="shared" si="7"/>
        <v>7507.2</v>
      </c>
      <c r="K14" s="155">
        <f t="shared" si="7"/>
        <v>18604.8</v>
      </c>
      <c r="L14" s="155">
        <f t="shared" si="7"/>
        <v>17952</v>
      </c>
      <c r="M14" s="155">
        <f t="shared" si="7"/>
        <v>16755.2</v>
      </c>
      <c r="N14" s="155">
        <f>SUM(N11:N13)</f>
        <v>16927.6</v>
      </c>
      <c r="O14" s="155">
        <f>SUM(O11:O13)</f>
        <v>14988.1</v>
      </c>
      <c r="P14" s="155">
        <f>SUM(P11:P13)</f>
        <v>16755.2</v>
      </c>
      <c r="Q14" s="155">
        <f>+SUM(C14:P14)</f>
        <v>907104.5</v>
      </c>
      <c r="AB14" s="156" t="s">
        <v>75</v>
      </c>
      <c r="AR14" s="152" t="s">
        <v>76</v>
      </c>
      <c r="AS14" s="156" t="s">
        <v>75</v>
      </c>
    </row>
    <row r="15" spans="1:45">
      <c r="A15" s="147">
        <v>9</v>
      </c>
      <c r="B15" s="156" t="s">
        <v>77</v>
      </c>
      <c r="C15" s="155">
        <f>+C9-C10-C14</f>
        <v>-50321.7927966898</v>
      </c>
      <c r="D15" s="155">
        <f t="shared" ref="D15:M15" si="8">+D9-D10-D14</f>
        <v>47747.5776141332</v>
      </c>
      <c r="E15" s="155">
        <f t="shared" si="8"/>
        <v>-161082.36279669</v>
      </c>
      <c r="F15" s="155">
        <f t="shared" si="8"/>
        <v>-259838.868456224</v>
      </c>
      <c r="G15" s="155">
        <f t="shared" si="8"/>
        <v>-8354.19507966903</v>
      </c>
      <c r="H15" s="155">
        <f t="shared" si="8"/>
        <v>-7039.1335671084</v>
      </c>
      <c r="I15" s="155">
        <f t="shared" si="8"/>
        <v>1636.33461355395</v>
      </c>
      <c r="J15" s="155">
        <f t="shared" si="8"/>
        <v>2040.85270456534</v>
      </c>
      <c r="K15" s="155">
        <f t="shared" si="8"/>
        <v>-14974.356279669</v>
      </c>
      <c r="L15" s="155">
        <f t="shared" si="8"/>
        <v>-4165.65927966899</v>
      </c>
      <c r="M15" s="155">
        <f t="shared" si="8"/>
        <v>2634.44789355395</v>
      </c>
      <c r="N15" s="155">
        <f>+N9-N10-N14</f>
        <v>-4308.55010644602</v>
      </c>
      <c r="O15" s="155">
        <f>+O9-O10-O14</f>
        <v>-3217.85690644601</v>
      </c>
      <c r="P15" s="155">
        <f>+P9-P10-P14</f>
        <v>2634.44789355395</v>
      </c>
      <c r="Q15" s="155">
        <f t="shared" si="0"/>
        <v>-456609.11454925</v>
      </c>
      <c r="AB15" s="156" t="s">
        <v>77</v>
      </c>
      <c r="AR15" s="152" t="s">
        <v>78</v>
      </c>
      <c r="AS15" s="156" t="s">
        <v>77</v>
      </c>
    </row>
    <row r="16" spans="1:45">
      <c r="A16" s="147">
        <v>10</v>
      </c>
      <c r="B16" s="152" t="s">
        <v>79</v>
      </c>
      <c r="C16" s="157">
        <f>+C15/C9</f>
        <v>-0.0479255169492284</v>
      </c>
      <c r="D16" s="157">
        <f t="shared" ref="D16:N16" si="9">+D15/D9</f>
        <v>0.0280868103612548</v>
      </c>
      <c r="E16" s="157">
        <f t="shared" si="9"/>
        <v>-0.145512522851572</v>
      </c>
      <c r="F16" s="157">
        <f t="shared" si="9"/>
        <v>-0.0866129561520745</v>
      </c>
      <c r="G16" s="157">
        <f t="shared" si="9"/>
        <v>-0.035701688374654</v>
      </c>
      <c r="H16" s="157">
        <f t="shared" si="9"/>
        <v>-0.0601635347616103</v>
      </c>
      <c r="I16" s="157">
        <f t="shared" si="9"/>
        <v>0.0107653592996971</v>
      </c>
      <c r="J16" s="157">
        <f t="shared" si="9"/>
        <v>0.0295775754284831</v>
      </c>
      <c r="K16" s="157">
        <f t="shared" si="9"/>
        <v>-0.0875693349688247</v>
      </c>
      <c r="L16" s="157">
        <f t="shared" si="9"/>
        <v>-0.0252464198767818</v>
      </c>
      <c r="M16" s="157">
        <f t="shared" si="9"/>
        <v>0.0171068045035971</v>
      </c>
      <c r="N16" s="157">
        <f t="shared" ref="N16:Q16" si="10">+N15/N9</f>
        <v>-0.0272693044711773</v>
      </c>
      <c r="O16" s="157">
        <f t="shared" si="10"/>
        <v>-0.0284766097915576</v>
      </c>
      <c r="P16" s="157">
        <f t="shared" si="10"/>
        <v>0.0171068045035971</v>
      </c>
      <c r="Q16" s="157">
        <f t="shared" si="10"/>
        <v>-0.0547230482441575</v>
      </c>
      <c r="AB16" s="152" t="s">
        <v>79</v>
      </c>
      <c r="AR16" s="152" t="s">
        <v>80</v>
      </c>
      <c r="AS16" s="152" t="s">
        <v>79</v>
      </c>
    </row>
    <row r="17" spans="1:45">
      <c r="A17" s="147">
        <v>11</v>
      </c>
      <c r="B17" s="152" t="s">
        <v>81</v>
      </c>
      <c r="C17" s="155">
        <f>C6*C43+C18</f>
        <v>43050</v>
      </c>
      <c r="D17" s="155">
        <f>D6*D43+D18</f>
        <v>69700</v>
      </c>
      <c r="E17" s="155">
        <f>E6*E43+E18</f>
        <v>45387</v>
      </c>
      <c r="F17" s="155">
        <f>F6*F43+F18</f>
        <v>121032</v>
      </c>
      <c r="G17" s="155">
        <f>G6*G43+G18</f>
        <v>9594</v>
      </c>
      <c r="H17" s="155">
        <f>H6*H43+H18</f>
        <v>4797</v>
      </c>
      <c r="I17" s="155">
        <f>I6*I43+I18</f>
        <v>6232</v>
      </c>
      <c r="J17" s="155">
        <f>J6*J43+J18</f>
        <v>2829</v>
      </c>
      <c r="K17" s="155">
        <f>K6*K43+K18</f>
        <v>7011</v>
      </c>
      <c r="L17" s="155">
        <f>L6*L43+L18</f>
        <v>6765</v>
      </c>
      <c r="M17" s="155">
        <f>M6*M43+M18</f>
        <v>6314</v>
      </c>
      <c r="N17" s="155">
        <f>N6*N43+N18</f>
        <v>6314</v>
      </c>
      <c r="O17" s="155">
        <f>O6*O43+O18</f>
        <v>6314</v>
      </c>
      <c r="P17" s="155">
        <f>P6*P43+P18</f>
        <v>6314</v>
      </c>
      <c r="Q17" s="155">
        <f>+SUM(C17:P17)</f>
        <v>341653</v>
      </c>
      <c r="R17" s="174"/>
      <c r="AB17" s="152" t="s">
        <v>81</v>
      </c>
      <c r="AR17" s="152" t="s">
        <v>82</v>
      </c>
      <c r="AS17" s="152" t="s">
        <v>81</v>
      </c>
    </row>
    <row r="18" s="143" customFormat="1" spans="1:20">
      <c r="A18" s="147">
        <v>12</v>
      </c>
      <c r="B18" s="158" t="s">
        <v>184</v>
      </c>
      <c r="C18" s="159">
        <f>$Q$18/$Q$6*C6</f>
        <v>0</v>
      </c>
      <c r="D18" s="159">
        <f>$Q$18/$Q$6*D6</f>
        <v>0</v>
      </c>
      <c r="E18" s="159">
        <f t="shared" ref="E18:M18" si="11">$Q$18/$Q$6*E6</f>
        <v>0</v>
      </c>
      <c r="F18" s="159">
        <f t="shared" si="11"/>
        <v>0</v>
      </c>
      <c r="G18" s="159">
        <f t="shared" si="11"/>
        <v>0</v>
      </c>
      <c r="H18" s="159">
        <f t="shared" si="11"/>
        <v>0</v>
      </c>
      <c r="I18" s="159">
        <f t="shared" si="11"/>
        <v>0</v>
      </c>
      <c r="J18" s="159">
        <f t="shared" si="11"/>
        <v>0</v>
      </c>
      <c r="K18" s="159">
        <f t="shared" si="11"/>
        <v>0</v>
      </c>
      <c r="L18" s="159">
        <f t="shared" si="11"/>
        <v>0</v>
      </c>
      <c r="M18" s="159">
        <f t="shared" si="11"/>
        <v>0</v>
      </c>
      <c r="N18" s="159">
        <f>$Q$18/$Q$6*N6</f>
        <v>0</v>
      </c>
      <c r="O18" s="159">
        <f>$Q$18/$Q$6*O6</f>
        <v>0</v>
      </c>
      <c r="P18" s="159">
        <f>$Q$18/$Q$6*P6</f>
        <v>0</v>
      </c>
      <c r="Q18" s="155">
        <f>项目投资!F26</f>
        <v>0</v>
      </c>
      <c r="R18" s="176" t="s">
        <v>185</v>
      </c>
      <c r="S18" s="176"/>
      <c r="T18" s="176"/>
    </row>
    <row r="19" spans="1:46">
      <c r="A19" s="147">
        <v>13</v>
      </c>
      <c r="B19" s="152" t="s">
        <v>83</v>
      </c>
      <c r="C19" s="155">
        <f>C6*C44</f>
        <v>7350</v>
      </c>
      <c r="D19" s="155">
        <f t="shared" ref="D19:M19" si="12">D6*D44</f>
        <v>11900</v>
      </c>
      <c r="E19" s="155">
        <f t="shared" si="12"/>
        <v>7749</v>
      </c>
      <c r="F19" s="155">
        <f t="shared" si="12"/>
        <v>20664</v>
      </c>
      <c r="G19" s="155">
        <f t="shared" si="12"/>
        <v>1638</v>
      </c>
      <c r="H19" s="155">
        <f t="shared" si="12"/>
        <v>819</v>
      </c>
      <c r="I19" s="155">
        <f t="shared" si="12"/>
        <v>1064</v>
      </c>
      <c r="J19" s="155">
        <f t="shared" si="12"/>
        <v>483</v>
      </c>
      <c r="K19" s="155">
        <f t="shared" si="12"/>
        <v>1197</v>
      </c>
      <c r="L19" s="155">
        <f t="shared" si="12"/>
        <v>1155</v>
      </c>
      <c r="M19" s="155">
        <f t="shared" si="12"/>
        <v>1078</v>
      </c>
      <c r="N19" s="155">
        <f>N6*N44</f>
        <v>1078</v>
      </c>
      <c r="O19" s="155">
        <f>O6*O44</f>
        <v>1078</v>
      </c>
      <c r="P19" s="155">
        <f>P6*P44</f>
        <v>1078</v>
      </c>
      <c r="Q19" s="155">
        <f t="shared" ref="Q17:Q20" si="13">+SUM(C19:P19)</f>
        <v>58331</v>
      </c>
      <c r="R19" s="143"/>
      <c r="AB19" s="152" t="s">
        <v>83</v>
      </c>
      <c r="AR19" s="152" t="s">
        <v>84</v>
      </c>
      <c r="AS19" s="152" t="s">
        <v>83</v>
      </c>
      <c r="AT19" s="145" t="s">
        <v>57</v>
      </c>
    </row>
    <row r="20" spans="1:45">
      <c r="A20" s="147">
        <v>14</v>
      </c>
      <c r="B20" s="152" t="s">
        <v>85</v>
      </c>
      <c r="C20" s="155">
        <f>C6*C45</f>
        <v>35700</v>
      </c>
      <c r="D20" s="155">
        <f t="shared" ref="D20:M20" si="14">D6*D45</f>
        <v>57800</v>
      </c>
      <c r="E20" s="155">
        <f t="shared" si="14"/>
        <v>37638</v>
      </c>
      <c r="F20" s="155">
        <f t="shared" si="14"/>
        <v>100368</v>
      </c>
      <c r="G20" s="155">
        <f t="shared" si="14"/>
        <v>7956</v>
      </c>
      <c r="H20" s="155">
        <f t="shared" si="14"/>
        <v>3978</v>
      </c>
      <c r="I20" s="155">
        <f t="shared" si="14"/>
        <v>5168</v>
      </c>
      <c r="J20" s="155">
        <f t="shared" si="14"/>
        <v>2346</v>
      </c>
      <c r="K20" s="155">
        <f t="shared" si="14"/>
        <v>5814</v>
      </c>
      <c r="L20" s="155">
        <f t="shared" si="14"/>
        <v>5610</v>
      </c>
      <c r="M20" s="155">
        <f t="shared" si="14"/>
        <v>5236</v>
      </c>
      <c r="N20" s="155">
        <f>N6*N45</f>
        <v>5236</v>
      </c>
      <c r="O20" s="155">
        <f>O6*O45</f>
        <v>5236</v>
      </c>
      <c r="P20" s="155">
        <f>P6*P45</f>
        <v>5236</v>
      </c>
      <c r="Q20" s="155">
        <f t="shared" si="13"/>
        <v>283322</v>
      </c>
      <c r="AB20" s="152" t="s">
        <v>85</v>
      </c>
      <c r="AR20" s="152" t="s">
        <v>86</v>
      </c>
      <c r="AS20" s="152" t="s">
        <v>85</v>
      </c>
    </row>
    <row r="21" spans="1:45">
      <c r="A21" s="147">
        <v>15</v>
      </c>
      <c r="B21" s="152" t="s">
        <v>87</v>
      </c>
      <c r="C21" s="160">
        <f>$Q$21/$Q$6*C6</f>
        <v>654.205607476636</v>
      </c>
      <c r="D21" s="160">
        <f t="shared" ref="D21:M21" si="15">$Q$21/$Q$6*D6</f>
        <v>1090.34267912773</v>
      </c>
      <c r="E21" s="160">
        <f t="shared" si="15"/>
        <v>654.205607476636</v>
      </c>
      <c r="F21" s="160">
        <f t="shared" si="15"/>
        <v>1744.54828660436</v>
      </c>
      <c r="G21" s="160">
        <f t="shared" si="15"/>
        <v>65.4205607476636</v>
      </c>
      <c r="H21" s="160">
        <f t="shared" si="15"/>
        <v>65.4205607476636</v>
      </c>
      <c r="I21" s="160">
        <f>$Q$21/$Q$6*I6</f>
        <v>43.613707165109</v>
      </c>
      <c r="J21" s="160">
        <f t="shared" si="15"/>
        <v>43.613707165109</v>
      </c>
      <c r="K21" s="160">
        <f>$Q$21/$Q$6*K6</f>
        <v>65.4205607476636</v>
      </c>
      <c r="L21" s="160">
        <f>$Q$21/$Q$6*L6</f>
        <v>65.4205607476636</v>
      </c>
      <c r="M21" s="160">
        <f>$Q$21/$Q$6*M6</f>
        <v>43.613707165109</v>
      </c>
      <c r="N21" s="160">
        <f>$Q$21/$Q$6*N6</f>
        <v>43.613707165109</v>
      </c>
      <c r="O21" s="160">
        <f>$Q$21/$Q$6*O6</f>
        <v>43.613707165109</v>
      </c>
      <c r="P21" s="160">
        <f>$Q$21/$Q$6*P6</f>
        <v>43.613707165109</v>
      </c>
      <c r="Q21" s="155">
        <f>项目投资!F27</f>
        <v>4666.66666666667</v>
      </c>
      <c r="AB21" s="152" t="s">
        <v>87</v>
      </c>
      <c r="AR21" s="152"/>
      <c r="AS21" s="152"/>
    </row>
    <row r="22" spans="1:45">
      <c r="A22" s="147">
        <v>16</v>
      </c>
      <c r="B22" s="152" t="s">
        <v>88</v>
      </c>
      <c r="C22" s="155">
        <f>C6*C47</f>
        <v>31500</v>
      </c>
      <c r="D22" s="155">
        <f t="shared" ref="D22:M22" si="16">D6*D47</f>
        <v>51000</v>
      </c>
      <c r="E22" s="155">
        <f t="shared" si="16"/>
        <v>33210</v>
      </c>
      <c r="F22" s="155">
        <f t="shared" si="16"/>
        <v>88560</v>
      </c>
      <c r="G22" s="155">
        <f t="shared" si="16"/>
        <v>7020</v>
      </c>
      <c r="H22" s="155">
        <f t="shared" si="16"/>
        <v>3510</v>
      </c>
      <c r="I22" s="155">
        <f t="shared" si="16"/>
        <v>4560</v>
      </c>
      <c r="J22" s="155">
        <f t="shared" si="16"/>
        <v>2070</v>
      </c>
      <c r="K22" s="155">
        <f t="shared" si="16"/>
        <v>5130</v>
      </c>
      <c r="L22" s="155">
        <f t="shared" si="16"/>
        <v>4950</v>
      </c>
      <c r="M22" s="155">
        <f t="shared" si="16"/>
        <v>4620</v>
      </c>
      <c r="N22" s="155">
        <f>N6*N47</f>
        <v>4620</v>
      </c>
      <c r="O22" s="155">
        <f>O6*O47</f>
        <v>4620</v>
      </c>
      <c r="P22" s="155">
        <f>P6*P47</f>
        <v>4620</v>
      </c>
      <c r="Q22" s="155">
        <f>+SUM(C22:P22)</f>
        <v>249990</v>
      </c>
      <c r="AB22" s="152" t="s">
        <v>88</v>
      </c>
      <c r="AR22" s="152" t="s">
        <v>89</v>
      </c>
      <c r="AS22" s="152" t="s">
        <v>88</v>
      </c>
    </row>
    <row r="23" spans="1:45">
      <c r="A23" s="147">
        <v>17</v>
      </c>
      <c r="B23" s="156" t="s">
        <v>90</v>
      </c>
      <c r="C23" s="160">
        <f t="shared" ref="C23:N23" si="17">+C22+C21+C20+C19+C17</f>
        <v>118254.205607477</v>
      </c>
      <c r="D23" s="160">
        <f t="shared" si="17"/>
        <v>191490.342679128</v>
      </c>
      <c r="E23" s="160">
        <f t="shared" si="17"/>
        <v>124638.205607477</v>
      </c>
      <c r="F23" s="160">
        <f t="shared" si="17"/>
        <v>332368.548286604</v>
      </c>
      <c r="G23" s="160">
        <f t="shared" si="17"/>
        <v>26273.4205607477</v>
      </c>
      <c r="H23" s="160">
        <f t="shared" si="17"/>
        <v>13169.4205607477</v>
      </c>
      <c r="I23" s="160">
        <f t="shared" si="17"/>
        <v>17067.6137071651</v>
      </c>
      <c r="J23" s="160">
        <f t="shared" si="17"/>
        <v>7771.61370716511</v>
      </c>
      <c r="K23" s="160">
        <f t="shared" si="17"/>
        <v>19217.4205607477</v>
      </c>
      <c r="L23" s="160">
        <f t="shared" si="17"/>
        <v>18545.4205607477</v>
      </c>
      <c r="M23" s="160">
        <f t="shared" ref="M23:Q23" si="18">+M22+M21+M20+M19+M17</f>
        <v>17291.6137071651</v>
      </c>
      <c r="N23" s="160">
        <f t="shared" si="18"/>
        <v>17291.6137071651</v>
      </c>
      <c r="O23" s="160">
        <f t="shared" si="18"/>
        <v>17291.6137071651</v>
      </c>
      <c r="P23" s="160">
        <f t="shared" si="18"/>
        <v>17291.6137071651</v>
      </c>
      <c r="Q23" s="160">
        <f t="shared" si="18"/>
        <v>937962.666666667</v>
      </c>
      <c r="AB23" s="156" t="s">
        <v>90</v>
      </c>
      <c r="AR23" s="152" t="s">
        <v>91</v>
      </c>
      <c r="AS23" s="156" t="s">
        <v>90</v>
      </c>
    </row>
    <row r="24" spans="1:45">
      <c r="A24" s="147">
        <v>18</v>
      </c>
      <c r="B24" s="161" t="s">
        <v>92</v>
      </c>
      <c r="C24" s="160">
        <f>+C15-C23</f>
        <v>-168575.998404166</v>
      </c>
      <c r="D24" s="160">
        <f t="shared" ref="D24:N24" si="19">+D15-D23</f>
        <v>-143742.765064994</v>
      </c>
      <c r="E24" s="160">
        <f t="shared" si="19"/>
        <v>-285720.568404167</v>
      </c>
      <c r="F24" s="160">
        <f t="shared" si="19"/>
        <v>-592207.416742828</v>
      </c>
      <c r="G24" s="160">
        <f t="shared" si="19"/>
        <v>-34627.6156404167</v>
      </c>
      <c r="H24" s="160">
        <f t="shared" si="19"/>
        <v>-20208.5541278561</v>
      </c>
      <c r="I24" s="160">
        <f t="shared" si="19"/>
        <v>-15431.2790936112</v>
      </c>
      <c r="J24" s="160">
        <f t="shared" si="19"/>
        <v>-5730.76100259977</v>
      </c>
      <c r="K24" s="160">
        <f t="shared" si="19"/>
        <v>-34191.7768404167</v>
      </c>
      <c r="L24" s="160">
        <f t="shared" si="19"/>
        <v>-22711.0798404167</v>
      </c>
      <c r="M24" s="160">
        <f t="shared" si="19"/>
        <v>-14657.1658136112</v>
      </c>
      <c r="N24" s="160">
        <f t="shared" ref="N24:Q24" si="20">+N15-N23</f>
        <v>-21600.1638136111</v>
      </c>
      <c r="O24" s="160">
        <f t="shared" si="20"/>
        <v>-20509.4706136111</v>
      </c>
      <c r="P24" s="160">
        <f t="shared" si="20"/>
        <v>-14657.1658136112</v>
      </c>
      <c r="Q24" s="160">
        <f t="shared" si="20"/>
        <v>-1394571.78121592</v>
      </c>
      <c r="S24" s="177"/>
      <c r="AB24" s="152" t="s">
        <v>92</v>
      </c>
      <c r="AR24" s="152" t="s">
        <v>93</v>
      </c>
      <c r="AS24" s="152" t="s">
        <v>92</v>
      </c>
    </row>
    <row r="25" spans="1:45">
      <c r="A25" s="147">
        <v>19</v>
      </c>
      <c r="B25" s="152" t="s">
        <v>186</v>
      </c>
      <c r="C25" s="160">
        <f>IF(C24&lt;0,0,C24*0.25)</f>
        <v>0</v>
      </c>
      <c r="D25" s="160">
        <f t="shared" ref="D25:N25" si="21">IF(D24&lt;0,0,D24*0.25)</f>
        <v>0</v>
      </c>
      <c r="E25" s="160">
        <f t="shared" si="21"/>
        <v>0</v>
      </c>
      <c r="F25" s="160">
        <f>IF(F24&lt;0,0,F24*0.25)</f>
        <v>0</v>
      </c>
      <c r="G25" s="160">
        <f t="shared" si="21"/>
        <v>0</v>
      </c>
      <c r="H25" s="160">
        <f t="shared" si="21"/>
        <v>0</v>
      </c>
      <c r="I25" s="160">
        <f t="shared" si="21"/>
        <v>0</v>
      </c>
      <c r="J25" s="160">
        <f t="shared" si="21"/>
        <v>0</v>
      </c>
      <c r="K25" s="160">
        <f t="shared" si="21"/>
        <v>0</v>
      </c>
      <c r="L25" s="160">
        <f t="shared" si="21"/>
        <v>0</v>
      </c>
      <c r="M25" s="160">
        <f t="shared" ref="M25:Q25" si="22">IF(M24&lt;0,0,M24*0.25)</f>
        <v>0</v>
      </c>
      <c r="N25" s="160">
        <f t="shared" si="22"/>
        <v>0</v>
      </c>
      <c r="O25" s="160">
        <f t="shared" si="22"/>
        <v>0</v>
      </c>
      <c r="P25" s="160">
        <f t="shared" si="22"/>
        <v>0</v>
      </c>
      <c r="Q25" s="160">
        <f t="shared" si="22"/>
        <v>0</v>
      </c>
      <c r="R25" s="2"/>
      <c r="S25" s="2"/>
      <c r="T25" s="2"/>
      <c r="AB25" s="152" t="s">
        <v>38</v>
      </c>
      <c r="AR25" s="152" t="s">
        <v>94</v>
      </c>
      <c r="AS25" s="152" t="s">
        <v>38</v>
      </c>
    </row>
    <row r="26" spans="1:45">
      <c r="A26" s="147">
        <v>20</v>
      </c>
      <c r="B26" s="152" t="s">
        <v>95</v>
      </c>
      <c r="C26" s="160">
        <f>C24-C25</f>
        <v>-168575.998404166</v>
      </c>
      <c r="D26" s="160">
        <f t="shared" ref="D26:M26" si="23">D24-D25</f>
        <v>-143742.765064994</v>
      </c>
      <c r="E26" s="160">
        <f t="shared" si="23"/>
        <v>-285720.568404167</v>
      </c>
      <c r="F26" s="160">
        <f t="shared" si="23"/>
        <v>-592207.416742828</v>
      </c>
      <c r="G26" s="160">
        <f t="shared" si="23"/>
        <v>-34627.6156404167</v>
      </c>
      <c r="H26" s="160">
        <f t="shared" si="23"/>
        <v>-20208.5541278561</v>
      </c>
      <c r="I26" s="160">
        <f t="shared" si="23"/>
        <v>-15431.2790936112</v>
      </c>
      <c r="J26" s="160">
        <f t="shared" si="23"/>
        <v>-5730.76100259977</v>
      </c>
      <c r="K26" s="160">
        <f t="shared" si="23"/>
        <v>-34191.7768404167</v>
      </c>
      <c r="L26" s="160">
        <f t="shared" si="23"/>
        <v>-22711.0798404167</v>
      </c>
      <c r="M26" s="160">
        <f t="shared" si="23"/>
        <v>-14657.1658136112</v>
      </c>
      <c r="N26" s="160">
        <f>N24-N25</f>
        <v>-21600.1638136111</v>
      </c>
      <c r="O26" s="160">
        <f>O24-O25</f>
        <v>-20509.4706136111</v>
      </c>
      <c r="P26" s="160">
        <f>P24-P25</f>
        <v>-14657.1658136112</v>
      </c>
      <c r="Q26" s="155">
        <f>+SUM(C26:P26)</f>
        <v>-1394571.78121592</v>
      </c>
      <c r="R26" s="2"/>
      <c r="S26" s="2"/>
      <c r="T26" s="2"/>
      <c r="AB26" s="152" t="s">
        <v>95</v>
      </c>
      <c r="AR26" s="152" t="s">
        <v>96</v>
      </c>
      <c r="AS26" s="152" t="s">
        <v>95</v>
      </c>
    </row>
    <row r="27" spans="1:45">
      <c r="A27" s="147">
        <v>21</v>
      </c>
      <c r="B27" s="152" t="s">
        <v>99</v>
      </c>
      <c r="C27" s="162">
        <f>C26/C7</f>
        <v>-0.16054856990873</v>
      </c>
      <c r="D27" s="162">
        <f t="shared" ref="D27:N27" si="24">D26/D7</f>
        <v>-0.0845545676852909</v>
      </c>
      <c r="E27" s="162">
        <f t="shared" si="24"/>
        <v>-0.258103494493375</v>
      </c>
      <c r="F27" s="162">
        <f t="shared" si="24"/>
        <v>-0.197402472247609</v>
      </c>
      <c r="G27" s="162">
        <f t="shared" si="24"/>
        <v>-0.147981263420584</v>
      </c>
      <c r="H27" s="162">
        <f t="shared" si="24"/>
        <v>-0.172722684853471</v>
      </c>
      <c r="I27" s="162">
        <f t="shared" si="24"/>
        <v>-0.101521572984284</v>
      </c>
      <c r="J27" s="162">
        <f t="shared" si="24"/>
        <v>-0.0830545072840547</v>
      </c>
      <c r="K27" s="162">
        <f t="shared" si="24"/>
        <v>-0.199951911347466</v>
      </c>
      <c r="L27" s="162">
        <f t="shared" si="24"/>
        <v>-0.137642908123737</v>
      </c>
      <c r="M27" s="162">
        <f t="shared" si="24"/>
        <v>-0.0951764013870854</v>
      </c>
      <c r="N27" s="162">
        <f t="shared" ref="N27:Q27" si="25">N26/N7</f>
        <v>-0.136709897554501</v>
      </c>
      <c r="O27" s="162">
        <f t="shared" si="25"/>
        <v>-0.181499739943461</v>
      </c>
      <c r="P27" s="162">
        <f t="shared" si="25"/>
        <v>-0.0951764013870854</v>
      </c>
      <c r="Q27" s="178">
        <f t="shared" si="25"/>
        <v>-0.167134681353777</v>
      </c>
      <c r="R27" s="2"/>
      <c r="S27" s="2"/>
      <c r="T27" s="2"/>
      <c r="AB27" s="152" t="s">
        <v>99</v>
      </c>
      <c r="AR27" s="152" t="s">
        <v>98</v>
      </c>
      <c r="AS27" s="152" t="s">
        <v>99</v>
      </c>
    </row>
    <row r="28" spans="18:28">
      <c r="R28" s="2"/>
      <c r="S28" s="2"/>
      <c r="T28" s="2"/>
      <c r="AB28" s="152"/>
    </row>
    <row r="29" spans="1:44">
      <c r="A29" s="145" t="s">
        <v>100</v>
      </c>
      <c r="Q29" s="146" t="s">
        <v>187</v>
      </c>
      <c r="R29" s="2"/>
      <c r="S29" s="2"/>
      <c r="T29" s="2"/>
      <c r="AB29" s="152"/>
      <c r="AR29" s="145" t="s">
        <v>100</v>
      </c>
    </row>
    <row r="30" spans="1:45">
      <c r="A30" s="152" t="s">
        <v>104</v>
      </c>
      <c r="B30" s="156" t="s">
        <v>105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2"/>
      <c r="S30" s="2"/>
      <c r="T30" s="2"/>
      <c r="V30" s="2"/>
      <c r="AB30" s="156" t="s">
        <v>105</v>
      </c>
      <c r="AR30" s="152" t="s">
        <v>106</v>
      </c>
      <c r="AS30" s="156" t="s">
        <v>105</v>
      </c>
    </row>
    <row r="31" spans="1:45">
      <c r="A31" s="147">
        <v>1</v>
      </c>
      <c r="B31" s="158" t="s">
        <v>107</v>
      </c>
      <c r="C31" s="163">
        <f>销量!C8</f>
        <v>350</v>
      </c>
      <c r="D31" s="163">
        <f>销量!D8</f>
        <v>340</v>
      </c>
      <c r="E31" s="163">
        <f>销量!E8</f>
        <v>369</v>
      </c>
      <c r="F31" s="163">
        <f>销量!F8</f>
        <v>375</v>
      </c>
      <c r="G31" s="163">
        <f>销量!G8</f>
        <v>780</v>
      </c>
      <c r="H31" s="163">
        <f>销量!H8</f>
        <v>390</v>
      </c>
      <c r="I31" s="163">
        <f>销量!I8</f>
        <v>760</v>
      </c>
      <c r="J31" s="163">
        <f>销量!J8</f>
        <v>345</v>
      </c>
      <c r="K31" s="163">
        <f>销量!K8</f>
        <v>570</v>
      </c>
      <c r="L31" s="163">
        <f>销量!L8</f>
        <v>550</v>
      </c>
      <c r="M31" s="163">
        <f>销量!M8</f>
        <v>770</v>
      </c>
      <c r="N31" s="163">
        <f>销量!N8</f>
        <v>790</v>
      </c>
      <c r="O31" s="163">
        <f>销量!O8</f>
        <v>565</v>
      </c>
      <c r="P31" s="163">
        <f>销量!P8</f>
        <v>770</v>
      </c>
      <c r="Q31" s="160"/>
      <c r="R31" s="2"/>
      <c r="S31" s="2"/>
      <c r="T31" s="2"/>
      <c r="V31" s="2"/>
      <c r="AB31" s="152" t="s">
        <v>107</v>
      </c>
      <c r="AR31" s="152" t="s">
        <v>59</v>
      </c>
      <c r="AS31" s="152" t="s">
        <v>107</v>
      </c>
    </row>
    <row r="32" spans="1:45">
      <c r="A32" s="147">
        <v>2</v>
      </c>
      <c r="B32" s="152" t="s">
        <v>188</v>
      </c>
      <c r="C32" s="155">
        <f t="shared" ref="C32:M32" si="26">C31*1</f>
        <v>350</v>
      </c>
      <c r="D32" s="155">
        <f t="shared" ref="D32:F32" si="27">D31*1</f>
        <v>340</v>
      </c>
      <c r="E32" s="155">
        <f t="shared" si="27"/>
        <v>369</v>
      </c>
      <c r="F32" s="155">
        <f t="shared" si="27"/>
        <v>375</v>
      </c>
      <c r="G32" s="155">
        <f t="shared" si="26"/>
        <v>780</v>
      </c>
      <c r="H32" s="155">
        <f t="shared" si="26"/>
        <v>390</v>
      </c>
      <c r="I32" s="155">
        <f t="shared" si="26"/>
        <v>760</v>
      </c>
      <c r="J32" s="155">
        <f t="shared" si="26"/>
        <v>345</v>
      </c>
      <c r="K32" s="155">
        <f t="shared" si="26"/>
        <v>570</v>
      </c>
      <c r="L32" s="155">
        <f t="shared" si="26"/>
        <v>550</v>
      </c>
      <c r="M32" s="155">
        <f t="shared" si="26"/>
        <v>770</v>
      </c>
      <c r="N32" s="155">
        <f>N31*1</f>
        <v>790</v>
      </c>
      <c r="O32" s="155">
        <f>O31*1</f>
        <v>565</v>
      </c>
      <c r="P32" s="155">
        <f>P31*1</f>
        <v>770</v>
      </c>
      <c r="Q32" s="160"/>
      <c r="R32" s="2"/>
      <c r="S32" s="2"/>
      <c r="T32" s="2"/>
      <c r="U32" s="2"/>
      <c r="V32" s="2"/>
      <c r="W32" s="2"/>
      <c r="X32" s="2"/>
      <c r="AR32" s="152"/>
      <c r="AS32" s="152"/>
    </row>
    <row r="33" spans="1:45">
      <c r="A33" s="147">
        <v>3</v>
      </c>
      <c r="B33" s="158" t="s">
        <v>108</v>
      </c>
      <c r="C33" s="155">
        <f>材料成本!D24</f>
        <v>328.69393093223</v>
      </c>
      <c r="D33" s="155">
        <f>材料成本!E24</f>
        <v>293.458484477173</v>
      </c>
      <c r="E33" s="155">
        <f>材料成本!F24</f>
        <v>382.54692093223</v>
      </c>
      <c r="F33" s="155">
        <f>材料成本!G24</f>
        <v>367.074058557028</v>
      </c>
      <c r="G33" s="155">
        <f>材料成本!H24</f>
        <v>722.98331693223</v>
      </c>
      <c r="H33" s="155">
        <f>材料成本!I24</f>
        <v>371.031778557028</v>
      </c>
      <c r="I33" s="155">
        <f>材料成本!J24</f>
        <v>669.13032693223</v>
      </c>
      <c r="J33" s="155">
        <f>材料成本!K24</f>
        <v>297.259736477173</v>
      </c>
      <c r="K33" s="155">
        <f>材料成本!L24</f>
        <v>557.89852093223</v>
      </c>
      <c r="L33" s="155">
        <f>材料成本!M24</f>
        <v>504.04553093223</v>
      </c>
      <c r="M33" s="155">
        <f>材料成本!N24</f>
        <v>673.05176053223</v>
      </c>
      <c r="N33" s="155">
        <f>材料成本!O24</f>
        <v>726.90475053223</v>
      </c>
      <c r="O33" s="155">
        <f>材料成本!P24</f>
        <v>506.14878453223</v>
      </c>
      <c r="P33" s="155">
        <f>材料成本!Q24</f>
        <v>673.05176053223</v>
      </c>
      <c r="Q33" s="160"/>
      <c r="S33" s="2"/>
      <c r="T33" s="2"/>
      <c r="U33" s="2"/>
      <c r="V33" s="2"/>
      <c r="W33" s="2"/>
      <c r="X33" s="2"/>
      <c r="AB33" s="152" t="s">
        <v>108</v>
      </c>
      <c r="AR33" s="152" t="s">
        <v>61</v>
      </c>
      <c r="AS33" s="152" t="s">
        <v>108</v>
      </c>
    </row>
    <row r="34" ht="17.25" customHeight="1" spans="1:45">
      <c r="A34" s="147">
        <v>4</v>
      </c>
      <c r="B34" s="152" t="s">
        <v>110</v>
      </c>
      <c r="C34" s="164">
        <f>C32-C33</f>
        <v>21.3060690677701</v>
      </c>
      <c r="D34" s="164">
        <f t="shared" ref="D34:M34" si="28">D32-D33</f>
        <v>46.5415155228267</v>
      </c>
      <c r="E34" s="164">
        <f t="shared" si="28"/>
        <v>-13.54692093223</v>
      </c>
      <c r="F34" s="164">
        <f t="shared" si="28"/>
        <v>7.92594144297203</v>
      </c>
      <c r="G34" s="164">
        <f t="shared" si="28"/>
        <v>57.0166830677699</v>
      </c>
      <c r="H34" s="164">
        <f t="shared" si="28"/>
        <v>18.968221442972</v>
      </c>
      <c r="I34" s="164">
        <f t="shared" si="28"/>
        <v>90.8696730677698</v>
      </c>
      <c r="J34" s="164">
        <f t="shared" si="28"/>
        <v>47.7402635228267</v>
      </c>
      <c r="K34" s="164">
        <f t="shared" si="28"/>
        <v>12.1014790677699</v>
      </c>
      <c r="L34" s="164">
        <f t="shared" si="28"/>
        <v>45.95446906777</v>
      </c>
      <c r="M34" s="164">
        <f t="shared" si="28"/>
        <v>96.9482394677698</v>
      </c>
      <c r="N34" s="164">
        <f>N32-N33</f>
        <v>63.0952494677699</v>
      </c>
      <c r="O34" s="164">
        <f>O32-O33</f>
        <v>58.85121546777</v>
      </c>
      <c r="P34" s="164">
        <f>P32-P33</f>
        <v>96.9482394677698</v>
      </c>
      <c r="Q34" s="160"/>
      <c r="S34" s="2"/>
      <c r="T34" s="2"/>
      <c r="U34" s="2"/>
      <c r="V34" s="2"/>
      <c r="W34" s="2"/>
      <c r="X34" s="2"/>
      <c r="AB34" s="152" t="s">
        <v>110</v>
      </c>
      <c r="AR34" s="152" t="s">
        <v>109</v>
      </c>
      <c r="AS34" s="152" t="s">
        <v>110</v>
      </c>
    </row>
    <row r="35" spans="1:45">
      <c r="A35" s="152" t="s">
        <v>106</v>
      </c>
      <c r="B35" s="156" t="s">
        <v>10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2"/>
      <c r="S35" s="2"/>
      <c r="T35" s="2"/>
      <c r="U35" s="2"/>
      <c r="V35" s="2"/>
      <c r="W35" s="2"/>
      <c r="X35" s="2"/>
      <c r="Y35" s="2"/>
      <c r="Z35" s="2"/>
      <c r="AA35" s="2"/>
      <c r="AB35" s="156" t="s">
        <v>10</v>
      </c>
      <c r="AR35" s="152" t="s">
        <v>112</v>
      </c>
      <c r="AS35" s="156" t="s">
        <v>10</v>
      </c>
    </row>
    <row r="36" spans="1:45">
      <c r="A36" s="147">
        <v>1</v>
      </c>
      <c r="B36" s="152" t="s">
        <v>113</v>
      </c>
      <c r="C36" s="159">
        <f>标准成本!E4</f>
        <v>15.085</v>
      </c>
      <c r="D36" s="159">
        <f>标准成本!E16</f>
        <v>14.654</v>
      </c>
      <c r="E36" s="159">
        <f>标准成本!E29</f>
        <v>15.9039</v>
      </c>
      <c r="F36" s="159">
        <f>标准成本!E42</f>
        <v>16.1625</v>
      </c>
      <c r="G36" s="159">
        <f>标准成本!E55</f>
        <v>33.618</v>
      </c>
      <c r="H36" s="159">
        <f>标准成本!E68</f>
        <v>16.809</v>
      </c>
      <c r="I36" s="159">
        <f>标准成本!E81</f>
        <v>32.756</v>
      </c>
      <c r="J36" s="159">
        <f>标准成本!E94</f>
        <v>14.8695</v>
      </c>
      <c r="K36" s="159">
        <f>标准成本!E107</f>
        <v>24.567</v>
      </c>
      <c r="L36" s="159">
        <f>标准成本!E120</f>
        <v>23.705</v>
      </c>
      <c r="M36" s="159">
        <f>标准成本!E133</f>
        <v>33.187</v>
      </c>
      <c r="N36" s="159">
        <f>标准成本!E146</f>
        <v>34.049</v>
      </c>
      <c r="O36" s="159">
        <f>标准成本!E159</f>
        <v>24.3515</v>
      </c>
      <c r="P36" s="159">
        <f>标准成本!E172</f>
        <v>33.187</v>
      </c>
      <c r="Q36" s="163"/>
      <c r="R36" s="2"/>
      <c r="S36" s="2"/>
      <c r="T36" s="2"/>
      <c r="U36" s="2"/>
      <c r="V36" s="2"/>
      <c r="W36" s="2"/>
      <c r="X36" s="2"/>
      <c r="Y36" s="2"/>
      <c r="Z36" s="2"/>
      <c r="AA36" s="2"/>
      <c r="AB36" s="152" t="s">
        <v>113</v>
      </c>
      <c r="AR36" s="152" t="s">
        <v>109</v>
      </c>
      <c r="AS36" s="152" t="s">
        <v>113</v>
      </c>
    </row>
    <row r="37" spans="1:45">
      <c r="A37" s="147">
        <v>2</v>
      </c>
      <c r="B37" s="152" t="s">
        <v>114</v>
      </c>
      <c r="C37" s="159">
        <f>标准成本!E6</f>
        <v>7.595</v>
      </c>
      <c r="D37" s="159">
        <f>标准成本!E18</f>
        <v>7.378</v>
      </c>
      <c r="E37" s="159">
        <f>标准成本!E31</f>
        <v>8.0073</v>
      </c>
      <c r="F37" s="159">
        <f>标准成本!E44</f>
        <v>8.0073</v>
      </c>
      <c r="G37" s="159">
        <f>标准成本!E57</f>
        <v>16.926</v>
      </c>
      <c r="H37" s="159">
        <f>标准成本!E70</f>
        <v>8.463</v>
      </c>
      <c r="I37" s="159">
        <f>标准成本!E83</f>
        <v>16.492</v>
      </c>
      <c r="J37" s="159">
        <f>标准成本!E96</f>
        <v>7.4865</v>
      </c>
      <c r="K37" s="159">
        <f>标准成本!E109</f>
        <v>12.369</v>
      </c>
      <c r="L37" s="159">
        <f>标准成本!E122</f>
        <v>11.935</v>
      </c>
      <c r="M37" s="159">
        <f>标准成本!E135</f>
        <v>16.709</v>
      </c>
      <c r="N37" s="159">
        <f>标准成本!E148</f>
        <v>16.709</v>
      </c>
      <c r="O37" s="159">
        <f>标准成本!E161</f>
        <v>16.709</v>
      </c>
      <c r="P37" s="159">
        <f>标准成本!E174</f>
        <v>16.709</v>
      </c>
      <c r="Q37" s="163"/>
      <c r="R37" s="2"/>
      <c r="S37" s="2"/>
      <c r="T37" s="2"/>
      <c r="U37" s="2"/>
      <c r="V37" s="2"/>
      <c r="W37" s="2"/>
      <c r="X37" s="2"/>
      <c r="Y37" s="2"/>
      <c r="Z37" s="2"/>
      <c r="AA37" s="2"/>
      <c r="AB37" s="152" t="s">
        <v>114</v>
      </c>
      <c r="AR37" s="152" t="s">
        <v>64</v>
      </c>
      <c r="AS37" s="152" t="s">
        <v>114</v>
      </c>
    </row>
    <row r="38" spans="1:45">
      <c r="A38" s="147">
        <v>3</v>
      </c>
      <c r="B38" s="152" t="s">
        <v>115</v>
      </c>
      <c r="C38" s="159">
        <f>标准成本!E10</f>
        <v>15.4</v>
      </c>
      <c r="D38" s="159">
        <f>标准成本!E22</f>
        <v>14.96</v>
      </c>
      <c r="E38" s="159">
        <f>标准成本!E35</f>
        <v>16.236</v>
      </c>
      <c r="F38" s="159">
        <f>标准成本!E48</f>
        <v>16.236</v>
      </c>
      <c r="G38" s="159">
        <f>标准成本!E61</f>
        <v>34.32</v>
      </c>
      <c r="H38" s="159">
        <f>标准成本!E74</f>
        <v>17.16</v>
      </c>
      <c r="I38" s="159">
        <f>标准成本!E87</f>
        <v>33.44</v>
      </c>
      <c r="J38" s="159">
        <f>标准成本!E100</f>
        <v>15.18</v>
      </c>
      <c r="K38" s="159">
        <f>标准成本!E113</f>
        <v>25.08</v>
      </c>
      <c r="L38" s="159">
        <f>标准成本!E126</f>
        <v>24.2</v>
      </c>
      <c r="M38" s="159">
        <f>标准成本!E139</f>
        <v>33.88</v>
      </c>
      <c r="N38" s="159">
        <f>标准成本!E152</f>
        <v>33.88</v>
      </c>
      <c r="O38" s="159">
        <f>标准成本!E165</f>
        <v>33.88</v>
      </c>
      <c r="P38" s="159">
        <f>标准成本!E178</f>
        <v>33.88</v>
      </c>
      <c r="Q38" s="163"/>
      <c r="R38" s="2"/>
      <c r="S38" s="2"/>
      <c r="T38" s="2"/>
      <c r="U38" s="2"/>
      <c r="V38" s="2"/>
      <c r="W38" s="2"/>
      <c r="X38" s="2"/>
      <c r="Y38" s="2"/>
      <c r="Z38" s="2"/>
      <c r="AA38" s="2"/>
      <c r="AB38" s="152" t="s">
        <v>115</v>
      </c>
      <c r="AR38" s="152" t="s">
        <v>70</v>
      </c>
      <c r="AS38" s="152" t="s">
        <v>115</v>
      </c>
    </row>
    <row r="39" spans="1:45">
      <c r="A39" s="152" t="s">
        <v>112</v>
      </c>
      <c r="B39" s="156" t="s">
        <v>117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AB39" s="156" t="s">
        <v>117</v>
      </c>
      <c r="AR39" s="152" t="s">
        <v>116</v>
      </c>
      <c r="AS39" s="156" t="s">
        <v>117</v>
      </c>
    </row>
    <row r="40" spans="1:45">
      <c r="A40" s="147">
        <v>1</v>
      </c>
      <c r="B40" s="152" t="s">
        <v>119</v>
      </c>
      <c r="C40" s="160">
        <f>C34-C36-C37-C38</f>
        <v>-16.7739309322299</v>
      </c>
      <c r="D40" s="160">
        <f>D34-D36-D37-D38</f>
        <v>9.54951552282667</v>
      </c>
      <c r="E40" s="160">
        <f>E34-E36-E37-E38</f>
        <v>-53.69412093223</v>
      </c>
      <c r="F40" s="160">
        <f t="shared" ref="D40:G40" si="29">F34-F36-F37-F38</f>
        <v>-32.479858557028</v>
      </c>
      <c r="G40" s="160">
        <f t="shared" si="29"/>
        <v>-27.8473169322301</v>
      </c>
      <c r="H40" s="160">
        <f t="shared" ref="H40:M40" si="30">H34-H36-H37-H38</f>
        <v>-23.463778557028</v>
      </c>
      <c r="I40" s="160">
        <f t="shared" si="30"/>
        <v>8.18167306776978</v>
      </c>
      <c r="J40" s="160">
        <f t="shared" si="30"/>
        <v>10.2042635228267</v>
      </c>
      <c r="K40" s="160">
        <f t="shared" si="30"/>
        <v>-49.9145209322301</v>
      </c>
      <c r="L40" s="160">
        <f t="shared" si="30"/>
        <v>-13.88553093223</v>
      </c>
      <c r="M40" s="160">
        <f t="shared" si="30"/>
        <v>13.1722394677698</v>
      </c>
      <c r="N40" s="160">
        <f>N34-N36-N37-N38</f>
        <v>-21.5427505322301</v>
      </c>
      <c r="O40" s="160">
        <f>O34-O36-O37-O38</f>
        <v>-16.08928453223</v>
      </c>
      <c r="P40" s="160">
        <f>P34-P36-P37-P38</f>
        <v>13.1722394677698</v>
      </c>
      <c r="Q40" s="160"/>
      <c r="AB40" s="152" t="s">
        <v>119</v>
      </c>
      <c r="AR40" s="152" t="s">
        <v>59</v>
      </c>
      <c r="AS40" s="152" t="s">
        <v>119</v>
      </c>
    </row>
    <row r="41" spans="1:45">
      <c r="A41" s="147">
        <v>2</v>
      </c>
      <c r="B41" s="152" t="s">
        <v>120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AB41" s="152" t="s">
        <v>120</v>
      </c>
      <c r="AR41" s="152" t="s">
        <v>61</v>
      </c>
      <c r="AS41" s="152" t="s">
        <v>120</v>
      </c>
    </row>
    <row r="42" spans="1:45">
      <c r="A42" s="152" t="s">
        <v>116</v>
      </c>
      <c r="B42" s="156" t="s">
        <v>122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AB42" s="156" t="s">
        <v>122</v>
      </c>
      <c r="AR42" s="152" t="s">
        <v>121</v>
      </c>
      <c r="AS42" s="156" t="s">
        <v>122</v>
      </c>
    </row>
    <row r="43" spans="1:45">
      <c r="A43" s="147">
        <v>1</v>
      </c>
      <c r="B43" s="161" t="s">
        <v>123</v>
      </c>
      <c r="C43" s="169">
        <f>标准成本!E5</f>
        <v>14.35</v>
      </c>
      <c r="D43" s="169">
        <f>标准成本!E17</f>
        <v>13.94</v>
      </c>
      <c r="E43" s="169">
        <f>标准成本!E30</f>
        <v>15.129</v>
      </c>
      <c r="F43" s="169">
        <f>标准成本!E43</f>
        <v>15.129</v>
      </c>
      <c r="G43" s="169">
        <f>标准成本!E56</f>
        <v>31.98</v>
      </c>
      <c r="H43" s="169">
        <f>标准成本!E69</f>
        <v>15.99</v>
      </c>
      <c r="I43" s="169">
        <f>标准成本!E82</f>
        <v>31.16</v>
      </c>
      <c r="J43" s="169">
        <f>标准成本!E95</f>
        <v>14.145</v>
      </c>
      <c r="K43" s="169">
        <f>标准成本!E108</f>
        <v>23.37</v>
      </c>
      <c r="L43" s="169">
        <f>标准成本!E121</f>
        <v>22.55</v>
      </c>
      <c r="M43" s="169">
        <f>标准成本!E134</f>
        <v>31.57</v>
      </c>
      <c r="N43" s="169">
        <f>标准成本!E147</f>
        <v>31.57</v>
      </c>
      <c r="O43" s="169">
        <f>标准成本!E160</f>
        <v>31.57</v>
      </c>
      <c r="P43" s="169">
        <f>标准成本!E173</f>
        <v>31.57</v>
      </c>
      <c r="Q43" s="160"/>
      <c r="AB43" s="152" t="s">
        <v>123</v>
      </c>
      <c r="AR43" s="152" t="s">
        <v>59</v>
      </c>
      <c r="AS43" s="152" t="s">
        <v>123</v>
      </c>
    </row>
    <row r="44" spans="1:45">
      <c r="A44" s="147">
        <v>2</v>
      </c>
      <c r="B44" s="161" t="s">
        <v>124</v>
      </c>
      <c r="C44" s="169">
        <f>标准成本!E9</f>
        <v>2.45</v>
      </c>
      <c r="D44" s="169">
        <f>标准成本!E21</f>
        <v>2.38</v>
      </c>
      <c r="E44" s="169">
        <f>标准成本!E34</f>
        <v>2.583</v>
      </c>
      <c r="F44" s="169">
        <f>标准成本!E47</f>
        <v>2.583</v>
      </c>
      <c r="G44" s="169">
        <f>标准成本!E60</f>
        <v>5.46</v>
      </c>
      <c r="H44" s="169">
        <f>标准成本!E73</f>
        <v>2.73</v>
      </c>
      <c r="I44" s="169">
        <f>标准成本!E86</f>
        <v>5.32</v>
      </c>
      <c r="J44" s="169">
        <f>标准成本!E99</f>
        <v>2.415</v>
      </c>
      <c r="K44" s="169">
        <f>标准成本!E112</f>
        <v>3.99</v>
      </c>
      <c r="L44" s="169">
        <f>标准成本!E125</f>
        <v>3.85</v>
      </c>
      <c r="M44" s="169">
        <f>标准成本!E138</f>
        <v>5.39</v>
      </c>
      <c r="N44" s="169">
        <f>标准成本!E151</f>
        <v>5.39</v>
      </c>
      <c r="O44" s="169">
        <f>标准成本!E164</f>
        <v>5.39</v>
      </c>
      <c r="P44" s="169">
        <f>标准成本!E177</f>
        <v>5.39</v>
      </c>
      <c r="Q44" s="160"/>
      <c r="AB44" s="152" t="s">
        <v>124</v>
      </c>
      <c r="AR44" s="152" t="s">
        <v>61</v>
      </c>
      <c r="AS44" s="152" t="s">
        <v>124</v>
      </c>
    </row>
    <row r="45" spans="1:45">
      <c r="A45" s="147">
        <v>3</v>
      </c>
      <c r="B45" s="161" t="s">
        <v>125</v>
      </c>
      <c r="C45" s="169">
        <f>标准成本!E8</f>
        <v>11.9</v>
      </c>
      <c r="D45" s="169">
        <f>标准成本!E20</f>
        <v>11.56</v>
      </c>
      <c r="E45" s="169">
        <f>标准成本!E33</f>
        <v>12.546</v>
      </c>
      <c r="F45" s="169">
        <f>标准成本!E46</f>
        <v>12.546</v>
      </c>
      <c r="G45" s="169">
        <f>标准成本!E59</f>
        <v>26.52</v>
      </c>
      <c r="H45" s="169">
        <f>标准成本!E72</f>
        <v>13.26</v>
      </c>
      <c r="I45" s="169">
        <f>标准成本!E85</f>
        <v>25.84</v>
      </c>
      <c r="J45" s="169">
        <f>标准成本!E98</f>
        <v>11.73</v>
      </c>
      <c r="K45" s="169">
        <f>标准成本!E111</f>
        <v>19.38</v>
      </c>
      <c r="L45" s="169">
        <f>标准成本!E124</f>
        <v>18.7</v>
      </c>
      <c r="M45" s="169">
        <f>标准成本!E137</f>
        <v>26.18</v>
      </c>
      <c r="N45" s="169">
        <f>标准成本!E150</f>
        <v>26.18</v>
      </c>
      <c r="O45" s="169">
        <f>标准成本!E163</f>
        <v>26.18</v>
      </c>
      <c r="P45" s="169">
        <f>标准成本!E176</f>
        <v>26.18</v>
      </c>
      <c r="Q45" s="160"/>
      <c r="AB45" s="152" t="s">
        <v>125</v>
      </c>
      <c r="AR45" s="152" t="s">
        <v>109</v>
      </c>
      <c r="AS45" s="152" t="s">
        <v>125</v>
      </c>
    </row>
    <row r="46" s="144" customFormat="1" spans="1:45">
      <c r="A46" s="147">
        <v>4</v>
      </c>
      <c r="B46" s="161" t="s">
        <v>126</v>
      </c>
      <c r="C46" s="180">
        <f>C21/C6</f>
        <v>0.218068535825545</v>
      </c>
      <c r="D46" s="180">
        <f>D21/D6</f>
        <v>0.218068535825545</v>
      </c>
      <c r="E46" s="180">
        <f>E21/E6</f>
        <v>0.218068535825545</v>
      </c>
      <c r="F46" s="180">
        <f>F21/F6</f>
        <v>0.218068535825545</v>
      </c>
      <c r="G46" s="180">
        <f>G21/G6</f>
        <v>0.218068535825545</v>
      </c>
      <c r="H46" s="180">
        <f t="shared" ref="H46:M46" si="31">H21/H6</f>
        <v>0.218068535825545</v>
      </c>
      <c r="I46" s="180">
        <f t="shared" si="31"/>
        <v>0.218068535825545</v>
      </c>
      <c r="J46" s="180">
        <f t="shared" si="31"/>
        <v>0.218068535825545</v>
      </c>
      <c r="K46" s="180">
        <f t="shared" si="31"/>
        <v>0.218068535825545</v>
      </c>
      <c r="L46" s="180">
        <f t="shared" si="31"/>
        <v>0.218068535825545</v>
      </c>
      <c r="M46" s="180">
        <f t="shared" si="31"/>
        <v>0.218068535825545</v>
      </c>
      <c r="N46" s="180">
        <f>N21/N6</f>
        <v>0.218068535825545</v>
      </c>
      <c r="O46" s="180">
        <f>O21/O6</f>
        <v>0.218068535825545</v>
      </c>
      <c r="P46" s="180">
        <f>P21/P6</f>
        <v>0.218068535825545</v>
      </c>
      <c r="Q46" s="165"/>
      <c r="AB46" s="161" t="s">
        <v>128</v>
      </c>
      <c r="AR46" s="161" t="s">
        <v>67</v>
      </c>
      <c r="AS46" s="161" t="s">
        <v>128</v>
      </c>
    </row>
    <row r="47" s="144" customFormat="1" spans="1:45">
      <c r="A47" s="147">
        <v>5</v>
      </c>
      <c r="B47" s="161" t="s">
        <v>128</v>
      </c>
      <c r="C47" s="165">
        <f>标准成本!E11</f>
        <v>10.5</v>
      </c>
      <c r="D47" s="165">
        <f>标准成本!E23</f>
        <v>10.2</v>
      </c>
      <c r="E47" s="165">
        <f>标准成本!E36</f>
        <v>11.07</v>
      </c>
      <c r="F47" s="165">
        <f>标准成本!E49</f>
        <v>11.07</v>
      </c>
      <c r="G47" s="165">
        <f>标准成本!E62</f>
        <v>23.4</v>
      </c>
      <c r="H47" s="165">
        <f>标准成本!E75</f>
        <v>11.7</v>
      </c>
      <c r="I47" s="165">
        <f>标准成本!E88</f>
        <v>22.8</v>
      </c>
      <c r="J47" s="165">
        <f>标准成本!E101</f>
        <v>10.35</v>
      </c>
      <c r="K47" s="165">
        <f>标准成本!E114</f>
        <v>17.1</v>
      </c>
      <c r="L47" s="165">
        <f>标准成本!E127</f>
        <v>16.5</v>
      </c>
      <c r="M47" s="165">
        <f>标准成本!E140</f>
        <v>23.1</v>
      </c>
      <c r="N47" s="165">
        <f>标准成本!E153</f>
        <v>23.1</v>
      </c>
      <c r="O47" s="165">
        <f>标准成本!E166</f>
        <v>23.1</v>
      </c>
      <c r="P47" s="165">
        <f>标准成本!E179</f>
        <v>23.1</v>
      </c>
      <c r="Q47" s="165"/>
      <c r="AB47" s="161" t="s">
        <v>128</v>
      </c>
      <c r="AR47" s="161" t="s">
        <v>67</v>
      </c>
      <c r="AS47" s="161" t="s">
        <v>128</v>
      </c>
    </row>
    <row r="48" spans="1:45">
      <c r="A48" s="152" t="s">
        <v>121</v>
      </c>
      <c r="B48" s="156" t="s">
        <v>139</v>
      </c>
      <c r="C48" s="181">
        <f>C40-C43-C44-C45-C46-C47</f>
        <v>-56.1919994680555</v>
      </c>
      <c r="D48" s="181">
        <f>D40-D43-D44-D45-D47-D46</f>
        <v>-28.7485530129989</v>
      </c>
      <c r="E48" s="181">
        <f>E40-E43-E44-E45-E47-E46</f>
        <v>-95.2401894680555</v>
      </c>
      <c r="F48" s="181">
        <f>F40-F43-F44-F45-F47-F46</f>
        <v>-74.0259270928535</v>
      </c>
      <c r="G48" s="181">
        <f>G40-G43-G44-G45-G47-G46</f>
        <v>-115.425385468056</v>
      </c>
      <c r="H48" s="181">
        <f>H40-H43-H44-H45-H47-H46</f>
        <v>-67.3618470928536</v>
      </c>
      <c r="I48" s="181">
        <f>I40-I43-I44-I45-I47-I46</f>
        <v>-77.1563954680558</v>
      </c>
      <c r="J48" s="181">
        <f>J40-J43-J44-J45-J47-J46</f>
        <v>-28.6538050129989</v>
      </c>
      <c r="K48" s="181">
        <f>K40-K43-K44-K45-K47-K46</f>
        <v>-113.972589468056</v>
      </c>
      <c r="L48" s="181">
        <f>L40-L43-L44-L45-L47-L46</f>
        <v>-75.7035994680556</v>
      </c>
      <c r="M48" s="181">
        <f>M40-M43-M44-M45-M47-M46</f>
        <v>-73.2858290680558</v>
      </c>
      <c r="N48" s="181">
        <f>N40-N43-N44-N45-N47-N46</f>
        <v>-108.000819068056</v>
      </c>
      <c r="O48" s="181">
        <f>O40-O43-O44-O45-O47-O46</f>
        <v>-102.547353068056</v>
      </c>
      <c r="P48" s="181">
        <f>P40-P43-P44-P45-P47-P46</f>
        <v>-73.2858290680558</v>
      </c>
      <c r="Q48" s="160"/>
      <c r="AB48" s="156" t="s">
        <v>139</v>
      </c>
      <c r="AR48" s="152" t="s">
        <v>138</v>
      </c>
      <c r="AS48" s="156" t="s">
        <v>139</v>
      </c>
    </row>
    <row r="51" spans="3:16"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</row>
    <row r="54" spans="2:22">
      <c r="B54" s="2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2"/>
      <c r="S54" s="2"/>
      <c r="T54" s="2"/>
      <c r="U54" s="2"/>
      <c r="V54" s="2"/>
    </row>
    <row r="55" spans="2:22">
      <c r="B55" s="2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2"/>
      <c r="S55" s="2"/>
      <c r="T55" s="2"/>
      <c r="U55" s="2"/>
      <c r="V55" s="2"/>
    </row>
    <row r="56" spans="2:22">
      <c r="B56" s="2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2"/>
      <c r="S56" s="2"/>
      <c r="T56" s="2"/>
      <c r="U56" s="2"/>
      <c r="V56" s="2"/>
    </row>
    <row r="57" spans="2:22">
      <c r="B57" s="2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2"/>
      <c r="S57" s="2"/>
      <c r="T57" s="2"/>
      <c r="U57" s="2"/>
      <c r="V57" s="2"/>
    </row>
    <row r="58" spans="2:22">
      <c r="B58" s="2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2"/>
      <c r="S58" s="2"/>
      <c r="T58" s="2"/>
      <c r="U58" s="2"/>
      <c r="V58" s="2"/>
    </row>
    <row r="59" spans="2:22">
      <c r="B59" s="2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2"/>
      <c r="S59" s="2"/>
      <c r="T59" s="2"/>
      <c r="U59" s="2"/>
      <c r="V59" s="2"/>
    </row>
    <row r="60" spans="2:22">
      <c r="B60" s="2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2"/>
      <c r="S60" s="2"/>
      <c r="T60" s="2"/>
      <c r="U60" s="2"/>
      <c r="V60" s="2"/>
    </row>
    <row r="61" spans="2:22">
      <c r="B61" s="2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2"/>
      <c r="S61" s="2"/>
      <c r="T61" s="2"/>
      <c r="U61" s="2"/>
      <c r="V61" s="2"/>
    </row>
    <row r="62" spans="2:22">
      <c r="B62" s="2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2"/>
      <c r="S62" s="2"/>
      <c r="T62" s="2"/>
      <c r="U62" s="2"/>
      <c r="V62" s="2"/>
    </row>
    <row r="63" spans="2:22">
      <c r="B63" s="2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2"/>
      <c r="S63" s="2"/>
      <c r="T63" s="2"/>
      <c r="U63" s="2"/>
      <c r="V63" s="2"/>
    </row>
    <row r="64" spans="2:22">
      <c r="B64" s="2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2"/>
      <c r="S64" s="2"/>
      <c r="T64" s="2"/>
      <c r="U64" s="2"/>
      <c r="V64" s="2"/>
    </row>
    <row r="65" spans="2:22">
      <c r="B65" s="2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2"/>
      <c r="S65" s="2"/>
      <c r="T65" s="2"/>
      <c r="U65" s="2"/>
      <c r="V65" s="2"/>
    </row>
    <row r="66" spans="2:22">
      <c r="B66" s="2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2"/>
      <c r="S66" s="2"/>
      <c r="T66" s="2"/>
      <c r="U66" s="2"/>
      <c r="V66" s="2"/>
    </row>
    <row r="67" spans="2:18">
      <c r="B67" s="2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2"/>
    </row>
    <row r="68" spans="2:18">
      <c r="B68" s="2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2"/>
    </row>
    <row r="69" spans="2:18">
      <c r="B69" s="2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2"/>
    </row>
    <row r="70" spans="2:18">
      <c r="B70" s="2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2"/>
    </row>
    <row r="71" spans="2:18">
      <c r="B71" s="2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2"/>
    </row>
    <row r="72" spans="2:18">
      <c r="B72" s="2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2"/>
    </row>
    <row r="73" spans="2:18">
      <c r="B73" s="2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2"/>
    </row>
    <row r="74" spans="2:18">
      <c r="B74" s="2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2"/>
    </row>
  </sheetData>
  <mergeCells count="8">
    <mergeCell ref="A1:B1"/>
    <mergeCell ref="C1:Q1"/>
    <mergeCell ref="A2:B2"/>
    <mergeCell ref="C2:Q2"/>
    <mergeCell ref="A3:B3"/>
    <mergeCell ref="A4:B4"/>
    <mergeCell ref="A5:B5"/>
    <mergeCell ref="Q3:Q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74"/>
  <sheetViews>
    <sheetView zoomScale="85" zoomScaleNormal="85" workbookViewId="0">
      <pane xSplit="2" ySplit="7" topLeftCell="C23" activePane="bottomRight" state="frozen"/>
      <selection/>
      <selection pane="topRight"/>
      <selection pane="bottomLeft"/>
      <selection pane="bottomRight" activeCell="F43" sqref="F43"/>
    </sheetView>
  </sheetViews>
  <sheetFormatPr defaultColWidth="9" defaultRowHeight="14.5"/>
  <cols>
    <col min="1" max="1" width="5.12727272727273" style="145" customWidth="1"/>
    <col min="2" max="2" width="17.5" style="145" customWidth="1"/>
    <col min="3" max="3" width="15.5" style="146" customWidth="1"/>
    <col min="4" max="6" width="13.3636363636364" style="146" customWidth="1"/>
    <col min="7" max="7" width="12" style="146" customWidth="1"/>
    <col min="8" max="8" width="12.2909090909091" style="146" customWidth="1"/>
    <col min="9" max="16" width="12" style="146" customWidth="1"/>
    <col min="17" max="17" width="18.7545454545455" style="146" customWidth="1"/>
    <col min="18" max="18" width="12.3727272727273" style="145" customWidth="1"/>
    <col min="19" max="19" width="10.1272727272727" style="145" customWidth="1"/>
    <col min="20" max="26" width="9" style="145" customWidth="1"/>
    <col min="27" max="43" width="9" style="145"/>
    <col min="44" max="44" width="4.37272727272727" style="145" customWidth="1"/>
    <col min="45" max="45" width="13.8727272727273" style="145" customWidth="1"/>
    <col min="46" max="16384" width="9" style="145"/>
  </cols>
  <sheetData>
    <row r="1" spans="1:17">
      <c r="A1" s="147" t="s">
        <v>149</v>
      </c>
      <c r="B1" s="147"/>
      <c r="C1" s="148" t="s">
        <v>189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68"/>
      <c r="O1" s="168"/>
      <c r="P1" s="168"/>
      <c r="Q1" s="170"/>
    </row>
    <row r="2" spans="1:17">
      <c r="A2" s="147" t="s">
        <v>151</v>
      </c>
      <c r="B2" s="147"/>
      <c r="C2" s="150" t="s">
        <v>190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ht="28.5" spans="1:17">
      <c r="A3" s="147" t="s">
        <v>153</v>
      </c>
      <c r="B3" s="147"/>
      <c r="C3" s="75" t="s">
        <v>154</v>
      </c>
      <c r="D3" s="76" t="s">
        <v>155</v>
      </c>
      <c r="E3" s="76" t="s">
        <v>156</v>
      </c>
      <c r="F3" s="75" t="s">
        <v>157</v>
      </c>
      <c r="G3" s="75" t="s">
        <v>158</v>
      </c>
      <c r="H3" s="75" t="s">
        <v>159</v>
      </c>
      <c r="I3" s="75" t="s">
        <v>160</v>
      </c>
      <c r="J3" s="75" t="s">
        <v>161</v>
      </c>
      <c r="K3" s="75" t="s">
        <v>162</v>
      </c>
      <c r="L3" s="75" t="s">
        <v>163</v>
      </c>
      <c r="M3" s="75" t="s">
        <v>160</v>
      </c>
      <c r="N3" s="75" t="s">
        <v>164</v>
      </c>
      <c r="O3" s="75" t="s">
        <v>165</v>
      </c>
      <c r="P3" s="75" t="s">
        <v>160</v>
      </c>
      <c r="Q3" s="171" t="s">
        <v>55</v>
      </c>
    </row>
    <row r="4" ht="19" spans="1:17">
      <c r="A4" s="147" t="s">
        <v>166</v>
      </c>
      <c r="B4" s="147"/>
      <c r="C4" s="75" t="s">
        <v>167</v>
      </c>
      <c r="D4" s="76" t="s">
        <v>168</v>
      </c>
      <c r="E4" s="76" t="s">
        <v>169</v>
      </c>
      <c r="F4" s="75" t="s">
        <v>170</v>
      </c>
      <c r="G4" s="75" t="s">
        <v>171</v>
      </c>
      <c r="H4" s="75" t="s">
        <v>172</v>
      </c>
      <c r="I4" s="75" t="s">
        <v>173</v>
      </c>
      <c r="J4" s="75" t="s">
        <v>174</v>
      </c>
      <c r="K4" s="75" t="s">
        <v>175</v>
      </c>
      <c r="L4" s="75" t="s">
        <v>176</v>
      </c>
      <c r="M4" s="75" t="s">
        <v>177</v>
      </c>
      <c r="N4" s="75" t="s">
        <v>178</v>
      </c>
      <c r="O4" s="75" t="s">
        <v>179</v>
      </c>
      <c r="P4" s="75" t="s">
        <v>177</v>
      </c>
      <c r="Q4" s="172"/>
    </row>
    <row r="5" spans="1:46">
      <c r="A5" s="147" t="s">
        <v>180</v>
      </c>
      <c r="B5" s="147"/>
      <c r="C5" s="151" t="s">
        <v>181</v>
      </c>
      <c r="D5" s="151" t="s">
        <v>181</v>
      </c>
      <c r="E5" s="151" t="s">
        <v>181</v>
      </c>
      <c r="F5" s="151" t="s">
        <v>181</v>
      </c>
      <c r="G5" s="151" t="s">
        <v>181</v>
      </c>
      <c r="H5" s="151" t="s">
        <v>181</v>
      </c>
      <c r="I5" s="151" t="s">
        <v>181</v>
      </c>
      <c r="J5" s="151" t="s">
        <v>181</v>
      </c>
      <c r="K5" s="151" t="s">
        <v>181</v>
      </c>
      <c r="L5" s="151" t="s">
        <v>181</v>
      </c>
      <c r="M5" s="75" t="s">
        <v>182</v>
      </c>
      <c r="N5" s="75" t="s">
        <v>182</v>
      </c>
      <c r="O5" s="75" t="s">
        <v>182</v>
      </c>
      <c r="P5" s="75"/>
      <c r="Q5" s="173"/>
      <c r="AT5" s="145" t="s">
        <v>56</v>
      </c>
    </row>
    <row r="6" ht="16.5" spans="1:46">
      <c r="A6" s="152" t="s">
        <v>21</v>
      </c>
      <c r="B6" s="153" t="s">
        <v>183</v>
      </c>
      <c r="C6" s="154">
        <f>销量!C10</f>
        <v>3000</v>
      </c>
      <c r="D6" s="154">
        <f>销量!D10</f>
        <v>6000</v>
      </c>
      <c r="E6" s="154">
        <f>销量!E10</f>
        <v>5000</v>
      </c>
      <c r="F6" s="154">
        <f>销量!F10</f>
        <v>12000</v>
      </c>
      <c r="G6" s="154">
        <f>销量!G10</f>
        <v>500</v>
      </c>
      <c r="H6" s="154">
        <f>销量!H10</f>
        <v>500</v>
      </c>
      <c r="I6" s="154">
        <f>销量!I10</f>
        <v>200</v>
      </c>
      <c r="J6" s="154">
        <f>销量!J10</f>
        <v>200</v>
      </c>
      <c r="K6" s="154">
        <f>销量!K10</f>
        <v>300</v>
      </c>
      <c r="L6" s="154">
        <f>销量!L10</f>
        <v>300</v>
      </c>
      <c r="M6" s="154">
        <f>销量!M10</f>
        <v>200</v>
      </c>
      <c r="N6" s="154">
        <f>销量!N10</f>
        <v>200</v>
      </c>
      <c r="O6" s="154">
        <f>销量!O10</f>
        <v>200</v>
      </c>
      <c r="P6" s="154">
        <f>销量!P10</f>
        <v>200</v>
      </c>
      <c r="Q6" s="155">
        <f t="shared" ref="Q6:Q15" si="0">+SUM(C6:M6)</f>
        <v>28200</v>
      </c>
      <c r="AB6" s="153" t="s">
        <v>3</v>
      </c>
      <c r="AR6" s="152" t="s">
        <v>21</v>
      </c>
      <c r="AS6" s="153" t="s">
        <v>3</v>
      </c>
      <c r="AT6" s="145" t="s">
        <v>57</v>
      </c>
    </row>
    <row r="7" spans="1:46">
      <c r="A7" s="147">
        <v>1</v>
      </c>
      <c r="B7" s="153" t="s">
        <v>58</v>
      </c>
      <c r="C7" s="155">
        <f>C6*销量!C8</f>
        <v>1050000</v>
      </c>
      <c r="D7" s="155">
        <f>D6*销量!D8</f>
        <v>2040000</v>
      </c>
      <c r="E7" s="155">
        <f>E6*销量!E8</f>
        <v>1845000</v>
      </c>
      <c r="F7" s="155">
        <f>F6*销量!F8</f>
        <v>4500000</v>
      </c>
      <c r="G7" s="155">
        <f>G6*销量!G8</f>
        <v>390000</v>
      </c>
      <c r="H7" s="155">
        <f>H6*销量!H8</f>
        <v>195000</v>
      </c>
      <c r="I7" s="155">
        <f>I6*销量!I8</f>
        <v>152000</v>
      </c>
      <c r="J7" s="155">
        <f>J6*销量!J8</f>
        <v>69000</v>
      </c>
      <c r="K7" s="155">
        <f>K6*销量!K8</f>
        <v>171000</v>
      </c>
      <c r="L7" s="155">
        <f>L6*销量!L8</f>
        <v>165000</v>
      </c>
      <c r="M7" s="155">
        <f>M6*销量!M8</f>
        <v>154000</v>
      </c>
      <c r="N7" s="155">
        <f>N6*销量!N8</f>
        <v>158000</v>
      </c>
      <c r="O7" s="155">
        <f>O6*销量!O8</f>
        <v>113000</v>
      </c>
      <c r="P7" s="155">
        <f>P6*销量!P8</f>
        <v>154000</v>
      </c>
      <c r="Q7" s="155">
        <f t="shared" si="0"/>
        <v>10731000</v>
      </c>
      <c r="R7" s="146"/>
      <c r="AB7" s="153" t="s">
        <v>58</v>
      </c>
      <c r="AR7" s="152" t="s">
        <v>59</v>
      </c>
      <c r="AS7" s="153" t="s">
        <v>58</v>
      </c>
      <c r="AT7" s="145" t="s">
        <v>57</v>
      </c>
    </row>
    <row r="8" spans="1:46">
      <c r="A8" s="147">
        <v>2</v>
      </c>
      <c r="B8" s="147" t="s">
        <v>60</v>
      </c>
      <c r="C8" s="155">
        <f>C7*(1-销量!$U$7)</f>
        <v>21000</v>
      </c>
      <c r="D8" s="155">
        <f>D7*(1-销量!$U$7)</f>
        <v>40800</v>
      </c>
      <c r="E8" s="155">
        <f>E7*(1-销量!$U$7)</f>
        <v>36900</v>
      </c>
      <c r="F8" s="155">
        <f>F7*(1-销量!$U$7)</f>
        <v>90000.0000000001</v>
      </c>
      <c r="G8" s="155">
        <f>G7*(1-销量!$U$7)</f>
        <v>7800.00000000001</v>
      </c>
      <c r="H8" s="155">
        <f>H7*(1-销量!$U$7)</f>
        <v>3900</v>
      </c>
      <c r="I8" s="155">
        <f>I7*(1-销量!$U$7)</f>
        <v>3040</v>
      </c>
      <c r="J8" s="155">
        <f>J7*(1-销量!$U$7)</f>
        <v>1380</v>
      </c>
      <c r="K8" s="155">
        <f>K7*(1-销量!$U$7)</f>
        <v>3420</v>
      </c>
      <c r="L8" s="155">
        <f>L7*(1-销量!$U$7)</f>
        <v>3300</v>
      </c>
      <c r="M8" s="155">
        <f>M7*(1-销量!$U$7)</f>
        <v>3080</v>
      </c>
      <c r="N8" s="155">
        <f>N7*(1-销量!$U$7)</f>
        <v>3160</v>
      </c>
      <c r="O8" s="155">
        <f>O7*(1-销量!$U$7)</f>
        <v>2260</v>
      </c>
      <c r="P8" s="155">
        <f>P7*(1-销量!$U$7)</f>
        <v>3080</v>
      </c>
      <c r="Q8" s="155">
        <f t="shared" si="0"/>
        <v>214620</v>
      </c>
      <c r="R8" s="174"/>
      <c r="AB8" s="147" t="s">
        <v>62</v>
      </c>
      <c r="AR8" s="152" t="s">
        <v>61</v>
      </c>
      <c r="AS8" s="147" t="s">
        <v>62</v>
      </c>
      <c r="AT8" s="145" t="s">
        <v>57</v>
      </c>
    </row>
    <row r="9" spans="1:46">
      <c r="A9" s="147">
        <v>3</v>
      </c>
      <c r="B9" s="153" t="s">
        <v>63</v>
      </c>
      <c r="C9" s="155">
        <f t="shared" ref="C9:M9" si="1">+C7-C8</f>
        <v>1029000</v>
      </c>
      <c r="D9" s="155">
        <f t="shared" si="1"/>
        <v>1999200</v>
      </c>
      <c r="E9" s="155">
        <f t="shared" si="1"/>
        <v>1808100</v>
      </c>
      <c r="F9" s="155">
        <f t="shared" si="1"/>
        <v>4410000</v>
      </c>
      <c r="G9" s="155">
        <f t="shared" si="1"/>
        <v>382200</v>
      </c>
      <c r="H9" s="155">
        <f t="shared" si="1"/>
        <v>191100</v>
      </c>
      <c r="I9" s="155">
        <f t="shared" si="1"/>
        <v>148960</v>
      </c>
      <c r="J9" s="155">
        <f t="shared" si="1"/>
        <v>67620</v>
      </c>
      <c r="K9" s="155">
        <f t="shared" si="1"/>
        <v>167580</v>
      </c>
      <c r="L9" s="155">
        <f t="shared" si="1"/>
        <v>161700</v>
      </c>
      <c r="M9" s="155">
        <f t="shared" si="1"/>
        <v>150920</v>
      </c>
      <c r="N9" s="155">
        <f>+N7-N8</f>
        <v>154840</v>
      </c>
      <c r="O9" s="155">
        <f>+O7-O8</f>
        <v>110740</v>
      </c>
      <c r="P9" s="155">
        <f>+P7-P8</f>
        <v>150920</v>
      </c>
      <c r="Q9" s="155">
        <f t="shared" si="0"/>
        <v>10516380</v>
      </c>
      <c r="AB9" s="153" t="s">
        <v>63</v>
      </c>
      <c r="AR9" s="152" t="s">
        <v>64</v>
      </c>
      <c r="AS9" s="153" t="s">
        <v>63</v>
      </c>
      <c r="AT9" s="145" t="s">
        <v>65</v>
      </c>
    </row>
    <row r="10" spans="1:46">
      <c r="A10" s="147">
        <v>4</v>
      </c>
      <c r="B10" s="152" t="s">
        <v>66</v>
      </c>
      <c r="C10" s="155">
        <f>C6*C33</f>
        <v>986081.79279669</v>
      </c>
      <c r="D10" s="155">
        <f t="shared" ref="C10:M10" si="2">D6*D33</f>
        <v>1760750.90686304</v>
      </c>
      <c r="E10" s="155">
        <f t="shared" si="2"/>
        <v>1912734.60466115</v>
      </c>
      <c r="F10" s="155">
        <f t="shared" si="2"/>
        <v>4404888.70268434</v>
      </c>
      <c r="G10" s="155">
        <f t="shared" si="2"/>
        <v>361491.658466115</v>
      </c>
      <c r="H10" s="155">
        <f t="shared" si="2"/>
        <v>185515.889278514</v>
      </c>
      <c r="I10" s="155">
        <f t="shared" si="2"/>
        <v>133826.065386446</v>
      </c>
      <c r="J10" s="155">
        <f t="shared" si="2"/>
        <v>59451.9472954347</v>
      </c>
      <c r="K10" s="155">
        <f t="shared" si="2"/>
        <v>167369.556279669</v>
      </c>
      <c r="L10" s="155">
        <f t="shared" si="2"/>
        <v>151213.659279669</v>
      </c>
      <c r="M10" s="155">
        <f t="shared" si="2"/>
        <v>134610.352106446</v>
      </c>
      <c r="N10" s="155">
        <f>N6*N33</f>
        <v>145380.950106446</v>
      </c>
      <c r="O10" s="155">
        <f>O6*O33</f>
        <v>101229.756906446</v>
      </c>
      <c r="P10" s="155">
        <f>P6*P33</f>
        <v>134610.352106446</v>
      </c>
      <c r="Q10" s="155">
        <f t="shared" si="0"/>
        <v>10257935.1350975</v>
      </c>
      <c r="AB10" s="152" t="s">
        <v>66</v>
      </c>
      <c r="AR10" s="152" t="s">
        <v>67</v>
      </c>
      <c r="AS10" s="152" t="s">
        <v>66</v>
      </c>
      <c r="AT10" s="145" t="s">
        <v>68</v>
      </c>
    </row>
    <row r="11" spans="1:45">
      <c r="A11" s="147">
        <v>5</v>
      </c>
      <c r="B11" s="152" t="s">
        <v>69</v>
      </c>
      <c r="C11" s="155">
        <f t="shared" ref="C11:M11" si="3">+C6*C36</f>
        <v>45255</v>
      </c>
      <c r="D11" s="155">
        <f t="shared" si="3"/>
        <v>87924</v>
      </c>
      <c r="E11" s="155">
        <f t="shared" si="3"/>
        <v>79519.5</v>
      </c>
      <c r="F11" s="155">
        <f t="shared" si="3"/>
        <v>193950</v>
      </c>
      <c r="G11" s="155">
        <f t="shared" si="3"/>
        <v>16809</v>
      </c>
      <c r="H11" s="155">
        <f t="shared" si="3"/>
        <v>8404.5</v>
      </c>
      <c r="I11" s="155">
        <f t="shared" si="3"/>
        <v>6551.2</v>
      </c>
      <c r="J11" s="155">
        <f t="shared" si="3"/>
        <v>2973.9</v>
      </c>
      <c r="K11" s="155">
        <f t="shared" si="3"/>
        <v>7370.1</v>
      </c>
      <c r="L11" s="155">
        <f t="shared" si="3"/>
        <v>7111.5</v>
      </c>
      <c r="M11" s="155">
        <f t="shared" si="3"/>
        <v>6637.4</v>
      </c>
      <c r="N11" s="155">
        <f>+N6*N36</f>
        <v>6809.8</v>
      </c>
      <c r="O11" s="155">
        <f>+O6*O36</f>
        <v>4870.3</v>
      </c>
      <c r="P11" s="155">
        <f>+P6*P36</f>
        <v>6637.4</v>
      </c>
      <c r="Q11" s="155">
        <f t="shared" si="0"/>
        <v>462506.1</v>
      </c>
      <c r="AB11" s="152" t="s">
        <v>69</v>
      </c>
      <c r="AR11" s="152" t="s">
        <v>70</v>
      </c>
      <c r="AS11" s="152" t="s">
        <v>69</v>
      </c>
    </row>
    <row r="12" spans="1:45">
      <c r="A12" s="147">
        <v>6</v>
      </c>
      <c r="B12" s="152" t="s">
        <v>71</v>
      </c>
      <c r="C12" s="155">
        <f t="shared" ref="C12:M12" si="4">+C6*C37</f>
        <v>22785</v>
      </c>
      <c r="D12" s="155">
        <f t="shared" si="4"/>
        <v>44268</v>
      </c>
      <c r="E12" s="155">
        <f t="shared" si="4"/>
        <v>40036.5</v>
      </c>
      <c r="F12" s="155">
        <f t="shared" si="4"/>
        <v>96087.6</v>
      </c>
      <c r="G12" s="155">
        <f t="shared" si="4"/>
        <v>8463</v>
      </c>
      <c r="H12" s="155">
        <f t="shared" si="4"/>
        <v>4231.5</v>
      </c>
      <c r="I12" s="155">
        <f t="shared" si="4"/>
        <v>3298.4</v>
      </c>
      <c r="J12" s="155">
        <f t="shared" si="4"/>
        <v>1497.3</v>
      </c>
      <c r="K12" s="155">
        <f t="shared" si="4"/>
        <v>3710.7</v>
      </c>
      <c r="L12" s="155">
        <f t="shared" si="4"/>
        <v>3580.5</v>
      </c>
      <c r="M12" s="155">
        <f t="shared" si="4"/>
        <v>3341.8</v>
      </c>
      <c r="N12" s="155">
        <f>+N6*N37</f>
        <v>3341.8</v>
      </c>
      <c r="O12" s="155">
        <f>+O6*O37</f>
        <v>3341.8</v>
      </c>
      <c r="P12" s="155">
        <f>+P6*P37</f>
        <v>3341.8</v>
      </c>
      <c r="Q12" s="155">
        <f t="shared" si="0"/>
        <v>231300.3</v>
      </c>
      <c r="AB12" s="152" t="s">
        <v>71</v>
      </c>
      <c r="AR12" s="152" t="s">
        <v>72</v>
      </c>
      <c r="AS12" s="152" t="s">
        <v>71</v>
      </c>
    </row>
    <row r="13" spans="1:46">
      <c r="A13" s="147">
        <v>7</v>
      </c>
      <c r="B13" s="152" t="s">
        <v>73</v>
      </c>
      <c r="C13" s="155">
        <f t="shared" ref="C13:M13" si="5">+C6*C38</f>
        <v>46200</v>
      </c>
      <c r="D13" s="155">
        <f t="shared" si="5"/>
        <v>89760</v>
      </c>
      <c r="E13" s="155">
        <f t="shared" si="5"/>
        <v>81180</v>
      </c>
      <c r="F13" s="155">
        <f t="shared" si="5"/>
        <v>194832</v>
      </c>
      <c r="G13" s="155">
        <f t="shared" si="5"/>
        <v>17160</v>
      </c>
      <c r="H13" s="155">
        <f t="shared" si="5"/>
        <v>8580</v>
      </c>
      <c r="I13" s="155">
        <f t="shared" si="5"/>
        <v>6688</v>
      </c>
      <c r="J13" s="155">
        <f t="shared" si="5"/>
        <v>3036</v>
      </c>
      <c r="K13" s="155">
        <f t="shared" si="5"/>
        <v>7524</v>
      </c>
      <c r="L13" s="155">
        <f t="shared" si="5"/>
        <v>7260</v>
      </c>
      <c r="M13" s="155">
        <f t="shared" si="5"/>
        <v>6776</v>
      </c>
      <c r="N13" s="155">
        <f>+N6*N38</f>
        <v>6776</v>
      </c>
      <c r="O13" s="155">
        <f>+O6*O38</f>
        <v>6776</v>
      </c>
      <c r="P13" s="155">
        <f>+P6*P38</f>
        <v>6776</v>
      </c>
      <c r="Q13" s="155">
        <f t="shared" si="0"/>
        <v>468996</v>
      </c>
      <c r="AB13" s="152" t="s">
        <v>73</v>
      </c>
      <c r="AR13" s="152" t="s">
        <v>74</v>
      </c>
      <c r="AS13" s="152" t="s">
        <v>73</v>
      </c>
      <c r="AT13" s="145" t="s">
        <v>57</v>
      </c>
    </row>
    <row r="14" spans="1:45">
      <c r="A14" s="147">
        <v>8</v>
      </c>
      <c r="B14" s="156" t="s">
        <v>75</v>
      </c>
      <c r="C14" s="155">
        <f t="shared" ref="C14:M14" si="6">SUM(C11:C13)</f>
        <v>114240</v>
      </c>
      <c r="D14" s="155">
        <f t="shared" si="6"/>
        <v>221952</v>
      </c>
      <c r="E14" s="155">
        <f t="shared" si="6"/>
        <v>200736</v>
      </c>
      <c r="F14" s="155">
        <f t="shared" si="6"/>
        <v>484869.6</v>
      </c>
      <c r="G14" s="155">
        <f t="shared" si="6"/>
        <v>42432</v>
      </c>
      <c r="H14" s="155">
        <f t="shared" si="6"/>
        <v>21216</v>
      </c>
      <c r="I14" s="155">
        <f t="shared" si="6"/>
        <v>16537.6</v>
      </c>
      <c r="J14" s="155">
        <f t="shared" si="6"/>
        <v>7507.2</v>
      </c>
      <c r="K14" s="155">
        <f t="shared" si="6"/>
        <v>18604.8</v>
      </c>
      <c r="L14" s="155">
        <f t="shared" si="6"/>
        <v>17952</v>
      </c>
      <c r="M14" s="155">
        <f t="shared" si="6"/>
        <v>16755.2</v>
      </c>
      <c r="N14" s="155">
        <f>SUM(N11:N13)</f>
        <v>16927.6</v>
      </c>
      <c r="O14" s="155">
        <f>SUM(O11:O13)</f>
        <v>14988.1</v>
      </c>
      <c r="P14" s="155">
        <f>SUM(P11:P13)</f>
        <v>16755.2</v>
      </c>
      <c r="Q14" s="155">
        <f t="shared" si="0"/>
        <v>1162802.4</v>
      </c>
      <c r="AB14" s="156" t="s">
        <v>75</v>
      </c>
      <c r="AR14" s="152" t="s">
        <v>76</v>
      </c>
      <c r="AS14" s="156" t="s">
        <v>75</v>
      </c>
    </row>
    <row r="15" spans="1:45">
      <c r="A15" s="147">
        <v>9</v>
      </c>
      <c r="B15" s="156" t="s">
        <v>77</v>
      </c>
      <c r="C15" s="155">
        <f>+C9-C10-C14</f>
        <v>-71321.7927966898</v>
      </c>
      <c r="D15" s="155">
        <f t="shared" ref="D15:M15" si="7">+D9-D10-D14</f>
        <v>16497.0931369599</v>
      </c>
      <c r="E15" s="155">
        <f t="shared" si="7"/>
        <v>-305370.60466115</v>
      </c>
      <c r="F15" s="155">
        <f t="shared" si="7"/>
        <v>-479758.302684335</v>
      </c>
      <c r="G15" s="155">
        <f t="shared" si="7"/>
        <v>-21723.658466115</v>
      </c>
      <c r="H15" s="155">
        <f t="shared" si="7"/>
        <v>-15631.889278514</v>
      </c>
      <c r="I15" s="155">
        <f t="shared" si="7"/>
        <v>-1403.66538644605</v>
      </c>
      <c r="J15" s="155">
        <f t="shared" si="7"/>
        <v>660.852704565335</v>
      </c>
      <c r="K15" s="155">
        <f t="shared" si="7"/>
        <v>-18394.356279669</v>
      </c>
      <c r="L15" s="155">
        <f t="shared" si="7"/>
        <v>-7465.65927966899</v>
      </c>
      <c r="M15" s="155">
        <f t="shared" si="7"/>
        <v>-445.552106446048</v>
      </c>
      <c r="N15" s="155">
        <f>+N9-N10-N14</f>
        <v>-7468.55010644602</v>
      </c>
      <c r="O15" s="155">
        <f>+O9-O10-O14</f>
        <v>-5477.85690644601</v>
      </c>
      <c r="P15" s="155">
        <f>+P9-P10-P14</f>
        <v>-445.552106446048</v>
      </c>
      <c r="Q15" s="155">
        <f t="shared" si="0"/>
        <v>-904357.535097509</v>
      </c>
      <c r="AB15" s="156" t="s">
        <v>77</v>
      </c>
      <c r="AR15" s="152" t="s">
        <v>78</v>
      </c>
      <c r="AS15" s="156" t="s">
        <v>77</v>
      </c>
    </row>
    <row r="16" spans="1:45">
      <c r="A16" s="147">
        <v>10</v>
      </c>
      <c r="B16" s="152" t="s">
        <v>79</v>
      </c>
      <c r="C16" s="157">
        <f>+C15/C9</f>
        <v>-0.0693117519890085</v>
      </c>
      <c r="D16" s="157">
        <f t="shared" ref="D16:N16" si="8">+D15/D9</f>
        <v>0.00825184730740293</v>
      </c>
      <c r="E16" s="157">
        <f t="shared" si="8"/>
        <v>-0.168890329440379</v>
      </c>
      <c r="F16" s="157">
        <f t="shared" si="8"/>
        <v>-0.108788730767423</v>
      </c>
      <c r="G16" s="157">
        <f t="shared" si="8"/>
        <v>-0.056838457525157</v>
      </c>
      <c r="H16" s="157">
        <f t="shared" si="8"/>
        <v>-0.0817995252669493</v>
      </c>
      <c r="I16" s="157">
        <f t="shared" si="8"/>
        <v>-0.00942310275541116</v>
      </c>
      <c r="J16" s="157">
        <f t="shared" si="8"/>
        <v>0.00977303615151339</v>
      </c>
      <c r="K16" s="157">
        <f t="shared" si="8"/>
        <v>-0.109764627519209</v>
      </c>
      <c r="L16" s="157">
        <f t="shared" si="8"/>
        <v>-0.0461698162007977</v>
      </c>
      <c r="M16" s="157">
        <f t="shared" si="8"/>
        <v>-0.00295224030245195</v>
      </c>
      <c r="N16" s="157">
        <f>+N15/N9</f>
        <v>-0.0482339841542626</v>
      </c>
      <c r="O16" s="157">
        <f>+O15/O9</f>
        <v>-0.0494659283587323</v>
      </c>
      <c r="P16" s="157">
        <f>+P15/P9</f>
        <v>-0.00295224030245195</v>
      </c>
      <c r="Q16" s="157">
        <f>+Q15/Q9</f>
        <v>-0.0859951366437414</v>
      </c>
      <c r="AB16" s="152" t="s">
        <v>79</v>
      </c>
      <c r="AR16" s="152" t="s">
        <v>80</v>
      </c>
      <c r="AS16" s="152" t="s">
        <v>79</v>
      </c>
    </row>
    <row r="17" spans="1:45">
      <c r="A17" s="147">
        <v>11</v>
      </c>
      <c r="B17" s="152" t="s">
        <v>81</v>
      </c>
      <c r="C17" s="155">
        <f t="shared" ref="C17:M17" si="9">C6*C43+C18</f>
        <v>43050</v>
      </c>
      <c r="D17" s="155">
        <f t="shared" si="9"/>
        <v>83640</v>
      </c>
      <c r="E17" s="155">
        <f t="shared" si="9"/>
        <v>75645</v>
      </c>
      <c r="F17" s="155">
        <f t="shared" si="9"/>
        <v>181548</v>
      </c>
      <c r="G17" s="155">
        <f t="shared" si="9"/>
        <v>15990</v>
      </c>
      <c r="H17" s="155">
        <f t="shared" si="9"/>
        <v>7995</v>
      </c>
      <c r="I17" s="155">
        <f t="shared" si="9"/>
        <v>6232</v>
      </c>
      <c r="J17" s="155">
        <f t="shared" si="9"/>
        <v>2829</v>
      </c>
      <c r="K17" s="155">
        <f t="shared" si="9"/>
        <v>7011</v>
      </c>
      <c r="L17" s="155">
        <f t="shared" si="9"/>
        <v>6765</v>
      </c>
      <c r="M17" s="155">
        <f t="shared" si="9"/>
        <v>6314</v>
      </c>
      <c r="N17" s="155">
        <f>N6*N43+N18</f>
        <v>6314</v>
      </c>
      <c r="O17" s="155">
        <f>O6*O43+O18</f>
        <v>6314</v>
      </c>
      <c r="P17" s="155">
        <f>P6*P43+P18</f>
        <v>6314</v>
      </c>
      <c r="Q17" s="155">
        <f t="shared" ref="Q17:Q20" si="10">+SUM(C17:M17)</f>
        <v>437019</v>
      </c>
      <c r="R17" s="174"/>
      <c r="AB17" s="152" t="s">
        <v>81</v>
      </c>
      <c r="AR17" s="152" t="s">
        <v>82</v>
      </c>
      <c r="AS17" s="152" t="s">
        <v>81</v>
      </c>
    </row>
    <row r="18" s="143" customFormat="1" spans="1:20">
      <c r="A18" s="147">
        <v>12</v>
      </c>
      <c r="B18" s="158" t="s">
        <v>184</v>
      </c>
      <c r="C18" s="159">
        <f t="shared" ref="C18:M18" si="11">$Q$18/$Q$6*C6</f>
        <v>0</v>
      </c>
      <c r="D18" s="159">
        <f t="shared" si="11"/>
        <v>0</v>
      </c>
      <c r="E18" s="159">
        <f t="shared" si="11"/>
        <v>0</v>
      </c>
      <c r="F18" s="159">
        <f t="shared" si="11"/>
        <v>0</v>
      </c>
      <c r="G18" s="159">
        <f t="shared" si="11"/>
        <v>0</v>
      </c>
      <c r="H18" s="159">
        <f t="shared" si="11"/>
        <v>0</v>
      </c>
      <c r="I18" s="159">
        <f t="shared" si="11"/>
        <v>0</v>
      </c>
      <c r="J18" s="159">
        <f t="shared" si="11"/>
        <v>0</v>
      </c>
      <c r="K18" s="159">
        <f t="shared" si="11"/>
        <v>0</v>
      </c>
      <c r="L18" s="159">
        <f t="shared" si="11"/>
        <v>0</v>
      </c>
      <c r="M18" s="159">
        <f t="shared" si="11"/>
        <v>0</v>
      </c>
      <c r="N18" s="159">
        <f>$Q$18/$Q$6*N6</f>
        <v>0</v>
      </c>
      <c r="O18" s="159">
        <f>$Q$18/$Q$6*O6</f>
        <v>0</v>
      </c>
      <c r="P18" s="159">
        <f>$Q$18/$Q$6*P6</f>
        <v>0</v>
      </c>
      <c r="Q18" s="155">
        <f>项目投资!E26</f>
        <v>0</v>
      </c>
      <c r="R18" s="176" t="s">
        <v>185</v>
      </c>
      <c r="S18" s="176"/>
      <c r="T18" s="176"/>
    </row>
    <row r="19" spans="1:46">
      <c r="A19" s="147">
        <v>13</v>
      </c>
      <c r="B19" s="152" t="s">
        <v>83</v>
      </c>
      <c r="C19" s="155">
        <f t="shared" ref="C19:M19" si="12">C6*C44</f>
        <v>7350</v>
      </c>
      <c r="D19" s="155">
        <f t="shared" si="12"/>
        <v>14280</v>
      </c>
      <c r="E19" s="155">
        <f t="shared" si="12"/>
        <v>12915</v>
      </c>
      <c r="F19" s="155">
        <f t="shared" si="12"/>
        <v>30996</v>
      </c>
      <c r="G19" s="155">
        <f t="shared" si="12"/>
        <v>2730</v>
      </c>
      <c r="H19" s="155">
        <f t="shared" si="12"/>
        <v>1365</v>
      </c>
      <c r="I19" s="155">
        <f t="shared" si="12"/>
        <v>1064</v>
      </c>
      <c r="J19" s="155">
        <f t="shared" si="12"/>
        <v>483</v>
      </c>
      <c r="K19" s="155">
        <f t="shared" si="12"/>
        <v>1197</v>
      </c>
      <c r="L19" s="155">
        <f t="shared" si="12"/>
        <v>1155</v>
      </c>
      <c r="M19" s="155">
        <f t="shared" si="12"/>
        <v>1078</v>
      </c>
      <c r="N19" s="155">
        <f>N6*N44</f>
        <v>1078</v>
      </c>
      <c r="O19" s="155">
        <f>O6*O44</f>
        <v>1078</v>
      </c>
      <c r="P19" s="155">
        <f>P6*P44</f>
        <v>1078</v>
      </c>
      <c r="Q19" s="155">
        <f t="shared" si="10"/>
        <v>74613</v>
      </c>
      <c r="R19" s="143"/>
      <c r="AB19" s="152" t="s">
        <v>83</v>
      </c>
      <c r="AR19" s="152" t="s">
        <v>84</v>
      </c>
      <c r="AS19" s="152" t="s">
        <v>83</v>
      </c>
      <c r="AT19" s="145" t="s">
        <v>57</v>
      </c>
    </row>
    <row r="20" spans="1:45">
      <c r="A20" s="147">
        <v>14</v>
      </c>
      <c r="B20" s="152" t="s">
        <v>85</v>
      </c>
      <c r="C20" s="155">
        <f t="shared" ref="C20:M20" si="13">C6*C45</f>
        <v>35700</v>
      </c>
      <c r="D20" s="155">
        <f t="shared" si="13"/>
        <v>69360</v>
      </c>
      <c r="E20" s="155">
        <f t="shared" si="13"/>
        <v>62730</v>
      </c>
      <c r="F20" s="155">
        <f t="shared" si="13"/>
        <v>150552</v>
      </c>
      <c r="G20" s="155">
        <f t="shared" si="13"/>
        <v>13260</v>
      </c>
      <c r="H20" s="155">
        <f t="shared" si="13"/>
        <v>6630</v>
      </c>
      <c r="I20" s="155">
        <f t="shared" si="13"/>
        <v>5168</v>
      </c>
      <c r="J20" s="155">
        <f t="shared" si="13"/>
        <v>2346</v>
      </c>
      <c r="K20" s="155">
        <f t="shared" si="13"/>
        <v>5814</v>
      </c>
      <c r="L20" s="155">
        <f t="shared" si="13"/>
        <v>5610</v>
      </c>
      <c r="M20" s="155">
        <f t="shared" si="13"/>
        <v>5236</v>
      </c>
      <c r="N20" s="155">
        <f>N6*N45</f>
        <v>5236</v>
      </c>
      <c r="O20" s="155">
        <f>O6*O45</f>
        <v>5236</v>
      </c>
      <c r="P20" s="155">
        <f>P6*P45</f>
        <v>5236</v>
      </c>
      <c r="Q20" s="155">
        <f t="shared" si="10"/>
        <v>362406</v>
      </c>
      <c r="AB20" s="152" t="s">
        <v>85</v>
      </c>
      <c r="AR20" s="152" t="s">
        <v>86</v>
      </c>
      <c r="AS20" s="152" t="s">
        <v>85</v>
      </c>
    </row>
    <row r="21" spans="1:45">
      <c r="A21" s="147">
        <v>15</v>
      </c>
      <c r="B21" s="152" t="s">
        <v>87</v>
      </c>
      <c r="C21" s="160">
        <f>$Q$21/$Q$6*C6</f>
        <v>496.45390070922</v>
      </c>
      <c r="D21" s="160">
        <f t="shared" ref="D21:M21" si="14">$Q$21/$Q$6*D6</f>
        <v>992.90780141844</v>
      </c>
      <c r="E21" s="160">
        <f t="shared" si="14"/>
        <v>827.4231678487</v>
      </c>
      <c r="F21" s="160">
        <f t="shared" si="14"/>
        <v>1985.81560283688</v>
      </c>
      <c r="G21" s="160">
        <f t="shared" si="14"/>
        <v>82.74231678487</v>
      </c>
      <c r="H21" s="160">
        <f t="shared" si="14"/>
        <v>82.74231678487</v>
      </c>
      <c r="I21" s="160">
        <f t="shared" si="14"/>
        <v>33.096926713948</v>
      </c>
      <c r="J21" s="160">
        <f t="shared" si="14"/>
        <v>33.096926713948</v>
      </c>
      <c r="K21" s="160">
        <f t="shared" si="14"/>
        <v>49.645390070922</v>
      </c>
      <c r="L21" s="160">
        <f t="shared" si="14"/>
        <v>49.645390070922</v>
      </c>
      <c r="M21" s="160">
        <f t="shared" si="14"/>
        <v>33.096926713948</v>
      </c>
      <c r="N21" s="160">
        <f>$Q$21/$Q$6*N6</f>
        <v>33.096926713948</v>
      </c>
      <c r="O21" s="160">
        <f>$Q$21/$Q$6*O6</f>
        <v>33.096926713948</v>
      </c>
      <c r="P21" s="160">
        <f>$Q$21/$Q$6*P6</f>
        <v>33.096926713948</v>
      </c>
      <c r="Q21" s="155">
        <f>项目投资!E27</f>
        <v>4666.66666666667</v>
      </c>
      <c r="AB21" s="152" t="s">
        <v>87</v>
      </c>
      <c r="AR21" s="152"/>
      <c r="AS21" s="152"/>
    </row>
    <row r="22" spans="1:45">
      <c r="A22" s="147">
        <v>16</v>
      </c>
      <c r="B22" s="152" t="s">
        <v>88</v>
      </c>
      <c r="C22" s="155">
        <f t="shared" ref="C22:M22" si="15">C6*C47</f>
        <v>31500</v>
      </c>
      <c r="D22" s="155">
        <f t="shared" si="15"/>
        <v>61200</v>
      </c>
      <c r="E22" s="155">
        <f t="shared" si="15"/>
        <v>55350</v>
      </c>
      <c r="F22" s="155">
        <f t="shared" si="15"/>
        <v>132840</v>
      </c>
      <c r="G22" s="155">
        <f t="shared" si="15"/>
        <v>11700</v>
      </c>
      <c r="H22" s="155">
        <f t="shared" si="15"/>
        <v>5850</v>
      </c>
      <c r="I22" s="155">
        <f t="shared" si="15"/>
        <v>4560</v>
      </c>
      <c r="J22" s="155">
        <f t="shared" si="15"/>
        <v>2070</v>
      </c>
      <c r="K22" s="155">
        <f t="shared" si="15"/>
        <v>5130</v>
      </c>
      <c r="L22" s="155">
        <f t="shared" si="15"/>
        <v>4950</v>
      </c>
      <c r="M22" s="155">
        <f t="shared" si="15"/>
        <v>4620</v>
      </c>
      <c r="N22" s="155">
        <f>N6*N47</f>
        <v>4620</v>
      </c>
      <c r="O22" s="155">
        <f>O6*O47</f>
        <v>4620</v>
      </c>
      <c r="P22" s="155">
        <f>P6*P47</f>
        <v>4620</v>
      </c>
      <c r="Q22" s="155">
        <f>+SUM(C22:M22)</f>
        <v>319770</v>
      </c>
      <c r="AB22" s="152" t="s">
        <v>88</v>
      </c>
      <c r="AR22" s="152" t="s">
        <v>89</v>
      </c>
      <c r="AS22" s="152" t="s">
        <v>88</v>
      </c>
    </row>
    <row r="23" spans="1:45">
      <c r="A23" s="147">
        <v>17</v>
      </c>
      <c r="B23" s="156" t="s">
        <v>90</v>
      </c>
      <c r="C23" s="160">
        <f t="shared" ref="C23:N23" si="16">+C22+C21+C20+C19+C17</f>
        <v>118096.453900709</v>
      </c>
      <c r="D23" s="160">
        <f t="shared" si="16"/>
        <v>229472.907801418</v>
      </c>
      <c r="E23" s="160">
        <f t="shared" si="16"/>
        <v>207467.423167849</v>
      </c>
      <c r="F23" s="160">
        <f t="shared" si="16"/>
        <v>497921.815602837</v>
      </c>
      <c r="G23" s="160">
        <f t="shared" si="16"/>
        <v>43762.7423167849</v>
      </c>
      <c r="H23" s="160">
        <f t="shared" si="16"/>
        <v>21922.7423167849</v>
      </c>
      <c r="I23" s="160">
        <f t="shared" si="16"/>
        <v>17057.0969267139</v>
      </c>
      <c r="J23" s="160">
        <f t="shared" si="16"/>
        <v>7761.09692671395</v>
      </c>
      <c r="K23" s="160">
        <f t="shared" si="16"/>
        <v>19201.6453900709</v>
      </c>
      <c r="L23" s="160">
        <f t="shared" si="16"/>
        <v>18529.6453900709</v>
      </c>
      <c r="M23" s="160">
        <f t="shared" si="16"/>
        <v>17281.0969267139</v>
      </c>
      <c r="N23" s="160">
        <f>+N22+N21+N20+N19+N17</f>
        <v>17281.0969267139</v>
      </c>
      <c r="O23" s="160">
        <f>+O22+O21+O20+O19+O17</f>
        <v>17281.0969267139</v>
      </c>
      <c r="P23" s="160">
        <f>+P22+P21+P20+P19+P17</f>
        <v>17281.0969267139</v>
      </c>
      <c r="Q23" s="160">
        <f>+Q22+Q21+Q20+Q19+Q17</f>
        <v>1198474.66666667</v>
      </c>
      <c r="AB23" s="156" t="s">
        <v>90</v>
      </c>
      <c r="AR23" s="152" t="s">
        <v>91</v>
      </c>
      <c r="AS23" s="156" t="s">
        <v>90</v>
      </c>
    </row>
    <row r="24" spans="1:45">
      <c r="A24" s="147">
        <v>18</v>
      </c>
      <c r="B24" s="161" t="s">
        <v>92</v>
      </c>
      <c r="C24" s="160">
        <f t="shared" ref="C24:N24" si="17">+C15-C23</f>
        <v>-189418.246697399</v>
      </c>
      <c r="D24" s="160">
        <f t="shared" si="17"/>
        <v>-212975.814664459</v>
      </c>
      <c r="E24" s="160">
        <f t="shared" si="17"/>
        <v>-512838.027828999</v>
      </c>
      <c r="F24" s="160">
        <f t="shared" si="17"/>
        <v>-977680.118287172</v>
      </c>
      <c r="G24" s="160">
        <f t="shared" si="17"/>
        <v>-65486.4007828999</v>
      </c>
      <c r="H24" s="160">
        <f t="shared" si="17"/>
        <v>-37554.6315952989</v>
      </c>
      <c r="I24" s="160">
        <f t="shared" si="17"/>
        <v>-18460.76231316</v>
      </c>
      <c r="J24" s="160">
        <f t="shared" si="17"/>
        <v>-7100.24422214861</v>
      </c>
      <c r="K24" s="160">
        <f t="shared" si="17"/>
        <v>-37596.0016697399</v>
      </c>
      <c r="L24" s="160">
        <f t="shared" si="17"/>
        <v>-25995.3046697399</v>
      </c>
      <c r="M24" s="160">
        <f t="shared" si="17"/>
        <v>-17726.64903316</v>
      </c>
      <c r="N24" s="160">
        <f>+N15-N23</f>
        <v>-24749.64703316</v>
      </c>
      <c r="O24" s="160">
        <f>+O15-O23</f>
        <v>-22758.95383316</v>
      </c>
      <c r="P24" s="160">
        <f>+P15-P23</f>
        <v>-17726.64903316</v>
      </c>
      <c r="Q24" s="160">
        <f>+Q15-Q23</f>
        <v>-2102832.20176418</v>
      </c>
      <c r="S24" s="177"/>
      <c r="AB24" s="152" t="s">
        <v>92</v>
      </c>
      <c r="AR24" s="152" t="s">
        <v>93</v>
      </c>
      <c r="AS24" s="152" t="s">
        <v>92</v>
      </c>
    </row>
    <row r="25" spans="1:45">
      <c r="A25" s="147">
        <v>19</v>
      </c>
      <c r="B25" s="152" t="s">
        <v>186</v>
      </c>
      <c r="C25" s="160">
        <f>IF(C24&lt;0,0,C24*0.25)</f>
        <v>0</v>
      </c>
      <c r="D25" s="160">
        <f>IF(D24&lt;0,0,D24*0.25)</f>
        <v>0</v>
      </c>
      <c r="E25" s="160">
        <f>IF(E24&lt;0,0,E24*0.25)</f>
        <v>0</v>
      </c>
      <c r="F25" s="160">
        <f>IF(F24&lt;0,0,F24*0.25)</f>
        <v>0</v>
      </c>
      <c r="G25" s="160">
        <f t="shared" ref="C25:N25" si="18">IF(G24&lt;0,0,G24*0.25)</f>
        <v>0</v>
      </c>
      <c r="H25" s="160">
        <f t="shared" si="18"/>
        <v>0</v>
      </c>
      <c r="I25" s="160">
        <f t="shared" si="18"/>
        <v>0</v>
      </c>
      <c r="J25" s="160">
        <f t="shared" si="18"/>
        <v>0</v>
      </c>
      <c r="K25" s="160">
        <f t="shared" si="18"/>
        <v>0</v>
      </c>
      <c r="L25" s="160">
        <f t="shared" si="18"/>
        <v>0</v>
      </c>
      <c r="M25" s="160">
        <f t="shared" si="18"/>
        <v>0</v>
      </c>
      <c r="N25" s="160">
        <f>IF(N24&lt;0,0,N24*0.25)</f>
        <v>0</v>
      </c>
      <c r="O25" s="160">
        <f>IF(O24&lt;0,0,O24*0.25)</f>
        <v>0</v>
      </c>
      <c r="P25" s="160">
        <f>IF(P24&lt;0,0,P24*0.25)</f>
        <v>0</v>
      </c>
      <c r="Q25" s="160">
        <f>IF(Q24&lt;0,0,Q24*0.25)</f>
        <v>0</v>
      </c>
      <c r="R25" s="2"/>
      <c r="S25" s="2"/>
      <c r="T25" s="2"/>
      <c r="AB25" s="152" t="s">
        <v>38</v>
      </c>
      <c r="AR25" s="152" t="s">
        <v>94</v>
      </c>
      <c r="AS25" s="152" t="s">
        <v>38</v>
      </c>
    </row>
    <row r="26" spans="1:45">
      <c r="A26" s="147">
        <v>20</v>
      </c>
      <c r="B26" s="152" t="s">
        <v>95</v>
      </c>
      <c r="C26" s="160">
        <f t="shared" ref="C26:M26" si="19">C24-C25</f>
        <v>-189418.246697399</v>
      </c>
      <c r="D26" s="160">
        <f t="shared" si="19"/>
        <v>-212975.814664459</v>
      </c>
      <c r="E26" s="160">
        <f t="shared" si="19"/>
        <v>-512838.027828999</v>
      </c>
      <c r="F26" s="160">
        <f t="shared" si="19"/>
        <v>-977680.118287172</v>
      </c>
      <c r="G26" s="160">
        <f t="shared" si="19"/>
        <v>-65486.4007828999</v>
      </c>
      <c r="H26" s="160">
        <f t="shared" si="19"/>
        <v>-37554.6315952989</v>
      </c>
      <c r="I26" s="160">
        <f t="shared" si="19"/>
        <v>-18460.76231316</v>
      </c>
      <c r="J26" s="160">
        <f t="shared" si="19"/>
        <v>-7100.24422214861</v>
      </c>
      <c r="K26" s="160">
        <f t="shared" si="19"/>
        <v>-37596.0016697399</v>
      </c>
      <c r="L26" s="160">
        <f t="shared" si="19"/>
        <v>-25995.3046697399</v>
      </c>
      <c r="M26" s="160">
        <f t="shared" si="19"/>
        <v>-17726.64903316</v>
      </c>
      <c r="N26" s="160">
        <f>N24-N25</f>
        <v>-24749.64703316</v>
      </c>
      <c r="O26" s="160">
        <f>O24-O25</f>
        <v>-22758.95383316</v>
      </c>
      <c r="P26" s="160">
        <f>P24-P25</f>
        <v>-17726.64903316</v>
      </c>
      <c r="Q26" s="155">
        <f>+SUM(C26:M26)</f>
        <v>-2102832.20176418</v>
      </c>
      <c r="R26" s="2"/>
      <c r="S26" s="2"/>
      <c r="T26" s="2"/>
      <c r="AB26" s="152" t="s">
        <v>95</v>
      </c>
      <c r="AR26" s="152" t="s">
        <v>96</v>
      </c>
      <c r="AS26" s="152" t="s">
        <v>95</v>
      </c>
    </row>
    <row r="27" spans="1:45">
      <c r="A27" s="147">
        <v>21</v>
      </c>
      <c r="B27" s="152" t="s">
        <v>99</v>
      </c>
      <c r="C27" s="162">
        <f t="shared" ref="C27:N27" si="20">C26/C7</f>
        <v>-0.180398330187999</v>
      </c>
      <c r="D27" s="162">
        <f t="shared" si="20"/>
        <v>-0.104399909149244</v>
      </c>
      <c r="E27" s="162">
        <f t="shared" si="20"/>
        <v>-0.277960990693224</v>
      </c>
      <c r="F27" s="162">
        <f t="shared" si="20"/>
        <v>-0.217262248508261</v>
      </c>
      <c r="G27" s="162">
        <f t="shared" si="20"/>
        <v>-0.167913848161282</v>
      </c>
      <c r="H27" s="162">
        <f t="shared" si="20"/>
        <v>-0.192587854334866</v>
      </c>
      <c r="I27" s="162">
        <f t="shared" si="20"/>
        <v>-0.12145238363921</v>
      </c>
      <c r="J27" s="162">
        <f t="shared" si="20"/>
        <v>-0.102902090176067</v>
      </c>
      <c r="K27" s="162">
        <f t="shared" si="20"/>
        <v>-0.219859658887368</v>
      </c>
      <c r="L27" s="162">
        <f t="shared" si="20"/>
        <v>-0.157547301028727</v>
      </c>
      <c r="M27" s="162">
        <f t="shared" si="20"/>
        <v>-0.115108110604935</v>
      </c>
      <c r="N27" s="162">
        <f>N26/N7</f>
        <v>-0.156643335652911</v>
      </c>
      <c r="O27" s="162">
        <f>O26/O7</f>
        <v>-0.201406671089911</v>
      </c>
      <c r="P27" s="162">
        <f>P26/P7</f>
        <v>-0.115108110604935</v>
      </c>
      <c r="Q27" s="178">
        <f>Q26/Q7</f>
        <v>-0.195958643347701</v>
      </c>
      <c r="R27" s="2"/>
      <c r="S27" s="2"/>
      <c r="T27" s="2"/>
      <c r="AB27" s="152" t="s">
        <v>99</v>
      </c>
      <c r="AR27" s="152" t="s">
        <v>98</v>
      </c>
      <c r="AS27" s="152" t="s">
        <v>99</v>
      </c>
    </row>
    <row r="28" spans="18:28">
      <c r="R28" s="2"/>
      <c r="S28" s="2"/>
      <c r="T28" s="2"/>
      <c r="AB28" s="152"/>
    </row>
    <row r="29" spans="1:44">
      <c r="A29" s="145" t="s">
        <v>100</v>
      </c>
      <c r="Q29" s="146" t="s">
        <v>187</v>
      </c>
      <c r="R29" s="2"/>
      <c r="S29" s="2"/>
      <c r="T29" s="2"/>
      <c r="AB29" s="152"/>
      <c r="AR29" s="145" t="s">
        <v>100</v>
      </c>
    </row>
    <row r="30" spans="1:45">
      <c r="A30" s="152" t="s">
        <v>104</v>
      </c>
      <c r="B30" s="156" t="s">
        <v>105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2"/>
      <c r="S30" s="2"/>
      <c r="T30" s="2"/>
      <c r="V30" s="2"/>
      <c r="AB30" s="156" t="s">
        <v>105</v>
      </c>
      <c r="AR30" s="152" t="s">
        <v>106</v>
      </c>
      <c r="AS30" s="156" t="s">
        <v>105</v>
      </c>
    </row>
    <row r="31" spans="1:45">
      <c r="A31" s="147">
        <v>1</v>
      </c>
      <c r="B31" s="158" t="s">
        <v>107</v>
      </c>
      <c r="C31" s="163">
        <f>销量!C8</f>
        <v>350</v>
      </c>
      <c r="D31" s="163">
        <f>销量!D8</f>
        <v>340</v>
      </c>
      <c r="E31" s="163">
        <f>销量!E8</f>
        <v>369</v>
      </c>
      <c r="F31" s="163">
        <f>销量!F8</f>
        <v>375</v>
      </c>
      <c r="G31" s="163">
        <f>销量!G8</f>
        <v>780</v>
      </c>
      <c r="H31" s="163">
        <f>销量!H8</f>
        <v>390</v>
      </c>
      <c r="I31" s="163">
        <f>销量!I8</f>
        <v>760</v>
      </c>
      <c r="J31" s="163">
        <f>销量!J8</f>
        <v>345</v>
      </c>
      <c r="K31" s="163">
        <f>销量!K8</f>
        <v>570</v>
      </c>
      <c r="L31" s="163">
        <f>销量!L8</f>
        <v>550</v>
      </c>
      <c r="M31" s="163">
        <f>销量!M8</f>
        <v>770</v>
      </c>
      <c r="N31" s="163">
        <f>销量!N8</f>
        <v>790</v>
      </c>
      <c r="O31" s="163">
        <f>销量!O8</f>
        <v>565</v>
      </c>
      <c r="P31" s="163">
        <f>销量!P8</f>
        <v>770</v>
      </c>
      <c r="Q31" s="160"/>
      <c r="R31" s="2"/>
      <c r="S31" s="2"/>
      <c r="T31" s="2"/>
      <c r="V31" s="2"/>
      <c r="AB31" s="152" t="s">
        <v>107</v>
      </c>
      <c r="AR31" s="152" t="s">
        <v>59</v>
      </c>
      <c r="AS31" s="152" t="s">
        <v>107</v>
      </c>
    </row>
    <row r="32" spans="1:45">
      <c r="A32" s="147">
        <v>2</v>
      </c>
      <c r="B32" s="152" t="s">
        <v>188</v>
      </c>
      <c r="C32" s="155">
        <f t="shared" ref="C32:M32" si="21">C31*1</f>
        <v>350</v>
      </c>
      <c r="D32" s="155">
        <f t="shared" si="21"/>
        <v>340</v>
      </c>
      <c r="E32" s="155">
        <f t="shared" si="21"/>
        <v>369</v>
      </c>
      <c r="F32" s="155">
        <f t="shared" si="21"/>
        <v>375</v>
      </c>
      <c r="G32" s="155">
        <f t="shared" si="21"/>
        <v>780</v>
      </c>
      <c r="H32" s="155">
        <f t="shared" si="21"/>
        <v>390</v>
      </c>
      <c r="I32" s="155">
        <f t="shared" si="21"/>
        <v>760</v>
      </c>
      <c r="J32" s="155">
        <f t="shared" si="21"/>
        <v>345</v>
      </c>
      <c r="K32" s="155">
        <f t="shared" si="21"/>
        <v>570</v>
      </c>
      <c r="L32" s="155">
        <f t="shared" si="21"/>
        <v>550</v>
      </c>
      <c r="M32" s="155">
        <f t="shared" si="21"/>
        <v>770</v>
      </c>
      <c r="N32" s="155">
        <f>N31*1</f>
        <v>790</v>
      </c>
      <c r="O32" s="155">
        <f>O31*1</f>
        <v>565</v>
      </c>
      <c r="P32" s="155">
        <f>P31*1</f>
        <v>770</v>
      </c>
      <c r="Q32" s="160"/>
      <c r="R32" s="2"/>
      <c r="S32" s="2"/>
      <c r="T32" s="2"/>
      <c r="U32" s="2"/>
      <c r="V32" s="2"/>
      <c r="W32" s="2"/>
      <c r="X32" s="2"/>
      <c r="AR32" s="152"/>
      <c r="AS32" s="152"/>
    </row>
    <row r="33" spans="1:45">
      <c r="A33" s="147">
        <v>3</v>
      </c>
      <c r="B33" s="158" t="s">
        <v>108</v>
      </c>
      <c r="C33" s="155">
        <f>材料成本!D24</f>
        <v>328.69393093223</v>
      </c>
      <c r="D33" s="155">
        <f>材料成本!E24</f>
        <v>293.458484477173</v>
      </c>
      <c r="E33" s="155">
        <f>材料成本!F24</f>
        <v>382.54692093223</v>
      </c>
      <c r="F33" s="155">
        <f>材料成本!G24</f>
        <v>367.074058557028</v>
      </c>
      <c r="G33" s="155">
        <f>材料成本!H24</f>
        <v>722.98331693223</v>
      </c>
      <c r="H33" s="155">
        <f>材料成本!I24</f>
        <v>371.031778557028</v>
      </c>
      <c r="I33" s="155">
        <f>材料成本!J24</f>
        <v>669.13032693223</v>
      </c>
      <c r="J33" s="155">
        <f>材料成本!K24</f>
        <v>297.259736477173</v>
      </c>
      <c r="K33" s="155">
        <f>材料成本!L24</f>
        <v>557.89852093223</v>
      </c>
      <c r="L33" s="155">
        <f>材料成本!M24</f>
        <v>504.04553093223</v>
      </c>
      <c r="M33" s="155">
        <f>材料成本!N24</f>
        <v>673.05176053223</v>
      </c>
      <c r="N33" s="155">
        <f>材料成本!O24</f>
        <v>726.90475053223</v>
      </c>
      <c r="O33" s="155">
        <f>材料成本!P24</f>
        <v>506.14878453223</v>
      </c>
      <c r="P33" s="155">
        <f>材料成本!Q24</f>
        <v>673.05176053223</v>
      </c>
      <c r="Q33" s="160"/>
      <c r="S33" s="2"/>
      <c r="T33" s="2"/>
      <c r="U33" s="2"/>
      <c r="V33" s="2"/>
      <c r="W33" s="2"/>
      <c r="X33" s="2"/>
      <c r="AB33" s="152" t="s">
        <v>108</v>
      </c>
      <c r="AR33" s="152" t="s">
        <v>61</v>
      </c>
      <c r="AS33" s="152" t="s">
        <v>108</v>
      </c>
    </row>
    <row r="34" ht="17.25" customHeight="1" spans="1:45">
      <c r="A34" s="147">
        <v>4</v>
      </c>
      <c r="B34" s="152" t="s">
        <v>110</v>
      </c>
      <c r="C34" s="164">
        <f t="shared" ref="C34:M34" si="22">C32-C33</f>
        <v>21.3060690677701</v>
      </c>
      <c r="D34" s="164">
        <f t="shared" si="22"/>
        <v>46.5415155228267</v>
      </c>
      <c r="E34" s="164">
        <f t="shared" si="22"/>
        <v>-13.54692093223</v>
      </c>
      <c r="F34" s="164">
        <f t="shared" si="22"/>
        <v>7.92594144297203</v>
      </c>
      <c r="G34" s="164">
        <f t="shared" si="22"/>
        <v>57.0166830677699</v>
      </c>
      <c r="H34" s="164">
        <f t="shared" si="22"/>
        <v>18.968221442972</v>
      </c>
      <c r="I34" s="164">
        <f t="shared" si="22"/>
        <v>90.8696730677698</v>
      </c>
      <c r="J34" s="164">
        <f t="shared" si="22"/>
        <v>47.7402635228267</v>
      </c>
      <c r="K34" s="164">
        <f t="shared" si="22"/>
        <v>12.1014790677699</v>
      </c>
      <c r="L34" s="164">
        <f t="shared" si="22"/>
        <v>45.95446906777</v>
      </c>
      <c r="M34" s="164">
        <f t="shared" si="22"/>
        <v>96.9482394677698</v>
      </c>
      <c r="N34" s="164">
        <f>N32-N33</f>
        <v>63.0952494677699</v>
      </c>
      <c r="O34" s="164">
        <f>O32-O33</f>
        <v>58.85121546777</v>
      </c>
      <c r="P34" s="164">
        <f>P32-P33</f>
        <v>96.9482394677698</v>
      </c>
      <c r="Q34" s="160"/>
      <c r="S34" s="2"/>
      <c r="T34" s="2"/>
      <c r="U34" s="2"/>
      <c r="V34" s="2"/>
      <c r="W34" s="2"/>
      <c r="X34" s="2"/>
      <c r="AB34" s="152" t="s">
        <v>110</v>
      </c>
      <c r="AR34" s="152" t="s">
        <v>109</v>
      </c>
      <c r="AS34" s="152" t="s">
        <v>110</v>
      </c>
    </row>
    <row r="35" spans="1:45">
      <c r="A35" s="152" t="s">
        <v>106</v>
      </c>
      <c r="B35" s="156" t="s">
        <v>10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2"/>
      <c r="S35" s="2"/>
      <c r="T35" s="2"/>
      <c r="U35" s="2"/>
      <c r="V35" s="2"/>
      <c r="W35" s="2"/>
      <c r="X35" s="2"/>
      <c r="Y35" s="2"/>
      <c r="Z35" s="2"/>
      <c r="AA35" s="2"/>
      <c r="AB35" s="156" t="s">
        <v>10</v>
      </c>
      <c r="AR35" s="152" t="s">
        <v>112</v>
      </c>
      <c r="AS35" s="156" t="s">
        <v>10</v>
      </c>
    </row>
    <row r="36" spans="1:45">
      <c r="A36" s="147">
        <v>1</v>
      </c>
      <c r="B36" s="152" t="s">
        <v>113</v>
      </c>
      <c r="C36" s="159">
        <f>标准成本!E4</f>
        <v>15.085</v>
      </c>
      <c r="D36" s="159">
        <f>标准成本!E16</f>
        <v>14.654</v>
      </c>
      <c r="E36" s="159">
        <f>标准成本!E29</f>
        <v>15.9039</v>
      </c>
      <c r="F36" s="159">
        <f>标准成本!E42</f>
        <v>16.1625</v>
      </c>
      <c r="G36" s="159">
        <f>标准成本!E55</f>
        <v>33.618</v>
      </c>
      <c r="H36" s="159">
        <f>标准成本!E68</f>
        <v>16.809</v>
      </c>
      <c r="I36" s="159">
        <f>标准成本!E81</f>
        <v>32.756</v>
      </c>
      <c r="J36" s="159">
        <f>标准成本!E94</f>
        <v>14.8695</v>
      </c>
      <c r="K36" s="159">
        <f>标准成本!E107</f>
        <v>24.567</v>
      </c>
      <c r="L36" s="159">
        <f>标准成本!E120</f>
        <v>23.705</v>
      </c>
      <c r="M36" s="159">
        <f>标准成本!E133</f>
        <v>33.187</v>
      </c>
      <c r="N36" s="159">
        <f>标准成本!E146</f>
        <v>34.049</v>
      </c>
      <c r="O36" s="159">
        <f>标准成本!E159</f>
        <v>24.3515</v>
      </c>
      <c r="P36" s="159">
        <f>标准成本!E172</f>
        <v>33.187</v>
      </c>
      <c r="Q36" s="163"/>
      <c r="R36" s="2"/>
      <c r="S36" s="2"/>
      <c r="T36" s="2"/>
      <c r="U36" s="2"/>
      <c r="V36" s="2"/>
      <c r="W36" s="2"/>
      <c r="X36" s="2"/>
      <c r="Y36" s="2"/>
      <c r="Z36" s="2"/>
      <c r="AA36" s="2"/>
      <c r="AB36" s="152" t="s">
        <v>113</v>
      </c>
      <c r="AR36" s="152" t="s">
        <v>109</v>
      </c>
      <c r="AS36" s="152" t="s">
        <v>113</v>
      </c>
    </row>
    <row r="37" spans="1:45">
      <c r="A37" s="147">
        <v>2</v>
      </c>
      <c r="B37" s="152" t="s">
        <v>114</v>
      </c>
      <c r="C37" s="159">
        <f>标准成本!E6</f>
        <v>7.595</v>
      </c>
      <c r="D37" s="159">
        <f>标准成本!E18</f>
        <v>7.378</v>
      </c>
      <c r="E37" s="159">
        <f>标准成本!E31</f>
        <v>8.0073</v>
      </c>
      <c r="F37" s="159">
        <f>标准成本!E44</f>
        <v>8.0073</v>
      </c>
      <c r="G37" s="159">
        <f>标准成本!E57</f>
        <v>16.926</v>
      </c>
      <c r="H37" s="159">
        <f>标准成本!E70</f>
        <v>8.463</v>
      </c>
      <c r="I37" s="159">
        <f>标准成本!E83</f>
        <v>16.492</v>
      </c>
      <c r="J37" s="159">
        <f>标准成本!E96</f>
        <v>7.4865</v>
      </c>
      <c r="K37" s="159">
        <f>标准成本!E109</f>
        <v>12.369</v>
      </c>
      <c r="L37" s="159">
        <f>标准成本!E122</f>
        <v>11.935</v>
      </c>
      <c r="M37" s="159">
        <f>标准成本!E135</f>
        <v>16.709</v>
      </c>
      <c r="N37" s="159">
        <f>标准成本!E148</f>
        <v>16.709</v>
      </c>
      <c r="O37" s="159">
        <f>标准成本!E161</f>
        <v>16.709</v>
      </c>
      <c r="P37" s="159">
        <f>标准成本!E174</f>
        <v>16.709</v>
      </c>
      <c r="Q37" s="163"/>
      <c r="R37" s="2"/>
      <c r="S37" s="2"/>
      <c r="T37" s="2"/>
      <c r="U37" s="2"/>
      <c r="V37" s="2"/>
      <c r="W37" s="2"/>
      <c r="X37" s="2"/>
      <c r="Y37" s="2"/>
      <c r="Z37" s="2"/>
      <c r="AA37" s="2"/>
      <c r="AB37" s="152" t="s">
        <v>114</v>
      </c>
      <c r="AR37" s="152" t="s">
        <v>64</v>
      </c>
      <c r="AS37" s="152" t="s">
        <v>114</v>
      </c>
    </row>
    <row r="38" spans="1:45">
      <c r="A38" s="147">
        <v>3</v>
      </c>
      <c r="B38" s="152" t="s">
        <v>115</v>
      </c>
      <c r="C38" s="159">
        <f>标准成本!E10</f>
        <v>15.4</v>
      </c>
      <c r="D38" s="159">
        <f>标准成本!E22</f>
        <v>14.96</v>
      </c>
      <c r="E38" s="159">
        <f>标准成本!E35</f>
        <v>16.236</v>
      </c>
      <c r="F38" s="159">
        <f>标准成本!E48</f>
        <v>16.236</v>
      </c>
      <c r="G38" s="159">
        <f>标准成本!E61</f>
        <v>34.32</v>
      </c>
      <c r="H38" s="159">
        <f>标准成本!E74</f>
        <v>17.16</v>
      </c>
      <c r="I38" s="159">
        <f>标准成本!E87</f>
        <v>33.44</v>
      </c>
      <c r="J38" s="159">
        <f>标准成本!E100</f>
        <v>15.18</v>
      </c>
      <c r="K38" s="159">
        <f>标准成本!E113</f>
        <v>25.08</v>
      </c>
      <c r="L38" s="159">
        <f>标准成本!E126</f>
        <v>24.2</v>
      </c>
      <c r="M38" s="159">
        <f>标准成本!E139</f>
        <v>33.88</v>
      </c>
      <c r="N38" s="159">
        <f>标准成本!E152</f>
        <v>33.88</v>
      </c>
      <c r="O38" s="159">
        <f>标准成本!E165</f>
        <v>33.88</v>
      </c>
      <c r="P38" s="159">
        <f>标准成本!E178</f>
        <v>33.88</v>
      </c>
      <c r="Q38" s="163"/>
      <c r="R38" s="2"/>
      <c r="S38" s="2"/>
      <c r="T38" s="2"/>
      <c r="U38" s="2"/>
      <c r="V38" s="2"/>
      <c r="W38" s="2"/>
      <c r="X38" s="2"/>
      <c r="Y38" s="2"/>
      <c r="Z38" s="2"/>
      <c r="AA38" s="2"/>
      <c r="AB38" s="152" t="s">
        <v>115</v>
      </c>
      <c r="AR38" s="152" t="s">
        <v>70</v>
      </c>
      <c r="AS38" s="152" t="s">
        <v>115</v>
      </c>
    </row>
    <row r="39" spans="1:45">
      <c r="A39" s="152" t="s">
        <v>112</v>
      </c>
      <c r="B39" s="156" t="s">
        <v>117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AB39" s="156" t="s">
        <v>117</v>
      </c>
      <c r="AR39" s="152" t="s">
        <v>116</v>
      </c>
      <c r="AS39" s="156" t="s">
        <v>117</v>
      </c>
    </row>
    <row r="40" spans="1:45">
      <c r="A40" s="147">
        <v>1</v>
      </c>
      <c r="B40" s="152" t="s">
        <v>119</v>
      </c>
      <c r="C40" s="160">
        <f t="shared" ref="C40:M40" si="23">C34-C36-C37-C38</f>
        <v>-16.7739309322299</v>
      </c>
      <c r="D40" s="160">
        <f t="shared" si="23"/>
        <v>9.54951552282667</v>
      </c>
      <c r="E40" s="160">
        <f t="shared" si="23"/>
        <v>-53.69412093223</v>
      </c>
      <c r="F40" s="160">
        <f t="shared" si="23"/>
        <v>-32.479858557028</v>
      </c>
      <c r="G40" s="160">
        <f t="shared" si="23"/>
        <v>-27.8473169322301</v>
      </c>
      <c r="H40" s="160">
        <f t="shared" si="23"/>
        <v>-23.463778557028</v>
      </c>
      <c r="I40" s="160">
        <f t="shared" si="23"/>
        <v>8.18167306776978</v>
      </c>
      <c r="J40" s="160">
        <f t="shared" si="23"/>
        <v>10.2042635228267</v>
      </c>
      <c r="K40" s="160">
        <f t="shared" si="23"/>
        <v>-49.9145209322301</v>
      </c>
      <c r="L40" s="160">
        <f t="shared" si="23"/>
        <v>-13.88553093223</v>
      </c>
      <c r="M40" s="160">
        <f t="shared" si="23"/>
        <v>13.1722394677698</v>
      </c>
      <c r="N40" s="160">
        <f>N34-N36-N37-N38</f>
        <v>-21.5427505322301</v>
      </c>
      <c r="O40" s="160">
        <f>O34-O36-O37-O38</f>
        <v>-16.08928453223</v>
      </c>
      <c r="P40" s="160">
        <f>P34-P36-P37-P38</f>
        <v>13.1722394677698</v>
      </c>
      <c r="Q40" s="160"/>
      <c r="AB40" s="152" t="s">
        <v>119</v>
      </c>
      <c r="AR40" s="152" t="s">
        <v>59</v>
      </c>
      <c r="AS40" s="152" t="s">
        <v>119</v>
      </c>
    </row>
    <row r="41" spans="1:45">
      <c r="A41" s="147">
        <v>2</v>
      </c>
      <c r="B41" s="152" t="s">
        <v>120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AB41" s="152" t="s">
        <v>120</v>
      </c>
      <c r="AR41" s="152" t="s">
        <v>61</v>
      </c>
      <c r="AS41" s="152" t="s">
        <v>120</v>
      </c>
    </row>
    <row r="42" spans="1:45">
      <c r="A42" s="152" t="s">
        <v>116</v>
      </c>
      <c r="B42" s="156" t="s">
        <v>122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AB42" s="156" t="s">
        <v>122</v>
      </c>
      <c r="AR42" s="152" t="s">
        <v>121</v>
      </c>
      <c r="AS42" s="156" t="s">
        <v>122</v>
      </c>
    </row>
    <row r="43" spans="1:45">
      <c r="A43" s="147">
        <v>1</v>
      </c>
      <c r="B43" s="161" t="s">
        <v>123</v>
      </c>
      <c r="C43" s="159">
        <f>标准成本!E5</f>
        <v>14.35</v>
      </c>
      <c r="D43" s="159">
        <f>标准成本!E17</f>
        <v>13.94</v>
      </c>
      <c r="E43" s="159">
        <f>标准成本!E30</f>
        <v>15.129</v>
      </c>
      <c r="F43" s="159">
        <f>标准成本!E43</f>
        <v>15.129</v>
      </c>
      <c r="G43" s="159">
        <f>标准成本!E56</f>
        <v>31.98</v>
      </c>
      <c r="H43" s="159">
        <f>标准成本!E69</f>
        <v>15.99</v>
      </c>
      <c r="I43" s="159">
        <f>标准成本!E82</f>
        <v>31.16</v>
      </c>
      <c r="J43" s="159">
        <f>标准成本!E95</f>
        <v>14.145</v>
      </c>
      <c r="K43" s="159">
        <f>标准成本!E108</f>
        <v>23.37</v>
      </c>
      <c r="L43" s="159">
        <f>标准成本!E121</f>
        <v>22.55</v>
      </c>
      <c r="M43" s="159">
        <f>标准成本!E134</f>
        <v>31.57</v>
      </c>
      <c r="N43" s="169">
        <f>标准成本!E147</f>
        <v>31.57</v>
      </c>
      <c r="O43" s="169">
        <f>标准成本!E160</f>
        <v>31.57</v>
      </c>
      <c r="P43" s="169">
        <f>标准成本!E173</f>
        <v>31.57</v>
      </c>
      <c r="Q43" s="160"/>
      <c r="AB43" s="152" t="s">
        <v>123</v>
      </c>
      <c r="AR43" s="152" t="s">
        <v>59</v>
      </c>
      <c r="AS43" s="152" t="s">
        <v>123</v>
      </c>
    </row>
    <row r="44" spans="1:45">
      <c r="A44" s="147">
        <v>2</v>
      </c>
      <c r="B44" s="161" t="s">
        <v>124</v>
      </c>
      <c r="C44" s="159">
        <f>标准成本!E9</f>
        <v>2.45</v>
      </c>
      <c r="D44" s="159">
        <f>标准成本!E21</f>
        <v>2.38</v>
      </c>
      <c r="E44" s="159">
        <f>标准成本!E34</f>
        <v>2.583</v>
      </c>
      <c r="F44" s="159">
        <f>标准成本!E47</f>
        <v>2.583</v>
      </c>
      <c r="G44" s="159">
        <f>标准成本!E60</f>
        <v>5.46</v>
      </c>
      <c r="H44" s="159">
        <f>标准成本!E73</f>
        <v>2.73</v>
      </c>
      <c r="I44" s="159">
        <f>标准成本!E86</f>
        <v>5.32</v>
      </c>
      <c r="J44" s="159">
        <f>标准成本!E99</f>
        <v>2.415</v>
      </c>
      <c r="K44" s="159">
        <f>标准成本!E112</f>
        <v>3.99</v>
      </c>
      <c r="L44" s="159">
        <f>标准成本!E125</f>
        <v>3.85</v>
      </c>
      <c r="M44" s="159">
        <f>标准成本!E138</f>
        <v>5.39</v>
      </c>
      <c r="N44" s="169">
        <f>标准成本!E151</f>
        <v>5.39</v>
      </c>
      <c r="O44" s="169">
        <f>标准成本!E164</f>
        <v>5.39</v>
      </c>
      <c r="P44" s="169">
        <f>标准成本!E177</f>
        <v>5.39</v>
      </c>
      <c r="Q44" s="160"/>
      <c r="AB44" s="152" t="s">
        <v>124</v>
      </c>
      <c r="AR44" s="152" t="s">
        <v>61</v>
      </c>
      <c r="AS44" s="152" t="s">
        <v>124</v>
      </c>
    </row>
    <row r="45" spans="1:45">
      <c r="A45" s="147">
        <v>3</v>
      </c>
      <c r="B45" s="161" t="s">
        <v>125</v>
      </c>
      <c r="C45" s="159">
        <f>标准成本!E8</f>
        <v>11.9</v>
      </c>
      <c r="D45" s="159">
        <f>标准成本!E20</f>
        <v>11.56</v>
      </c>
      <c r="E45" s="159">
        <f>标准成本!E33</f>
        <v>12.546</v>
      </c>
      <c r="F45" s="159">
        <f>标准成本!E46</f>
        <v>12.546</v>
      </c>
      <c r="G45" s="159">
        <f>标准成本!E59</f>
        <v>26.52</v>
      </c>
      <c r="H45" s="159">
        <f>标准成本!E72</f>
        <v>13.26</v>
      </c>
      <c r="I45" s="159">
        <f>标准成本!E85</f>
        <v>25.84</v>
      </c>
      <c r="J45" s="159">
        <f>标准成本!E98</f>
        <v>11.73</v>
      </c>
      <c r="K45" s="159">
        <f>标准成本!E111</f>
        <v>19.38</v>
      </c>
      <c r="L45" s="159">
        <f>标准成本!E124</f>
        <v>18.7</v>
      </c>
      <c r="M45" s="159">
        <f>标准成本!E137</f>
        <v>26.18</v>
      </c>
      <c r="N45" s="169">
        <f>标准成本!E150</f>
        <v>26.18</v>
      </c>
      <c r="O45" s="169">
        <f>标准成本!E163</f>
        <v>26.18</v>
      </c>
      <c r="P45" s="169">
        <f>标准成本!E176</f>
        <v>26.18</v>
      </c>
      <c r="Q45" s="160"/>
      <c r="AB45" s="152" t="s">
        <v>125</v>
      </c>
      <c r="AR45" s="152" t="s">
        <v>109</v>
      </c>
      <c r="AS45" s="152" t="s">
        <v>125</v>
      </c>
    </row>
    <row r="46" s="144" customFormat="1" spans="1:45">
      <c r="A46" s="147">
        <v>4</v>
      </c>
      <c r="B46" s="161" t="s">
        <v>126</v>
      </c>
      <c r="C46" s="165">
        <f>C21/C6</f>
        <v>0.16548463356974</v>
      </c>
      <c r="D46" s="165">
        <f t="shared" ref="D46:M46" si="24">D21/D6</f>
        <v>0.16548463356974</v>
      </c>
      <c r="E46" s="165">
        <f t="shared" si="24"/>
        <v>0.16548463356974</v>
      </c>
      <c r="F46" s="165">
        <f t="shared" si="24"/>
        <v>0.16548463356974</v>
      </c>
      <c r="G46" s="165">
        <f t="shared" si="24"/>
        <v>0.16548463356974</v>
      </c>
      <c r="H46" s="165">
        <f t="shared" si="24"/>
        <v>0.16548463356974</v>
      </c>
      <c r="I46" s="165">
        <f t="shared" si="24"/>
        <v>0.16548463356974</v>
      </c>
      <c r="J46" s="165">
        <f t="shared" si="24"/>
        <v>0.16548463356974</v>
      </c>
      <c r="K46" s="165">
        <f t="shared" si="24"/>
        <v>0.16548463356974</v>
      </c>
      <c r="L46" s="165">
        <f t="shared" si="24"/>
        <v>0.16548463356974</v>
      </c>
      <c r="M46" s="165">
        <f t="shared" si="24"/>
        <v>0.16548463356974</v>
      </c>
      <c r="N46" s="165">
        <f>N21/N6</f>
        <v>0.16548463356974</v>
      </c>
      <c r="O46" s="165">
        <f>O21/O6</f>
        <v>0.16548463356974</v>
      </c>
      <c r="P46" s="165">
        <f>P21/P6</f>
        <v>0.16548463356974</v>
      </c>
      <c r="Q46" s="165"/>
      <c r="AB46" s="161" t="s">
        <v>128</v>
      </c>
      <c r="AR46" s="161" t="s">
        <v>67</v>
      </c>
      <c r="AS46" s="161" t="s">
        <v>128</v>
      </c>
    </row>
    <row r="47" s="144" customFormat="1" spans="1:45">
      <c r="A47" s="147">
        <v>5</v>
      </c>
      <c r="B47" s="161" t="s">
        <v>128</v>
      </c>
      <c r="C47" s="165">
        <f>标准成本!E11</f>
        <v>10.5</v>
      </c>
      <c r="D47" s="165">
        <f>标准成本!E23</f>
        <v>10.2</v>
      </c>
      <c r="E47" s="165">
        <f>标准成本!E36</f>
        <v>11.07</v>
      </c>
      <c r="F47" s="165">
        <f>标准成本!E49</f>
        <v>11.07</v>
      </c>
      <c r="G47" s="165">
        <f>标准成本!E62</f>
        <v>23.4</v>
      </c>
      <c r="H47" s="165">
        <f>标准成本!E75</f>
        <v>11.7</v>
      </c>
      <c r="I47" s="165">
        <f>标准成本!E88</f>
        <v>22.8</v>
      </c>
      <c r="J47" s="165">
        <f>标准成本!E101</f>
        <v>10.35</v>
      </c>
      <c r="K47" s="165">
        <f>标准成本!E114</f>
        <v>17.1</v>
      </c>
      <c r="L47" s="165">
        <f>标准成本!E127</f>
        <v>16.5</v>
      </c>
      <c r="M47" s="165">
        <f>标准成本!E140</f>
        <v>23.1</v>
      </c>
      <c r="N47" s="165">
        <f>标准成本!E153</f>
        <v>23.1</v>
      </c>
      <c r="O47" s="165">
        <f>标准成本!E166</f>
        <v>23.1</v>
      </c>
      <c r="P47" s="165">
        <f>标准成本!E179</f>
        <v>23.1</v>
      </c>
      <c r="Q47" s="165"/>
      <c r="AB47" s="161" t="s">
        <v>128</v>
      </c>
      <c r="AR47" s="161" t="s">
        <v>67</v>
      </c>
      <c r="AS47" s="161" t="s">
        <v>128</v>
      </c>
    </row>
    <row r="48" spans="1:45">
      <c r="A48" s="152" t="s">
        <v>121</v>
      </c>
      <c r="B48" s="156" t="s">
        <v>139</v>
      </c>
      <c r="C48" s="160">
        <f>C40-C43-C44-C45-C47-C46</f>
        <v>-56.1394155657997</v>
      </c>
      <c r="D48" s="160">
        <f t="shared" ref="D48:M48" si="25">D40-D43-D44-D45-D47-D46</f>
        <v>-28.6959691107431</v>
      </c>
      <c r="E48" s="160">
        <f t="shared" si="25"/>
        <v>-95.1876055657997</v>
      </c>
      <c r="F48" s="160">
        <f t="shared" si="25"/>
        <v>-73.9733431905977</v>
      </c>
      <c r="G48" s="160">
        <f t="shared" si="25"/>
        <v>-115.3728015658</v>
      </c>
      <c r="H48" s="160">
        <f t="shared" si="25"/>
        <v>-67.3092631905978</v>
      </c>
      <c r="I48" s="160">
        <f t="shared" si="25"/>
        <v>-77.1038115658</v>
      </c>
      <c r="J48" s="160">
        <f t="shared" si="25"/>
        <v>-28.601221110743</v>
      </c>
      <c r="K48" s="160">
        <f t="shared" si="25"/>
        <v>-113.9200055658</v>
      </c>
      <c r="L48" s="160">
        <f t="shared" si="25"/>
        <v>-75.6510155657998</v>
      </c>
      <c r="M48" s="160">
        <f t="shared" si="25"/>
        <v>-73.2332451658</v>
      </c>
      <c r="N48" s="160">
        <f>N40-N43-N44-N45-N47-N46</f>
        <v>-107.9482351658</v>
      </c>
      <c r="O48" s="160">
        <f>O40-O43-O44-O45-O47-O46</f>
        <v>-102.4947691658</v>
      </c>
      <c r="P48" s="160">
        <f>P40-P43-P44-P45-P47-P46</f>
        <v>-73.2332451658</v>
      </c>
      <c r="Q48" s="160"/>
      <c r="AB48" s="156" t="s">
        <v>139</v>
      </c>
      <c r="AR48" s="152" t="s">
        <v>138</v>
      </c>
      <c r="AS48" s="156" t="s">
        <v>139</v>
      </c>
    </row>
    <row r="51" spans="3:16"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</row>
    <row r="54" spans="2:22">
      <c r="B54" s="2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2"/>
      <c r="S54" s="2"/>
      <c r="T54" s="2"/>
      <c r="U54" s="2"/>
      <c r="V54" s="2"/>
    </row>
    <row r="55" spans="2:22">
      <c r="B55" s="2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2"/>
      <c r="S55" s="2"/>
      <c r="T55" s="2"/>
      <c r="U55" s="2"/>
      <c r="V55" s="2"/>
    </row>
    <row r="56" spans="2:22">
      <c r="B56" s="2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2"/>
      <c r="S56" s="2"/>
      <c r="T56" s="2"/>
      <c r="U56" s="2"/>
      <c r="V56" s="2"/>
    </row>
    <row r="57" spans="2:22">
      <c r="B57" s="2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2"/>
      <c r="S57" s="2"/>
      <c r="T57" s="2"/>
      <c r="U57" s="2"/>
      <c r="V57" s="2"/>
    </row>
    <row r="58" spans="2:22">
      <c r="B58" s="2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2"/>
      <c r="S58" s="2"/>
      <c r="T58" s="2"/>
      <c r="U58" s="2"/>
      <c r="V58" s="2"/>
    </row>
    <row r="59" spans="2:22">
      <c r="B59" s="2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2"/>
      <c r="S59" s="2"/>
      <c r="T59" s="2"/>
      <c r="U59" s="2"/>
      <c r="V59" s="2"/>
    </row>
    <row r="60" spans="2:22">
      <c r="B60" s="2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2"/>
      <c r="S60" s="2"/>
      <c r="T60" s="2"/>
      <c r="U60" s="2"/>
      <c r="V60" s="2"/>
    </row>
    <row r="61" spans="2:22">
      <c r="B61" s="2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2"/>
      <c r="S61" s="2"/>
      <c r="T61" s="2"/>
      <c r="U61" s="2"/>
      <c r="V61" s="2"/>
    </row>
    <row r="62" spans="2:22">
      <c r="B62" s="2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2"/>
      <c r="S62" s="2"/>
      <c r="T62" s="2"/>
      <c r="U62" s="2"/>
      <c r="V62" s="2"/>
    </row>
    <row r="63" spans="2:22">
      <c r="B63" s="2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2"/>
      <c r="S63" s="2"/>
      <c r="T63" s="2"/>
      <c r="U63" s="2"/>
      <c r="V63" s="2"/>
    </row>
    <row r="64" spans="2:22">
      <c r="B64" s="2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2"/>
      <c r="S64" s="2"/>
      <c r="T64" s="2"/>
      <c r="U64" s="2"/>
      <c r="V64" s="2"/>
    </row>
    <row r="65" spans="2:22">
      <c r="B65" s="2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2"/>
      <c r="S65" s="2"/>
      <c r="T65" s="2"/>
      <c r="U65" s="2"/>
      <c r="V65" s="2"/>
    </row>
    <row r="66" spans="2:22">
      <c r="B66" s="2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2"/>
      <c r="S66" s="2"/>
      <c r="T66" s="2"/>
      <c r="U66" s="2"/>
      <c r="V66" s="2"/>
    </row>
    <row r="67" spans="2:18">
      <c r="B67" s="2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2"/>
    </row>
    <row r="68" spans="2:18">
      <c r="B68" s="2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2"/>
    </row>
    <row r="69" spans="2:18">
      <c r="B69" s="2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2"/>
    </row>
    <row r="70" spans="2:18">
      <c r="B70" s="2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2"/>
    </row>
    <row r="71" spans="2:18">
      <c r="B71" s="2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2"/>
    </row>
    <row r="72" spans="2:18">
      <c r="B72" s="2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2"/>
    </row>
    <row r="73" spans="2:18">
      <c r="B73" s="2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2"/>
    </row>
    <row r="74" spans="2:18">
      <c r="B74" s="2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2"/>
    </row>
  </sheetData>
  <mergeCells count="8">
    <mergeCell ref="A1:B1"/>
    <mergeCell ref="C1:Q1"/>
    <mergeCell ref="A2:B2"/>
    <mergeCell ref="C2:Q2"/>
    <mergeCell ref="A3:B3"/>
    <mergeCell ref="A4:B4"/>
    <mergeCell ref="A5:B5"/>
    <mergeCell ref="Q3:Q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4.5"/>
  <cols>
    <col min="1" max="1" width="5.12727272727273" style="145" customWidth="1"/>
    <col min="2" max="2" width="17.5" style="145" customWidth="1"/>
    <col min="3" max="5" width="14.3636363636364" style="146" customWidth="1"/>
    <col min="6" max="6" width="15.2727272727273" style="146" customWidth="1"/>
    <col min="7" max="16" width="11.7545454545455" style="146" customWidth="1"/>
    <col min="17" max="17" width="18.7545454545455" style="146" customWidth="1"/>
    <col min="18" max="18" width="12.3727272727273" style="145" customWidth="1"/>
    <col min="19" max="19" width="10.1272727272727" style="145" customWidth="1"/>
    <col min="20" max="26" width="9" style="145" customWidth="1"/>
    <col min="27" max="43" width="9" style="145"/>
    <col min="44" max="44" width="4.37272727272727" style="145" customWidth="1"/>
    <col min="45" max="45" width="13.8727272727273" style="145" customWidth="1"/>
    <col min="46" max="16384" width="9" style="145"/>
  </cols>
  <sheetData>
    <row r="1" spans="1:17">
      <c r="A1" s="147" t="s">
        <v>149</v>
      </c>
      <c r="B1" s="147"/>
      <c r="C1" s="148" t="s">
        <v>191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68"/>
      <c r="O1" s="168"/>
      <c r="P1" s="168"/>
      <c r="Q1" s="170"/>
    </row>
    <row r="2" spans="1:17">
      <c r="A2" s="147" t="s">
        <v>151</v>
      </c>
      <c r="B2" s="147"/>
      <c r="C2" s="150" t="s">
        <v>190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ht="28.5" spans="1:17">
      <c r="A3" s="147" t="s">
        <v>153</v>
      </c>
      <c r="B3" s="147"/>
      <c r="C3" s="75" t="s">
        <v>154</v>
      </c>
      <c r="D3" s="76" t="s">
        <v>155</v>
      </c>
      <c r="E3" s="76" t="s">
        <v>156</v>
      </c>
      <c r="F3" s="75" t="s">
        <v>157</v>
      </c>
      <c r="G3" s="75" t="s">
        <v>158</v>
      </c>
      <c r="H3" s="75" t="s">
        <v>159</v>
      </c>
      <c r="I3" s="75" t="s">
        <v>160</v>
      </c>
      <c r="J3" s="75" t="s">
        <v>161</v>
      </c>
      <c r="K3" s="75" t="s">
        <v>162</v>
      </c>
      <c r="L3" s="75" t="s">
        <v>163</v>
      </c>
      <c r="M3" s="75" t="s">
        <v>160</v>
      </c>
      <c r="N3" s="75" t="s">
        <v>164</v>
      </c>
      <c r="O3" s="75" t="s">
        <v>165</v>
      </c>
      <c r="P3" s="75" t="s">
        <v>160</v>
      </c>
      <c r="Q3" s="171" t="s">
        <v>55</v>
      </c>
    </row>
    <row r="4" spans="1:17">
      <c r="A4" s="147" t="s">
        <v>166</v>
      </c>
      <c r="B4" s="147"/>
      <c r="C4" s="75" t="s">
        <v>167</v>
      </c>
      <c r="D4" s="76" t="s">
        <v>168</v>
      </c>
      <c r="E4" s="76" t="s">
        <v>169</v>
      </c>
      <c r="F4" s="75" t="s">
        <v>170</v>
      </c>
      <c r="G4" s="75" t="s">
        <v>171</v>
      </c>
      <c r="H4" s="75" t="s">
        <v>172</v>
      </c>
      <c r="I4" s="75" t="s">
        <v>173</v>
      </c>
      <c r="J4" s="75" t="s">
        <v>174</v>
      </c>
      <c r="K4" s="75" t="s">
        <v>175</v>
      </c>
      <c r="L4" s="75" t="s">
        <v>176</v>
      </c>
      <c r="M4" s="75" t="s">
        <v>177</v>
      </c>
      <c r="N4" s="75" t="s">
        <v>178</v>
      </c>
      <c r="O4" s="75" t="s">
        <v>179</v>
      </c>
      <c r="P4" s="75" t="s">
        <v>177</v>
      </c>
      <c r="Q4" s="172"/>
    </row>
    <row r="5" spans="1:46">
      <c r="A5" s="147" t="s">
        <v>180</v>
      </c>
      <c r="B5" s="147"/>
      <c r="C5" s="151" t="s">
        <v>181</v>
      </c>
      <c r="D5" s="151" t="s">
        <v>181</v>
      </c>
      <c r="E5" s="151" t="s">
        <v>181</v>
      </c>
      <c r="F5" s="151" t="s">
        <v>181</v>
      </c>
      <c r="G5" s="151" t="s">
        <v>181</v>
      </c>
      <c r="H5" s="151" t="s">
        <v>181</v>
      </c>
      <c r="I5" s="151" t="s">
        <v>181</v>
      </c>
      <c r="J5" s="151" t="s">
        <v>181</v>
      </c>
      <c r="K5" s="151" t="s">
        <v>181</v>
      </c>
      <c r="L5" s="151" t="s">
        <v>181</v>
      </c>
      <c r="M5" s="75" t="s">
        <v>182</v>
      </c>
      <c r="N5" s="75" t="s">
        <v>182</v>
      </c>
      <c r="O5" s="75" t="s">
        <v>182</v>
      </c>
      <c r="P5" s="75"/>
      <c r="Q5" s="173"/>
      <c r="AT5" s="145" t="s">
        <v>56</v>
      </c>
    </row>
    <row r="6" ht="16.5" spans="1:46">
      <c r="A6" s="152" t="s">
        <v>21</v>
      </c>
      <c r="B6" s="153" t="s">
        <v>183</v>
      </c>
      <c r="C6" s="154">
        <f>销量!C11</f>
        <v>3000</v>
      </c>
      <c r="D6" s="154">
        <f>销量!D11</f>
        <v>6000</v>
      </c>
      <c r="E6" s="154">
        <f>销量!E11</f>
        <v>5000</v>
      </c>
      <c r="F6" s="154">
        <f>销量!F11</f>
        <v>12000</v>
      </c>
      <c r="G6" s="154">
        <f>销量!G11</f>
        <v>500</v>
      </c>
      <c r="H6" s="154">
        <f>销量!H11</f>
        <v>500</v>
      </c>
      <c r="I6" s="154">
        <f>销量!I11</f>
        <v>200</v>
      </c>
      <c r="J6" s="154">
        <f>销量!J11</f>
        <v>200</v>
      </c>
      <c r="K6" s="154">
        <f>销量!K11</f>
        <v>300</v>
      </c>
      <c r="L6" s="154">
        <f>销量!L11</f>
        <v>300</v>
      </c>
      <c r="M6" s="154">
        <f>销量!M11</f>
        <v>200</v>
      </c>
      <c r="N6" s="154">
        <f>销量!N11</f>
        <v>200</v>
      </c>
      <c r="O6" s="154">
        <f>销量!O11</f>
        <v>200</v>
      </c>
      <c r="P6" s="154">
        <f>销量!P11</f>
        <v>200</v>
      </c>
      <c r="Q6" s="155">
        <f>+SUM(C6:P6)</f>
        <v>28800</v>
      </c>
      <c r="AB6" s="153" t="s">
        <v>3</v>
      </c>
      <c r="AR6" s="152" t="s">
        <v>21</v>
      </c>
      <c r="AS6" s="153" t="s">
        <v>3</v>
      </c>
      <c r="AT6" s="145" t="s">
        <v>57</v>
      </c>
    </row>
    <row r="7" spans="1:46">
      <c r="A7" s="147">
        <v>1</v>
      </c>
      <c r="B7" s="153" t="s">
        <v>58</v>
      </c>
      <c r="C7" s="155">
        <f>C6*销量!C8</f>
        <v>1050000</v>
      </c>
      <c r="D7" s="155">
        <f>D6*销量!D8</f>
        <v>2040000</v>
      </c>
      <c r="E7" s="155">
        <f>E6*销量!E8</f>
        <v>1845000</v>
      </c>
      <c r="F7" s="155">
        <f>F6*销量!F8</f>
        <v>4500000</v>
      </c>
      <c r="G7" s="155">
        <f>G6*销量!G8</f>
        <v>390000</v>
      </c>
      <c r="H7" s="155">
        <f>H6*销量!H8</f>
        <v>195000</v>
      </c>
      <c r="I7" s="155">
        <f>I6*销量!I8</f>
        <v>152000</v>
      </c>
      <c r="J7" s="155">
        <f>J6*销量!J8</f>
        <v>69000</v>
      </c>
      <c r="K7" s="155">
        <f>K6*销量!K8</f>
        <v>171000</v>
      </c>
      <c r="L7" s="155">
        <f>L6*销量!L8</f>
        <v>165000</v>
      </c>
      <c r="M7" s="155">
        <f>M6*销量!M8</f>
        <v>154000</v>
      </c>
      <c r="N7" s="155">
        <f>N6*销量!N8</f>
        <v>158000</v>
      </c>
      <c r="O7" s="155">
        <f>O6*销量!O8</f>
        <v>113000</v>
      </c>
      <c r="P7" s="155">
        <f>P6*销量!P8</f>
        <v>154000</v>
      </c>
      <c r="Q7" s="155">
        <f>+SUM(C7:P7)</f>
        <v>11156000</v>
      </c>
      <c r="R7" s="146"/>
      <c r="AB7" s="153" t="s">
        <v>58</v>
      </c>
      <c r="AR7" s="152" t="s">
        <v>59</v>
      </c>
      <c r="AS7" s="153" t="s">
        <v>58</v>
      </c>
      <c r="AT7" s="145" t="s">
        <v>57</v>
      </c>
    </row>
    <row r="8" spans="1:46">
      <c r="A8" s="147">
        <v>2</v>
      </c>
      <c r="B8" s="147" t="s">
        <v>60</v>
      </c>
      <c r="C8" s="155">
        <f>C7*(1-销量!$U$8)</f>
        <v>41580.0000000001</v>
      </c>
      <c r="D8" s="155">
        <f>D7*(1-销量!$U$8)</f>
        <v>80784.0000000002</v>
      </c>
      <c r="E8" s="155">
        <f>E7*(1-销量!$U$8)</f>
        <v>73062.0000000001</v>
      </c>
      <c r="F8" s="155">
        <f>F7*(1-销量!$U$8)</f>
        <v>178200</v>
      </c>
      <c r="G8" s="155">
        <f>G7*(1-销量!$U$8)</f>
        <v>15444</v>
      </c>
      <c r="H8" s="155">
        <f>H7*(1-销量!$U$8)</f>
        <v>7722.00000000002</v>
      </c>
      <c r="I8" s="155">
        <f>I7*(1-销量!$U$8)</f>
        <v>6019.20000000001</v>
      </c>
      <c r="J8" s="155">
        <f>J7*(1-销量!$U$8)</f>
        <v>2732.40000000001</v>
      </c>
      <c r="K8" s="155">
        <f>K7*(1-销量!$U$8)</f>
        <v>6771.60000000001</v>
      </c>
      <c r="L8" s="155">
        <f>L7*(1-销量!$U$8)</f>
        <v>6534.00000000001</v>
      </c>
      <c r="M8" s="155">
        <f>M7*(1-销量!$U$8)</f>
        <v>6098.40000000001</v>
      </c>
      <c r="N8" s="155">
        <f>N7*(1-销量!$U$8)</f>
        <v>6256.80000000001</v>
      </c>
      <c r="O8" s="155">
        <f>O7*(1-销量!$U$8)</f>
        <v>4474.80000000001</v>
      </c>
      <c r="P8" s="155">
        <f>P7*(1-销量!$U$8)</f>
        <v>6098.40000000001</v>
      </c>
      <c r="Q8" s="155">
        <f>+SUM(C8:P8)</f>
        <v>441777.600000001</v>
      </c>
      <c r="R8" s="174"/>
      <c r="AB8" s="147" t="s">
        <v>62</v>
      </c>
      <c r="AR8" s="152" t="s">
        <v>61</v>
      </c>
      <c r="AS8" s="147" t="s">
        <v>62</v>
      </c>
      <c r="AT8" s="145" t="s">
        <v>57</v>
      </c>
    </row>
    <row r="9" spans="1:46">
      <c r="A9" s="147">
        <v>3</v>
      </c>
      <c r="B9" s="153" t="s">
        <v>63</v>
      </c>
      <c r="C9" s="155">
        <f t="shared" ref="C9:M9" si="0">+C7-C8</f>
        <v>1008420</v>
      </c>
      <c r="D9" s="155">
        <f t="shared" si="0"/>
        <v>1959216</v>
      </c>
      <c r="E9" s="155">
        <f t="shared" si="0"/>
        <v>1771938</v>
      </c>
      <c r="F9" s="155">
        <f t="shared" si="0"/>
        <v>4321800</v>
      </c>
      <c r="G9" s="155">
        <f t="shared" si="0"/>
        <v>374556</v>
      </c>
      <c r="H9" s="155">
        <f t="shared" si="0"/>
        <v>187278</v>
      </c>
      <c r="I9" s="155">
        <f t="shared" si="0"/>
        <v>145980.8</v>
      </c>
      <c r="J9" s="155">
        <f t="shared" si="0"/>
        <v>66267.6</v>
      </c>
      <c r="K9" s="155">
        <f t="shared" si="0"/>
        <v>164228.4</v>
      </c>
      <c r="L9" s="155">
        <f t="shared" si="0"/>
        <v>158466</v>
      </c>
      <c r="M9" s="155">
        <f t="shared" si="0"/>
        <v>147901.6</v>
      </c>
      <c r="N9" s="155">
        <f>+N7-N8</f>
        <v>151743.2</v>
      </c>
      <c r="O9" s="155">
        <f>+O7-O8</f>
        <v>108525.2</v>
      </c>
      <c r="P9" s="155">
        <f>+P7-P8</f>
        <v>147901.6</v>
      </c>
      <c r="Q9" s="155">
        <f>+SUM(C9:P9)</f>
        <v>10714222.4</v>
      </c>
      <c r="AB9" s="153" t="s">
        <v>63</v>
      </c>
      <c r="AR9" s="152" t="s">
        <v>64</v>
      </c>
      <c r="AS9" s="153" t="s">
        <v>63</v>
      </c>
      <c r="AT9" s="145" t="s">
        <v>65</v>
      </c>
    </row>
    <row r="10" spans="1:46">
      <c r="A10" s="147">
        <v>4</v>
      </c>
      <c r="B10" s="152" t="s">
        <v>66</v>
      </c>
      <c r="C10" s="155">
        <f t="shared" ref="C10:M10" si="1">C6*C33</f>
        <v>986081.79279669</v>
      </c>
      <c r="D10" s="155">
        <f t="shared" si="1"/>
        <v>1760750.90686304</v>
      </c>
      <c r="E10" s="155">
        <f t="shared" si="1"/>
        <v>1912734.60466115</v>
      </c>
      <c r="F10" s="155">
        <f t="shared" si="1"/>
        <v>4404888.70268434</v>
      </c>
      <c r="G10" s="155">
        <f t="shared" si="1"/>
        <v>361491.658466115</v>
      </c>
      <c r="H10" s="155">
        <f t="shared" si="1"/>
        <v>185515.889278514</v>
      </c>
      <c r="I10" s="155">
        <f t="shared" si="1"/>
        <v>133826.065386446</v>
      </c>
      <c r="J10" s="155">
        <f t="shared" si="1"/>
        <v>59451.9472954347</v>
      </c>
      <c r="K10" s="155">
        <f t="shared" si="1"/>
        <v>167369.556279669</v>
      </c>
      <c r="L10" s="155">
        <f t="shared" si="1"/>
        <v>151213.659279669</v>
      </c>
      <c r="M10" s="155">
        <f t="shared" si="1"/>
        <v>134610.352106446</v>
      </c>
      <c r="N10" s="155">
        <f>N6*N33</f>
        <v>145380.950106446</v>
      </c>
      <c r="O10" s="155">
        <f>O6*O33</f>
        <v>101229.756906446</v>
      </c>
      <c r="P10" s="155">
        <f>P6*P33</f>
        <v>134610.352106446</v>
      </c>
      <c r="Q10" s="155">
        <f>+SUM(C10:P10)</f>
        <v>10639156.1942168</v>
      </c>
      <c r="AB10" s="152" t="s">
        <v>66</v>
      </c>
      <c r="AR10" s="152" t="s">
        <v>67</v>
      </c>
      <c r="AS10" s="152" t="s">
        <v>66</v>
      </c>
      <c r="AT10" s="145" t="s">
        <v>68</v>
      </c>
    </row>
    <row r="11" spans="1:45">
      <c r="A11" s="147">
        <v>5</v>
      </c>
      <c r="B11" s="152" t="s">
        <v>69</v>
      </c>
      <c r="C11" s="155">
        <f t="shared" ref="C11:M11" si="2">+C6*C36</f>
        <v>45255</v>
      </c>
      <c r="D11" s="155">
        <f t="shared" si="2"/>
        <v>87924</v>
      </c>
      <c r="E11" s="155">
        <f t="shared" si="2"/>
        <v>79519.5</v>
      </c>
      <c r="F11" s="155">
        <f t="shared" si="2"/>
        <v>193950</v>
      </c>
      <c r="G11" s="155">
        <f t="shared" si="2"/>
        <v>16809</v>
      </c>
      <c r="H11" s="155">
        <f t="shared" si="2"/>
        <v>8404.5</v>
      </c>
      <c r="I11" s="155">
        <f t="shared" si="2"/>
        <v>6551.2</v>
      </c>
      <c r="J11" s="155">
        <f t="shared" si="2"/>
        <v>2973.9</v>
      </c>
      <c r="K11" s="155">
        <f t="shared" si="2"/>
        <v>7370.1</v>
      </c>
      <c r="L11" s="155">
        <f t="shared" si="2"/>
        <v>7111.5</v>
      </c>
      <c r="M11" s="155">
        <f t="shared" si="2"/>
        <v>6637.4</v>
      </c>
      <c r="N11" s="155">
        <f>+N6*N36</f>
        <v>6809.8</v>
      </c>
      <c r="O11" s="155">
        <f>+O6*O36</f>
        <v>4870.3</v>
      </c>
      <c r="P11" s="155">
        <f>+P6*P36</f>
        <v>6637.4</v>
      </c>
      <c r="Q11" s="155">
        <f>+SUM(C11:P11)</f>
        <v>480823.6</v>
      </c>
      <c r="AB11" s="152" t="s">
        <v>69</v>
      </c>
      <c r="AR11" s="152" t="s">
        <v>70</v>
      </c>
      <c r="AS11" s="152" t="s">
        <v>69</v>
      </c>
    </row>
    <row r="12" spans="1:45">
      <c r="A12" s="147">
        <v>6</v>
      </c>
      <c r="B12" s="152" t="s">
        <v>71</v>
      </c>
      <c r="C12" s="155">
        <f t="shared" ref="C12:M12" si="3">+C6*C37</f>
        <v>22785</v>
      </c>
      <c r="D12" s="155">
        <f t="shared" si="3"/>
        <v>44268</v>
      </c>
      <c r="E12" s="155">
        <f t="shared" si="3"/>
        <v>40036.5</v>
      </c>
      <c r="F12" s="155">
        <f t="shared" si="3"/>
        <v>96087.6</v>
      </c>
      <c r="G12" s="155">
        <f t="shared" si="3"/>
        <v>8463</v>
      </c>
      <c r="H12" s="155">
        <f t="shared" si="3"/>
        <v>4231.5</v>
      </c>
      <c r="I12" s="155">
        <f t="shared" si="3"/>
        <v>3298.4</v>
      </c>
      <c r="J12" s="155">
        <f t="shared" si="3"/>
        <v>1497.3</v>
      </c>
      <c r="K12" s="155">
        <f t="shared" si="3"/>
        <v>3710.7</v>
      </c>
      <c r="L12" s="155">
        <f t="shared" si="3"/>
        <v>3580.5</v>
      </c>
      <c r="M12" s="155">
        <f t="shared" si="3"/>
        <v>3341.8</v>
      </c>
      <c r="N12" s="155">
        <f>+N6*N37</f>
        <v>3341.8</v>
      </c>
      <c r="O12" s="155">
        <f>+O6*O37</f>
        <v>3341.8</v>
      </c>
      <c r="P12" s="155">
        <f>+P6*P37</f>
        <v>3341.8</v>
      </c>
      <c r="Q12" s="155">
        <f>+SUM(C12:P12)</f>
        <v>241325.7</v>
      </c>
      <c r="AB12" s="152" t="s">
        <v>71</v>
      </c>
      <c r="AR12" s="152" t="s">
        <v>72</v>
      </c>
      <c r="AS12" s="152" t="s">
        <v>71</v>
      </c>
    </row>
    <row r="13" spans="1:46">
      <c r="A13" s="147">
        <v>7</v>
      </c>
      <c r="B13" s="152" t="s">
        <v>73</v>
      </c>
      <c r="C13" s="155">
        <f t="shared" ref="C13:M13" si="4">+C6*C38</f>
        <v>46200</v>
      </c>
      <c r="D13" s="155">
        <f t="shared" si="4"/>
        <v>89760</v>
      </c>
      <c r="E13" s="155">
        <f t="shared" si="4"/>
        <v>81180</v>
      </c>
      <c r="F13" s="155">
        <f t="shared" si="4"/>
        <v>194832</v>
      </c>
      <c r="G13" s="155">
        <f t="shared" si="4"/>
        <v>17160</v>
      </c>
      <c r="H13" s="155">
        <f t="shared" si="4"/>
        <v>8580</v>
      </c>
      <c r="I13" s="155">
        <f t="shared" si="4"/>
        <v>6688</v>
      </c>
      <c r="J13" s="155">
        <f t="shared" si="4"/>
        <v>3036</v>
      </c>
      <c r="K13" s="155">
        <f t="shared" si="4"/>
        <v>7524</v>
      </c>
      <c r="L13" s="155">
        <f t="shared" si="4"/>
        <v>7260</v>
      </c>
      <c r="M13" s="155">
        <f t="shared" si="4"/>
        <v>6776</v>
      </c>
      <c r="N13" s="155">
        <f>+N6*N38</f>
        <v>6776</v>
      </c>
      <c r="O13" s="155">
        <f>+O6*O38</f>
        <v>6776</v>
      </c>
      <c r="P13" s="155">
        <f>+P6*P38</f>
        <v>6776</v>
      </c>
      <c r="Q13" s="155">
        <f>+SUM(C13:P13)</f>
        <v>489324</v>
      </c>
      <c r="AB13" s="152" t="s">
        <v>73</v>
      </c>
      <c r="AR13" s="152" t="s">
        <v>74</v>
      </c>
      <c r="AS13" s="152" t="s">
        <v>73</v>
      </c>
      <c r="AT13" s="145" t="s">
        <v>57</v>
      </c>
    </row>
    <row r="14" spans="1:45">
      <c r="A14" s="147">
        <v>8</v>
      </c>
      <c r="B14" s="156" t="s">
        <v>75</v>
      </c>
      <c r="C14" s="155">
        <f t="shared" ref="C14:M14" si="5">SUM(C11:C13)</f>
        <v>114240</v>
      </c>
      <c r="D14" s="155">
        <f t="shared" si="5"/>
        <v>221952</v>
      </c>
      <c r="E14" s="155">
        <f t="shared" si="5"/>
        <v>200736</v>
      </c>
      <c r="F14" s="155">
        <f t="shared" si="5"/>
        <v>484869.6</v>
      </c>
      <c r="G14" s="155">
        <f t="shared" si="5"/>
        <v>42432</v>
      </c>
      <c r="H14" s="155">
        <f t="shared" si="5"/>
        <v>21216</v>
      </c>
      <c r="I14" s="155">
        <f t="shared" si="5"/>
        <v>16537.6</v>
      </c>
      <c r="J14" s="155">
        <f t="shared" si="5"/>
        <v>7507.2</v>
      </c>
      <c r="K14" s="155">
        <f t="shared" si="5"/>
        <v>18604.8</v>
      </c>
      <c r="L14" s="155">
        <f t="shared" si="5"/>
        <v>17952</v>
      </c>
      <c r="M14" s="155">
        <f t="shared" si="5"/>
        <v>16755.2</v>
      </c>
      <c r="N14" s="155">
        <f>SUM(N11:N13)</f>
        <v>16927.6</v>
      </c>
      <c r="O14" s="155">
        <f>SUM(O11:O13)</f>
        <v>14988.1</v>
      </c>
      <c r="P14" s="155">
        <f>SUM(P11:P13)</f>
        <v>16755.2</v>
      </c>
      <c r="Q14" s="155">
        <f>+SUM(C14:P14)</f>
        <v>1211473.3</v>
      </c>
      <c r="AB14" s="156" t="s">
        <v>75</v>
      </c>
      <c r="AR14" s="152" t="s">
        <v>76</v>
      </c>
      <c r="AS14" s="156" t="s">
        <v>75</v>
      </c>
    </row>
    <row r="15" spans="1:45">
      <c r="A15" s="147">
        <v>9</v>
      </c>
      <c r="B15" s="156" t="s">
        <v>77</v>
      </c>
      <c r="C15" s="155">
        <f t="shared" ref="C15:M15" si="6">+C9-C10-C14</f>
        <v>-91901.7927966899</v>
      </c>
      <c r="D15" s="155">
        <f t="shared" si="6"/>
        <v>-23486.9068630403</v>
      </c>
      <c r="E15" s="155">
        <f t="shared" si="6"/>
        <v>-341532.60466115</v>
      </c>
      <c r="F15" s="155">
        <f t="shared" si="6"/>
        <v>-567958.302684336</v>
      </c>
      <c r="G15" s="155">
        <f t="shared" si="6"/>
        <v>-29367.6584661151</v>
      </c>
      <c r="H15" s="155">
        <f t="shared" si="6"/>
        <v>-19453.889278514</v>
      </c>
      <c r="I15" s="155">
        <f t="shared" si="6"/>
        <v>-4382.86538644606</v>
      </c>
      <c r="J15" s="155">
        <f t="shared" si="6"/>
        <v>-691.547295434673</v>
      </c>
      <c r="K15" s="155">
        <f t="shared" si="6"/>
        <v>-21745.956279669</v>
      </c>
      <c r="L15" s="155">
        <f t="shared" si="6"/>
        <v>-10699.659279669</v>
      </c>
      <c r="M15" s="155">
        <f t="shared" si="6"/>
        <v>-3463.95210644607</v>
      </c>
      <c r="N15" s="155">
        <f>+N9-N10-N14</f>
        <v>-10565.350106446</v>
      </c>
      <c r="O15" s="155">
        <f>+O9-O10-O14</f>
        <v>-7692.65690644601</v>
      </c>
      <c r="P15" s="155">
        <f>+P9-P10-P14</f>
        <v>-3463.95210644607</v>
      </c>
      <c r="Q15" s="155">
        <f>+SUM(C15:P15)</f>
        <v>-1136407.09421685</v>
      </c>
      <c r="AB15" s="156" t="s">
        <v>77</v>
      </c>
      <c r="AR15" s="152" t="s">
        <v>78</v>
      </c>
      <c r="AS15" s="156" t="s">
        <v>77</v>
      </c>
    </row>
    <row r="16" spans="1:45">
      <c r="A16" s="147">
        <v>10</v>
      </c>
      <c r="B16" s="152" t="s">
        <v>79</v>
      </c>
      <c r="C16" s="157">
        <f t="shared" ref="C16:N16" si="7">+C15/C9</f>
        <v>-0.0911344408051109</v>
      </c>
      <c r="D16" s="157">
        <f t="shared" si="7"/>
        <v>-0.0119879109108135</v>
      </c>
      <c r="E16" s="157">
        <f t="shared" si="7"/>
        <v>-0.192745234122836</v>
      </c>
      <c r="F16" s="157">
        <f t="shared" si="7"/>
        <v>-0.131417072211656</v>
      </c>
      <c r="G16" s="157">
        <f t="shared" si="7"/>
        <v>-0.0784065893113849</v>
      </c>
      <c r="H16" s="157">
        <f t="shared" si="7"/>
        <v>-0.103877066598928</v>
      </c>
      <c r="I16" s="157">
        <f t="shared" si="7"/>
        <v>-0.0300235742402155</v>
      </c>
      <c r="J16" s="157">
        <f t="shared" si="7"/>
        <v>-0.010435677396415</v>
      </c>
      <c r="K16" s="157">
        <f t="shared" si="7"/>
        <v>-0.132412885223683</v>
      </c>
      <c r="L16" s="157">
        <f t="shared" si="7"/>
        <v>-0.0675202206130589</v>
      </c>
      <c r="M16" s="157">
        <f t="shared" si="7"/>
        <v>-0.0234206533698491</v>
      </c>
      <c r="N16" s="157">
        <f>+N15/N9</f>
        <v>-0.0696265144431252</v>
      </c>
      <c r="O16" s="157">
        <f>+O15/O9</f>
        <v>-0.0708836003660533</v>
      </c>
      <c r="P16" s="157">
        <f>+P15/P9</f>
        <v>-0.0234206533698491</v>
      </c>
      <c r="Q16" s="157">
        <f>+Q15/Q9</f>
        <v>-0.106065288902053</v>
      </c>
      <c r="R16" s="175"/>
      <c r="S16" s="175"/>
      <c r="T16" s="175"/>
      <c r="AB16" s="152" t="s">
        <v>79</v>
      </c>
      <c r="AR16" s="152" t="s">
        <v>80</v>
      </c>
      <c r="AS16" s="152" t="s">
        <v>79</v>
      </c>
    </row>
    <row r="17" spans="1:45">
      <c r="A17" s="147">
        <v>11</v>
      </c>
      <c r="B17" s="152" t="s">
        <v>81</v>
      </c>
      <c r="C17" s="155">
        <f t="shared" ref="C17:M17" si="8">C6*C43+C18</f>
        <v>43050</v>
      </c>
      <c r="D17" s="155">
        <f t="shared" si="8"/>
        <v>83640</v>
      </c>
      <c r="E17" s="155">
        <f t="shared" si="8"/>
        <v>75645</v>
      </c>
      <c r="F17" s="155">
        <f t="shared" si="8"/>
        <v>181548</v>
      </c>
      <c r="G17" s="155">
        <f t="shared" si="8"/>
        <v>15990</v>
      </c>
      <c r="H17" s="155">
        <f t="shared" si="8"/>
        <v>7995</v>
      </c>
      <c r="I17" s="155">
        <f t="shared" si="8"/>
        <v>6232</v>
      </c>
      <c r="J17" s="155">
        <f t="shared" si="8"/>
        <v>2829</v>
      </c>
      <c r="K17" s="155">
        <f t="shared" si="8"/>
        <v>7011</v>
      </c>
      <c r="L17" s="155">
        <f t="shared" si="8"/>
        <v>6765</v>
      </c>
      <c r="M17" s="155">
        <f t="shared" si="8"/>
        <v>6314</v>
      </c>
      <c r="N17" s="155">
        <f>N6*N43+N18</f>
        <v>6314</v>
      </c>
      <c r="O17" s="155">
        <f>O6*O43+O18</f>
        <v>6314</v>
      </c>
      <c r="P17" s="155">
        <f>P6*P43+P18</f>
        <v>6314</v>
      </c>
      <c r="Q17" s="155">
        <f>+SUM(C17:P17)</f>
        <v>455961</v>
      </c>
      <c r="R17" s="174"/>
      <c r="AB17" s="152" t="s">
        <v>81</v>
      </c>
      <c r="AR17" s="152" t="s">
        <v>82</v>
      </c>
      <c r="AS17" s="152" t="s">
        <v>81</v>
      </c>
    </row>
    <row r="18" s="143" customFormat="1" spans="1:20">
      <c r="A18" s="147">
        <v>12</v>
      </c>
      <c r="B18" s="158" t="s">
        <v>184</v>
      </c>
      <c r="C18" s="159">
        <f t="shared" ref="C18:M18" si="9">$Q$18/$Q$6*C6</f>
        <v>0</v>
      </c>
      <c r="D18" s="159">
        <f t="shared" si="9"/>
        <v>0</v>
      </c>
      <c r="E18" s="159">
        <f t="shared" si="9"/>
        <v>0</v>
      </c>
      <c r="F18" s="159">
        <f t="shared" si="9"/>
        <v>0</v>
      </c>
      <c r="G18" s="159">
        <f t="shared" si="9"/>
        <v>0</v>
      </c>
      <c r="H18" s="159">
        <f t="shared" si="9"/>
        <v>0</v>
      </c>
      <c r="I18" s="159">
        <f t="shared" si="9"/>
        <v>0</v>
      </c>
      <c r="J18" s="159">
        <f t="shared" si="9"/>
        <v>0</v>
      </c>
      <c r="K18" s="159">
        <f t="shared" si="9"/>
        <v>0</v>
      </c>
      <c r="L18" s="159">
        <f t="shared" si="9"/>
        <v>0</v>
      </c>
      <c r="M18" s="159">
        <f t="shared" si="9"/>
        <v>0</v>
      </c>
      <c r="N18" s="159">
        <f>$Q$18/$Q$6*N6</f>
        <v>0</v>
      </c>
      <c r="O18" s="159">
        <f>$Q$18/$Q$6*O6</f>
        <v>0</v>
      </c>
      <c r="P18" s="159">
        <f>$Q$18/$Q$6*P6</f>
        <v>0</v>
      </c>
      <c r="Q18" s="155">
        <f>项目投资!F26</f>
        <v>0</v>
      </c>
      <c r="R18" s="176" t="s">
        <v>185</v>
      </c>
      <c r="S18" s="176"/>
      <c r="T18" s="176"/>
    </row>
    <row r="19" spans="1:46">
      <c r="A19" s="147">
        <v>13</v>
      </c>
      <c r="B19" s="152" t="s">
        <v>83</v>
      </c>
      <c r="C19" s="155">
        <f t="shared" ref="C19:M19" si="10">C6*C44</f>
        <v>7350</v>
      </c>
      <c r="D19" s="155">
        <f t="shared" si="10"/>
        <v>14280</v>
      </c>
      <c r="E19" s="155">
        <f t="shared" si="10"/>
        <v>12915</v>
      </c>
      <c r="F19" s="155">
        <f t="shared" si="10"/>
        <v>30996</v>
      </c>
      <c r="G19" s="155">
        <f t="shared" si="10"/>
        <v>2730</v>
      </c>
      <c r="H19" s="155">
        <f t="shared" si="10"/>
        <v>1365</v>
      </c>
      <c r="I19" s="155">
        <f t="shared" si="10"/>
        <v>1064</v>
      </c>
      <c r="J19" s="155">
        <f t="shared" si="10"/>
        <v>483</v>
      </c>
      <c r="K19" s="155">
        <f t="shared" si="10"/>
        <v>1197</v>
      </c>
      <c r="L19" s="155">
        <f t="shared" si="10"/>
        <v>1155</v>
      </c>
      <c r="M19" s="155">
        <f t="shared" si="10"/>
        <v>1078</v>
      </c>
      <c r="N19" s="155">
        <f>N6*N44</f>
        <v>1078</v>
      </c>
      <c r="O19" s="155">
        <f>O6*O44</f>
        <v>1078</v>
      </c>
      <c r="P19" s="155">
        <f>P6*P44</f>
        <v>1078</v>
      </c>
      <c r="Q19" s="155">
        <f>+SUM(C19:P19)</f>
        <v>77847</v>
      </c>
      <c r="R19" s="143"/>
      <c r="AB19" s="152" t="s">
        <v>83</v>
      </c>
      <c r="AR19" s="152" t="s">
        <v>84</v>
      </c>
      <c r="AS19" s="152" t="s">
        <v>83</v>
      </c>
      <c r="AT19" s="145" t="s">
        <v>57</v>
      </c>
    </row>
    <row r="20" spans="1:45">
      <c r="A20" s="147">
        <v>14</v>
      </c>
      <c r="B20" s="152" t="s">
        <v>85</v>
      </c>
      <c r="C20" s="155">
        <f t="shared" ref="C20:M20" si="11">C6*C45</f>
        <v>35700</v>
      </c>
      <c r="D20" s="155">
        <f t="shared" si="11"/>
        <v>69360</v>
      </c>
      <c r="E20" s="155">
        <f t="shared" si="11"/>
        <v>62730</v>
      </c>
      <c r="F20" s="155">
        <f t="shared" si="11"/>
        <v>150552</v>
      </c>
      <c r="G20" s="155">
        <f t="shared" si="11"/>
        <v>13260</v>
      </c>
      <c r="H20" s="155">
        <f t="shared" si="11"/>
        <v>6630</v>
      </c>
      <c r="I20" s="155">
        <f t="shared" si="11"/>
        <v>5168</v>
      </c>
      <c r="J20" s="155">
        <f t="shared" si="11"/>
        <v>2346</v>
      </c>
      <c r="K20" s="155">
        <f t="shared" si="11"/>
        <v>5814</v>
      </c>
      <c r="L20" s="155">
        <f t="shared" si="11"/>
        <v>5610</v>
      </c>
      <c r="M20" s="155">
        <f t="shared" si="11"/>
        <v>5236</v>
      </c>
      <c r="N20" s="155">
        <f>N6*N45</f>
        <v>5236</v>
      </c>
      <c r="O20" s="155">
        <f>O6*O45</f>
        <v>5236</v>
      </c>
      <c r="P20" s="155">
        <f>P6*P45</f>
        <v>5236</v>
      </c>
      <c r="Q20" s="155">
        <f>+SUM(C20:P20)</f>
        <v>378114</v>
      </c>
      <c r="AB20" s="152" t="s">
        <v>85</v>
      </c>
      <c r="AR20" s="152" t="s">
        <v>86</v>
      </c>
      <c r="AS20" s="152" t="s">
        <v>85</v>
      </c>
    </row>
    <row r="21" spans="1:45">
      <c r="A21" s="147">
        <v>15</v>
      </c>
      <c r="B21" s="152" t="s">
        <v>87</v>
      </c>
      <c r="C21" s="160">
        <f t="shared" ref="C21:M21" si="12">$Q$21/$Q$6*C6</f>
        <v>486.111111111111</v>
      </c>
      <c r="D21" s="160">
        <f t="shared" si="12"/>
        <v>972.222222222222</v>
      </c>
      <c r="E21" s="160">
        <f t="shared" si="12"/>
        <v>810.185185185185</v>
      </c>
      <c r="F21" s="160">
        <f t="shared" si="12"/>
        <v>1944.44444444444</v>
      </c>
      <c r="G21" s="160">
        <f t="shared" si="12"/>
        <v>81.0185185185185</v>
      </c>
      <c r="H21" s="160">
        <f t="shared" si="12"/>
        <v>81.0185185185185</v>
      </c>
      <c r="I21" s="160">
        <f t="shared" si="12"/>
        <v>32.4074074074074</v>
      </c>
      <c r="J21" s="160">
        <f t="shared" si="12"/>
        <v>32.4074074074074</v>
      </c>
      <c r="K21" s="160">
        <f t="shared" si="12"/>
        <v>48.6111111111111</v>
      </c>
      <c r="L21" s="160">
        <f t="shared" si="12"/>
        <v>48.6111111111111</v>
      </c>
      <c r="M21" s="160">
        <f t="shared" si="12"/>
        <v>32.4074074074074</v>
      </c>
      <c r="N21" s="160">
        <f>$Q$21/$Q$6*N6</f>
        <v>32.4074074074074</v>
      </c>
      <c r="O21" s="160">
        <f>$Q$21/$Q$6*O6</f>
        <v>32.4074074074074</v>
      </c>
      <c r="P21" s="160">
        <f>$Q$21/$Q$6*P6</f>
        <v>32.4074074074074</v>
      </c>
      <c r="Q21" s="155">
        <f>项目投资!F27</f>
        <v>4666.66666666667</v>
      </c>
      <c r="AB21" s="152" t="s">
        <v>87</v>
      </c>
      <c r="AR21" s="152"/>
      <c r="AS21" s="152"/>
    </row>
    <row r="22" spans="1:45">
      <c r="A22" s="147">
        <v>16</v>
      </c>
      <c r="B22" s="152" t="s">
        <v>88</v>
      </c>
      <c r="C22" s="155">
        <f t="shared" ref="C22:M22" si="13">C6*C47</f>
        <v>31500</v>
      </c>
      <c r="D22" s="155">
        <f t="shared" si="13"/>
        <v>61200</v>
      </c>
      <c r="E22" s="155">
        <f t="shared" si="13"/>
        <v>55350</v>
      </c>
      <c r="F22" s="155">
        <f t="shared" si="13"/>
        <v>132840</v>
      </c>
      <c r="G22" s="155">
        <f t="shared" si="13"/>
        <v>11700</v>
      </c>
      <c r="H22" s="155">
        <f t="shared" si="13"/>
        <v>5850</v>
      </c>
      <c r="I22" s="155">
        <f t="shared" si="13"/>
        <v>4560</v>
      </c>
      <c r="J22" s="155">
        <f t="shared" si="13"/>
        <v>2070</v>
      </c>
      <c r="K22" s="155">
        <f t="shared" si="13"/>
        <v>5130</v>
      </c>
      <c r="L22" s="155">
        <f t="shared" si="13"/>
        <v>4950</v>
      </c>
      <c r="M22" s="155">
        <f t="shared" si="13"/>
        <v>4620</v>
      </c>
      <c r="N22" s="155">
        <f>N6*N47</f>
        <v>4620</v>
      </c>
      <c r="O22" s="155">
        <f>O6*O47</f>
        <v>4620</v>
      </c>
      <c r="P22" s="155">
        <f>P6*P47</f>
        <v>4620</v>
      </c>
      <c r="Q22" s="155">
        <f>+SUM(C22:P22)</f>
        <v>333630</v>
      </c>
      <c r="AB22" s="152" t="s">
        <v>88</v>
      </c>
      <c r="AR22" s="152" t="s">
        <v>89</v>
      </c>
      <c r="AS22" s="152" t="s">
        <v>88</v>
      </c>
    </row>
    <row r="23" spans="1:45">
      <c r="A23" s="147">
        <v>17</v>
      </c>
      <c r="B23" s="156" t="s">
        <v>90</v>
      </c>
      <c r="C23" s="160">
        <f t="shared" ref="C23:N23" si="14">+C22+C21+C20+C19+C17</f>
        <v>118086.111111111</v>
      </c>
      <c r="D23" s="160">
        <f t="shared" si="14"/>
        <v>229452.222222222</v>
      </c>
      <c r="E23" s="160">
        <f t="shared" si="14"/>
        <v>207450.185185185</v>
      </c>
      <c r="F23" s="160">
        <f t="shared" si="14"/>
        <v>497880.444444444</v>
      </c>
      <c r="G23" s="160">
        <f t="shared" si="14"/>
        <v>43761.0185185185</v>
      </c>
      <c r="H23" s="160">
        <f t="shared" si="14"/>
        <v>21921.0185185185</v>
      </c>
      <c r="I23" s="160">
        <f t="shared" si="14"/>
        <v>17056.4074074074</v>
      </c>
      <c r="J23" s="160">
        <f t="shared" si="14"/>
        <v>7760.40740740741</v>
      </c>
      <c r="K23" s="160">
        <f t="shared" si="14"/>
        <v>19200.6111111111</v>
      </c>
      <c r="L23" s="160">
        <f t="shared" si="14"/>
        <v>18528.6111111111</v>
      </c>
      <c r="M23" s="160">
        <f t="shared" si="14"/>
        <v>17280.4074074074</v>
      </c>
      <c r="N23" s="160">
        <f>+N22+N21+N20+N19+N17</f>
        <v>17280.4074074074</v>
      </c>
      <c r="O23" s="160">
        <f>+O22+O21+O20+O19+O17</f>
        <v>17280.4074074074</v>
      </c>
      <c r="P23" s="160">
        <f>+P22+P21+P20+P19+P17</f>
        <v>17280.4074074074</v>
      </c>
      <c r="Q23" s="160">
        <f>+Q22+Q21+Q20+Q19+Q17</f>
        <v>1250218.66666667</v>
      </c>
      <c r="AB23" s="156" t="s">
        <v>90</v>
      </c>
      <c r="AR23" s="152" t="s">
        <v>91</v>
      </c>
      <c r="AS23" s="156" t="s">
        <v>90</v>
      </c>
    </row>
    <row r="24" spans="1:45">
      <c r="A24" s="147">
        <v>18</v>
      </c>
      <c r="B24" s="161" t="s">
        <v>92</v>
      </c>
      <c r="C24" s="160">
        <f t="shared" ref="C24:N24" si="15">+C15-C23</f>
        <v>-209987.903907801</v>
      </c>
      <c r="D24" s="160">
        <f t="shared" si="15"/>
        <v>-252939.129085263</v>
      </c>
      <c r="E24" s="160">
        <f t="shared" si="15"/>
        <v>-548982.789846335</v>
      </c>
      <c r="F24" s="160">
        <f t="shared" si="15"/>
        <v>-1065838.74712878</v>
      </c>
      <c r="G24" s="160">
        <f t="shared" si="15"/>
        <v>-73128.6769846336</v>
      </c>
      <c r="H24" s="160">
        <f t="shared" si="15"/>
        <v>-41374.9077970326</v>
      </c>
      <c r="I24" s="160">
        <f t="shared" si="15"/>
        <v>-21439.2727938535</v>
      </c>
      <c r="J24" s="160">
        <f t="shared" si="15"/>
        <v>-8451.95470284208</v>
      </c>
      <c r="K24" s="160">
        <f t="shared" si="15"/>
        <v>-40946.5673907801</v>
      </c>
      <c r="L24" s="160">
        <f t="shared" si="15"/>
        <v>-29228.2703907801</v>
      </c>
      <c r="M24" s="160">
        <f t="shared" si="15"/>
        <v>-20744.3595138535</v>
      </c>
      <c r="N24" s="160">
        <f>+N15-N23</f>
        <v>-27845.7575138534</v>
      </c>
      <c r="O24" s="160">
        <f>+O15-O23</f>
        <v>-24973.0643138534</v>
      </c>
      <c r="P24" s="160">
        <f>+P15-P23</f>
        <v>-20744.3595138535</v>
      </c>
      <c r="Q24" s="160">
        <f>+Q15-Q23</f>
        <v>-2386625.76088351</v>
      </c>
      <c r="S24" s="177"/>
      <c r="AB24" s="152" t="s">
        <v>92</v>
      </c>
      <c r="AR24" s="152" t="s">
        <v>93</v>
      </c>
      <c r="AS24" s="152" t="s">
        <v>92</v>
      </c>
    </row>
    <row r="25" spans="1:45">
      <c r="A25" s="147">
        <v>19</v>
      </c>
      <c r="B25" s="152" t="s">
        <v>186</v>
      </c>
      <c r="C25" s="160">
        <f>IF(C24&lt;0,0,C24*0.25)</f>
        <v>0</v>
      </c>
      <c r="D25" s="160">
        <f>IF(D24&lt;0,0,D24*0.25)</f>
        <v>0</v>
      </c>
      <c r="E25" s="160">
        <f>IF(E24&lt;0,0,E24*0.25)</f>
        <v>0</v>
      </c>
      <c r="F25" s="160">
        <f>IF(F24&lt;0,0,F24*0.25)</f>
        <v>0</v>
      </c>
      <c r="G25" s="160">
        <f>IF(G24&lt;0,0,G24*0.25)</f>
        <v>0</v>
      </c>
      <c r="H25" s="160">
        <f t="shared" ref="C25:N25" si="16">IF(H24&lt;0,0,H24*0.25)</f>
        <v>0</v>
      </c>
      <c r="I25" s="160">
        <f t="shared" si="16"/>
        <v>0</v>
      </c>
      <c r="J25" s="160">
        <f t="shared" si="16"/>
        <v>0</v>
      </c>
      <c r="K25" s="160">
        <f t="shared" si="16"/>
        <v>0</v>
      </c>
      <c r="L25" s="160">
        <f t="shared" si="16"/>
        <v>0</v>
      </c>
      <c r="M25" s="160">
        <f t="shared" si="16"/>
        <v>0</v>
      </c>
      <c r="N25" s="160">
        <f>IF(N24&lt;0,0,N24*0.25)</f>
        <v>0</v>
      </c>
      <c r="O25" s="160">
        <f>IF(O24&lt;0,0,O24*0.25)</f>
        <v>0</v>
      </c>
      <c r="P25" s="160">
        <f>IF(P24&lt;0,0,P24*0.25)</f>
        <v>0</v>
      </c>
      <c r="Q25" s="160">
        <f>IF(Q24&lt;0,0,Q24*0.25)</f>
        <v>0</v>
      </c>
      <c r="R25" s="2"/>
      <c r="S25" s="2"/>
      <c r="T25" s="2"/>
      <c r="AB25" s="152" t="s">
        <v>38</v>
      </c>
      <c r="AR25" s="152" t="s">
        <v>94</v>
      </c>
      <c r="AS25" s="152" t="s">
        <v>38</v>
      </c>
    </row>
    <row r="26" spans="1:45">
      <c r="A26" s="147">
        <v>20</v>
      </c>
      <c r="B26" s="152" t="s">
        <v>95</v>
      </c>
      <c r="C26" s="160">
        <f t="shared" ref="C26:M26" si="17">C24-C25</f>
        <v>-209987.903907801</v>
      </c>
      <c r="D26" s="160">
        <f t="shared" si="17"/>
        <v>-252939.129085263</v>
      </c>
      <c r="E26" s="160">
        <f t="shared" si="17"/>
        <v>-548982.789846335</v>
      </c>
      <c r="F26" s="160">
        <f t="shared" si="17"/>
        <v>-1065838.74712878</v>
      </c>
      <c r="G26" s="160">
        <f t="shared" si="17"/>
        <v>-73128.6769846336</v>
      </c>
      <c r="H26" s="160">
        <f t="shared" si="17"/>
        <v>-41374.9077970326</v>
      </c>
      <c r="I26" s="160">
        <f t="shared" si="17"/>
        <v>-21439.2727938535</v>
      </c>
      <c r="J26" s="160">
        <f t="shared" si="17"/>
        <v>-8451.95470284208</v>
      </c>
      <c r="K26" s="160">
        <f t="shared" si="17"/>
        <v>-40946.5673907801</v>
      </c>
      <c r="L26" s="160">
        <f t="shared" si="17"/>
        <v>-29228.2703907801</v>
      </c>
      <c r="M26" s="160">
        <f t="shared" si="17"/>
        <v>-20744.3595138535</v>
      </c>
      <c r="N26" s="160">
        <f>N24-N25</f>
        <v>-27845.7575138534</v>
      </c>
      <c r="O26" s="160">
        <f>O24-O25</f>
        <v>-24973.0643138534</v>
      </c>
      <c r="P26" s="160">
        <f>P24-P25</f>
        <v>-20744.3595138535</v>
      </c>
      <c r="Q26" s="155">
        <f>+SUM(C26:P26)</f>
        <v>-2386625.76088352</v>
      </c>
      <c r="R26" s="2"/>
      <c r="S26" s="2"/>
      <c r="T26" s="2"/>
      <c r="AB26" s="152" t="s">
        <v>95</v>
      </c>
      <c r="AR26" s="152" t="s">
        <v>96</v>
      </c>
      <c r="AS26" s="152" t="s">
        <v>95</v>
      </c>
    </row>
    <row r="27" spans="1:45">
      <c r="A27" s="147">
        <v>21</v>
      </c>
      <c r="B27" s="152" t="s">
        <v>99</v>
      </c>
      <c r="C27" s="162">
        <f t="shared" ref="C27:N27" si="18">C26/C7</f>
        <v>-0.199988479912191</v>
      </c>
      <c r="D27" s="162">
        <f t="shared" si="18"/>
        <v>-0.123989769159442</v>
      </c>
      <c r="E27" s="162">
        <f t="shared" si="18"/>
        <v>-0.29755164761319</v>
      </c>
      <c r="F27" s="162">
        <f t="shared" si="18"/>
        <v>-0.236853054917507</v>
      </c>
      <c r="G27" s="162">
        <f t="shared" si="18"/>
        <v>-0.187509428165727</v>
      </c>
      <c r="H27" s="162">
        <f t="shared" si="18"/>
        <v>-0.212179014343757</v>
      </c>
      <c r="I27" s="162">
        <f t="shared" si="18"/>
        <v>-0.141047847327983</v>
      </c>
      <c r="J27" s="162">
        <f t="shared" si="18"/>
        <v>-0.122492097142639</v>
      </c>
      <c r="K27" s="162">
        <f t="shared" si="18"/>
        <v>-0.239453610472398</v>
      </c>
      <c r="L27" s="162">
        <f t="shared" si="18"/>
        <v>-0.177141032671395</v>
      </c>
      <c r="M27" s="162">
        <f t="shared" si="18"/>
        <v>-0.134703633206841</v>
      </c>
      <c r="N27" s="162">
        <f>N26/N7</f>
        <v>-0.176238971606667</v>
      </c>
      <c r="O27" s="162">
        <f>O26/O7</f>
        <v>-0.221000569149145</v>
      </c>
      <c r="P27" s="162">
        <f>P26/P7</f>
        <v>-0.134703633206841</v>
      </c>
      <c r="Q27" s="178">
        <f>Q26/Q7</f>
        <v>-0.21393203306593</v>
      </c>
      <c r="R27" s="2"/>
      <c r="S27" s="2"/>
      <c r="T27" s="2"/>
      <c r="AB27" s="152" t="s">
        <v>99</v>
      </c>
      <c r="AR27" s="152" t="s">
        <v>98</v>
      </c>
      <c r="AS27" s="152" t="s">
        <v>99</v>
      </c>
    </row>
    <row r="28" spans="18:28">
      <c r="R28" s="2"/>
      <c r="S28" s="2"/>
      <c r="T28" s="2"/>
      <c r="AB28" s="152"/>
    </row>
    <row r="29" spans="1:44">
      <c r="A29" s="145" t="s">
        <v>100</v>
      </c>
      <c r="Q29" s="146" t="s">
        <v>187</v>
      </c>
      <c r="R29" s="2"/>
      <c r="S29" s="2"/>
      <c r="T29" s="2"/>
      <c r="AB29" s="152"/>
      <c r="AR29" s="145" t="s">
        <v>100</v>
      </c>
    </row>
    <row r="30" spans="1:45">
      <c r="A30" s="152" t="s">
        <v>104</v>
      </c>
      <c r="B30" s="156" t="s">
        <v>105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2"/>
      <c r="S30" s="2"/>
      <c r="T30" s="2"/>
      <c r="V30" s="2"/>
      <c r="AB30" s="156" t="s">
        <v>105</v>
      </c>
      <c r="AR30" s="152" t="s">
        <v>106</v>
      </c>
      <c r="AS30" s="156" t="s">
        <v>105</v>
      </c>
    </row>
    <row r="31" spans="1:45">
      <c r="A31" s="147">
        <v>1</v>
      </c>
      <c r="B31" s="158" t="s">
        <v>107</v>
      </c>
      <c r="C31" s="163">
        <f>销量!C8</f>
        <v>350</v>
      </c>
      <c r="D31" s="163">
        <f>销量!D8</f>
        <v>340</v>
      </c>
      <c r="E31" s="163">
        <f>销量!E8</f>
        <v>369</v>
      </c>
      <c r="F31" s="163">
        <f>销量!F8</f>
        <v>375</v>
      </c>
      <c r="G31" s="163">
        <f>销量!G8</f>
        <v>780</v>
      </c>
      <c r="H31" s="163">
        <f>销量!H8</f>
        <v>390</v>
      </c>
      <c r="I31" s="163">
        <f>销量!I8</f>
        <v>760</v>
      </c>
      <c r="J31" s="163">
        <f>销量!J8</f>
        <v>345</v>
      </c>
      <c r="K31" s="163">
        <f>销量!K8</f>
        <v>570</v>
      </c>
      <c r="L31" s="163">
        <f>销量!L8</f>
        <v>550</v>
      </c>
      <c r="M31" s="163">
        <f>销量!M8</f>
        <v>770</v>
      </c>
      <c r="N31" s="163">
        <f>销量!N8</f>
        <v>790</v>
      </c>
      <c r="O31" s="163">
        <f>销量!O8</f>
        <v>565</v>
      </c>
      <c r="P31" s="163">
        <f>销量!P8</f>
        <v>770</v>
      </c>
      <c r="Q31" s="160"/>
      <c r="R31" s="2"/>
      <c r="S31" s="2"/>
      <c r="T31" s="2"/>
      <c r="V31" s="2"/>
      <c r="AB31" s="152" t="s">
        <v>107</v>
      </c>
      <c r="AR31" s="152" t="s">
        <v>59</v>
      </c>
      <c r="AS31" s="152" t="s">
        <v>107</v>
      </c>
    </row>
    <row r="32" spans="1:45">
      <c r="A32" s="147">
        <v>2</v>
      </c>
      <c r="B32" s="152" t="s">
        <v>188</v>
      </c>
      <c r="C32" s="155">
        <f t="shared" ref="C32:M32" si="19">C31*1</f>
        <v>350</v>
      </c>
      <c r="D32" s="155">
        <f t="shared" si="19"/>
        <v>340</v>
      </c>
      <c r="E32" s="155">
        <f t="shared" si="19"/>
        <v>369</v>
      </c>
      <c r="F32" s="155">
        <f t="shared" si="19"/>
        <v>375</v>
      </c>
      <c r="G32" s="155">
        <f t="shared" si="19"/>
        <v>780</v>
      </c>
      <c r="H32" s="155">
        <f t="shared" si="19"/>
        <v>390</v>
      </c>
      <c r="I32" s="155">
        <f t="shared" si="19"/>
        <v>760</v>
      </c>
      <c r="J32" s="155">
        <f t="shared" si="19"/>
        <v>345</v>
      </c>
      <c r="K32" s="155">
        <f t="shared" si="19"/>
        <v>570</v>
      </c>
      <c r="L32" s="155">
        <f t="shared" si="19"/>
        <v>550</v>
      </c>
      <c r="M32" s="155">
        <f t="shared" si="19"/>
        <v>770</v>
      </c>
      <c r="N32" s="155">
        <f>N31*1</f>
        <v>790</v>
      </c>
      <c r="O32" s="155">
        <f>O31*1</f>
        <v>565</v>
      </c>
      <c r="P32" s="155">
        <f>P31*1</f>
        <v>770</v>
      </c>
      <c r="Q32" s="160"/>
      <c r="R32" s="2"/>
      <c r="S32" s="2"/>
      <c r="T32" s="2"/>
      <c r="U32" s="2"/>
      <c r="V32" s="2"/>
      <c r="W32" s="2"/>
      <c r="X32" s="2"/>
      <c r="AR32" s="152"/>
      <c r="AS32" s="152"/>
    </row>
    <row r="33" spans="1:45">
      <c r="A33" s="147">
        <v>3</v>
      </c>
      <c r="B33" s="158" t="s">
        <v>108</v>
      </c>
      <c r="C33" s="155">
        <f>材料成本!D24</f>
        <v>328.69393093223</v>
      </c>
      <c r="D33" s="155">
        <f>材料成本!E24</f>
        <v>293.458484477173</v>
      </c>
      <c r="E33" s="155">
        <f>材料成本!F24</f>
        <v>382.54692093223</v>
      </c>
      <c r="F33" s="155">
        <f>材料成本!G24</f>
        <v>367.074058557028</v>
      </c>
      <c r="G33" s="155">
        <f>材料成本!H24</f>
        <v>722.98331693223</v>
      </c>
      <c r="H33" s="155">
        <f>材料成本!I24</f>
        <v>371.031778557028</v>
      </c>
      <c r="I33" s="155">
        <f>材料成本!J24</f>
        <v>669.13032693223</v>
      </c>
      <c r="J33" s="155">
        <f>材料成本!K24</f>
        <v>297.259736477173</v>
      </c>
      <c r="K33" s="155">
        <f>材料成本!L24</f>
        <v>557.89852093223</v>
      </c>
      <c r="L33" s="155">
        <f>材料成本!M24</f>
        <v>504.04553093223</v>
      </c>
      <c r="M33" s="155">
        <f>材料成本!N24</f>
        <v>673.05176053223</v>
      </c>
      <c r="N33" s="155">
        <f>材料成本!O24</f>
        <v>726.90475053223</v>
      </c>
      <c r="O33" s="155">
        <f>材料成本!P24</f>
        <v>506.14878453223</v>
      </c>
      <c r="P33" s="155">
        <f>材料成本!Q24</f>
        <v>673.05176053223</v>
      </c>
      <c r="Q33" s="160"/>
      <c r="S33" s="2"/>
      <c r="T33" s="2"/>
      <c r="U33" s="2"/>
      <c r="V33" s="2"/>
      <c r="W33" s="2"/>
      <c r="X33" s="2"/>
      <c r="AB33" s="152" t="s">
        <v>108</v>
      </c>
      <c r="AR33" s="152" t="s">
        <v>61</v>
      </c>
      <c r="AS33" s="152" t="s">
        <v>108</v>
      </c>
    </row>
    <row r="34" ht="17.25" customHeight="1" spans="1:45">
      <c r="A34" s="147">
        <v>4</v>
      </c>
      <c r="B34" s="152" t="s">
        <v>110</v>
      </c>
      <c r="C34" s="164">
        <f t="shared" ref="C34:M34" si="20">C32-C33</f>
        <v>21.3060690677701</v>
      </c>
      <c r="D34" s="164">
        <f t="shared" si="20"/>
        <v>46.5415155228267</v>
      </c>
      <c r="E34" s="164">
        <f t="shared" si="20"/>
        <v>-13.54692093223</v>
      </c>
      <c r="F34" s="164">
        <f t="shared" si="20"/>
        <v>7.92594144297203</v>
      </c>
      <c r="G34" s="164">
        <f t="shared" si="20"/>
        <v>57.0166830677699</v>
      </c>
      <c r="H34" s="164">
        <f t="shared" si="20"/>
        <v>18.968221442972</v>
      </c>
      <c r="I34" s="164">
        <f t="shared" si="20"/>
        <v>90.8696730677698</v>
      </c>
      <c r="J34" s="164">
        <f t="shared" si="20"/>
        <v>47.7402635228267</v>
      </c>
      <c r="K34" s="164">
        <f t="shared" si="20"/>
        <v>12.1014790677699</v>
      </c>
      <c r="L34" s="164">
        <f t="shared" si="20"/>
        <v>45.95446906777</v>
      </c>
      <c r="M34" s="164">
        <f t="shared" si="20"/>
        <v>96.9482394677698</v>
      </c>
      <c r="N34" s="164">
        <f>N32-N33</f>
        <v>63.0952494677699</v>
      </c>
      <c r="O34" s="164">
        <f>O32-O33</f>
        <v>58.85121546777</v>
      </c>
      <c r="P34" s="164">
        <f>P32-P33</f>
        <v>96.9482394677698</v>
      </c>
      <c r="Q34" s="160"/>
      <c r="S34" s="2"/>
      <c r="T34" s="2"/>
      <c r="U34" s="2"/>
      <c r="V34" s="2"/>
      <c r="W34" s="2"/>
      <c r="X34" s="2"/>
      <c r="AB34" s="152" t="s">
        <v>110</v>
      </c>
      <c r="AR34" s="152" t="s">
        <v>109</v>
      </c>
      <c r="AS34" s="152" t="s">
        <v>110</v>
      </c>
    </row>
    <row r="35" spans="1:45">
      <c r="A35" s="152" t="s">
        <v>106</v>
      </c>
      <c r="B35" s="156" t="s">
        <v>10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2"/>
      <c r="S35" s="2"/>
      <c r="T35" s="2"/>
      <c r="U35" s="2"/>
      <c r="V35" s="2"/>
      <c r="W35" s="2"/>
      <c r="X35" s="2"/>
      <c r="Y35" s="2"/>
      <c r="Z35" s="2"/>
      <c r="AA35" s="2"/>
      <c r="AB35" s="156" t="s">
        <v>10</v>
      </c>
      <c r="AR35" s="152" t="s">
        <v>112</v>
      </c>
      <c r="AS35" s="156" t="s">
        <v>10</v>
      </c>
    </row>
    <row r="36" spans="1:45">
      <c r="A36" s="147">
        <v>1</v>
      </c>
      <c r="B36" s="152" t="s">
        <v>113</v>
      </c>
      <c r="C36" s="159">
        <f>标准成本!E4</f>
        <v>15.085</v>
      </c>
      <c r="D36" s="159">
        <f>标准成本!E16</f>
        <v>14.654</v>
      </c>
      <c r="E36" s="159">
        <f>标准成本!E29</f>
        <v>15.9039</v>
      </c>
      <c r="F36" s="159">
        <f>标准成本!E42</f>
        <v>16.1625</v>
      </c>
      <c r="G36" s="159">
        <f>标准成本!E55</f>
        <v>33.618</v>
      </c>
      <c r="H36" s="159">
        <f>标准成本!E68</f>
        <v>16.809</v>
      </c>
      <c r="I36" s="159">
        <f>标准成本!E81</f>
        <v>32.756</v>
      </c>
      <c r="J36" s="159">
        <f>标准成本!E94</f>
        <v>14.8695</v>
      </c>
      <c r="K36" s="159">
        <f>标准成本!E107</f>
        <v>24.567</v>
      </c>
      <c r="L36" s="159">
        <f>标准成本!E120</f>
        <v>23.705</v>
      </c>
      <c r="M36" s="159">
        <f>标准成本!E133</f>
        <v>33.187</v>
      </c>
      <c r="N36" s="159">
        <f>标准成本!E146</f>
        <v>34.049</v>
      </c>
      <c r="O36" s="159">
        <f>标准成本!E159</f>
        <v>24.3515</v>
      </c>
      <c r="P36" s="159">
        <f>标准成本!E172</f>
        <v>33.187</v>
      </c>
      <c r="Q36" s="163"/>
      <c r="R36" s="2"/>
      <c r="S36" s="2"/>
      <c r="T36" s="2"/>
      <c r="U36" s="2"/>
      <c r="V36" s="2"/>
      <c r="W36" s="2"/>
      <c r="X36" s="2"/>
      <c r="Y36" s="2"/>
      <c r="Z36" s="2"/>
      <c r="AA36" s="2"/>
      <c r="AB36" s="152" t="s">
        <v>113</v>
      </c>
      <c r="AR36" s="152" t="s">
        <v>109</v>
      </c>
      <c r="AS36" s="152" t="s">
        <v>113</v>
      </c>
    </row>
    <row r="37" spans="1:45">
      <c r="A37" s="147">
        <v>2</v>
      </c>
      <c r="B37" s="152" t="s">
        <v>114</v>
      </c>
      <c r="C37" s="159">
        <f>标准成本!E6</f>
        <v>7.595</v>
      </c>
      <c r="D37" s="159">
        <f>标准成本!E18</f>
        <v>7.378</v>
      </c>
      <c r="E37" s="159">
        <f>标准成本!E31</f>
        <v>8.0073</v>
      </c>
      <c r="F37" s="159">
        <f>标准成本!E44</f>
        <v>8.0073</v>
      </c>
      <c r="G37" s="159">
        <f>标准成本!E57</f>
        <v>16.926</v>
      </c>
      <c r="H37" s="159">
        <f>标准成本!E70</f>
        <v>8.463</v>
      </c>
      <c r="I37" s="159">
        <f>标准成本!E83</f>
        <v>16.492</v>
      </c>
      <c r="J37" s="159">
        <f>标准成本!E96</f>
        <v>7.4865</v>
      </c>
      <c r="K37" s="159">
        <f>标准成本!E109</f>
        <v>12.369</v>
      </c>
      <c r="L37" s="159">
        <f>标准成本!E122</f>
        <v>11.935</v>
      </c>
      <c r="M37" s="159">
        <f>标准成本!E135</f>
        <v>16.709</v>
      </c>
      <c r="N37" s="159">
        <f>标准成本!E148</f>
        <v>16.709</v>
      </c>
      <c r="O37" s="159">
        <f>标准成本!E161</f>
        <v>16.709</v>
      </c>
      <c r="P37" s="159">
        <f>标准成本!E174</f>
        <v>16.709</v>
      </c>
      <c r="Q37" s="163"/>
      <c r="R37" s="2"/>
      <c r="S37" s="2"/>
      <c r="T37" s="2"/>
      <c r="U37" s="2"/>
      <c r="V37" s="2"/>
      <c r="W37" s="2"/>
      <c r="X37" s="2"/>
      <c r="Y37" s="2"/>
      <c r="Z37" s="2"/>
      <c r="AA37" s="2"/>
      <c r="AB37" s="152" t="s">
        <v>114</v>
      </c>
      <c r="AR37" s="152" t="s">
        <v>64</v>
      </c>
      <c r="AS37" s="152" t="s">
        <v>114</v>
      </c>
    </row>
    <row r="38" spans="1:45">
      <c r="A38" s="147">
        <v>3</v>
      </c>
      <c r="B38" s="152" t="s">
        <v>115</v>
      </c>
      <c r="C38" s="159">
        <f>标准成本!E10</f>
        <v>15.4</v>
      </c>
      <c r="D38" s="159">
        <f>标准成本!E22</f>
        <v>14.96</v>
      </c>
      <c r="E38" s="159">
        <f>标准成本!E35</f>
        <v>16.236</v>
      </c>
      <c r="F38" s="159">
        <f>标准成本!E48</f>
        <v>16.236</v>
      </c>
      <c r="G38" s="159">
        <f>标准成本!E61</f>
        <v>34.32</v>
      </c>
      <c r="H38" s="159">
        <f>标准成本!E74</f>
        <v>17.16</v>
      </c>
      <c r="I38" s="159">
        <f>标准成本!E87</f>
        <v>33.44</v>
      </c>
      <c r="J38" s="159">
        <f>标准成本!E100</f>
        <v>15.18</v>
      </c>
      <c r="K38" s="159">
        <f>标准成本!E113</f>
        <v>25.08</v>
      </c>
      <c r="L38" s="159">
        <f>标准成本!E126</f>
        <v>24.2</v>
      </c>
      <c r="M38" s="159">
        <f>标准成本!E139</f>
        <v>33.88</v>
      </c>
      <c r="N38" s="159">
        <f>标准成本!E152</f>
        <v>33.88</v>
      </c>
      <c r="O38" s="159">
        <f>标准成本!E165</f>
        <v>33.88</v>
      </c>
      <c r="P38" s="159">
        <f>标准成本!E178</f>
        <v>33.88</v>
      </c>
      <c r="Q38" s="163"/>
      <c r="R38" s="2"/>
      <c r="S38" s="2"/>
      <c r="T38" s="2"/>
      <c r="U38" s="2"/>
      <c r="V38" s="2"/>
      <c r="W38" s="2"/>
      <c r="X38" s="2"/>
      <c r="Y38" s="2"/>
      <c r="Z38" s="2"/>
      <c r="AA38" s="2"/>
      <c r="AB38" s="152" t="s">
        <v>115</v>
      </c>
      <c r="AR38" s="152" t="s">
        <v>70</v>
      </c>
      <c r="AS38" s="152" t="s">
        <v>115</v>
      </c>
    </row>
    <row r="39" spans="1:45">
      <c r="A39" s="152" t="s">
        <v>112</v>
      </c>
      <c r="B39" s="156" t="s">
        <v>117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AB39" s="156" t="s">
        <v>117</v>
      </c>
      <c r="AR39" s="152" t="s">
        <v>116</v>
      </c>
      <c r="AS39" s="156" t="s">
        <v>117</v>
      </c>
    </row>
    <row r="40" spans="1:45">
      <c r="A40" s="147">
        <v>1</v>
      </c>
      <c r="B40" s="152" t="s">
        <v>119</v>
      </c>
      <c r="C40" s="160">
        <f t="shared" ref="C40:M40" si="21">C34-C36-C37-C38</f>
        <v>-16.7739309322299</v>
      </c>
      <c r="D40" s="160">
        <f t="shared" si="21"/>
        <v>9.54951552282667</v>
      </c>
      <c r="E40" s="160">
        <f t="shared" si="21"/>
        <v>-53.69412093223</v>
      </c>
      <c r="F40" s="160">
        <f t="shared" si="21"/>
        <v>-32.479858557028</v>
      </c>
      <c r="G40" s="160">
        <f t="shared" si="21"/>
        <v>-27.8473169322301</v>
      </c>
      <c r="H40" s="160">
        <f t="shared" si="21"/>
        <v>-23.463778557028</v>
      </c>
      <c r="I40" s="160">
        <f t="shared" si="21"/>
        <v>8.18167306776978</v>
      </c>
      <c r="J40" s="160">
        <f t="shared" si="21"/>
        <v>10.2042635228267</v>
      </c>
      <c r="K40" s="160">
        <f t="shared" si="21"/>
        <v>-49.9145209322301</v>
      </c>
      <c r="L40" s="160">
        <f t="shared" si="21"/>
        <v>-13.88553093223</v>
      </c>
      <c r="M40" s="160">
        <f t="shared" si="21"/>
        <v>13.1722394677698</v>
      </c>
      <c r="N40" s="160">
        <f>N34-N36-N37-N38</f>
        <v>-21.5427505322301</v>
      </c>
      <c r="O40" s="160">
        <f>O34-O36-O37-O38</f>
        <v>-16.08928453223</v>
      </c>
      <c r="P40" s="160">
        <f>P34-P36-P37-P38</f>
        <v>13.1722394677698</v>
      </c>
      <c r="Q40" s="160"/>
      <c r="AB40" s="152" t="s">
        <v>119</v>
      </c>
      <c r="AR40" s="152" t="s">
        <v>59</v>
      </c>
      <c r="AS40" s="152" t="s">
        <v>119</v>
      </c>
    </row>
    <row r="41" spans="1:45">
      <c r="A41" s="147">
        <v>2</v>
      </c>
      <c r="B41" s="152" t="s">
        <v>120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AB41" s="152" t="s">
        <v>120</v>
      </c>
      <c r="AR41" s="152" t="s">
        <v>61</v>
      </c>
      <c r="AS41" s="152" t="s">
        <v>120</v>
      </c>
    </row>
    <row r="42" spans="1:45">
      <c r="A42" s="152" t="s">
        <v>116</v>
      </c>
      <c r="B42" s="156" t="s">
        <v>122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AB42" s="156" t="s">
        <v>122</v>
      </c>
      <c r="AR42" s="152" t="s">
        <v>121</v>
      </c>
      <c r="AS42" s="156" t="s">
        <v>122</v>
      </c>
    </row>
    <row r="43" spans="1:45">
      <c r="A43" s="147">
        <v>1</v>
      </c>
      <c r="B43" s="161" t="s">
        <v>123</v>
      </c>
      <c r="C43" s="159">
        <f>标准成本!E5</f>
        <v>14.35</v>
      </c>
      <c r="D43" s="159">
        <f>标准成本!E17</f>
        <v>13.94</v>
      </c>
      <c r="E43" s="159">
        <f>标准成本!E30</f>
        <v>15.129</v>
      </c>
      <c r="F43" s="159">
        <f>标准成本!E43</f>
        <v>15.129</v>
      </c>
      <c r="G43" s="159">
        <f>标准成本!E56</f>
        <v>31.98</v>
      </c>
      <c r="H43" s="159">
        <f>标准成本!E69</f>
        <v>15.99</v>
      </c>
      <c r="I43" s="159">
        <f>标准成本!E82</f>
        <v>31.16</v>
      </c>
      <c r="J43" s="159">
        <f>标准成本!E95</f>
        <v>14.145</v>
      </c>
      <c r="K43" s="159">
        <f>标准成本!E108</f>
        <v>23.37</v>
      </c>
      <c r="L43" s="159">
        <f>标准成本!E121</f>
        <v>22.55</v>
      </c>
      <c r="M43" s="159">
        <f>标准成本!E134</f>
        <v>31.57</v>
      </c>
      <c r="N43" s="169">
        <f>标准成本!E147</f>
        <v>31.57</v>
      </c>
      <c r="O43" s="169">
        <f>标准成本!E160</f>
        <v>31.57</v>
      </c>
      <c r="P43" s="169">
        <f>标准成本!E173</f>
        <v>31.57</v>
      </c>
      <c r="Q43" s="160"/>
      <c r="AB43" s="152" t="s">
        <v>123</v>
      </c>
      <c r="AR43" s="152" t="s">
        <v>59</v>
      </c>
      <c r="AS43" s="152" t="s">
        <v>123</v>
      </c>
    </row>
    <row r="44" spans="1:45">
      <c r="A44" s="147">
        <v>2</v>
      </c>
      <c r="B44" s="161" t="s">
        <v>124</v>
      </c>
      <c r="C44" s="159">
        <f>标准成本!E9</f>
        <v>2.45</v>
      </c>
      <c r="D44" s="159">
        <f>标准成本!E21</f>
        <v>2.38</v>
      </c>
      <c r="E44" s="159">
        <f>标准成本!E34</f>
        <v>2.583</v>
      </c>
      <c r="F44" s="159">
        <f>标准成本!E47</f>
        <v>2.583</v>
      </c>
      <c r="G44" s="159">
        <f>标准成本!E60</f>
        <v>5.46</v>
      </c>
      <c r="H44" s="159">
        <f>标准成本!E73</f>
        <v>2.73</v>
      </c>
      <c r="I44" s="159">
        <f>标准成本!E86</f>
        <v>5.32</v>
      </c>
      <c r="J44" s="159">
        <f>标准成本!E99</f>
        <v>2.415</v>
      </c>
      <c r="K44" s="159">
        <f>标准成本!E112</f>
        <v>3.99</v>
      </c>
      <c r="L44" s="159">
        <f>标准成本!E125</f>
        <v>3.85</v>
      </c>
      <c r="M44" s="159">
        <f>标准成本!E138</f>
        <v>5.39</v>
      </c>
      <c r="N44" s="169">
        <f>标准成本!E151</f>
        <v>5.39</v>
      </c>
      <c r="O44" s="169">
        <f>标准成本!E164</f>
        <v>5.39</v>
      </c>
      <c r="P44" s="169">
        <f>标准成本!E177</f>
        <v>5.39</v>
      </c>
      <c r="Q44" s="160"/>
      <c r="AB44" s="152" t="s">
        <v>124</v>
      </c>
      <c r="AR44" s="152" t="s">
        <v>61</v>
      </c>
      <c r="AS44" s="152" t="s">
        <v>124</v>
      </c>
    </row>
    <row r="45" spans="1:45">
      <c r="A45" s="147">
        <v>3</v>
      </c>
      <c r="B45" s="161" t="s">
        <v>125</v>
      </c>
      <c r="C45" s="159">
        <f>标准成本!E8</f>
        <v>11.9</v>
      </c>
      <c r="D45" s="159">
        <f>标准成本!E20</f>
        <v>11.56</v>
      </c>
      <c r="E45" s="159">
        <f>标准成本!E33</f>
        <v>12.546</v>
      </c>
      <c r="F45" s="159">
        <f>标准成本!E46</f>
        <v>12.546</v>
      </c>
      <c r="G45" s="159">
        <f>标准成本!E59</f>
        <v>26.52</v>
      </c>
      <c r="H45" s="159">
        <f>标准成本!E72</f>
        <v>13.26</v>
      </c>
      <c r="I45" s="159">
        <f>标准成本!E85</f>
        <v>25.84</v>
      </c>
      <c r="J45" s="159">
        <f>标准成本!E98</f>
        <v>11.73</v>
      </c>
      <c r="K45" s="159">
        <f>标准成本!E111</f>
        <v>19.38</v>
      </c>
      <c r="L45" s="159">
        <f>标准成本!E124</f>
        <v>18.7</v>
      </c>
      <c r="M45" s="159">
        <f>标准成本!E137</f>
        <v>26.18</v>
      </c>
      <c r="N45" s="169">
        <f>标准成本!E150</f>
        <v>26.18</v>
      </c>
      <c r="O45" s="169">
        <f>标准成本!E163</f>
        <v>26.18</v>
      </c>
      <c r="P45" s="169">
        <f>标准成本!E176</f>
        <v>26.18</v>
      </c>
      <c r="Q45" s="160"/>
      <c r="AB45" s="152" t="s">
        <v>125</v>
      </c>
      <c r="AR45" s="152" t="s">
        <v>109</v>
      </c>
      <c r="AS45" s="152" t="s">
        <v>125</v>
      </c>
    </row>
    <row r="46" s="144" customFormat="1" spans="1:45">
      <c r="A46" s="147">
        <v>4</v>
      </c>
      <c r="B46" s="161" t="s">
        <v>126</v>
      </c>
      <c r="C46" s="165">
        <f t="shared" ref="C46:M46" si="22">C21/C6</f>
        <v>0.162037037037037</v>
      </c>
      <c r="D46" s="165">
        <f t="shared" si="22"/>
        <v>0.162037037037037</v>
      </c>
      <c r="E46" s="165">
        <f t="shared" si="22"/>
        <v>0.162037037037037</v>
      </c>
      <c r="F46" s="165">
        <f t="shared" si="22"/>
        <v>0.162037037037037</v>
      </c>
      <c r="G46" s="165">
        <f t="shared" si="22"/>
        <v>0.162037037037037</v>
      </c>
      <c r="H46" s="165">
        <f t="shared" si="22"/>
        <v>0.162037037037037</v>
      </c>
      <c r="I46" s="165">
        <f t="shared" si="22"/>
        <v>0.162037037037037</v>
      </c>
      <c r="J46" s="165">
        <f t="shared" si="22"/>
        <v>0.162037037037037</v>
      </c>
      <c r="K46" s="165">
        <f t="shared" si="22"/>
        <v>0.162037037037037</v>
      </c>
      <c r="L46" s="165">
        <f t="shared" si="22"/>
        <v>0.162037037037037</v>
      </c>
      <c r="M46" s="165">
        <f t="shared" si="22"/>
        <v>0.162037037037037</v>
      </c>
      <c r="N46" s="165">
        <f>N21/N6</f>
        <v>0.162037037037037</v>
      </c>
      <c r="O46" s="165">
        <f>O21/O6</f>
        <v>0.162037037037037</v>
      </c>
      <c r="P46" s="165">
        <f>P21/P6</f>
        <v>0.162037037037037</v>
      </c>
      <c r="Q46" s="165"/>
      <c r="AB46" s="161" t="s">
        <v>128</v>
      </c>
      <c r="AR46" s="161" t="s">
        <v>67</v>
      </c>
      <c r="AS46" s="161" t="s">
        <v>128</v>
      </c>
    </row>
    <row r="47" s="144" customFormat="1" spans="1:45">
      <c r="A47" s="147">
        <v>5</v>
      </c>
      <c r="B47" s="161" t="s">
        <v>128</v>
      </c>
      <c r="C47" s="165">
        <f>标准成本!E11</f>
        <v>10.5</v>
      </c>
      <c r="D47" s="165">
        <f>标准成本!E23</f>
        <v>10.2</v>
      </c>
      <c r="E47" s="165">
        <f>标准成本!E36</f>
        <v>11.07</v>
      </c>
      <c r="F47" s="165">
        <f>标准成本!E49</f>
        <v>11.07</v>
      </c>
      <c r="G47" s="165">
        <f>标准成本!E62</f>
        <v>23.4</v>
      </c>
      <c r="H47" s="165">
        <f>标准成本!E75</f>
        <v>11.7</v>
      </c>
      <c r="I47" s="165">
        <f>标准成本!E88</f>
        <v>22.8</v>
      </c>
      <c r="J47" s="165">
        <f>标准成本!E101</f>
        <v>10.35</v>
      </c>
      <c r="K47" s="165">
        <f>标准成本!E114</f>
        <v>17.1</v>
      </c>
      <c r="L47" s="165">
        <f>标准成本!E127</f>
        <v>16.5</v>
      </c>
      <c r="M47" s="165">
        <f>标准成本!E140</f>
        <v>23.1</v>
      </c>
      <c r="N47" s="165">
        <f>标准成本!E153</f>
        <v>23.1</v>
      </c>
      <c r="O47" s="165">
        <f>标准成本!E166</f>
        <v>23.1</v>
      </c>
      <c r="P47" s="165">
        <f>标准成本!E179</f>
        <v>23.1</v>
      </c>
      <c r="Q47" s="165"/>
      <c r="AB47" s="161" t="s">
        <v>128</v>
      </c>
      <c r="AR47" s="161" t="s">
        <v>67</v>
      </c>
      <c r="AS47" s="161" t="s">
        <v>128</v>
      </c>
    </row>
    <row r="48" spans="1:45">
      <c r="A48" s="152" t="s">
        <v>121</v>
      </c>
      <c r="B48" s="156" t="s">
        <v>139</v>
      </c>
      <c r="C48" s="160">
        <f t="shared" ref="C48:M48" si="23">C40-C43-C44-C45-C47-C46</f>
        <v>-56.135967969267</v>
      </c>
      <c r="D48" s="160">
        <f t="shared" si="23"/>
        <v>-28.6925215142104</v>
      </c>
      <c r="E48" s="160">
        <f t="shared" si="23"/>
        <v>-95.184157969267</v>
      </c>
      <c r="F48" s="160">
        <f t="shared" si="23"/>
        <v>-73.969895594065</v>
      </c>
      <c r="G48" s="160">
        <f t="shared" si="23"/>
        <v>-115.369353969267</v>
      </c>
      <c r="H48" s="160">
        <f t="shared" si="23"/>
        <v>-67.3058155940651</v>
      </c>
      <c r="I48" s="160">
        <f t="shared" si="23"/>
        <v>-77.1003639692673</v>
      </c>
      <c r="J48" s="160">
        <f t="shared" si="23"/>
        <v>-28.5977735142103</v>
      </c>
      <c r="K48" s="160">
        <f t="shared" si="23"/>
        <v>-113.916557969267</v>
      </c>
      <c r="L48" s="160">
        <f t="shared" si="23"/>
        <v>-75.647567969267</v>
      </c>
      <c r="M48" s="160">
        <f t="shared" si="23"/>
        <v>-73.2297975692672</v>
      </c>
      <c r="N48" s="160">
        <f>N40-N43-N44-N45-N47-N46</f>
        <v>-107.944787569267</v>
      </c>
      <c r="O48" s="160">
        <f>O40-O43-O44-O45-O47-O46</f>
        <v>-102.491321569267</v>
      </c>
      <c r="P48" s="160">
        <f>P40-P43-P44-P45-P47-P46</f>
        <v>-73.2297975692672</v>
      </c>
      <c r="Q48" s="160"/>
      <c r="AB48" s="156" t="s">
        <v>139</v>
      </c>
      <c r="AR48" s="152" t="s">
        <v>138</v>
      </c>
      <c r="AS48" s="156" t="s">
        <v>139</v>
      </c>
    </row>
    <row r="51" spans="3:16"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</row>
    <row r="54" spans="2:22">
      <c r="B54" s="2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2"/>
      <c r="S54" s="2"/>
      <c r="T54" s="2"/>
      <c r="U54" s="2"/>
      <c r="V54" s="2"/>
    </row>
    <row r="55" spans="2:22">
      <c r="B55" s="2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2"/>
      <c r="S55" s="2"/>
      <c r="T55" s="2"/>
      <c r="U55" s="2"/>
      <c r="V55" s="2"/>
    </row>
    <row r="56" spans="2:22">
      <c r="B56" s="2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2"/>
      <c r="S56" s="2"/>
      <c r="T56" s="2"/>
      <c r="U56" s="2"/>
      <c r="V56" s="2"/>
    </row>
    <row r="57" spans="2:22">
      <c r="B57" s="2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2"/>
      <c r="S57" s="2"/>
      <c r="T57" s="2"/>
      <c r="U57" s="2"/>
      <c r="V57" s="2"/>
    </row>
    <row r="58" spans="2:22">
      <c r="B58" s="2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2"/>
      <c r="S58" s="2"/>
      <c r="T58" s="2"/>
      <c r="U58" s="2"/>
      <c r="V58" s="2"/>
    </row>
    <row r="59" spans="2:22">
      <c r="B59" s="2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2"/>
      <c r="S59" s="2"/>
      <c r="T59" s="2"/>
      <c r="U59" s="2"/>
      <c r="V59" s="2"/>
    </row>
    <row r="60" spans="2:22">
      <c r="B60" s="2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2"/>
      <c r="S60" s="2"/>
      <c r="T60" s="2"/>
      <c r="U60" s="2"/>
      <c r="V60" s="2"/>
    </row>
    <row r="61" spans="2:22">
      <c r="B61" s="2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2"/>
      <c r="S61" s="2"/>
      <c r="T61" s="2"/>
      <c r="U61" s="2"/>
      <c r="V61" s="2"/>
    </row>
    <row r="62" spans="2:22">
      <c r="B62" s="2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2"/>
      <c r="S62" s="2"/>
      <c r="T62" s="2"/>
      <c r="U62" s="2"/>
      <c r="V62" s="2"/>
    </row>
    <row r="63" spans="2:22">
      <c r="B63" s="2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2"/>
      <c r="S63" s="2"/>
      <c r="T63" s="2"/>
      <c r="U63" s="2"/>
      <c r="V63" s="2"/>
    </row>
    <row r="64" spans="2:22">
      <c r="B64" s="2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2"/>
      <c r="S64" s="2"/>
      <c r="T64" s="2"/>
      <c r="U64" s="2"/>
      <c r="V64" s="2"/>
    </row>
    <row r="65" spans="2:22">
      <c r="B65" s="2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2"/>
      <c r="S65" s="2"/>
      <c r="T65" s="2"/>
      <c r="U65" s="2"/>
      <c r="V65" s="2"/>
    </row>
    <row r="66" spans="2:22">
      <c r="B66" s="2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2"/>
      <c r="S66" s="2"/>
      <c r="T66" s="2"/>
      <c r="U66" s="2"/>
      <c r="V66" s="2"/>
    </row>
    <row r="67" spans="2:18">
      <c r="B67" s="2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2"/>
    </row>
    <row r="68" spans="2:18">
      <c r="B68" s="2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2"/>
    </row>
    <row r="69" spans="2:18">
      <c r="B69" s="2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2"/>
    </row>
    <row r="70" spans="2:18">
      <c r="B70" s="2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2"/>
    </row>
    <row r="71" spans="2:18">
      <c r="B71" s="2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2"/>
    </row>
    <row r="72" spans="2:18">
      <c r="B72" s="2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2"/>
    </row>
    <row r="73" spans="2:18">
      <c r="B73" s="2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2"/>
    </row>
    <row r="74" spans="2:18">
      <c r="B74" s="2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2"/>
    </row>
  </sheetData>
  <mergeCells count="8">
    <mergeCell ref="A1:B1"/>
    <mergeCell ref="C1:Q1"/>
    <mergeCell ref="A2:B2"/>
    <mergeCell ref="C2:Q2"/>
    <mergeCell ref="A3:B3"/>
    <mergeCell ref="A4:B4"/>
    <mergeCell ref="A5:B5"/>
    <mergeCell ref="Q3:Q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C21" sqref="C21"/>
    </sheetView>
  </sheetViews>
  <sheetFormatPr defaultColWidth="9" defaultRowHeight="14"/>
  <cols>
    <col min="1" max="1" width="19.5" customWidth="1"/>
    <col min="2" max="2" width="14.8727272727273" style="100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20.5" customWidth="1"/>
    <col min="8" max="8" width="13" customWidth="1"/>
    <col min="9" max="9" width="14.8727272727273" customWidth="1"/>
    <col min="10" max="10" width="13" customWidth="1"/>
  </cols>
  <sheetData>
    <row r="1" ht="21" spans="1:8">
      <c r="A1" s="101" t="s">
        <v>192</v>
      </c>
      <c r="B1" s="101"/>
      <c r="C1" s="101"/>
      <c r="E1" s="102" t="s">
        <v>193</v>
      </c>
      <c r="F1" s="103"/>
      <c r="G1" s="103"/>
      <c r="H1" s="104"/>
    </row>
    <row r="2" ht="23.45" customHeight="1" spans="1:8">
      <c r="A2" s="105" t="s">
        <v>1</v>
      </c>
      <c r="B2" s="106" t="s">
        <v>194</v>
      </c>
      <c r="C2" s="107" t="s">
        <v>195</v>
      </c>
      <c r="E2" s="108" t="s">
        <v>196</v>
      </c>
      <c r="F2" s="108" t="s">
        <v>1</v>
      </c>
      <c r="G2" s="109" t="s">
        <v>197</v>
      </c>
      <c r="H2" s="108" t="s">
        <v>195</v>
      </c>
    </row>
    <row r="3" ht="15.75" customHeight="1" spans="1:8">
      <c r="A3" s="110" t="s">
        <v>198</v>
      </c>
      <c r="B3" s="111"/>
      <c r="C3" s="112"/>
      <c r="E3" s="113" t="s">
        <v>199</v>
      </c>
      <c r="F3" s="114" t="s">
        <v>200</v>
      </c>
      <c r="G3" s="115">
        <v>0</v>
      </c>
      <c r="H3" s="114"/>
    </row>
    <row r="4" ht="15.75" customHeight="1" spans="1:8">
      <c r="A4" s="110" t="s">
        <v>201</v>
      </c>
      <c r="B4" s="111"/>
      <c r="C4" s="116"/>
      <c r="E4" s="117"/>
      <c r="F4" s="114" t="s">
        <v>202</v>
      </c>
      <c r="G4" s="115"/>
      <c r="H4" s="114"/>
    </row>
    <row r="5" ht="15.75" customHeight="1" spans="1:8">
      <c r="A5" s="110" t="s">
        <v>203</v>
      </c>
      <c r="B5" s="118">
        <f>SUM(G3:G4)</f>
        <v>0</v>
      </c>
      <c r="C5" s="112"/>
      <c r="E5" s="119" t="s">
        <v>204</v>
      </c>
      <c r="F5" s="120" t="s">
        <v>205</v>
      </c>
      <c r="G5" s="115"/>
      <c r="H5" s="120"/>
    </row>
    <row r="6" ht="15.75" customHeight="1" spans="1:10">
      <c r="A6" s="110" t="s">
        <v>206</v>
      </c>
      <c r="B6" s="111"/>
      <c r="C6" s="112"/>
      <c r="E6" s="121"/>
      <c r="F6" s="120" t="s">
        <v>207</v>
      </c>
      <c r="G6" s="115"/>
      <c r="H6" s="114"/>
      <c r="J6">
        <v>10000</v>
      </c>
    </row>
    <row r="7" ht="15.75" customHeight="1" spans="1:8">
      <c r="A7" s="122" t="s">
        <v>208</v>
      </c>
      <c r="B7" s="118">
        <f>SUM(B3:B6)</f>
        <v>0</v>
      </c>
      <c r="C7" s="112"/>
      <c r="E7" s="121"/>
      <c r="F7" s="120" t="s">
        <v>209</v>
      </c>
      <c r="G7" s="115"/>
      <c r="H7" s="114"/>
    </row>
    <row r="8" ht="15.75" customHeight="1" spans="1:8">
      <c r="A8" s="123" t="s">
        <v>210</v>
      </c>
      <c r="B8" s="118">
        <f>SUM(G5:G12)</f>
        <v>0</v>
      </c>
      <c r="C8" s="124"/>
      <c r="E8" s="121"/>
      <c r="F8" s="120" t="s">
        <v>211</v>
      </c>
      <c r="G8" s="115"/>
      <c r="H8" s="114"/>
    </row>
    <row r="9" ht="15.75" customHeight="1" spans="1:8">
      <c r="A9" s="110" t="s">
        <v>212</v>
      </c>
      <c r="B9" s="118">
        <f>SUM(G13:G21)</f>
        <v>1.4</v>
      </c>
      <c r="C9" s="112"/>
      <c r="E9" s="121"/>
      <c r="F9" s="114" t="s">
        <v>213</v>
      </c>
      <c r="G9" s="125"/>
      <c r="H9" s="126"/>
    </row>
    <row r="10" ht="15.75" customHeight="1" spans="1:8">
      <c r="A10" s="116" t="s">
        <v>55</v>
      </c>
      <c r="B10" s="118">
        <f>B7+B8+B9</f>
        <v>1.4</v>
      </c>
      <c r="C10" s="112"/>
      <c r="E10" s="121"/>
      <c r="F10" s="114" t="s">
        <v>214</v>
      </c>
      <c r="G10" s="125"/>
      <c r="H10" s="114"/>
    </row>
    <row r="11" ht="15.75" customHeight="1" spans="5:8">
      <c r="E11" s="121"/>
      <c r="F11" s="114" t="s">
        <v>215</v>
      </c>
      <c r="G11" s="115"/>
      <c r="H11" s="114"/>
    </row>
    <row r="12" ht="15.75" customHeight="1" spans="5:8">
      <c r="E12" s="127"/>
      <c r="F12" s="114" t="s">
        <v>216</v>
      </c>
      <c r="G12" s="115"/>
      <c r="H12" s="126"/>
    </row>
    <row r="13" ht="15.75" customHeight="1" spans="5:8">
      <c r="E13" s="113" t="s">
        <v>87</v>
      </c>
      <c r="F13" s="114" t="s">
        <v>217</v>
      </c>
      <c r="G13" s="115"/>
      <c r="H13" s="128"/>
    </row>
    <row r="14" ht="15.75" customHeight="1" spans="5:8">
      <c r="E14" s="117"/>
      <c r="F14" s="114" t="s">
        <v>218</v>
      </c>
      <c r="G14" s="115"/>
      <c r="H14" s="114"/>
    </row>
    <row r="15" ht="15.75" customHeight="1" spans="5:8">
      <c r="E15" s="117"/>
      <c r="F15" s="114" t="s">
        <v>219</v>
      </c>
      <c r="G15" s="115"/>
      <c r="H15" s="114"/>
    </row>
    <row r="16" ht="15.75" customHeight="1" spans="5:8">
      <c r="E16" s="117"/>
      <c r="F16" s="114" t="s">
        <v>220</v>
      </c>
      <c r="G16" s="129">
        <v>0.1</v>
      </c>
      <c r="H16" s="114"/>
    </row>
    <row r="17" ht="15.75" customHeight="1" spans="5:8">
      <c r="E17" s="117"/>
      <c r="F17" s="114" t="s">
        <v>221</v>
      </c>
      <c r="G17" s="129"/>
      <c r="H17" s="114"/>
    </row>
    <row r="18" ht="15.75" customHeight="1" spans="5:8">
      <c r="E18" s="117"/>
      <c r="F18" s="114" t="s">
        <v>222</v>
      </c>
      <c r="G18" s="129">
        <v>0.5</v>
      </c>
      <c r="H18" s="114"/>
    </row>
    <row r="19" ht="15.75" customHeight="1" spans="5:8">
      <c r="E19" s="117"/>
      <c r="F19" s="114" t="s">
        <v>223</v>
      </c>
      <c r="G19" s="129">
        <v>0.8</v>
      </c>
      <c r="H19" s="114"/>
    </row>
    <row r="20" ht="15.75" customHeight="1" spans="5:8">
      <c r="E20" s="117"/>
      <c r="F20" s="114" t="s">
        <v>224</v>
      </c>
      <c r="G20" s="115"/>
      <c r="H20" s="114"/>
    </row>
    <row r="21" ht="15.75" customHeight="1" spans="5:8">
      <c r="E21" s="130"/>
      <c r="F21" s="114" t="s">
        <v>39</v>
      </c>
      <c r="G21" s="115"/>
      <c r="H21" s="114"/>
    </row>
    <row r="22" ht="15.75" customHeight="1" spans="5:8">
      <c r="E22" s="108" t="s">
        <v>55</v>
      </c>
      <c r="F22" s="114"/>
      <c r="G22" s="109">
        <f>SUM(G3:G21)</f>
        <v>1.4</v>
      </c>
      <c r="H22" s="114"/>
    </row>
    <row r="23" ht="30.75" customHeight="1" spans="5:8">
      <c r="E23" s="131" t="s">
        <v>225</v>
      </c>
      <c r="F23" s="131"/>
      <c r="G23" s="131"/>
      <c r="H23" s="131"/>
    </row>
    <row r="25" ht="16.5" spans="1:10">
      <c r="A25" s="132" t="s">
        <v>1</v>
      </c>
      <c r="B25" s="132" t="s">
        <v>194</v>
      </c>
      <c r="C25" s="132" t="s">
        <v>226</v>
      </c>
      <c r="D25" s="133" t="s">
        <v>101</v>
      </c>
      <c r="E25" s="133" t="s">
        <v>102</v>
      </c>
      <c r="F25" s="133" t="s">
        <v>103</v>
      </c>
      <c r="G25" s="133" t="s">
        <v>227</v>
      </c>
      <c r="H25" s="133" t="s">
        <v>228</v>
      </c>
      <c r="I25" s="133" t="s">
        <v>55</v>
      </c>
      <c r="J25" s="141" t="s">
        <v>229</v>
      </c>
    </row>
    <row r="26" ht="16.5" spans="1:10">
      <c r="A26" s="134" t="s">
        <v>184</v>
      </c>
      <c r="B26" s="135">
        <f>(B5+B8)*10000</f>
        <v>0</v>
      </c>
      <c r="C26" s="136">
        <v>0.05</v>
      </c>
      <c r="D26" s="137">
        <f>B26*(1-C26)/3</f>
        <v>0</v>
      </c>
      <c r="E26" s="137">
        <f t="shared" ref="E26:F27" si="0">D26</f>
        <v>0</v>
      </c>
      <c r="F26" s="137">
        <f t="shared" si="0"/>
        <v>0</v>
      </c>
      <c r="G26" s="137"/>
      <c r="H26" s="137"/>
      <c r="I26" s="137">
        <f>SUM(D26:H26)</f>
        <v>0</v>
      </c>
      <c r="J26" s="137">
        <f>B26*0.05</f>
        <v>0</v>
      </c>
    </row>
    <row r="27" ht="16.5" spans="1:10">
      <c r="A27" s="134" t="s">
        <v>230</v>
      </c>
      <c r="B27" s="135">
        <f>B9*10000</f>
        <v>14000</v>
      </c>
      <c r="C27" s="137"/>
      <c r="D27" s="137">
        <f>B27/3</f>
        <v>4666.66666666667</v>
      </c>
      <c r="E27" s="137">
        <f t="shared" si="0"/>
        <v>4666.66666666667</v>
      </c>
      <c r="F27" s="137">
        <f t="shared" si="0"/>
        <v>4666.66666666667</v>
      </c>
      <c r="G27" s="137"/>
      <c r="H27" s="137"/>
      <c r="I27" s="137">
        <f>SUM(D27:H27)</f>
        <v>14000</v>
      </c>
      <c r="J27" s="137"/>
    </row>
    <row r="28" ht="16.5" spans="1:10">
      <c r="A28" s="138" t="s">
        <v>147</v>
      </c>
      <c r="B28" s="139"/>
      <c r="C28" s="140"/>
      <c r="D28" s="137">
        <f>SUM(D26:D27)</f>
        <v>4666.66666666667</v>
      </c>
      <c r="E28" s="137">
        <f t="shared" ref="E28:H28" si="1">SUM(E26:E27)</f>
        <v>4666.66666666667</v>
      </c>
      <c r="F28" s="137">
        <f t="shared" si="1"/>
        <v>4666.66666666667</v>
      </c>
      <c r="G28" s="137">
        <f t="shared" si="1"/>
        <v>0</v>
      </c>
      <c r="H28" s="137">
        <f t="shared" si="1"/>
        <v>0</v>
      </c>
      <c r="I28" s="142"/>
      <c r="J28" s="142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85" zoomScaleNormal="85" workbookViewId="0">
      <selection activeCell="H29" sqref="H29"/>
    </sheetView>
  </sheetViews>
  <sheetFormatPr defaultColWidth="9" defaultRowHeight="16.5"/>
  <cols>
    <col min="1" max="1" width="14" style="67" customWidth="1"/>
    <col min="2" max="2" width="14.1272727272727" style="67" customWidth="1"/>
    <col min="3" max="3" width="14.7545454545455" style="67" customWidth="1"/>
    <col min="4" max="4" width="11.1272727272727" style="67" customWidth="1"/>
    <col min="5" max="5" width="12.8727272727273" style="67" customWidth="1"/>
    <col min="6" max="6" width="11.1272727272727" style="67" customWidth="1"/>
    <col min="7" max="7" width="13.2545454545455" style="67" customWidth="1"/>
    <col min="8" max="8" width="12.1272727272727" style="67" customWidth="1"/>
    <col min="9" max="9" width="13.1272727272727" style="67" customWidth="1"/>
    <col min="10" max="17" width="12.1272727272727" style="67" customWidth="1"/>
    <col min="18" max="18" width="11.6272727272727" style="67" customWidth="1"/>
    <col min="19" max="19" width="9.25454545454545" style="67" customWidth="1"/>
    <col min="20" max="20" width="9.12727272727273" style="68" customWidth="1"/>
    <col min="21" max="21" width="12.8727272727273" style="68"/>
    <col min="22" max="16384" width="9" style="67"/>
  </cols>
  <sheetData>
    <row r="1" ht="29.25" customHeight="1" spans="1:18">
      <c r="A1" s="69" t="s">
        <v>231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24" customHeight="1" spans="1:18">
      <c r="A2" s="71" t="s">
        <v>232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3:5">
      <c r="C3" s="67" t="s">
        <v>233</v>
      </c>
      <c r="D3" s="67" t="s">
        <v>234</v>
      </c>
      <c r="E3" s="72">
        <v>0.02</v>
      </c>
    </row>
    <row r="5" ht="45" customHeight="1" spans="1:18">
      <c r="A5" s="73" t="s">
        <v>235</v>
      </c>
      <c r="B5" s="74" t="s">
        <v>153</v>
      </c>
      <c r="C5" s="75" t="s">
        <v>154</v>
      </c>
      <c r="D5" s="76" t="s">
        <v>155</v>
      </c>
      <c r="E5" s="76" t="s">
        <v>156</v>
      </c>
      <c r="F5" s="75" t="s">
        <v>157</v>
      </c>
      <c r="G5" s="75" t="s">
        <v>158</v>
      </c>
      <c r="H5" s="75" t="s">
        <v>159</v>
      </c>
      <c r="I5" s="75" t="s">
        <v>160</v>
      </c>
      <c r="J5" s="75" t="s">
        <v>161</v>
      </c>
      <c r="K5" s="75" t="s">
        <v>162</v>
      </c>
      <c r="L5" s="75" t="s">
        <v>163</v>
      </c>
      <c r="M5" s="75" t="s">
        <v>160</v>
      </c>
      <c r="N5" s="75" t="s">
        <v>164</v>
      </c>
      <c r="O5" s="75" t="s">
        <v>165</v>
      </c>
      <c r="P5" s="75" t="s">
        <v>160</v>
      </c>
      <c r="Q5" s="91"/>
      <c r="R5" s="92" t="s">
        <v>55</v>
      </c>
    </row>
    <row r="6" ht="31.5" customHeight="1" spans="1:21">
      <c r="A6" s="73"/>
      <c r="B6" s="74" t="s">
        <v>166</v>
      </c>
      <c r="C6" s="75" t="s">
        <v>167</v>
      </c>
      <c r="D6" s="76" t="s">
        <v>168</v>
      </c>
      <c r="E6" s="76" t="s">
        <v>169</v>
      </c>
      <c r="F6" s="75" t="s">
        <v>170</v>
      </c>
      <c r="G6" s="75" t="s">
        <v>171</v>
      </c>
      <c r="H6" s="75" t="s">
        <v>172</v>
      </c>
      <c r="I6" s="75" t="s">
        <v>173</v>
      </c>
      <c r="J6" s="75" t="s">
        <v>174</v>
      </c>
      <c r="K6" s="75" t="s">
        <v>175</v>
      </c>
      <c r="L6" s="75" t="s">
        <v>176</v>
      </c>
      <c r="M6" s="75" t="s">
        <v>177</v>
      </c>
      <c r="N6" s="75" t="s">
        <v>178</v>
      </c>
      <c r="O6" s="75" t="s">
        <v>179</v>
      </c>
      <c r="P6" s="75" t="s">
        <v>177</v>
      </c>
      <c r="Q6" s="93"/>
      <c r="R6" s="94"/>
      <c r="S6" s="95"/>
      <c r="T6" s="96">
        <v>100</v>
      </c>
      <c r="U6" s="96"/>
    </row>
    <row r="7" ht="15.6" customHeight="1" spans="1:21">
      <c r="A7" s="73"/>
      <c r="B7" s="23" t="s">
        <v>236</v>
      </c>
      <c r="C7" s="77"/>
      <c r="D7" s="77"/>
      <c r="E7" s="23"/>
      <c r="F7" s="23"/>
      <c r="G7" s="77"/>
      <c r="H7" s="77"/>
      <c r="I7" s="23"/>
      <c r="J7" s="23"/>
      <c r="K7" s="23"/>
      <c r="L7" s="23"/>
      <c r="M7" s="23"/>
      <c r="N7" s="90"/>
      <c r="O7" s="90"/>
      <c r="P7" s="90"/>
      <c r="Q7" s="90"/>
      <c r="R7" s="97"/>
      <c r="S7" s="95">
        <v>2025</v>
      </c>
      <c r="T7" s="96">
        <f>T6*(1-$E$3)</f>
        <v>98</v>
      </c>
      <c r="U7" s="96">
        <f t="shared" ref="U7:U10" si="0">T7/$T$6</f>
        <v>0.98</v>
      </c>
    </row>
    <row r="8" ht="33" spans="1:21">
      <c r="A8" s="73"/>
      <c r="B8" s="23" t="s">
        <v>237</v>
      </c>
      <c r="C8" s="78">
        <v>350</v>
      </c>
      <c r="D8" s="79">
        <v>340</v>
      </c>
      <c r="E8" s="79">
        <v>369</v>
      </c>
      <c r="F8" s="78">
        <v>375</v>
      </c>
      <c r="G8" s="78">
        <v>780</v>
      </c>
      <c r="H8" s="78">
        <v>390</v>
      </c>
      <c r="I8" s="78">
        <v>760</v>
      </c>
      <c r="J8" s="78">
        <v>345</v>
      </c>
      <c r="K8" s="78">
        <v>570</v>
      </c>
      <c r="L8" s="78">
        <v>550</v>
      </c>
      <c r="M8" s="78">
        <v>770</v>
      </c>
      <c r="N8" s="78">
        <v>790</v>
      </c>
      <c r="O8" s="78">
        <v>565</v>
      </c>
      <c r="P8" s="78">
        <v>770</v>
      </c>
      <c r="Q8" s="98"/>
      <c r="R8" s="99">
        <f t="shared" ref="R8:R14" si="1">SUM(C8:P8)</f>
        <v>7724</v>
      </c>
      <c r="S8" s="95">
        <v>2026</v>
      </c>
      <c r="T8" s="96">
        <f>T7*(1-$E$3)</f>
        <v>96.04</v>
      </c>
      <c r="U8" s="96">
        <f t="shared" si="0"/>
        <v>0.9604</v>
      </c>
    </row>
    <row r="9" spans="1:21">
      <c r="A9" s="73" t="s">
        <v>238</v>
      </c>
      <c r="B9" s="80" t="s">
        <v>239</v>
      </c>
      <c r="C9" s="81">
        <v>3000</v>
      </c>
      <c r="D9" s="81">
        <v>5000</v>
      </c>
      <c r="E9" s="81">
        <v>3000</v>
      </c>
      <c r="F9" s="81">
        <v>8000</v>
      </c>
      <c r="G9" s="81">
        <v>300</v>
      </c>
      <c r="H9" s="81">
        <v>300</v>
      </c>
      <c r="I9" s="81">
        <v>200</v>
      </c>
      <c r="J9" s="81">
        <v>200</v>
      </c>
      <c r="K9" s="81">
        <v>300</v>
      </c>
      <c r="L9" s="81">
        <v>300</v>
      </c>
      <c r="M9" s="81">
        <v>200</v>
      </c>
      <c r="N9" s="81">
        <v>200</v>
      </c>
      <c r="O9" s="81">
        <v>200</v>
      </c>
      <c r="P9" s="81">
        <v>200</v>
      </c>
      <c r="Q9" s="82"/>
      <c r="R9" s="99">
        <f t="shared" si="1"/>
        <v>21400</v>
      </c>
      <c r="S9" s="95"/>
      <c r="T9" s="96"/>
      <c r="U9" s="96"/>
    </row>
    <row r="10" spans="1:21">
      <c r="A10" s="73"/>
      <c r="B10" s="80" t="s">
        <v>101</v>
      </c>
      <c r="C10" s="81">
        <v>3000</v>
      </c>
      <c r="D10" s="81">
        <v>6000</v>
      </c>
      <c r="E10" s="81">
        <v>5000</v>
      </c>
      <c r="F10" s="81">
        <v>12000</v>
      </c>
      <c r="G10" s="81">
        <v>500</v>
      </c>
      <c r="H10" s="81">
        <v>500</v>
      </c>
      <c r="I10" s="81">
        <v>200</v>
      </c>
      <c r="J10" s="81">
        <v>200</v>
      </c>
      <c r="K10" s="81">
        <v>300</v>
      </c>
      <c r="L10" s="81">
        <v>300</v>
      </c>
      <c r="M10" s="81">
        <v>200</v>
      </c>
      <c r="N10" s="81">
        <v>200</v>
      </c>
      <c r="O10" s="81">
        <v>200</v>
      </c>
      <c r="P10" s="81">
        <v>200</v>
      </c>
      <c r="Q10" s="82"/>
      <c r="R10" s="99">
        <f t="shared" si="1"/>
        <v>28800</v>
      </c>
      <c r="S10" s="95"/>
      <c r="T10" s="96"/>
      <c r="U10" s="96"/>
    </row>
    <row r="11" spans="1:18">
      <c r="A11" s="73"/>
      <c r="B11" s="80" t="s">
        <v>102</v>
      </c>
      <c r="C11" s="81">
        <v>3000</v>
      </c>
      <c r="D11" s="81">
        <v>6000</v>
      </c>
      <c r="E11" s="81">
        <v>5000</v>
      </c>
      <c r="F11" s="81">
        <v>12000</v>
      </c>
      <c r="G11" s="81">
        <v>500</v>
      </c>
      <c r="H11" s="81">
        <v>500</v>
      </c>
      <c r="I11" s="81">
        <v>200</v>
      </c>
      <c r="J11" s="81">
        <v>200</v>
      </c>
      <c r="K11" s="81">
        <v>300</v>
      </c>
      <c r="L11" s="81">
        <v>300</v>
      </c>
      <c r="M11" s="81">
        <v>200</v>
      </c>
      <c r="N11" s="81">
        <v>200</v>
      </c>
      <c r="O11" s="81">
        <v>200</v>
      </c>
      <c r="P11" s="81">
        <v>200</v>
      </c>
      <c r="Q11" s="82"/>
      <c r="R11" s="99">
        <f t="shared" si="1"/>
        <v>28800</v>
      </c>
    </row>
    <row r="12" spans="1:18">
      <c r="A12" s="73"/>
      <c r="B12" s="80" t="s">
        <v>103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99">
        <f t="shared" si="1"/>
        <v>0</v>
      </c>
    </row>
    <row r="13" ht="17.5" spans="1:18">
      <c r="A13" s="73"/>
      <c r="B13" s="80" t="s">
        <v>227</v>
      </c>
      <c r="C13" s="82"/>
      <c r="D13" s="82"/>
      <c r="E13" s="82"/>
      <c r="F13" s="82"/>
      <c r="G13" s="82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99">
        <f t="shared" si="1"/>
        <v>0</v>
      </c>
    </row>
    <row r="14" spans="1:18">
      <c r="A14" s="80" t="s">
        <v>55</v>
      </c>
      <c r="B14" s="80"/>
      <c r="C14" s="84">
        <f t="shared" ref="C14:P14" si="2">SUM(C9:C13)</f>
        <v>9000</v>
      </c>
      <c r="D14" s="84">
        <f t="shared" si="2"/>
        <v>17000</v>
      </c>
      <c r="E14" s="84">
        <f t="shared" si="2"/>
        <v>13000</v>
      </c>
      <c r="F14" s="84">
        <f t="shared" si="2"/>
        <v>32000</v>
      </c>
      <c r="G14" s="84">
        <f t="shared" si="2"/>
        <v>1300</v>
      </c>
      <c r="H14" s="84">
        <f t="shared" si="2"/>
        <v>1300</v>
      </c>
      <c r="I14" s="84">
        <f t="shared" si="2"/>
        <v>600</v>
      </c>
      <c r="J14" s="84">
        <f t="shared" si="2"/>
        <v>600</v>
      </c>
      <c r="K14" s="84">
        <f t="shared" si="2"/>
        <v>900</v>
      </c>
      <c r="L14" s="84">
        <f t="shared" si="2"/>
        <v>900</v>
      </c>
      <c r="M14" s="84">
        <f t="shared" si="2"/>
        <v>600</v>
      </c>
      <c r="N14" s="84">
        <f t="shared" si="2"/>
        <v>600</v>
      </c>
      <c r="O14" s="84">
        <f t="shared" si="2"/>
        <v>600</v>
      </c>
      <c r="P14" s="84">
        <f>SUM(P9:P13)</f>
        <v>600</v>
      </c>
      <c r="Q14" s="84"/>
      <c r="R14" s="84">
        <f>SUM(R9:R13)</f>
        <v>79000</v>
      </c>
    </row>
    <row r="15" spans="1:3">
      <c r="A15" s="85"/>
      <c r="B15" s="85"/>
      <c r="C15" s="86"/>
    </row>
    <row r="16" spans="2:18">
      <c r="B16" s="67" t="s">
        <v>240</v>
      </c>
      <c r="C16" s="87">
        <f>材料成本!D24</f>
        <v>328.69393093223</v>
      </c>
      <c r="D16" s="87">
        <f>材料成本!E24</f>
        <v>293.458484477173</v>
      </c>
      <c r="E16" s="87">
        <f>材料成本!F24</f>
        <v>382.54692093223</v>
      </c>
      <c r="F16" s="87">
        <f>材料成本!G24</f>
        <v>367.074058557028</v>
      </c>
      <c r="G16" s="87">
        <f>材料成本!H24</f>
        <v>722.98331693223</v>
      </c>
      <c r="H16" s="87">
        <f>材料成本!I24</f>
        <v>371.031778557028</v>
      </c>
      <c r="I16" s="87">
        <f>材料成本!J24</f>
        <v>669.13032693223</v>
      </c>
      <c r="J16" s="87">
        <f>材料成本!K24</f>
        <v>297.259736477173</v>
      </c>
      <c r="K16" s="87">
        <f>材料成本!L24</f>
        <v>557.89852093223</v>
      </c>
      <c r="L16" s="87">
        <f>材料成本!M24</f>
        <v>504.04553093223</v>
      </c>
      <c r="M16" s="87">
        <f>材料成本!N24</f>
        <v>673.05176053223</v>
      </c>
      <c r="N16" s="87">
        <f>材料成本!O24</f>
        <v>726.90475053223</v>
      </c>
      <c r="O16" s="87">
        <f>材料成本!P24</f>
        <v>506.14878453223</v>
      </c>
      <c r="P16" s="87">
        <f>材料成本!Q24</f>
        <v>673.05176053223</v>
      </c>
      <c r="Q16" s="87"/>
      <c r="R16" s="85">
        <f>SUM(C16:M16)</f>
        <v>5167.17436619401</v>
      </c>
    </row>
    <row r="17" spans="2:18">
      <c r="B17" s="67" t="s">
        <v>105</v>
      </c>
      <c r="C17" s="87">
        <f>C8-C16</f>
        <v>21.3060690677701</v>
      </c>
      <c r="D17" s="87">
        <f t="shared" ref="D17:P17" si="3">D8-D16</f>
        <v>46.5415155228267</v>
      </c>
      <c r="E17" s="87">
        <f t="shared" si="3"/>
        <v>-13.54692093223</v>
      </c>
      <c r="F17" s="87">
        <f t="shared" si="3"/>
        <v>7.92594144297203</v>
      </c>
      <c r="G17" s="87">
        <f t="shared" si="3"/>
        <v>57.0166830677699</v>
      </c>
      <c r="H17" s="87">
        <f t="shared" si="3"/>
        <v>18.968221442972</v>
      </c>
      <c r="I17" s="87">
        <f t="shared" si="3"/>
        <v>90.8696730677698</v>
      </c>
      <c r="J17" s="87">
        <f t="shared" si="3"/>
        <v>47.7402635228267</v>
      </c>
      <c r="K17" s="87">
        <f t="shared" si="3"/>
        <v>12.1014790677699</v>
      </c>
      <c r="L17" s="87">
        <f t="shared" si="3"/>
        <v>45.95446906777</v>
      </c>
      <c r="M17" s="87">
        <f t="shared" si="3"/>
        <v>96.9482394677698</v>
      </c>
      <c r="N17" s="87">
        <f t="shared" si="3"/>
        <v>63.0952494677699</v>
      </c>
      <c r="O17" s="87">
        <f t="shared" si="3"/>
        <v>58.85121546777</v>
      </c>
      <c r="P17" s="87">
        <f t="shared" si="3"/>
        <v>96.9482394677698</v>
      </c>
      <c r="Q17" s="87"/>
      <c r="R17" s="85">
        <f>SUM(C17:M17)</f>
        <v>431.825633805987</v>
      </c>
    </row>
    <row r="18" spans="2:18">
      <c r="B18" s="67" t="s">
        <v>241</v>
      </c>
      <c r="C18" s="88">
        <f>C17/C8</f>
        <v>0.0608744830507716</v>
      </c>
      <c r="D18" s="88">
        <f t="shared" ref="D18:P18" si="4">D17/D8</f>
        <v>0.136886810361255</v>
      </c>
      <c r="E18" s="88">
        <f t="shared" si="4"/>
        <v>-0.0367125228515717</v>
      </c>
      <c r="F18" s="88">
        <f t="shared" si="4"/>
        <v>0.0211358438479254</v>
      </c>
      <c r="G18" s="89">
        <f t="shared" si="4"/>
        <v>0.0730983116253461</v>
      </c>
      <c r="H18" s="89">
        <f t="shared" si="4"/>
        <v>0.0486364652383897</v>
      </c>
      <c r="I18" s="89">
        <f t="shared" si="4"/>
        <v>0.119565359299697</v>
      </c>
      <c r="J18" s="89">
        <f t="shared" si="4"/>
        <v>0.138377575428483</v>
      </c>
      <c r="K18" s="88">
        <f t="shared" si="4"/>
        <v>0.0212306650311753</v>
      </c>
      <c r="L18" s="88">
        <f t="shared" si="4"/>
        <v>0.0835535801232182</v>
      </c>
      <c r="M18" s="88">
        <f t="shared" si="4"/>
        <v>0.125906804503597</v>
      </c>
      <c r="N18" s="88">
        <f t="shared" si="4"/>
        <v>0.0798674043895822</v>
      </c>
      <c r="O18" s="88">
        <f t="shared" si="4"/>
        <v>0.104161443305788</v>
      </c>
      <c r="P18" s="88">
        <f t="shared" si="4"/>
        <v>0.125906804503597</v>
      </c>
      <c r="Q18" s="88"/>
      <c r="R18" s="88">
        <f>R17/R8</f>
        <v>0.0559069955730175</v>
      </c>
    </row>
  </sheetData>
  <mergeCells count="4">
    <mergeCell ref="A14:B14"/>
    <mergeCell ref="A5:A8"/>
    <mergeCell ref="A9:A13"/>
    <mergeCell ref="R5:R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18" width="12.2727272727273" style="34" customWidth="1"/>
    <col min="19" max="19" width="12" style="34" customWidth="1"/>
    <col min="20" max="20" width="12.2545454545455" style="33" customWidth="1"/>
    <col min="21" max="21" width="13.2545454545455" style="33" customWidth="1"/>
    <col min="22" max="22" width="16" style="33" customWidth="1"/>
    <col min="23" max="16384" width="9" style="33"/>
  </cols>
  <sheetData>
    <row r="1" s="32" customFormat="1" ht="28.5" customHeight="1" spans="1:22">
      <c r="A1" s="35" t="s">
        <v>7</v>
      </c>
      <c r="B1" s="35"/>
      <c r="C1" s="35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V1" s="60"/>
    </row>
    <row r="2" spans="1:19">
      <c r="A2" s="38" t="s">
        <v>242</v>
      </c>
      <c r="B2" s="38"/>
      <c r="C2" s="39"/>
      <c r="D2" s="40"/>
      <c r="E2" s="41" t="s">
        <v>243</v>
      </c>
      <c r="F2" s="42"/>
      <c r="G2" s="42"/>
      <c r="H2" s="42"/>
      <c r="I2" s="42"/>
      <c r="J2" s="42"/>
      <c r="K2" s="42"/>
      <c r="L2" s="42"/>
      <c r="M2" s="42"/>
      <c r="N2" s="42"/>
      <c r="O2" s="59"/>
      <c r="P2" s="59"/>
      <c r="Q2" s="59"/>
      <c r="R2" s="59"/>
      <c r="S2" s="61"/>
    </row>
    <row r="3" ht="33" spans="1:19">
      <c r="A3" s="43" t="s">
        <v>21</v>
      </c>
      <c r="B3" s="43" t="s">
        <v>244</v>
      </c>
      <c r="C3" s="43" t="s">
        <v>245</v>
      </c>
      <c r="D3" s="44" t="s">
        <v>181</v>
      </c>
      <c r="E3" s="44"/>
      <c r="F3" s="45" t="s">
        <v>246</v>
      </c>
      <c r="G3" s="44" t="s">
        <v>247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62" t="s">
        <v>195</v>
      </c>
    </row>
    <row r="4" ht="52" spans="1:19">
      <c r="A4" s="43"/>
      <c r="B4" s="43"/>
      <c r="C4" s="43" t="s">
        <v>153</v>
      </c>
      <c r="D4" s="46" t="s">
        <v>154</v>
      </c>
      <c r="E4" s="46" t="s">
        <v>155</v>
      </c>
      <c r="F4" s="46" t="s">
        <v>156</v>
      </c>
      <c r="G4" s="46" t="s">
        <v>157</v>
      </c>
      <c r="H4" s="47" t="s">
        <v>158</v>
      </c>
      <c r="I4" s="47" t="s">
        <v>159</v>
      </c>
      <c r="J4" s="47" t="s">
        <v>160</v>
      </c>
      <c r="K4" s="47" t="s">
        <v>161</v>
      </c>
      <c r="L4" s="47" t="s">
        <v>162</v>
      </c>
      <c r="M4" s="47" t="s">
        <v>163</v>
      </c>
      <c r="N4" s="47" t="s">
        <v>160</v>
      </c>
      <c r="O4" s="47" t="s">
        <v>164</v>
      </c>
      <c r="P4" s="47" t="s">
        <v>165</v>
      </c>
      <c r="Q4" s="47" t="s">
        <v>160</v>
      </c>
      <c r="R4" s="47"/>
      <c r="S4" s="62"/>
    </row>
    <row r="5" ht="39" spans="1:19">
      <c r="A5" s="43"/>
      <c r="B5" s="43"/>
      <c r="C5" s="43" t="s">
        <v>166</v>
      </c>
      <c r="D5" s="46" t="s">
        <v>167</v>
      </c>
      <c r="E5" s="46" t="s">
        <v>168</v>
      </c>
      <c r="F5" s="46" t="s">
        <v>169</v>
      </c>
      <c r="G5" s="46" t="s">
        <v>170</v>
      </c>
      <c r="H5" s="46" t="s">
        <v>171</v>
      </c>
      <c r="I5" s="46" t="s">
        <v>172</v>
      </c>
      <c r="J5" s="46" t="s">
        <v>173</v>
      </c>
      <c r="K5" s="46" t="s">
        <v>174</v>
      </c>
      <c r="L5" s="46" t="s">
        <v>175</v>
      </c>
      <c r="M5" s="46" t="s">
        <v>176</v>
      </c>
      <c r="N5" s="46" t="s">
        <v>177</v>
      </c>
      <c r="O5" s="46" t="s">
        <v>178</v>
      </c>
      <c r="P5" s="46" t="s">
        <v>179</v>
      </c>
      <c r="Q5" s="46" t="s">
        <v>177</v>
      </c>
      <c r="R5" s="46"/>
      <c r="S5" s="62"/>
    </row>
    <row r="6" spans="1:19">
      <c r="A6" s="48">
        <v>1</v>
      </c>
      <c r="B6" s="49" t="s">
        <v>248</v>
      </c>
      <c r="C6" s="50"/>
      <c r="D6" s="5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63"/>
    </row>
    <row r="7" spans="1:19">
      <c r="A7" s="48">
        <v>2</v>
      </c>
      <c r="B7" s="49" t="s">
        <v>249</v>
      </c>
      <c r="C7" s="50"/>
      <c r="D7" s="51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63"/>
    </row>
    <row r="8" spans="1:19">
      <c r="A8" s="48">
        <v>3</v>
      </c>
      <c r="B8" s="49" t="s">
        <v>250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63"/>
    </row>
    <row r="9" spans="1:19">
      <c r="A9" s="48">
        <v>4</v>
      </c>
      <c r="B9" s="49" t="s">
        <v>251</v>
      </c>
      <c r="C9" s="50"/>
      <c r="D9" s="5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63"/>
    </row>
    <row r="10" spans="1:19">
      <c r="A10" s="48">
        <v>5</v>
      </c>
      <c r="B10" s="49" t="s">
        <v>252</v>
      </c>
      <c r="C10" s="50"/>
      <c r="D10" s="51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63"/>
    </row>
    <row r="11" spans="1:19">
      <c r="A11" s="48">
        <v>6</v>
      </c>
      <c r="B11" s="49" t="s">
        <v>253</v>
      </c>
      <c r="C11" s="50"/>
      <c r="D11" s="51"/>
      <c r="E11" s="47"/>
      <c r="F11" s="47"/>
      <c r="G11" s="47"/>
      <c r="H11" s="47"/>
      <c r="I11" s="47"/>
      <c r="J11" s="47"/>
      <c r="K11" s="47"/>
      <c r="L11" s="46"/>
      <c r="M11" s="47"/>
      <c r="N11" s="47"/>
      <c r="O11" s="47"/>
      <c r="P11" s="47"/>
      <c r="Q11" s="47"/>
      <c r="R11" s="47"/>
      <c r="S11" s="63"/>
    </row>
    <row r="12" spans="1:19">
      <c r="A12" s="48">
        <v>7</v>
      </c>
      <c r="B12" s="49" t="s">
        <v>254</v>
      </c>
      <c r="C12" s="50"/>
      <c r="D12" s="51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63"/>
    </row>
    <row r="13" spans="1:19">
      <c r="A13" s="48">
        <v>8</v>
      </c>
      <c r="B13" s="49" t="s">
        <v>255</v>
      </c>
      <c r="C13" s="50"/>
      <c r="D13" s="5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63"/>
    </row>
    <row r="14" spans="1:19">
      <c r="A14" s="48">
        <v>9</v>
      </c>
      <c r="B14" s="49" t="s">
        <v>256</v>
      </c>
      <c r="C14" s="50"/>
      <c r="D14" s="51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63"/>
    </row>
    <row r="15" spans="1:19">
      <c r="A15" s="48">
        <v>10</v>
      </c>
      <c r="B15" s="49" t="s">
        <v>257</v>
      </c>
      <c r="C15" s="50"/>
      <c r="D15" s="51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63"/>
    </row>
    <row r="16" spans="1:19">
      <c r="A16" s="48">
        <v>11</v>
      </c>
      <c r="B16" s="49" t="s">
        <v>258</v>
      </c>
      <c r="C16" s="50"/>
      <c r="D16" s="51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63"/>
    </row>
    <row r="17" spans="1:19">
      <c r="A17" s="48">
        <v>12</v>
      </c>
      <c r="B17" s="49" t="s">
        <v>259</v>
      </c>
      <c r="C17" s="50"/>
      <c r="D17" s="51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63"/>
    </row>
    <row r="18" spans="1:19">
      <c r="A18" s="48">
        <v>13</v>
      </c>
      <c r="B18" s="49" t="s">
        <v>260</v>
      </c>
      <c r="C18" s="50"/>
      <c r="D18" s="51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63"/>
    </row>
    <row r="19" spans="1:19">
      <c r="A19" s="48">
        <v>14</v>
      </c>
      <c r="B19" s="49" t="s">
        <v>261</v>
      </c>
      <c r="C19" s="50"/>
      <c r="D19" s="51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63"/>
    </row>
    <row r="20" spans="1:19">
      <c r="A20" s="48">
        <v>15</v>
      </c>
      <c r="B20" s="49" t="s">
        <v>262</v>
      </c>
      <c r="C20" s="50"/>
      <c r="D20" s="51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63"/>
    </row>
    <row r="21" spans="1:19">
      <c r="A21" s="48">
        <v>16</v>
      </c>
      <c r="B21" s="49" t="s">
        <v>263</v>
      </c>
      <c r="C21" s="50"/>
      <c r="D21" s="51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63"/>
    </row>
    <row r="22" spans="1:19">
      <c r="A22" s="48">
        <v>17</v>
      </c>
      <c r="B22" s="49" t="s">
        <v>39</v>
      </c>
      <c r="C22" s="50"/>
      <c r="D22" s="51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63"/>
    </row>
    <row r="23" spans="1:19">
      <c r="A23" s="48">
        <v>18</v>
      </c>
      <c r="B23" s="49" t="s">
        <v>264</v>
      </c>
      <c r="C23" s="50"/>
      <c r="D23" s="52">
        <f>'[3]2080&amp;1880驾驶员座总成工艺清单'!$CP$7</f>
        <v>328.69393093223</v>
      </c>
      <c r="E23" s="52">
        <f>'[3]副驾1880-工艺BOM20220608'!$BU$7</f>
        <v>293.458484477173</v>
      </c>
      <c r="F23" s="52">
        <f>'[3]2080&amp;1880驾驶员座总成工艺清单'!$CS$7</f>
        <v>382.54692093223</v>
      </c>
      <c r="G23" s="52">
        <f>'[3]副驾2080-工艺BOM'!$BR$7</f>
        <v>367.074058557028</v>
      </c>
      <c r="H23" s="52">
        <f>'[3]2080&amp;1880驾驶员座总成工艺清单'!$CU$7</f>
        <v>722.98331693223</v>
      </c>
      <c r="I23" s="52">
        <f>'[3]副驾2080-工艺BOM'!$BS$7</f>
        <v>371.031778557028</v>
      </c>
      <c r="J23" s="52">
        <f>'[3]2080&amp;1880驾驶员座总成工艺清单'!$CR$7</f>
        <v>669.13032693223</v>
      </c>
      <c r="K23" s="52">
        <f>'[3]副驾1880-工艺BOM20220608'!$BV$7</f>
        <v>297.259736477173</v>
      </c>
      <c r="L23" s="52">
        <f>'[3]2080&amp;1880驾驶员座总成工艺清单'!$CT$7</f>
        <v>557.89852093223</v>
      </c>
      <c r="M23" s="52">
        <f>'[3]2080&amp;1880驾驶员座总成工艺清单'!$CQ$7</f>
        <v>504.04553093223</v>
      </c>
      <c r="N23" s="52">
        <f>'[3]2080&amp;1880驾驶员座总成工艺清单'!$CX$7</f>
        <v>673.05176053223</v>
      </c>
      <c r="O23" s="52">
        <f>'[3]2080&amp;1880驾驶员座总成工艺清单'!$DA$7</f>
        <v>726.90475053223</v>
      </c>
      <c r="P23" s="52">
        <f>'[3]2080&amp;1880驾驶员座总成工艺清单'!$CW$7</f>
        <v>506.14878453223</v>
      </c>
      <c r="Q23" s="52">
        <f>'[3]2080&amp;1880驾驶员座总成工艺清单'!$CX$7</f>
        <v>673.05176053223</v>
      </c>
      <c r="R23" s="64"/>
      <c r="S23" s="65"/>
    </row>
    <row r="24" ht="31.5" customHeight="1" spans="1:19">
      <c r="A24" s="53" t="s">
        <v>265</v>
      </c>
      <c r="B24" s="54"/>
      <c r="C24" s="55"/>
      <c r="D24" s="56">
        <f>SUM(D6:D23)</f>
        <v>328.69393093223</v>
      </c>
      <c r="E24" s="56">
        <f>SUM(E6:E23)</f>
        <v>293.458484477173</v>
      </c>
      <c r="F24" s="56">
        <f>SUM(F6:F23)</f>
        <v>382.54692093223</v>
      </c>
      <c r="G24" s="56">
        <f>SUM(G6:G23)</f>
        <v>367.074058557028</v>
      </c>
      <c r="H24" s="56">
        <f t="shared" ref="H24:N24" si="0">SUM(H6:H23)</f>
        <v>722.98331693223</v>
      </c>
      <c r="I24" s="56">
        <f t="shared" si="0"/>
        <v>371.031778557028</v>
      </c>
      <c r="J24" s="56">
        <f t="shared" si="0"/>
        <v>669.13032693223</v>
      </c>
      <c r="K24" s="56">
        <f t="shared" si="0"/>
        <v>297.259736477173</v>
      </c>
      <c r="L24" s="56">
        <f t="shared" si="0"/>
        <v>557.89852093223</v>
      </c>
      <c r="M24" s="56">
        <f t="shared" si="0"/>
        <v>504.04553093223</v>
      </c>
      <c r="N24" s="56">
        <f t="shared" ref="N24:Q24" si="1">SUM(N6:N23)</f>
        <v>673.05176053223</v>
      </c>
      <c r="O24" s="56">
        <f t="shared" si="1"/>
        <v>726.90475053223</v>
      </c>
      <c r="P24" s="56">
        <f t="shared" si="1"/>
        <v>506.14878453223</v>
      </c>
      <c r="Q24" s="56">
        <f t="shared" si="1"/>
        <v>673.05176053223</v>
      </c>
      <c r="R24" s="56"/>
      <c r="S24" s="66"/>
    </row>
    <row r="25" spans="4:18"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7" spans="4:18"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4:18"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</sheetData>
  <mergeCells count="27">
    <mergeCell ref="A1:B1"/>
    <mergeCell ref="A2:D2"/>
    <mergeCell ref="E2:S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S3:S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假设条件</vt:lpstr>
      <vt:lpstr>现金</vt:lpstr>
      <vt:lpstr>损益表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2024-01-25T03:31:50Z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9545D4B7266740A89BCEAE7E60B7E103</vt:lpwstr>
  </property>
</Properties>
</file>