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3218BC6D-FC4B-45FB-9E8C-762A990F77A1}" xr6:coauthVersionLast="45" xr6:coauthVersionMax="47" xr10:uidLastSave="{00000000-0000-0000-0000-000000000000}"/>
  <bookViews>
    <workbookView xWindow="-60" yWindow="-60" windowWidth="24120" windowHeight="12960" activeTab="3" xr2:uid="{00000000-000D-0000-FFFF-FFFF00000000}"/>
  </bookViews>
  <sheets>
    <sheet name="汇总" sheetId="2" r:id="rId1"/>
    <sheet name="核算表" sheetId="1" r:id="rId2"/>
    <sheet name="核算表 (2)" sheetId="3" r:id="rId3"/>
    <sheet name="2024.1.13" sheetId="4" r:id="rId4"/>
  </sheets>
  <externalReferences>
    <externalReference r:id="rId5"/>
  </externalReferences>
  <definedNames>
    <definedName name="_xlnm._FilterDatabase" localSheetId="1" hidden="1">核算表!$A$3:$AD$237</definedName>
    <definedName name="_xlnm._FilterDatabase" localSheetId="2" hidden="1">'核算表 (2)'!$A$3:$AD$237</definedName>
    <definedName name="_xlnm._FilterDatabase" localSheetId="0" hidden="1">汇总!$A$8:$JD$117</definedName>
    <definedName name="_xlnm.Print_Area" localSheetId="0">汇总!$A$1:$P$117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4" l="1"/>
  <c r="U4" i="4" l="1"/>
  <c r="S13" i="4"/>
  <c r="S12" i="4"/>
  <c r="S11" i="4"/>
  <c r="S10" i="4"/>
  <c r="N6" i="4"/>
  <c r="S4" i="4"/>
  <c r="N4" i="4" l="1"/>
  <c r="M10" i="4"/>
  <c r="N13" i="4" s="1"/>
  <c r="U10" i="4" s="1"/>
  <c r="M4" i="4"/>
  <c r="K10" i="4"/>
  <c r="S5" i="4"/>
  <c r="S6" i="4" s="1"/>
  <c r="K4" i="4"/>
  <c r="U237" i="3" l="1"/>
  <c r="U236" i="3"/>
  <c r="O236" i="3"/>
  <c r="U235" i="3"/>
  <c r="U234" i="3"/>
  <c r="O234" i="3"/>
  <c r="W234" i="3" s="1"/>
  <c r="Y234" i="3" s="1"/>
  <c r="N234" i="3"/>
  <c r="U233" i="3"/>
  <c r="U232" i="3"/>
  <c r="U231" i="3"/>
  <c r="N231" i="3"/>
  <c r="O231" i="3" s="1"/>
  <c r="U230" i="3"/>
  <c r="U229" i="3"/>
  <c r="U228" i="3"/>
  <c r="O228" i="3"/>
  <c r="W228" i="3" s="1"/>
  <c r="Y228" i="3" s="1"/>
  <c r="N228" i="3"/>
  <c r="U227" i="3"/>
  <c r="U226" i="3"/>
  <c r="U225" i="3"/>
  <c r="N225" i="3"/>
  <c r="O225" i="3" s="1"/>
  <c r="W225" i="3" s="1"/>
  <c r="Y225" i="3" s="1"/>
  <c r="U224" i="3"/>
  <c r="U223" i="3"/>
  <c r="U222" i="3"/>
  <c r="O222" i="3"/>
  <c r="W222" i="3" s="1"/>
  <c r="Y222" i="3" s="1"/>
  <c r="N222" i="3"/>
  <c r="U221" i="3"/>
  <c r="U220" i="3"/>
  <c r="O220" i="3"/>
  <c r="W220" i="3" s="1"/>
  <c r="Y220" i="3" s="1"/>
  <c r="N220" i="3"/>
  <c r="U219" i="3"/>
  <c r="U218" i="3"/>
  <c r="O218" i="3"/>
  <c r="W218" i="3" s="1"/>
  <c r="Y218" i="3" s="1"/>
  <c r="N218" i="3"/>
  <c r="U217" i="3"/>
  <c r="U216" i="3"/>
  <c r="U215" i="3"/>
  <c r="U214" i="3"/>
  <c r="O214" i="3"/>
  <c r="W214" i="3" s="1"/>
  <c r="Y214" i="3" s="1"/>
  <c r="N214" i="3"/>
  <c r="U213" i="3"/>
  <c r="U212" i="3"/>
  <c r="U211" i="3"/>
  <c r="N211" i="3"/>
  <c r="O211" i="3" s="1"/>
  <c r="W211" i="3" s="1"/>
  <c r="Y211" i="3" s="1"/>
  <c r="U210" i="3"/>
  <c r="U209" i="3"/>
  <c r="U208" i="3"/>
  <c r="O208" i="3"/>
  <c r="W208" i="3" s="1"/>
  <c r="Y208" i="3" s="1"/>
  <c r="N208" i="3"/>
  <c r="U207" i="3"/>
  <c r="U206" i="3"/>
  <c r="O206" i="3"/>
  <c r="W206" i="3" s="1"/>
  <c r="Y206" i="3" s="1"/>
  <c r="N206" i="3"/>
  <c r="U205" i="3"/>
  <c r="U204" i="3"/>
  <c r="U203" i="3"/>
  <c r="N203" i="3"/>
  <c r="O203" i="3" s="1"/>
  <c r="W203" i="3" s="1"/>
  <c r="Y203" i="3" s="1"/>
  <c r="U202" i="3"/>
  <c r="U201" i="3"/>
  <c r="U200" i="3"/>
  <c r="O200" i="3"/>
  <c r="W200" i="3" s="1"/>
  <c r="Y200" i="3" s="1"/>
  <c r="N200" i="3"/>
  <c r="U199" i="3"/>
  <c r="U198" i="3"/>
  <c r="U197" i="3"/>
  <c r="U196" i="3"/>
  <c r="O196" i="3"/>
  <c r="W196" i="3" s="1"/>
  <c r="Y196" i="3" s="1"/>
  <c r="N196" i="3"/>
  <c r="U195" i="3"/>
  <c r="U194" i="3"/>
  <c r="O194" i="3"/>
  <c r="W194" i="3" s="1"/>
  <c r="Y194" i="3" s="1"/>
  <c r="N194" i="3"/>
  <c r="U193" i="3"/>
  <c r="U192" i="3"/>
  <c r="U191" i="3"/>
  <c r="N191" i="3"/>
  <c r="O191" i="3" s="1"/>
  <c r="U190" i="3"/>
  <c r="U189" i="3"/>
  <c r="U188" i="3"/>
  <c r="O188" i="3"/>
  <c r="W188" i="3" s="1"/>
  <c r="Y188" i="3" s="1"/>
  <c r="N188" i="3"/>
  <c r="U187" i="3"/>
  <c r="U186" i="3"/>
  <c r="O186" i="3"/>
  <c r="W186" i="3" s="1"/>
  <c r="Y186" i="3" s="1"/>
  <c r="N186" i="3"/>
  <c r="U185" i="3"/>
  <c r="U184" i="3"/>
  <c r="U183" i="3"/>
  <c r="N183" i="3"/>
  <c r="O183" i="3" s="1"/>
  <c r="U182" i="3"/>
  <c r="U181" i="3"/>
  <c r="U180" i="3"/>
  <c r="O180" i="3"/>
  <c r="W180" i="3" s="1"/>
  <c r="Y180" i="3" s="1"/>
  <c r="N180" i="3"/>
  <c r="U179" i="3"/>
  <c r="N179" i="3"/>
  <c r="O179" i="3" s="1"/>
  <c r="W179" i="3" s="1"/>
  <c r="Y179" i="3" s="1"/>
  <c r="U178" i="3"/>
  <c r="U177" i="3"/>
  <c r="N177" i="3"/>
  <c r="O177" i="3" s="1"/>
  <c r="W177" i="3" s="1"/>
  <c r="Y177" i="3" s="1"/>
  <c r="U176" i="3"/>
  <c r="U175" i="3"/>
  <c r="N175" i="3"/>
  <c r="O175" i="3" s="1"/>
  <c r="W175" i="3" s="1"/>
  <c r="Y175" i="3" s="1"/>
  <c r="U174" i="3"/>
  <c r="U173" i="3"/>
  <c r="N173" i="3"/>
  <c r="O173" i="3" s="1"/>
  <c r="W173" i="3" s="1"/>
  <c r="Y173" i="3" s="1"/>
  <c r="U172" i="3"/>
  <c r="U171" i="3"/>
  <c r="U170" i="3"/>
  <c r="O170" i="3"/>
  <c r="W170" i="3" s="1"/>
  <c r="Y170" i="3" s="1"/>
  <c r="N170" i="3"/>
  <c r="U169" i="3"/>
  <c r="U168" i="3"/>
  <c r="U167" i="3"/>
  <c r="N167" i="3"/>
  <c r="O167" i="3" s="1"/>
  <c r="U166" i="3"/>
  <c r="U165" i="3"/>
  <c r="N165" i="3"/>
  <c r="O165" i="3" s="1"/>
  <c r="U164" i="3"/>
  <c r="U163" i="3"/>
  <c r="U162" i="3"/>
  <c r="O162" i="3"/>
  <c r="W162" i="3" s="1"/>
  <c r="Y162" i="3" s="1"/>
  <c r="N162" i="3"/>
  <c r="U161" i="3"/>
  <c r="U160" i="3"/>
  <c r="U159" i="3"/>
  <c r="U158" i="3"/>
  <c r="O158" i="3"/>
  <c r="W158" i="3" s="1"/>
  <c r="Y158" i="3" s="1"/>
  <c r="N158" i="3"/>
  <c r="U157" i="3"/>
  <c r="U156" i="3"/>
  <c r="U155" i="3"/>
  <c r="N155" i="3"/>
  <c r="O155" i="3" s="1"/>
  <c r="U154" i="3"/>
  <c r="U153" i="3"/>
  <c r="U152" i="3"/>
  <c r="O152" i="3"/>
  <c r="W152" i="3" s="1"/>
  <c r="Y152" i="3" s="1"/>
  <c r="N152" i="3"/>
  <c r="U151" i="3"/>
  <c r="U150" i="3"/>
  <c r="O150" i="3"/>
  <c r="W150" i="3" s="1"/>
  <c r="Y150" i="3" s="1"/>
  <c r="N150" i="3"/>
  <c r="U149" i="3"/>
  <c r="U148" i="3"/>
  <c r="O148" i="3"/>
  <c r="W148" i="3" s="1"/>
  <c r="Y148" i="3" s="1"/>
  <c r="N148" i="3"/>
  <c r="U147" i="3"/>
  <c r="U146" i="3"/>
  <c r="U145" i="3"/>
  <c r="N145" i="3"/>
  <c r="O145" i="3" s="1"/>
  <c r="W145" i="3" s="1"/>
  <c r="Y145" i="3" s="1"/>
  <c r="U144" i="3"/>
  <c r="U143" i="3"/>
  <c r="N143" i="3"/>
  <c r="O143" i="3" s="1"/>
  <c r="W143" i="3" s="1"/>
  <c r="Y143" i="3" s="1"/>
  <c r="U142" i="3"/>
  <c r="U141" i="3"/>
  <c r="O141" i="3"/>
  <c r="W141" i="3" s="1"/>
  <c r="Y141" i="3" s="1"/>
  <c r="U140" i="3"/>
  <c r="U139" i="3"/>
  <c r="O139" i="3"/>
  <c r="W139" i="3" s="1"/>
  <c r="Y139" i="3" s="1"/>
  <c r="N139" i="3"/>
  <c r="U138" i="3"/>
  <c r="U137" i="3"/>
  <c r="O137" i="3"/>
  <c r="W137" i="3" s="1"/>
  <c r="Y137" i="3" s="1"/>
  <c r="N137" i="3"/>
  <c r="U136" i="3"/>
  <c r="U135" i="3"/>
  <c r="U134" i="3"/>
  <c r="N134" i="3"/>
  <c r="O134" i="3" s="1"/>
  <c r="U133" i="3"/>
  <c r="U132" i="3"/>
  <c r="U131" i="3"/>
  <c r="O131" i="3"/>
  <c r="W131" i="3" s="1"/>
  <c r="Y131" i="3" s="1"/>
  <c r="U130" i="3"/>
  <c r="U129" i="3"/>
  <c r="U128" i="3"/>
  <c r="O128" i="3"/>
  <c r="U127" i="3"/>
  <c r="U126" i="3"/>
  <c r="O126" i="3"/>
  <c r="W126" i="3" s="1"/>
  <c r="Y126" i="3" s="1"/>
  <c r="O125" i="3"/>
  <c r="U124" i="3"/>
  <c r="U123" i="3"/>
  <c r="U122" i="3"/>
  <c r="U121" i="3"/>
  <c r="O121" i="3"/>
  <c r="U120" i="3"/>
  <c r="U119" i="3"/>
  <c r="O119" i="3"/>
  <c r="W119" i="3" s="1"/>
  <c r="Y119" i="3" s="1"/>
  <c r="U118" i="3"/>
  <c r="U117" i="3"/>
  <c r="O117" i="3"/>
  <c r="U116" i="3"/>
  <c r="U115" i="3"/>
  <c r="O115" i="3"/>
  <c r="U114" i="3"/>
  <c r="O114" i="3"/>
  <c r="U113" i="3"/>
  <c r="O113" i="3"/>
  <c r="U112" i="3"/>
  <c r="O112" i="3"/>
  <c r="W112" i="3" s="1"/>
  <c r="Y112" i="3" s="1"/>
  <c r="U111" i="3"/>
  <c r="U110" i="3"/>
  <c r="U109" i="3"/>
  <c r="O109" i="3"/>
  <c r="W109" i="3" s="1"/>
  <c r="Y109" i="3" s="1"/>
  <c r="U108" i="3"/>
  <c r="U107" i="3"/>
  <c r="U106" i="3"/>
  <c r="O106" i="3"/>
  <c r="W106" i="3" s="1"/>
  <c r="Y106" i="3" s="1"/>
  <c r="U105" i="3"/>
  <c r="U104" i="3"/>
  <c r="U103" i="3"/>
  <c r="U102" i="3"/>
  <c r="O102" i="3"/>
  <c r="U101" i="3"/>
  <c r="U100" i="3"/>
  <c r="U99" i="3"/>
  <c r="U98" i="3"/>
  <c r="O98" i="3"/>
  <c r="W98" i="3" s="1"/>
  <c r="Y98" i="3" s="1"/>
  <c r="U97" i="3"/>
  <c r="U96" i="3"/>
  <c r="U95" i="3"/>
  <c r="O95" i="3"/>
  <c r="W95" i="3" s="1"/>
  <c r="Y95" i="3" s="1"/>
  <c r="U94" i="3"/>
  <c r="U93" i="3"/>
  <c r="O93" i="3"/>
  <c r="U92" i="3"/>
  <c r="U91" i="3"/>
  <c r="M91" i="3"/>
  <c r="G91" i="3"/>
  <c r="L91" i="3" s="1"/>
  <c r="U90" i="3"/>
  <c r="U89" i="3"/>
  <c r="O89" i="3"/>
  <c r="U88" i="3"/>
  <c r="U87" i="3"/>
  <c r="M87" i="3"/>
  <c r="G87" i="3"/>
  <c r="L87" i="3" s="1"/>
  <c r="N87" i="3" s="1"/>
  <c r="U86" i="3"/>
  <c r="U85" i="3"/>
  <c r="U84" i="3"/>
  <c r="L84" i="3"/>
  <c r="N84" i="3" s="1"/>
  <c r="H84" i="3"/>
  <c r="U83" i="3"/>
  <c r="U82" i="3"/>
  <c r="U81" i="3"/>
  <c r="N81" i="3"/>
  <c r="L81" i="3"/>
  <c r="U80" i="3"/>
  <c r="U79" i="3"/>
  <c r="U78" i="3"/>
  <c r="N78" i="3"/>
  <c r="L78" i="3"/>
  <c r="U77" i="3"/>
  <c r="U76" i="3"/>
  <c r="U75" i="3"/>
  <c r="N75" i="3"/>
  <c r="O75" i="3" s="1"/>
  <c r="W75" i="3" s="1"/>
  <c r="Y75" i="3" s="1"/>
  <c r="U74" i="3"/>
  <c r="O74" i="3"/>
  <c r="W74" i="3" s="1"/>
  <c r="Y74" i="3" s="1"/>
  <c r="N74" i="3"/>
  <c r="U73" i="3"/>
  <c r="U72" i="3"/>
  <c r="O72" i="3"/>
  <c r="W72" i="3" s="1"/>
  <c r="Y72" i="3" s="1"/>
  <c r="L72" i="3"/>
  <c r="N72" i="3" s="1"/>
  <c r="U71" i="3"/>
  <c r="U70" i="3"/>
  <c r="U69" i="3"/>
  <c r="H69" i="3"/>
  <c r="G69" i="3"/>
  <c r="L69" i="3" s="1"/>
  <c r="U68" i="3"/>
  <c r="U67" i="3"/>
  <c r="U66" i="3"/>
  <c r="H66" i="3"/>
  <c r="G66" i="3"/>
  <c r="L66" i="3" s="1"/>
  <c r="U65" i="3"/>
  <c r="U64" i="3"/>
  <c r="U63" i="3"/>
  <c r="G63" i="3"/>
  <c r="L63" i="3" s="1"/>
  <c r="U62" i="3"/>
  <c r="U61" i="3"/>
  <c r="U60" i="3"/>
  <c r="L60" i="3"/>
  <c r="N60" i="3" s="1"/>
  <c r="U59" i="3"/>
  <c r="U58" i="3"/>
  <c r="U57" i="3"/>
  <c r="U56" i="3"/>
  <c r="N56" i="3"/>
  <c r="O56" i="3" s="1"/>
  <c r="W56" i="3" s="1"/>
  <c r="Y56" i="3" s="1"/>
  <c r="U55" i="3"/>
  <c r="U54" i="3"/>
  <c r="N54" i="3"/>
  <c r="L54" i="3"/>
  <c r="O54" i="3" s="1"/>
  <c r="W54" i="3" s="1"/>
  <c r="Y54" i="3" s="1"/>
  <c r="U53" i="3"/>
  <c r="U52" i="3"/>
  <c r="L52" i="3"/>
  <c r="N52" i="3" s="1"/>
  <c r="U51" i="3"/>
  <c r="U50" i="3"/>
  <c r="N50" i="3"/>
  <c r="L50" i="3"/>
  <c r="O50" i="3" s="1"/>
  <c r="W50" i="3" s="1"/>
  <c r="Y50" i="3" s="1"/>
  <c r="U49" i="3"/>
  <c r="U48" i="3"/>
  <c r="L48" i="3"/>
  <c r="N48" i="3" s="1"/>
  <c r="U47" i="3"/>
  <c r="U46" i="3"/>
  <c r="U45" i="3"/>
  <c r="U44" i="3"/>
  <c r="N44" i="3"/>
  <c r="L44" i="3"/>
  <c r="O44" i="3" s="1"/>
  <c r="W44" i="3" s="1"/>
  <c r="Y44" i="3" s="1"/>
  <c r="R43" i="3"/>
  <c r="U42" i="3"/>
  <c r="U41" i="3"/>
  <c r="U40" i="3"/>
  <c r="L40" i="3"/>
  <c r="N40" i="3" s="1"/>
  <c r="H40" i="3"/>
  <c r="U39" i="3"/>
  <c r="U38" i="3"/>
  <c r="H38" i="3"/>
  <c r="G38" i="3"/>
  <c r="L38" i="3" s="1"/>
  <c r="U37" i="3"/>
  <c r="U36" i="3"/>
  <c r="U35" i="3"/>
  <c r="U34" i="3"/>
  <c r="N34" i="3"/>
  <c r="L34" i="3"/>
  <c r="O34" i="3" s="1"/>
  <c r="U33" i="3"/>
  <c r="U32" i="3"/>
  <c r="U31" i="3"/>
  <c r="H31" i="3"/>
  <c r="L31" i="3" s="1"/>
  <c r="U30" i="3"/>
  <c r="U29" i="3"/>
  <c r="U28" i="3"/>
  <c r="L28" i="3"/>
  <c r="N28" i="3" s="1"/>
  <c r="H28" i="3"/>
  <c r="U27" i="3"/>
  <c r="U26" i="3"/>
  <c r="U25" i="3"/>
  <c r="H25" i="3"/>
  <c r="G25" i="3"/>
  <c r="L25" i="3" s="1"/>
  <c r="U24" i="3"/>
  <c r="U23" i="3"/>
  <c r="U22" i="3"/>
  <c r="H22" i="3"/>
  <c r="G22" i="3"/>
  <c r="L22" i="3" s="1"/>
  <c r="U21" i="3"/>
  <c r="U20" i="3"/>
  <c r="U19" i="3"/>
  <c r="O19" i="3"/>
  <c r="U18" i="3"/>
  <c r="U17" i="3"/>
  <c r="U16" i="3"/>
  <c r="M16" i="3"/>
  <c r="H16" i="3"/>
  <c r="G16" i="3"/>
  <c r="L16" i="3" s="1"/>
  <c r="U15" i="3"/>
  <c r="U14" i="3"/>
  <c r="U13" i="3"/>
  <c r="L13" i="3"/>
  <c r="N13" i="3" s="1"/>
  <c r="G13" i="3"/>
  <c r="U12" i="3"/>
  <c r="U11" i="3"/>
  <c r="L11" i="3"/>
  <c r="N11" i="3" s="1"/>
  <c r="G11" i="3"/>
  <c r="U10" i="3"/>
  <c r="U9" i="3"/>
  <c r="U8" i="3"/>
  <c r="N8" i="3"/>
  <c r="L8" i="3"/>
  <c r="O8" i="3" s="1"/>
  <c r="W8" i="3" s="1"/>
  <c r="Y8" i="3" s="1"/>
  <c r="U7" i="3"/>
  <c r="U6" i="3"/>
  <c r="L6" i="3"/>
  <c r="N6" i="3" s="1"/>
  <c r="U5" i="3"/>
  <c r="U4" i="3"/>
  <c r="N4" i="3"/>
  <c r="L4" i="3"/>
  <c r="O4" i="3" s="1"/>
  <c r="W4" i="3" s="1"/>
  <c r="Y4" i="3" s="1"/>
  <c r="O175" i="1"/>
  <c r="O173" i="1"/>
  <c r="N16" i="3" l="1"/>
  <c r="O16" i="3" s="1"/>
  <c r="W16" i="3" s="1"/>
  <c r="Y16" i="3" s="1"/>
  <c r="N22" i="3"/>
  <c r="O22" i="3" s="1"/>
  <c r="W22" i="3" s="1"/>
  <c r="Y22" i="3" s="1"/>
  <c r="N63" i="3"/>
  <c r="O63" i="3" s="1"/>
  <c r="W63" i="3" s="1"/>
  <c r="Y63" i="3" s="1"/>
  <c r="N66" i="3"/>
  <c r="O66" i="3" s="1"/>
  <c r="W66" i="3" s="1"/>
  <c r="Y66" i="3" s="1"/>
  <c r="N25" i="3"/>
  <c r="O25" i="3" s="1"/>
  <c r="W25" i="3" s="1"/>
  <c r="Y25" i="3" s="1"/>
  <c r="N31" i="3"/>
  <c r="O31" i="3" s="1"/>
  <c r="W31" i="3" s="1"/>
  <c r="Y31" i="3" s="1"/>
  <c r="N38" i="3"/>
  <c r="O38" i="3" s="1"/>
  <c r="W34" i="3" s="1"/>
  <c r="Y34" i="3" s="1"/>
  <c r="O69" i="3"/>
  <c r="W69" i="3" s="1"/>
  <c r="Y69" i="3" s="1"/>
  <c r="N69" i="3"/>
  <c r="O6" i="3"/>
  <c r="W6" i="3" s="1"/>
  <c r="Y6" i="3" s="1"/>
  <c r="O11" i="3"/>
  <c r="W11" i="3" s="1"/>
  <c r="Y11" i="3" s="1"/>
  <c r="O13" i="3"/>
  <c r="W13" i="3" s="1"/>
  <c r="Y13" i="3" s="1"/>
  <c r="O28" i="3"/>
  <c r="W28" i="3" s="1"/>
  <c r="Y28" i="3" s="1"/>
  <c r="O40" i="3"/>
  <c r="O48" i="3"/>
  <c r="W48" i="3" s="1"/>
  <c r="Y48" i="3" s="1"/>
  <c r="O52" i="3"/>
  <c r="W52" i="3" s="1"/>
  <c r="Y52" i="3" s="1"/>
  <c r="O60" i="3"/>
  <c r="W60" i="3" s="1"/>
  <c r="Y60" i="3" s="1"/>
  <c r="O87" i="3"/>
  <c r="W87" i="3" s="1"/>
  <c r="Y87" i="3" s="1"/>
  <c r="O78" i="3"/>
  <c r="W78" i="3" s="1"/>
  <c r="Y78" i="3" s="1"/>
  <c r="O81" i="3"/>
  <c r="W81" i="3" s="1"/>
  <c r="Y81" i="3" s="1"/>
  <c r="O84" i="3"/>
  <c r="W84" i="3" s="1"/>
  <c r="Y84" i="3" s="1"/>
  <c r="N91" i="3"/>
  <c r="O91" i="3" s="1"/>
  <c r="W91" i="3" s="1"/>
  <c r="Y91" i="3" s="1"/>
  <c r="W102" i="3"/>
  <c r="Y102" i="3" s="1"/>
  <c r="W117" i="3"/>
  <c r="Y117" i="3" s="1"/>
  <c r="W121" i="3"/>
  <c r="W134" i="3"/>
  <c r="Y134" i="3" s="1"/>
  <c r="W155" i="3"/>
  <c r="Y155" i="3" s="1"/>
  <c r="W165" i="3"/>
  <c r="Y165" i="3" s="1"/>
  <c r="W167" i="3"/>
  <c r="Y167" i="3" s="1"/>
  <c r="W183" i="3"/>
  <c r="Y183" i="3" s="1"/>
  <c r="W191" i="3"/>
  <c r="Y191" i="3" s="1"/>
  <c r="W231" i="3"/>
  <c r="Y231" i="3" s="1"/>
  <c r="O112" i="1"/>
  <c r="N228" i="1"/>
  <c r="O228" i="1" s="1"/>
  <c r="U230" i="1"/>
  <c r="U229" i="1"/>
  <c r="U228" i="1"/>
  <c r="J124" i="3" l="1"/>
  <c r="O124" i="3" s="1"/>
  <c r="W124" i="3" s="1"/>
  <c r="Y124" i="3" s="1"/>
  <c r="Y121" i="3"/>
  <c r="W228" i="1"/>
  <c r="Y228" i="1" s="1"/>
  <c r="U169" i="1"/>
  <c r="N167" i="1"/>
  <c r="O167" i="1" s="1"/>
  <c r="U168" i="1"/>
  <c r="U167" i="1"/>
  <c r="N175" i="1"/>
  <c r="U176" i="1"/>
  <c r="U175" i="1"/>
  <c r="U237" i="1"/>
  <c r="U236" i="1"/>
  <c r="U235" i="1"/>
  <c r="U234" i="1"/>
  <c r="N234" i="1"/>
  <c r="O234" i="1" s="1"/>
  <c r="O236" i="1"/>
  <c r="N231" i="1"/>
  <c r="O231" i="1" s="1"/>
  <c r="U233" i="1"/>
  <c r="U232" i="1"/>
  <c r="U231" i="1"/>
  <c r="U166" i="1"/>
  <c r="U165" i="1"/>
  <c r="W234" i="1" l="1"/>
  <c r="Y234" i="1" s="1"/>
  <c r="W167" i="1"/>
  <c r="Y167" i="1" s="1"/>
  <c r="W175" i="1"/>
  <c r="Y175" i="1" s="1"/>
  <c r="W231" i="1"/>
  <c r="Y231" i="1" s="1"/>
  <c r="N165" i="1" l="1"/>
  <c r="O165" i="1" s="1"/>
  <c r="W165" i="1" s="1"/>
  <c r="Y165" i="1" s="1"/>
  <c r="U94" i="1" l="1"/>
  <c r="U93" i="1"/>
  <c r="O93" i="1"/>
  <c r="U92" i="1"/>
  <c r="U91" i="1"/>
  <c r="M91" i="1"/>
  <c r="G91" i="1"/>
  <c r="L91" i="1" s="1"/>
  <c r="O89" i="1"/>
  <c r="U90" i="1"/>
  <c r="U89" i="1"/>
  <c r="U88" i="1"/>
  <c r="U87" i="1"/>
  <c r="M87" i="1"/>
  <c r="G87" i="1"/>
  <c r="L87" i="1" s="1"/>
  <c r="U86" i="1"/>
  <c r="U85" i="1"/>
  <c r="U84" i="1"/>
  <c r="H84" i="1"/>
  <c r="L84" i="1" s="1"/>
  <c r="U83" i="1"/>
  <c r="U82" i="1"/>
  <c r="U81" i="1"/>
  <c r="L81" i="1"/>
  <c r="N81" i="1" s="1"/>
  <c r="U80" i="1"/>
  <c r="U79" i="1"/>
  <c r="U78" i="1"/>
  <c r="L78" i="1"/>
  <c r="N78" i="1" s="1"/>
  <c r="U73" i="1"/>
  <c r="U72" i="1"/>
  <c r="L72" i="1"/>
  <c r="N72" i="1" s="1"/>
  <c r="N91" i="1" l="1"/>
  <c r="O91" i="1" s="1"/>
  <c r="W91" i="1" s="1"/>
  <c r="Y91" i="1" s="1"/>
  <c r="N84" i="1"/>
  <c r="O84" i="1" s="1"/>
  <c r="W84" i="1" s="1"/>
  <c r="Y84" i="1" s="1"/>
  <c r="O81" i="1"/>
  <c r="W81" i="1" s="1"/>
  <c r="Y81" i="1" s="1"/>
  <c r="O78" i="1"/>
  <c r="W78" i="1" s="1"/>
  <c r="Y78" i="1" s="1"/>
  <c r="N87" i="1"/>
  <c r="O87" i="1" s="1"/>
  <c r="W87" i="1" s="1"/>
  <c r="Y87" i="1" s="1"/>
  <c r="O72" i="1"/>
  <c r="W72" i="1" s="1"/>
  <c r="Y72" i="1" s="1"/>
  <c r="U71" i="1"/>
  <c r="U70" i="1"/>
  <c r="U69" i="1"/>
  <c r="H69" i="1"/>
  <c r="G69" i="1"/>
  <c r="U68" i="1"/>
  <c r="U67" i="1"/>
  <c r="U66" i="1"/>
  <c r="H66" i="1"/>
  <c r="G66" i="1"/>
  <c r="U65" i="1"/>
  <c r="U64" i="1"/>
  <c r="U63" i="1"/>
  <c r="G63" i="1"/>
  <c r="L63" i="1" s="1"/>
  <c r="U62" i="1"/>
  <c r="U61" i="1"/>
  <c r="U60" i="1"/>
  <c r="L60" i="1"/>
  <c r="N60" i="1" s="1"/>
  <c r="U55" i="1"/>
  <c r="U54" i="1"/>
  <c r="L54" i="1"/>
  <c r="N54" i="1" s="1"/>
  <c r="U53" i="1"/>
  <c r="U52" i="1"/>
  <c r="L52" i="1"/>
  <c r="N52" i="1" s="1"/>
  <c r="U51" i="1"/>
  <c r="U50" i="1"/>
  <c r="L50" i="1"/>
  <c r="U49" i="1"/>
  <c r="U48" i="1"/>
  <c r="L48" i="1"/>
  <c r="N48" i="1" s="1"/>
  <c r="U47" i="1"/>
  <c r="U46" i="1"/>
  <c r="U45" i="1"/>
  <c r="U44" i="1"/>
  <c r="L44" i="1"/>
  <c r="H38" i="1"/>
  <c r="G38" i="1"/>
  <c r="H40" i="1"/>
  <c r="L40" i="1" s="1"/>
  <c r="N40" i="1" s="1"/>
  <c r="R43" i="1"/>
  <c r="U42" i="1"/>
  <c r="U41" i="1"/>
  <c r="U40" i="1"/>
  <c r="U39" i="1"/>
  <c r="U38" i="1"/>
  <c r="U37" i="1"/>
  <c r="U36" i="1"/>
  <c r="U35" i="1"/>
  <c r="U34" i="1"/>
  <c r="L34" i="1"/>
  <c r="N34" i="1" s="1"/>
  <c r="U33" i="1"/>
  <c r="U32" i="1"/>
  <c r="U31" i="1"/>
  <c r="H31" i="1"/>
  <c r="L31" i="1" s="1"/>
  <c r="N31" i="1" s="1"/>
  <c r="U30" i="1"/>
  <c r="U29" i="1"/>
  <c r="U28" i="1"/>
  <c r="H28" i="1"/>
  <c r="L28" i="1" s="1"/>
  <c r="U27" i="1"/>
  <c r="U26" i="1"/>
  <c r="U25" i="1"/>
  <c r="H25" i="1"/>
  <c r="G25" i="1"/>
  <c r="U24" i="1"/>
  <c r="U23" i="1"/>
  <c r="U22" i="1"/>
  <c r="H22" i="1"/>
  <c r="G22" i="1"/>
  <c r="O19" i="1"/>
  <c r="U21" i="1"/>
  <c r="U20" i="1"/>
  <c r="U19" i="1"/>
  <c r="U18" i="1"/>
  <c r="U17" i="1"/>
  <c r="U16" i="1"/>
  <c r="M16" i="1"/>
  <c r="H16" i="1"/>
  <c r="G16" i="1"/>
  <c r="U15" i="1"/>
  <c r="U14" i="1"/>
  <c r="U13" i="1"/>
  <c r="G13" i="1"/>
  <c r="L13" i="1" s="1"/>
  <c r="N13" i="1" s="1"/>
  <c r="U12" i="1"/>
  <c r="U11" i="1"/>
  <c r="G11" i="1"/>
  <c r="L11" i="1" s="1"/>
  <c r="U10" i="1"/>
  <c r="U9" i="1"/>
  <c r="U8" i="1"/>
  <c r="L8" i="1"/>
  <c r="N8" i="1" s="1"/>
  <c r="U7" i="1"/>
  <c r="U6" i="1"/>
  <c r="L6" i="1"/>
  <c r="N6" i="1" s="1"/>
  <c r="U5" i="1"/>
  <c r="U4" i="1"/>
  <c r="L4" i="1"/>
  <c r="L16" i="1" l="1"/>
  <c r="N16" i="1" s="1"/>
  <c r="L38" i="1"/>
  <c r="L69" i="1"/>
  <c r="N69" i="1" s="1"/>
  <c r="O69" i="1" s="1"/>
  <c r="W69" i="1" s="1"/>
  <c r="Y69" i="1" s="1"/>
  <c r="L25" i="1"/>
  <c r="L66" i="1"/>
  <c r="N66" i="1" s="1"/>
  <c r="O66" i="1" s="1"/>
  <c r="W66" i="1" s="1"/>
  <c r="Y66" i="1" s="1"/>
  <c r="N63" i="1"/>
  <c r="O63" i="1" s="1"/>
  <c r="W63" i="1" s="1"/>
  <c r="Y63" i="1" s="1"/>
  <c r="O6" i="1"/>
  <c r="W6" i="1" s="1"/>
  <c r="Y6" i="1" s="1"/>
  <c r="O48" i="1"/>
  <c r="W48" i="1" s="1"/>
  <c r="Y48" i="1" s="1"/>
  <c r="O52" i="1"/>
  <c r="W52" i="1" s="1"/>
  <c r="Y52" i="1" s="1"/>
  <c r="O54" i="1"/>
  <c r="W54" i="1" s="1"/>
  <c r="Y54" i="1" s="1"/>
  <c r="O8" i="1"/>
  <c r="W8" i="1" s="1"/>
  <c r="Y8" i="1" s="1"/>
  <c r="O13" i="1"/>
  <c r="W13" i="1" s="1"/>
  <c r="Y13" i="1" s="1"/>
  <c r="L22" i="1"/>
  <c r="N22" i="1" s="1"/>
  <c r="O34" i="1"/>
  <c r="O60" i="1"/>
  <c r="W60" i="1" s="1"/>
  <c r="Y60" i="1" s="1"/>
  <c r="N50" i="1"/>
  <c r="O50" i="1" s="1"/>
  <c r="W50" i="1" s="1"/>
  <c r="Y50" i="1" s="1"/>
  <c r="N44" i="1"/>
  <c r="O44" i="1" s="1"/>
  <c r="W44" i="1" s="1"/>
  <c r="Y44" i="1" s="1"/>
  <c r="N38" i="1"/>
  <c r="O38" i="1" s="1"/>
  <c r="O40" i="1"/>
  <c r="O31" i="1"/>
  <c r="W31" i="1" s="1"/>
  <c r="Y31" i="1" s="1"/>
  <c r="N28" i="1"/>
  <c r="O28" i="1" s="1"/>
  <c r="W28" i="1" s="1"/>
  <c r="Y28" i="1" s="1"/>
  <c r="N25" i="1"/>
  <c r="O25" i="1" s="1"/>
  <c r="W25" i="1" s="1"/>
  <c r="Y25" i="1" s="1"/>
  <c r="N11" i="1"/>
  <c r="O11" i="1" s="1"/>
  <c r="W11" i="1" s="1"/>
  <c r="Y11" i="1" s="1"/>
  <c r="N4" i="1"/>
  <c r="O4" i="1" s="1"/>
  <c r="W4" i="1" s="1"/>
  <c r="Y4" i="1" s="1"/>
  <c r="O22" i="1" l="1"/>
  <c r="W22" i="1" s="1"/>
  <c r="Y22" i="1" s="1"/>
  <c r="O16" i="1"/>
  <c r="W16" i="1" s="1"/>
  <c r="Y16" i="1" s="1"/>
  <c r="W34" i="1"/>
  <c r="Y34" i="1" s="1"/>
  <c r="U74" i="1" l="1"/>
  <c r="N74" i="1"/>
  <c r="O74" i="1" s="1"/>
  <c r="W74" i="1" l="1"/>
  <c r="Y74" i="1" s="1"/>
  <c r="U56" i="1"/>
  <c r="U57" i="1"/>
  <c r="U58" i="1"/>
  <c r="U59" i="1"/>
  <c r="N56" i="1"/>
  <c r="O56" i="1" s="1"/>
  <c r="W56" i="1" l="1"/>
  <c r="Y56" i="1" s="1"/>
  <c r="U213" i="1"/>
  <c r="U212" i="1"/>
  <c r="U211" i="1"/>
  <c r="N211" i="1"/>
  <c r="O211" i="1" s="1"/>
  <c r="U210" i="1"/>
  <c r="U209" i="1"/>
  <c r="U208" i="1"/>
  <c r="N208" i="1"/>
  <c r="O208" i="1" s="1"/>
  <c r="U207" i="1"/>
  <c r="U206" i="1"/>
  <c r="N206" i="1"/>
  <c r="O206" i="1" s="1"/>
  <c r="U205" i="1"/>
  <c r="U204" i="1"/>
  <c r="U203" i="1"/>
  <c r="N203" i="1"/>
  <c r="O203" i="1" s="1"/>
  <c r="U202" i="1"/>
  <c r="U201" i="1"/>
  <c r="U200" i="1"/>
  <c r="N200" i="1"/>
  <c r="O200" i="1" s="1"/>
  <c r="U193" i="1"/>
  <c r="U192" i="1"/>
  <c r="U191" i="1"/>
  <c r="N191" i="1"/>
  <c r="O191" i="1" s="1"/>
  <c r="U187" i="1"/>
  <c r="U186" i="1"/>
  <c r="N186" i="1"/>
  <c r="O186" i="1" s="1"/>
  <c r="U185" i="1"/>
  <c r="U184" i="1"/>
  <c r="U183" i="1"/>
  <c r="N183" i="1"/>
  <c r="O183" i="1" s="1"/>
  <c r="U182" i="1"/>
  <c r="U181" i="1"/>
  <c r="U180" i="1"/>
  <c r="N180" i="1"/>
  <c r="O180" i="1" s="1"/>
  <c r="U179" i="1"/>
  <c r="N179" i="1"/>
  <c r="O179" i="1" s="1"/>
  <c r="U178" i="1"/>
  <c r="U177" i="1"/>
  <c r="N177" i="1"/>
  <c r="O177" i="1" s="1"/>
  <c r="U174" i="1"/>
  <c r="U173" i="1"/>
  <c r="N173" i="1"/>
  <c r="U172" i="1"/>
  <c r="U171" i="1"/>
  <c r="U170" i="1"/>
  <c r="N170" i="1"/>
  <c r="O170" i="1" s="1"/>
  <c r="W200" i="1" l="1"/>
  <c r="Y200" i="1" s="1"/>
  <c r="W203" i="1"/>
  <c r="Y203" i="1" s="1"/>
  <c r="W211" i="1"/>
  <c r="Y211" i="1" s="1"/>
  <c r="W208" i="1"/>
  <c r="Y208" i="1" s="1"/>
  <c r="W206" i="1"/>
  <c r="Y206" i="1" s="1"/>
  <c r="W191" i="1"/>
  <c r="Y191" i="1" s="1"/>
  <c r="W177" i="1"/>
  <c r="Y177" i="1" s="1"/>
  <c r="W179" i="1"/>
  <c r="Y179" i="1" s="1"/>
  <c r="W180" i="1"/>
  <c r="Y180" i="1" s="1"/>
  <c r="W183" i="1"/>
  <c r="Y183" i="1" s="1"/>
  <c r="W186" i="1"/>
  <c r="Y186" i="1" s="1"/>
  <c r="W170" i="1"/>
  <c r="Y170" i="1" s="1"/>
  <c r="W173" i="1"/>
  <c r="Y173" i="1" s="1"/>
  <c r="U158" i="1" l="1"/>
  <c r="U159" i="1"/>
  <c r="U160" i="1"/>
  <c r="U161" i="1"/>
  <c r="N158" i="1"/>
  <c r="O158" i="1" s="1"/>
  <c r="U162" i="1"/>
  <c r="U163" i="1"/>
  <c r="U164" i="1"/>
  <c r="N162" i="1"/>
  <c r="O162" i="1" s="1"/>
  <c r="U155" i="1"/>
  <c r="U156" i="1"/>
  <c r="U157" i="1"/>
  <c r="N155" i="1"/>
  <c r="O155" i="1" s="1"/>
  <c r="U154" i="1"/>
  <c r="U153" i="1"/>
  <c r="U152" i="1"/>
  <c r="N152" i="1"/>
  <c r="O152" i="1" s="1"/>
  <c r="U150" i="1"/>
  <c r="U151" i="1"/>
  <c r="N150" i="1"/>
  <c r="O150" i="1" s="1"/>
  <c r="O141" i="1"/>
  <c r="U141" i="1"/>
  <c r="U142" i="1"/>
  <c r="O131" i="1"/>
  <c r="U131" i="1"/>
  <c r="U132" i="1"/>
  <c r="U133" i="1"/>
  <c r="O126" i="1"/>
  <c r="U127" i="1"/>
  <c r="U128" i="1"/>
  <c r="U129" i="1"/>
  <c r="U130" i="1"/>
  <c r="U126" i="1"/>
  <c r="O128" i="1"/>
  <c r="U124" i="1"/>
  <c r="O125" i="1"/>
  <c r="O121" i="1"/>
  <c r="U121" i="1"/>
  <c r="U122" i="1"/>
  <c r="U123" i="1"/>
  <c r="O119" i="1"/>
  <c r="U119" i="1"/>
  <c r="U120" i="1"/>
  <c r="O117" i="1"/>
  <c r="U117" i="1"/>
  <c r="U118" i="1"/>
  <c r="U116" i="1"/>
  <c r="O115" i="1"/>
  <c r="O114" i="1"/>
  <c r="O113" i="1"/>
  <c r="U112" i="1"/>
  <c r="U113" i="1"/>
  <c r="U114" i="1"/>
  <c r="U115" i="1"/>
  <c r="U111" i="1"/>
  <c r="U110" i="1"/>
  <c r="U109" i="1"/>
  <c r="O109" i="1"/>
  <c r="O106" i="1"/>
  <c r="U106" i="1"/>
  <c r="U107" i="1"/>
  <c r="U108" i="1"/>
  <c r="U105" i="1"/>
  <c r="U104" i="1"/>
  <c r="U103" i="1"/>
  <c r="U102" i="1"/>
  <c r="O102" i="1"/>
  <c r="O98" i="1"/>
  <c r="U98" i="1"/>
  <c r="U99" i="1"/>
  <c r="U100" i="1"/>
  <c r="U101" i="1"/>
  <c r="O95" i="1"/>
  <c r="U95" i="1"/>
  <c r="U96" i="1"/>
  <c r="U97" i="1"/>
  <c r="U148" i="1"/>
  <c r="U149" i="1"/>
  <c r="N148" i="1"/>
  <c r="O148" i="1" s="1"/>
  <c r="U143" i="1"/>
  <c r="U144" i="1"/>
  <c r="N143" i="1"/>
  <c r="O143" i="1" s="1"/>
  <c r="U145" i="1"/>
  <c r="U146" i="1"/>
  <c r="U147" i="1"/>
  <c r="N145" i="1"/>
  <c r="O145" i="1" s="1"/>
  <c r="U140" i="1"/>
  <c r="U139" i="1"/>
  <c r="N139" i="1"/>
  <c r="O139" i="1" s="1"/>
  <c r="U137" i="1"/>
  <c r="U138" i="1"/>
  <c r="N137" i="1"/>
  <c r="O137" i="1" s="1"/>
  <c r="U134" i="1"/>
  <c r="U135" i="1"/>
  <c r="U136" i="1"/>
  <c r="N134" i="1"/>
  <c r="O134" i="1" s="1"/>
  <c r="U222" i="1"/>
  <c r="U223" i="1"/>
  <c r="U224" i="1"/>
  <c r="N222" i="1"/>
  <c r="O222" i="1" s="1"/>
  <c r="U220" i="1"/>
  <c r="U221" i="1"/>
  <c r="N220" i="1"/>
  <c r="O220" i="1" s="1"/>
  <c r="U218" i="1"/>
  <c r="U219" i="1"/>
  <c r="N218" i="1"/>
  <c r="O218" i="1" s="1"/>
  <c r="U214" i="1"/>
  <c r="U215" i="1"/>
  <c r="U216" i="1"/>
  <c r="U217" i="1"/>
  <c r="N214" i="1"/>
  <c r="O214" i="1" s="1"/>
  <c r="U194" i="1"/>
  <c r="U195" i="1"/>
  <c r="N194" i="1"/>
  <c r="O194" i="1" s="1"/>
  <c r="U225" i="1"/>
  <c r="U226" i="1"/>
  <c r="U227" i="1"/>
  <c r="N225" i="1"/>
  <c r="O225" i="1" s="1"/>
  <c r="U189" i="1"/>
  <c r="U190" i="1"/>
  <c r="U188" i="1"/>
  <c r="N188" i="1"/>
  <c r="O188" i="1" s="1"/>
  <c r="U75" i="1"/>
  <c r="U76" i="1"/>
  <c r="U77" i="1"/>
  <c r="N75" i="1"/>
  <c r="O75" i="1" s="1"/>
  <c r="U197" i="1"/>
  <c r="U198" i="1"/>
  <c r="U199" i="1"/>
  <c r="U196" i="1"/>
  <c r="N196" i="1"/>
  <c r="W162" i="1" l="1"/>
  <c r="Y162" i="1" s="1"/>
  <c r="W158" i="1"/>
  <c r="Y158" i="1" s="1"/>
  <c r="W152" i="1"/>
  <c r="Y152" i="1" s="1"/>
  <c r="W155" i="1"/>
  <c r="Y155" i="1" s="1"/>
  <c r="W150" i="1"/>
  <c r="Y150" i="1" s="1"/>
  <c r="W141" i="1"/>
  <c r="Y141" i="1" s="1"/>
  <c r="W131" i="1"/>
  <c r="Y131" i="1" s="1"/>
  <c r="W126" i="1"/>
  <c r="Y126" i="1" s="1"/>
  <c r="W121" i="1"/>
  <c r="W119" i="1"/>
  <c r="Y119" i="1" s="1"/>
  <c r="W117" i="1"/>
  <c r="Y117" i="1" s="1"/>
  <c r="W112" i="1"/>
  <c r="Y112" i="1" s="1"/>
  <c r="W109" i="1"/>
  <c r="Y109" i="1" s="1"/>
  <c r="W106" i="1"/>
  <c r="Y106" i="1" s="1"/>
  <c r="W102" i="1"/>
  <c r="Y102" i="1" s="1"/>
  <c r="W98" i="1"/>
  <c r="Y98" i="1" s="1"/>
  <c r="W95" i="1"/>
  <c r="Y95" i="1" s="1"/>
  <c r="W148" i="1"/>
  <c r="Y148" i="1" s="1"/>
  <c r="W143" i="1"/>
  <c r="Y143" i="1" s="1"/>
  <c r="W137" i="1"/>
  <c r="Y137" i="1" s="1"/>
  <c r="W145" i="1"/>
  <c r="Y145" i="1" s="1"/>
  <c r="W139" i="1"/>
  <c r="Y139" i="1" s="1"/>
  <c r="W222" i="1"/>
  <c r="Y222" i="1" s="1"/>
  <c r="W134" i="1"/>
  <c r="Y134" i="1" s="1"/>
  <c r="W220" i="1"/>
  <c r="Y220" i="1" s="1"/>
  <c r="W214" i="1"/>
  <c r="Y214" i="1" s="1"/>
  <c r="W218" i="1"/>
  <c r="Y218" i="1" s="1"/>
  <c r="W194" i="1"/>
  <c r="Y194" i="1" s="1"/>
  <c r="W225" i="1"/>
  <c r="Y225" i="1" s="1"/>
  <c r="W188" i="1"/>
  <c r="Y188" i="1" s="1"/>
  <c r="W75" i="1"/>
  <c r="Y75" i="1" s="1"/>
  <c r="O196" i="1"/>
  <c r="W196" i="1" s="1"/>
  <c r="Y196" i="1" s="1"/>
  <c r="J124" i="1" l="1"/>
  <c r="O124" i="1" s="1"/>
  <c r="W124" i="1" s="1"/>
  <c r="Y124" i="1" s="1"/>
  <c r="Y121" i="1"/>
  <c r="H9" i="2"/>
  <c r="L105" i="2" l="1"/>
  <c r="H105" i="2"/>
  <c r="M105" i="2" s="1"/>
  <c r="L104" i="2"/>
  <c r="H104" i="2"/>
  <c r="M104" i="2" s="1"/>
  <c r="L103" i="2"/>
  <c r="H103" i="2"/>
  <c r="M103" i="2" s="1"/>
  <c r="L102" i="2"/>
  <c r="H102" i="2"/>
  <c r="M102" i="2" s="1"/>
  <c r="L101" i="2"/>
  <c r="H101" i="2"/>
  <c r="M101" i="2" s="1"/>
  <c r="L100" i="2"/>
  <c r="H100" i="2"/>
  <c r="M100" i="2" s="1"/>
  <c r="L99" i="2"/>
  <c r="H99" i="2"/>
  <c r="M99" i="2" s="1"/>
  <c r="L98" i="2"/>
  <c r="H98" i="2"/>
  <c r="M98" i="2" s="1"/>
  <c r="L97" i="2"/>
  <c r="H97" i="2"/>
  <c r="M97" i="2" s="1"/>
  <c r="L96" i="2"/>
  <c r="H96" i="2"/>
  <c r="M96" i="2" s="1"/>
  <c r="L95" i="2"/>
  <c r="H95" i="2"/>
  <c r="M95" i="2" s="1"/>
  <c r="L94" i="2"/>
  <c r="H94" i="2"/>
  <c r="M94" i="2" s="1"/>
  <c r="L93" i="2"/>
  <c r="H93" i="2"/>
  <c r="M93" i="2" s="1"/>
  <c r="L92" i="2"/>
  <c r="H92" i="2"/>
  <c r="M92" i="2" s="1"/>
  <c r="L91" i="2"/>
  <c r="H91" i="2"/>
  <c r="M91" i="2" s="1"/>
  <c r="L90" i="2"/>
  <c r="H90" i="2"/>
  <c r="M90" i="2" s="1"/>
  <c r="L89" i="2"/>
  <c r="H89" i="2"/>
  <c r="M89" i="2" s="1"/>
  <c r="L88" i="2"/>
  <c r="H88" i="2"/>
  <c r="M88" i="2" s="1"/>
  <c r="L87" i="2"/>
  <c r="H87" i="2"/>
  <c r="M87" i="2" s="1"/>
  <c r="L86" i="2"/>
  <c r="H86" i="2"/>
  <c r="M86" i="2" s="1"/>
  <c r="L85" i="2"/>
  <c r="H85" i="2"/>
  <c r="M85" i="2" s="1"/>
  <c r="L84" i="2"/>
  <c r="H84" i="2"/>
  <c r="M84" i="2" s="1"/>
  <c r="L83" i="2"/>
  <c r="H83" i="2"/>
  <c r="M83" i="2" s="1"/>
  <c r="L82" i="2"/>
  <c r="H82" i="2"/>
  <c r="M82" i="2" s="1"/>
  <c r="L81" i="2"/>
  <c r="H81" i="2"/>
  <c r="M81" i="2" s="1"/>
  <c r="L80" i="2"/>
  <c r="H80" i="2"/>
  <c r="M80" i="2" s="1"/>
  <c r="L79" i="2"/>
  <c r="H79" i="2"/>
  <c r="M79" i="2" s="1"/>
  <c r="L78" i="2"/>
  <c r="H78" i="2"/>
  <c r="M78" i="2" s="1"/>
  <c r="L77" i="2"/>
  <c r="H77" i="2"/>
  <c r="M77" i="2" s="1"/>
  <c r="L76" i="2"/>
  <c r="H76" i="2"/>
  <c r="M76" i="2" s="1"/>
  <c r="L75" i="2"/>
  <c r="H75" i="2"/>
  <c r="M75" i="2" s="1"/>
  <c r="L74" i="2"/>
  <c r="H74" i="2"/>
  <c r="M74" i="2" s="1"/>
  <c r="L73" i="2"/>
  <c r="H73" i="2"/>
  <c r="M73" i="2" s="1"/>
  <c r="L72" i="2"/>
  <c r="H72" i="2"/>
  <c r="M72" i="2" s="1"/>
  <c r="L71" i="2"/>
  <c r="H71" i="2"/>
  <c r="M71" i="2" s="1"/>
  <c r="L70" i="2"/>
  <c r="H70" i="2"/>
  <c r="M70" i="2" s="1"/>
  <c r="L69" i="2"/>
  <c r="H69" i="2"/>
  <c r="M69" i="2" s="1"/>
  <c r="L68" i="2"/>
  <c r="H68" i="2"/>
  <c r="M68" i="2" s="1"/>
  <c r="L67" i="2"/>
  <c r="H67" i="2"/>
  <c r="M67" i="2" s="1"/>
  <c r="L66" i="2"/>
  <c r="H66" i="2"/>
  <c r="M66" i="2" s="1"/>
  <c r="L65" i="2"/>
  <c r="H65" i="2"/>
  <c r="M65" i="2" s="1"/>
  <c r="L64" i="2"/>
  <c r="H64" i="2"/>
  <c r="M64" i="2" s="1"/>
  <c r="L63" i="2"/>
  <c r="H63" i="2"/>
  <c r="M63" i="2" s="1"/>
  <c r="L62" i="2"/>
  <c r="H62" i="2"/>
  <c r="M62" i="2" s="1"/>
  <c r="L61" i="2"/>
  <c r="H61" i="2"/>
  <c r="M61" i="2" s="1"/>
  <c r="L60" i="2"/>
  <c r="H60" i="2"/>
  <c r="M60" i="2" s="1"/>
  <c r="L59" i="2"/>
  <c r="H59" i="2"/>
  <c r="M59" i="2" s="1"/>
  <c r="L58" i="2"/>
  <c r="H58" i="2"/>
  <c r="M58" i="2" s="1"/>
  <c r="L57" i="2"/>
  <c r="H57" i="2"/>
  <c r="M57" i="2" s="1"/>
  <c r="L56" i="2"/>
  <c r="H56" i="2"/>
  <c r="M56" i="2" s="1"/>
  <c r="L55" i="2"/>
  <c r="H55" i="2"/>
  <c r="M55" i="2" s="1"/>
  <c r="L54" i="2"/>
  <c r="H54" i="2"/>
  <c r="M54" i="2" s="1"/>
  <c r="L53" i="2"/>
  <c r="H53" i="2"/>
  <c r="M53" i="2" s="1"/>
  <c r="L52" i="2"/>
  <c r="H52" i="2"/>
  <c r="M52" i="2" s="1"/>
  <c r="L51" i="2"/>
  <c r="H51" i="2"/>
  <c r="M51" i="2" s="1"/>
  <c r="L50" i="2"/>
  <c r="H50" i="2"/>
  <c r="M50" i="2" s="1"/>
  <c r="L49" i="2"/>
  <c r="H49" i="2"/>
  <c r="M49" i="2" s="1"/>
  <c r="L48" i="2"/>
  <c r="H48" i="2"/>
  <c r="M48" i="2" s="1"/>
  <c r="L47" i="2"/>
  <c r="H47" i="2"/>
  <c r="M47" i="2" s="1"/>
  <c r="L46" i="2"/>
  <c r="H46" i="2"/>
  <c r="M46" i="2" s="1"/>
  <c r="L45" i="2"/>
  <c r="H45" i="2"/>
  <c r="M45" i="2" s="1"/>
  <c r="L44" i="2"/>
  <c r="H44" i="2"/>
  <c r="M44" i="2" s="1"/>
  <c r="L43" i="2"/>
  <c r="H43" i="2"/>
  <c r="M43" i="2" s="1"/>
  <c r="L42" i="2"/>
  <c r="H42" i="2"/>
  <c r="M42" i="2" s="1"/>
  <c r="L41" i="2"/>
  <c r="H41" i="2"/>
  <c r="M41" i="2" s="1"/>
  <c r="L40" i="2"/>
  <c r="H40" i="2"/>
  <c r="M40" i="2" s="1"/>
  <c r="L39" i="2"/>
  <c r="H39" i="2"/>
  <c r="M39" i="2" s="1"/>
  <c r="J38" i="2"/>
  <c r="L38" i="2" s="1"/>
  <c r="H38" i="2"/>
  <c r="J37" i="2"/>
  <c r="L37" i="2" s="1"/>
  <c r="H37" i="2"/>
  <c r="J36" i="2"/>
  <c r="L36" i="2" s="1"/>
  <c r="H36" i="2"/>
  <c r="J35" i="2"/>
  <c r="L35" i="2" s="1"/>
  <c r="H35" i="2"/>
  <c r="J34" i="2"/>
  <c r="L34" i="2" s="1"/>
  <c r="H34" i="2"/>
  <c r="J33" i="2"/>
  <c r="L33" i="2" s="1"/>
  <c r="H33" i="2"/>
  <c r="J32" i="2"/>
  <c r="L32" i="2" s="1"/>
  <c r="H32" i="2"/>
  <c r="J31" i="2"/>
  <c r="L31" i="2" s="1"/>
  <c r="H31" i="2"/>
  <c r="J30" i="2"/>
  <c r="L30" i="2" s="1"/>
  <c r="H30" i="2"/>
  <c r="J29" i="2"/>
  <c r="L29" i="2" s="1"/>
  <c r="H29" i="2"/>
  <c r="J28" i="2"/>
  <c r="L28" i="2" s="1"/>
  <c r="H28" i="2"/>
  <c r="J27" i="2"/>
  <c r="L27" i="2" s="1"/>
  <c r="H27" i="2"/>
  <c r="J26" i="2"/>
  <c r="L26" i="2" s="1"/>
  <c r="H26" i="2"/>
  <c r="J25" i="2"/>
  <c r="L25" i="2" s="1"/>
  <c r="H25" i="2"/>
  <c r="J24" i="2"/>
  <c r="L24" i="2" s="1"/>
  <c r="H24" i="2"/>
  <c r="J23" i="2"/>
  <c r="L23" i="2" s="1"/>
  <c r="H23" i="2"/>
  <c r="J22" i="2"/>
  <c r="L22" i="2" s="1"/>
  <c r="H22" i="2"/>
  <c r="J21" i="2"/>
  <c r="L21" i="2" s="1"/>
  <c r="H21" i="2"/>
  <c r="H20" i="2"/>
  <c r="M20" i="2" s="1"/>
  <c r="J19" i="2"/>
  <c r="H19" i="2"/>
  <c r="H18" i="2"/>
  <c r="I17" i="2"/>
  <c r="J18" i="2" s="1"/>
  <c r="L18" i="2" s="1"/>
  <c r="H17" i="2"/>
  <c r="J16" i="2"/>
  <c r="L16" i="2" s="1"/>
  <c r="H16" i="2"/>
  <c r="J15" i="2"/>
  <c r="L15" i="2" s="1"/>
  <c r="I15" i="2"/>
  <c r="H15" i="2"/>
  <c r="M15" i="2" s="1"/>
  <c r="J14" i="2"/>
  <c r="L14" i="2" s="1"/>
  <c r="H14" i="2"/>
  <c r="J13" i="2"/>
  <c r="L13" i="2" s="1"/>
  <c r="H13" i="2"/>
  <c r="J12" i="2"/>
  <c r="L12" i="2" s="1"/>
  <c r="H12" i="2"/>
  <c r="J11" i="2"/>
  <c r="L11" i="2" s="1"/>
  <c r="H11" i="2"/>
  <c r="J10" i="2"/>
  <c r="L10" i="2" s="1"/>
  <c r="H10" i="2"/>
  <c r="J9" i="2"/>
  <c r="L9" i="2" s="1"/>
  <c r="M27" i="2" l="1"/>
  <c r="M22" i="2"/>
  <c r="M34" i="2"/>
  <c r="M24" i="2"/>
  <c r="M29" i="2"/>
  <c r="M36" i="2"/>
  <c r="M21" i="2"/>
  <c r="M23" i="2"/>
  <c r="M25" i="2"/>
  <c r="M28" i="2"/>
  <c r="M31" i="2"/>
  <c r="M32" i="2"/>
  <c r="M33" i="2"/>
  <c r="M35" i="2"/>
  <c r="M37" i="2"/>
  <c r="M9" i="2"/>
  <c r="M18" i="2"/>
  <c r="M10" i="2"/>
  <c r="M12" i="2"/>
  <c r="M13" i="2"/>
  <c r="M16" i="2"/>
  <c r="M38" i="2"/>
  <c r="M11" i="2"/>
  <c r="M14" i="2"/>
  <c r="J17" i="2"/>
  <c r="L17" i="2" s="1"/>
  <c r="M19" i="2"/>
  <c r="M26" i="2"/>
  <c r="M30" i="2"/>
  <c r="L20" i="2"/>
  <c r="L19" i="2"/>
  <c r="M17" i="2" l="1"/>
</calcChain>
</file>

<file path=xl/sharedStrings.xml><?xml version="1.0" encoding="utf-8"?>
<sst xmlns="http://schemas.openxmlformats.org/spreadsheetml/2006/main" count="2104" uniqueCount="544">
  <si>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（1913659）</t>
    </r>
  </si>
  <si>
    <r>
      <rPr>
        <b/>
        <sz val="11"/>
        <rFont val="楷体_GB2312"/>
        <charset val="134"/>
      </rP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charset val="134"/>
      </rPr>
      <t xml:space="preserve">   协议编号：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</si>
  <si>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</si>
  <si>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</si>
  <si>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</si>
  <si>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</si>
  <si>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</si>
  <si>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</si>
  <si>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</si>
  <si>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</si>
  <si>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</si>
  <si>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</si>
  <si>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</si>
  <si>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系统价格</t>
  </si>
  <si>
    <t>地点</t>
  </si>
  <si>
    <t>备注</t>
  </si>
  <si>
    <t>2023年1月-11月价格</t>
  </si>
  <si>
    <t>2023年12月1日起执行价</t>
  </si>
  <si>
    <t>模检具总价</t>
  </si>
  <si>
    <t>摊销费</t>
  </si>
  <si>
    <t>摊销方式</t>
  </si>
  <si>
    <t>2020年报价</t>
  </si>
  <si>
    <t>SHT0010786</t>
  </si>
  <si>
    <t>H6罩壳固定钣金片</t>
  </si>
  <si>
    <t>02.03.57.027</t>
  </si>
  <si>
    <t>EA</t>
  </si>
  <si>
    <t>模检夹具费100%分摊至10万件产品中</t>
  </si>
  <si>
    <t>SHT0010699</t>
  </si>
  <si>
    <t>H6橡胶垫安装支架</t>
  </si>
  <si>
    <t>02.03.57.018</t>
  </si>
  <si>
    <t>SHT0010240</t>
  </si>
  <si>
    <t>H6防尘罩支撑钣金</t>
  </si>
  <si>
    <t>02.03.57.023</t>
  </si>
  <si>
    <t>SHT0010261</t>
  </si>
  <si>
    <t>H6罩壳固定钣金</t>
  </si>
  <si>
    <t>02.03.57.024</t>
  </si>
  <si>
    <t>SHT0010134</t>
  </si>
  <si>
    <t>H6坐盆延伸固定钣金</t>
  </si>
  <si>
    <t>02.03.57.029</t>
  </si>
  <si>
    <t>SHT0012971</t>
  </si>
  <si>
    <t>安全带上悬置固定板总成</t>
  </si>
  <si>
    <t>02.03.11.128</t>
  </si>
  <si>
    <t>模检夹具费100%分摊至5万件产品中</t>
  </si>
  <si>
    <t>2021.3.25由ECR0006165设变而新开</t>
  </si>
  <si>
    <t>SHT0012843</t>
  </si>
  <si>
    <t>升降左前固定钣金</t>
  </si>
  <si>
    <t>02.03.61.071A</t>
  </si>
  <si>
    <t>2021.9.25设变</t>
  </si>
  <si>
    <t>SHT0013700</t>
  </si>
  <si>
    <t>升降右前固定钣金</t>
  </si>
  <si>
    <t>02.03.61.072A</t>
  </si>
  <si>
    <t>SHT0012844</t>
  </si>
  <si>
    <t>升降左后固定钣金</t>
  </si>
  <si>
    <t>02.03.61.073A</t>
  </si>
  <si>
    <t>SHT0013699</t>
  </si>
  <si>
    <t>升降右后固定钣金</t>
  </si>
  <si>
    <t>02.03.61.074A</t>
  </si>
  <si>
    <t>1.0座框前横梁总成</t>
  </si>
  <si>
    <t>02.03.60.057</t>
  </si>
  <si>
    <t>检具费用</t>
  </si>
  <si>
    <t>SHT0011999</t>
  </si>
  <si>
    <t>1.0座框前横梁</t>
  </si>
  <si>
    <t>02.03.60.003</t>
  </si>
  <si>
    <t>SHT0012212总成供货</t>
  </si>
  <si>
    <t>SHT0012003</t>
  </si>
  <si>
    <t>升降拉线固定钣金</t>
  </si>
  <si>
    <t>02.03.60.008</t>
  </si>
  <si>
    <t>SHT0012052</t>
  </si>
  <si>
    <t>主侧罩壳固定片1</t>
  </si>
  <si>
    <t>02.03.60.014</t>
  </si>
  <si>
    <t>SHT0012054</t>
  </si>
  <si>
    <t>主侧罩壳固定片2</t>
  </si>
  <si>
    <t>02.03.60.059</t>
  </si>
  <si>
    <t>SHT0012111</t>
  </si>
  <si>
    <t>M4主边罩壳后固定板</t>
  </si>
  <si>
    <t>02.03.60.016</t>
  </si>
  <si>
    <t>SHT0001857</t>
  </si>
  <si>
    <t>上框后横梁总成</t>
  </si>
  <si>
    <t>02.03.37.040A</t>
  </si>
  <si>
    <t>SHT0001859</t>
  </si>
  <si>
    <t>下框横梁（新状态）</t>
  </si>
  <si>
    <t>02.03.37.042</t>
  </si>
  <si>
    <t>X3000</t>
  </si>
  <si>
    <t>2019年设变，新增两孔，但K3号没变，产品价格未增加，本次厂家提出重新核算</t>
  </si>
  <si>
    <t>SHT0011723</t>
  </si>
  <si>
    <t>稳定钣金</t>
  </si>
  <si>
    <t>02.03.61.008</t>
  </si>
  <si>
    <t>SHT0011778</t>
  </si>
  <si>
    <t>座框前梁</t>
  </si>
  <si>
    <t>02.03.61.009</t>
  </si>
  <si>
    <t>SHT0011804</t>
  </si>
  <si>
    <t>仰角调节机构钣金件1左</t>
  </si>
  <si>
    <t>02.03.11.108</t>
  </si>
  <si>
    <t>H4-2.0座框总成供货</t>
  </si>
  <si>
    <t>SHT0011805</t>
  </si>
  <si>
    <t>仰角调节机构钣金件1右</t>
  </si>
  <si>
    <t>02.03.11.109</t>
  </si>
  <si>
    <t>系统未维护</t>
  </si>
  <si>
    <t>仰角调节机构钣金件2</t>
  </si>
  <si>
    <t>02.03.11.110A</t>
  </si>
  <si>
    <t>SHT0001058</t>
  </si>
  <si>
    <t>仰角调节机构手柄钣金件</t>
  </si>
  <si>
    <t>02.03.26.022A</t>
  </si>
  <si>
    <t>SHT0002071</t>
  </si>
  <si>
    <t>D04导向板固定片</t>
  </si>
  <si>
    <t>02.03.27.008A</t>
  </si>
  <si>
    <t>SHT0012113</t>
  </si>
  <si>
    <t>M3000副边罩壳固定钣金</t>
  </si>
  <si>
    <t>02.03.60.058</t>
  </si>
  <si>
    <t>SHT0013786</t>
  </si>
  <si>
    <t>X5000副边罩壳固定钣金</t>
  </si>
  <si>
    <t>02.03.60.087</t>
  </si>
  <si>
    <t>SHT0012053</t>
  </si>
  <si>
    <t>副边罩壳固定钣金</t>
  </si>
  <si>
    <t>02.03.60.060</t>
  </si>
  <si>
    <t>SHT0012497</t>
  </si>
  <si>
    <t>底座左连接板焊接总成</t>
  </si>
  <si>
    <t>02.03.61.027</t>
  </si>
  <si>
    <t>SHT0012498</t>
  </si>
  <si>
    <t>底座右连接板焊接总成</t>
  </si>
  <si>
    <t>02.03.61.028</t>
  </si>
  <si>
    <t>SHT0001930</t>
  </si>
  <si>
    <t>H5安全带上悬置安装板</t>
  </si>
  <si>
    <t>02.03.44.017</t>
  </si>
  <si>
    <t>件</t>
  </si>
  <si>
    <t>——</t>
  </si>
  <si>
    <t>SCS0005506</t>
  </si>
  <si>
    <t>P203调角器手柄钣金左</t>
  </si>
  <si>
    <t>02.03.50.003</t>
  </si>
  <si>
    <t>SCS0005512</t>
  </si>
  <si>
    <t>P203调角器手柄钣金右</t>
  </si>
  <si>
    <t>02.03.50.004</t>
  </si>
  <si>
    <t>SHT0002313</t>
  </si>
  <si>
    <t>陕汽L型连接板左</t>
  </si>
  <si>
    <t>02.03.07.242</t>
  </si>
  <si>
    <t>SHT0002314</t>
  </si>
  <si>
    <t>陕汽L型连接板右</t>
  </si>
  <si>
    <t>02.03.07.243</t>
  </si>
  <si>
    <t>SHT0010453</t>
  </si>
  <si>
    <t>M3000下框前横梁组件</t>
  </si>
  <si>
    <t>02.03.49.008</t>
  </si>
  <si>
    <t>SLT0002212</t>
  </si>
  <si>
    <t>J6F驾驶员旁侧板固定支架</t>
  </si>
  <si>
    <t>02.03.27.075</t>
  </si>
  <si>
    <t>SLT0002207</t>
  </si>
  <si>
    <t>J6F靠背风扇安装板</t>
  </si>
  <si>
    <t>02.03.27.076</t>
  </si>
  <si>
    <t>SHT0001920</t>
  </si>
  <si>
    <t>X3000上框后横梁</t>
  </si>
  <si>
    <t>02.03.37.005A</t>
  </si>
  <si>
    <t>X3000上框后横梁总成</t>
  </si>
  <si>
    <t>02.03.37.040</t>
  </si>
  <si>
    <t>SHT0001865</t>
  </si>
  <si>
    <t>X3000下框后横梁总成</t>
  </si>
  <si>
    <t>02.03.37.041</t>
  </si>
  <si>
    <t>SHT0001917</t>
  </si>
  <si>
    <t>X3000支架横梁</t>
  </si>
  <si>
    <t>02.03.37.043</t>
  </si>
  <si>
    <t>电控模块固定钣金</t>
  </si>
  <si>
    <t>02.03.46.001</t>
  </si>
  <si>
    <t>SCS0004845</t>
  </si>
  <si>
    <t>H4A前倾角挡位固定板左</t>
  </si>
  <si>
    <t>02.03.26.097</t>
  </si>
  <si>
    <t>SCS0004846</t>
  </si>
  <si>
    <t>H4A前倾角挡位固定板右</t>
  </si>
  <si>
    <t>02.03.26.098</t>
  </si>
  <si>
    <t>SHT0001174</t>
  </si>
  <si>
    <t>液压减震器绞架上滑槽</t>
  </si>
  <si>
    <t>02.03.03.084</t>
  </si>
  <si>
    <t>SHT0001160</t>
  </si>
  <si>
    <t>机械内绞架下支架</t>
  </si>
  <si>
    <t>02.03.03.098</t>
  </si>
  <si>
    <t>REM0002965</t>
  </si>
  <si>
    <t>H3镜杆堵头</t>
  </si>
  <si>
    <t>02.03.48.017</t>
  </si>
  <si>
    <t>RSM0000308</t>
  </si>
  <si>
    <t>奥铃镜杆18堵头</t>
  </si>
  <si>
    <t>02.03.48.012</t>
  </si>
  <si>
    <t>REM0001783</t>
  </si>
  <si>
    <t>北奔小碗</t>
  </si>
  <si>
    <t>02.01.04.208</t>
  </si>
  <si>
    <t>REM0001650</t>
  </si>
  <si>
    <t>仿丰田小碗</t>
  </si>
  <si>
    <t>02.01.05.012</t>
  </si>
  <si>
    <t>REM0001740</t>
  </si>
  <si>
    <t>奥铃小碗</t>
  </si>
  <si>
    <t>02.01.05.013</t>
  </si>
  <si>
    <t>REM0001661</t>
  </si>
  <si>
    <t>1780定位片</t>
  </si>
  <si>
    <t>02.01.05.019</t>
  </si>
  <si>
    <t>RIM0000072</t>
  </si>
  <si>
    <t>1028室铁件</t>
  </si>
  <si>
    <t>02.01.05.030</t>
  </si>
  <si>
    <t>RIM0000073</t>
  </si>
  <si>
    <t>1029室打铁片</t>
  </si>
  <si>
    <t>02.01.05.032</t>
  </si>
  <si>
    <t>REM0001806</t>
  </si>
  <si>
    <t>豪泺小碗</t>
  </si>
  <si>
    <t>02.01.05.050</t>
  </si>
  <si>
    <t>REM0001978</t>
  </si>
  <si>
    <t>欧马克小碗</t>
  </si>
  <si>
    <t>02.01.05.054</t>
  </si>
  <si>
    <t>REM0001722</t>
  </si>
  <si>
    <t>新时代小碗</t>
  </si>
  <si>
    <t>02.01.05.060</t>
  </si>
  <si>
    <t>BCL0000032</t>
  </si>
  <si>
    <t>1780镜头卡子</t>
  </si>
  <si>
    <t>02.01.05.067</t>
  </si>
  <si>
    <t>BCL0000028</t>
  </si>
  <si>
    <t>200镜头卡子</t>
  </si>
  <si>
    <t>02.01.05.068</t>
  </si>
  <si>
    <t>REM0001636</t>
  </si>
  <si>
    <t>1475小铁片</t>
  </si>
  <si>
    <t>02.01.05.076</t>
  </si>
  <si>
    <t>BCL0000030</t>
  </si>
  <si>
    <t>奥驰镜头卡子</t>
  </si>
  <si>
    <t>02.01.05.077</t>
  </si>
  <si>
    <t>BCL0000031</t>
  </si>
  <si>
    <t>奥驰镜头限位卡子</t>
  </si>
  <si>
    <t>02.01.05.078</t>
  </si>
  <si>
    <t>REM0001623</t>
  </si>
  <si>
    <t>H3镜头固定片</t>
  </si>
  <si>
    <t>02.01.05.079</t>
  </si>
  <si>
    <t>REM0001732</t>
  </si>
  <si>
    <t>奥驰小碗</t>
  </si>
  <si>
    <t>02.01.05.082</t>
  </si>
  <si>
    <t>REM0001635</t>
  </si>
  <si>
    <t>6486弹簧座</t>
  </si>
  <si>
    <t>SHT0001191</t>
  </si>
  <si>
    <t>连杆板3</t>
  </si>
  <si>
    <t>02.03.02.044</t>
  </si>
  <si>
    <t>SHT0001163</t>
  </si>
  <si>
    <t>02.03.03.094</t>
  </si>
  <si>
    <t>SHT0002036</t>
  </si>
  <si>
    <t>夹簧片</t>
  </si>
  <si>
    <t>02.03.04.025</t>
  </si>
  <si>
    <t>SCS0004800</t>
  </si>
  <si>
    <t>头枕管φ16.2</t>
  </si>
  <si>
    <t>02.03.07.114A</t>
  </si>
  <si>
    <t>SHT0001123</t>
  </si>
  <si>
    <t>塑料罩壳支架</t>
  </si>
  <si>
    <t>02.03.07.196</t>
  </si>
  <si>
    <t>SHT0001117</t>
  </si>
  <si>
    <t>绞架连接轴</t>
  </si>
  <si>
    <t>02.03.07.214</t>
  </si>
  <si>
    <t>SHT0001103</t>
  </si>
  <si>
    <t>H4定位片</t>
  </si>
  <si>
    <t>02.03.11.009</t>
  </si>
  <si>
    <t>SCS0005598</t>
  </si>
  <si>
    <t>挂簧钩</t>
  </si>
  <si>
    <t>02.03.18.060</t>
  </si>
  <si>
    <t>SHT0001082</t>
  </si>
  <si>
    <t>罩壳固定片</t>
  </si>
  <si>
    <t>02.03.19.033</t>
  </si>
  <si>
    <t>SHT0001059</t>
  </si>
  <si>
    <t>仰角调角机构钣金件2</t>
  </si>
  <si>
    <t>02.03.26.021</t>
  </si>
  <si>
    <t>SHT0001057</t>
  </si>
  <si>
    <t>前倾角锁舌上固定片</t>
  </si>
  <si>
    <t>02.03.26.023</t>
  </si>
  <si>
    <t>SHT0001056</t>
  </si>
  <si>
    <t>前倾角锁舌下固定片</t>
  </si>
  <si>
    <t>02.03.26.024</t>
  </si>
  <si>
    <t>SHT0001043</t>
  </si>
  <si>
    <t>H4A下限位支架</t>
  </si>
  <si>
    <t>02.03.26.045</t>
  </si>
  <si>
    <t>SHT0001009</t>
  </si>
  <si>
    <t>左右罩壳前固定片</t>
  </si>
  <si>
    <t>02.03.27.009</t>
  </si>
  <si>
    <t>SHT0001008</t>
  </si>
  <si>
    <t>左右罩壳中间固定片</t>
  </si>
  <si>
    <t>02.03.27.010</t>
  </si>
  <si>
    <t>SHT0002059</t>
  </si>
  <si>
    <t>左右罩壳上固定片</t>
  </si>
  <si>
    <t>02.03.27.011</t>
  </si>
  <si>
    <t>SHT0001006</t>
  </si>
  <si>
    <t>一汽前罩壳固定片</t>
  </si>
  <si>
    <t>02.03.27.021</t>
  </si>
  <si>
    <t>SCS0004535</t>
  </si>
  <si>
    <t>C32B左侧调角器下连接板总成</t>
  </si>
  <si>
    <t>02.03.29.097A</t>
  </si>
  <si>
    <t>SCS0004534</t>
  </si>
  <si>
    <t>C32B右侧调角器下连接板总成</t>
  </si>
  <si>
    <t>02.03.29.098A</t>
  </si>
  <si>
    <t>SCS0004459</t>
  </si>
  <si>
    <t>B40L头枕中间保护钣金</t>
  </si>
  <si>
    <t>02.03.30.065</t>
  </si>
  <si>
    <t>SCS0004441</t>
  </si>
  <si>
    <t>B40L四分地锁拉线固定片</t>
  </si>
  <si>
    <t>02.03.30.094</t>
  </si>
  <si>
    <t>SCS0004440</t>
  </si>
  <si>
    <t>B40L六分地锁拉线固定片</t>
  </si>
  <si>
    <t>02.03.30.097</t>
  </si>
  <si>
    <t>SCS0004375</t>
  </si>
  <si>
    <t>B40L靠背拉线支架（中期改款）</t>
  </si>
  <si>
    <t>02.03.30.174</t>
  </si>
  <si>
    <t>SCS0004374</t>
  </si>
  <si>
    <t>B40L座垫弹簧安装支架（中期改款）</t>
  </si>
  <si>
    <t>02.03.30.175</t>
  </si>
  <si>
    <t>SCS0004373</t>
  </si>
  <si>
    <t>B40L地锁拉线固定支架（中期改款）</t>
  </si>
  <si>
    <t>02.03.30.176</t>
  </si>
  <si>
    <t>SCS0004372</t>
  </si>
  <si>
    <t>B40L扶手外侧固定支架（中期改款）</t>
  </si>
  <si>
    <t>02.03.30.177</t>
  </si>
  <si>
    <t>SHT0000988</t>
  </si>
  <si>
    <t>拉簧回位固定片</t>
  </si>
  <si>
    <t>02.03.37.004</t>
  </si>
  <si>
    <t>M3000阻尼器上支撑板</t>
  </si>
  <si>
    <t>02.03.49.009</t>
  </si>
  <si>
    <t>SCS0005608</t>
  </si>
  <si>
    <t>C50六分背锁支架</t>
  </si>
  <si>
    <t>02.03.25.009</t>
  </si>
  <si>
    <t>SCS0005942</t>
  </si>
  <si>
    <t>C50四背锁支架</t>
  </si>
  <si>
    <t>02.03.25.014</t>
  </si>
  <si>
    <t>SHT0010671</t>
  </si>
  <si>
    <t>D03扶手支架焊接组件</t>
  </si>
  <si>
    <t>02.03.27.095</t>
  </si>
  <si>
    <t>220/230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</si>
  <si>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</si>
  <si>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family val="3"/>
        <charset val="134"/>
      </rPr>
      <t>4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</si>
  <si>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</si>
  <si>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</si>
  <si>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</si>
  <si>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</si>
  <si>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</si>
  <si>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</si>
  <si>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</si>
  <si>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</si>
  <si>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SHT0012212</t>
    <phoneticPr fontId="14" type="noConversion"/>
  </si>
  <si>
    <t>模检夹具费算入SHT0012212中，此产品不再计算模具费</t>
    <phoneticPr fontId="14" type="noConversion"/>
  </si>
  <si>
    <t>SHT0011806</t>
    <phoneticPr fontId="14" type="noConversion"/>
  </si>
  <si>
    <t>2022年</t>
    <phoneticPr fontId="14" type="noConversion"/>
  </si>
  <si>
    <r>
      <t>乙方：</t>
    </r>
    <r>
      <rPr>
        <u/>
        <sz val="12"/>
        <rFont val="楷体_GB2312"/>
        <charset val="134"/>
      </rPr>
      <t>黄骅市再兴汽车配件有限公司</t>
    </r>
    <phoneticPr fontId="14" type="noConversion"/>
  </si>
  <si>
    <t>序</t>
  </si>
  <si>
    <t>QAD号</t>
    <phoneticPr fontId="14" type="noConversion"/>
  </si>
  <si>
    <t>名称</t>
  </si>
  <si>
    <t>下料尺寸</t>
    <phoneticPr fontId="14" type="noConversion"/>
  </si>
  <si>
    <t>未税单价</t>
    <phoneticPr fontId="14" type="noConversion"/>
  </si>
  <si>
    <t>重量</t>
  </si>
  <si>
    <t>材料费</t>
  </si>
  <si>
    <t>加工成本</t>
  </si>
  <si>
    <t>系数</t>
    <phoneticPr fontId="14" type="noConversion"/>
  </si>
  <si>
    <t>号</t>
  </si>
  <si>
    <t>材质</t>
  </si>
  <si>
    <t>长mm</t>
    <phoneticPr fontId="14" type="noConversion"/>
  </si>
  <si>
    <t>宽mm</t>
    <phoneticPr fontId="14" type="noConversion"/>
  </si>
  <si>
    <t>厚mm</t>
    <phoneticPr fontId="14" type="noConversion"/>
  </si>
  <si>
    <t>材料</t>
  </si>
  <si>
    <t>废铁</t>
  </si>
  <si>
    <t>毛重</t>
  </si>
  <si>
    <t>净重</t>
  </si>
  <si>
    <t>工序</t>
  </si>
  <si>
    <t>吨位</t>
  </si>
  <si>
    <t>工序数</t>
    <phoneticPr fontId="14" type="noConversion"/>
  </si>
  <si>
    <t>工序费</t>
  </si>
  <si>
    <t>出件数</t>
    <phoneticPr fontId="14" type="noConversion"/>
  </si>
  <si>
    <t>合计</t>
  </si>
  <si>
    <t>再兴供货产品采购目标价格核算明细</t>
    <phoneticPr fontId="14" type="noConversion"/>
  </si>
  <si>
    <t>目标价</t>
    <phoneticPr fontId="14" type="noConversion"/>
  </si>
  <si>
    <t>开票价</t>
    <phoneticPr fontId="14" type="noConversion"/>
  </si>
  <si>
    <t>不含税</t>
    <phoneticPr fontId="14" type="noConversion"/>
  </si>
  <si>
    <t>SPHC</t>
    <phoneticPr fontId="34" type="noConversion"/>
  </si>
  <si>
    <t>落料</t>
    <phoneticPr fontId="34" type="noConversion"/>
  </si>
  <si>
    <t>40T</t>
    <phoneticPr fontId="34" type="noConversion"/>
  </si>
  <si>
    <t>冲孔</t>
    <phoneticPr fontId="34" type="noConversion"/>
  </si>
  <si>
    <t>25T</t>
    <phoneticPr fontId="34" type="noConversion"/>
  </si>
  <si>
    <t>成型</t>
    <phoneticPr fontId="34" type="noConversion"/>
  </si>
  <si>
    <t>折弯</t>
    <phoneticPr fontId="34" type="noConversion"/>
  </si>
  <si>
    <t>16T</t>
    <phoneticPr fontId="34" type="noConversion"/>
  </si>
  <si>
    <t>SHT0001009</t>
    <phoneticPr fontId="34" type="noConversion"/>
  </si>
  <si>
    <t>左右罩壳前固定片</t>
    <phoneticPr fontId="34" type="noConversion"/>
  </si>
  <si>
    <t>SHT0000988</t>
    <phoneticPr fontId="34" type="noConversion"/>
  </si>
  <si>
    <t>拉簧回位固定片</t>
    <phoneticPr fontId="34" type="noConversion"/>
  </si>
  <si>
    <t>冲孔2</t>
    <phoneticPr fontId="34" type="noConversion"/>
  </si>
  <si>
    <t>SCS0004375</t>
    <phoneticPr fontId="34" type="noConversion"/>
  </si>
  <si>
    <t>B40L靠背拉线支架（中期改款）</t>
    <phoneticPr fontId="34" type="noConversion"/>
  </si>
  <si>
    <t>SCS0004374</t>
    <phoneticPr fontId="34" type="noConversion"/>
  </si>
  <si>
    <t>B40L座垫弹簧安装支架（中期改款）</t>
    <phoneticPr fontId="34" type="noConversion"/>
  </si>
  <si>
    <t>SCS0004373</t>
    <phoneticPr fontId="34" type="noConversion"/>
  </si>
  <si>
    <t>B40L地锁拉线固定支架（中期改款）</t>
    <phoneticPr fontId="34" type="noConversion"/>
  </si>
  <si>
    <t>125T</t>
    <phoneticPr fontId="34" type="noConversion"/>
  </si>
  <si>
    <t>80T</t>
    <phoneticPr fontId="34" type="noConversion"/>
  </si>
  <si>
    <t>SHT0002096</t>
    <phoneticPr fontId="14" type="noConversion"/>
  </si>
  <si>
    <t>SHT0002096</t>
    <phoneticPr fontId="34" type="noConversion"/>
  </si>
  <si>
    <t>电控模块固定钣金</t>
    <phoneticPr fontId="34" type="noConversion"/>
  </si>
  <si>
    <t>拉伸</t>
    <phoneticPr fontId="34" type="noConversion"/>
  </si>
  <si>
    <t>63T</t>
    <phoneticPr fontId="34" type="noConversion"/>
  </si>
  <si>
    <t>REM0002965</t>
    <phoneticPr fontId="34" type="noConversion"/>
  </si>
  <si>
    <t>H3镜杆堵头</t>
    <phoneticPr fontId="34" type="noConversion"/>
  </si>
  <si>
    <t>SHT0001160</t>
    <phoneticPr fontId="34" type="noConversion"/>
  </si>
  <si>
    <t>机械内绞架下支架</t>
    <phoneticPr fontId="34" type="noConversion"/>
  </si>
  <si>
    <t>RSM0000308</t>
    <phoneticPr fontId="34" type="noConversion"/>
  </si>
  <si>
    <t>奥铃镜杆18堵头</t>
    <phoneticPr fontId="34" type="noConversion"/>
  </si>
  <si>
    <t>落料</t>
  </si>
  <si>
    <t>125T</t>
  </si>
  <si>
    <t>冲孔</t>
  </si>
  <si>
    <t>80T</t>
  </si>
  <si>
    <t>成型</t>
  </si>
  <si>
    <t>40T</t>
  </si>
  <si>
    <t>起鼓</t>
  </si>
  <si>
    <t>25T</t>
  </si>
  <si>
    <t>零件信息</t>
    <phoneticPr fontId="34" type="noConversion"/>
  </si>
  <si>
    <t>名称</t>
    <phoneticPr fontId="34" type="noConversion"/>
  </si>
  <si>
    <t>数量</t>
    <phoneticPr fontId="34" type="noConversion"/>
  </si>
  <si>
    <t>前横梁</t>
  </si>
  <si>
    <t>焊接件</t>
  </si>
  <si>
    <t>挂簧轴</t>
  </si>
  <si>
    <t>螺母</t>
  </si>
  <si>
    <r>
      <t>SP</t>
    </r>
    <r>
      <rPr>
        <sz val="11"/>
        <color theme="1"/>
        <rFont val="等线"/>
        <family val="3"/>
        <charset val="134"/>
        <scheme val="minor"/>
      </rPr>
      <t>H</t>
    </r>
    <r>
      <rPr>
        <sz val="11"/>
        <color theme="1"/>
        <rFont val="等线"/>
        <family val="3"/>
        <charset val="134"/>
        <scheme val="minor"/>
      </rPr>
      <t>C</t>
    </r>
  </si>
  <si>
    <t>后横梁</t>
  </si>
  <si>
    <t>8*25螺栓</t>
  </si>
  <si>
    <t>焊接</t>
    <phoneticPr fontId="34" type="noConversion"/>
  </si>
  <si>
    <t>SPHC</t>
  </si>
  <si>
    <r>
      <t>4</t>
    </r>
    <r>
      <rPr>
        <sz val="11"/>
        <color theme="1"/>
        <rFont val="等线"/>
        <family val="3"/>
        <charset val="134"/>
        <scheme val="minor"/>
      </rPr>
      <t>0T</t>
    </r>
    <phoneticPr fontId="34" type="noConversion"/>
  </si>
  <si>
    <r>
      <t>2</t>
    </r>
    <r>
      <rPr>
        <sz val="11"/>
        <color theme="1"/>
        <rFont val="等线"/>
        <family val="3"/>
        <charset val="134"/>
        <scheme val="minor"/>
      </rPr>
      <t>5T</t>
    </r>
    <phoneticPr fontId="34" type="noConversion"/>
  </si>
  <si>
    <t>REM0001636</t>
    <phoneticPr fontId="34" type="noConversion"/>
  </si>
  <si>
    <t>1475小铁片</t>
    <phoneticPr fontId="34" type="noConversion"/>
  </si>
  <si>
    <t>镀锌</t>
    <phoneticPr fontId="34" type="noConversion"/>
  </si>
  <si>
    <r>
      <t>1</t>
    </r>
    <r>
      <rPr>
        <sz val="11"/>
        <color theme="1"/>
        <rFont val="等线"/>
        <family val="3"/>
        <charset val="134"/>
        <scheme val="minor"/>
      </rPr>
      <t>6T</t>
    </r>
    <phoneticPr fontId="34" type="noConversion"/>
  </si>
  <si>
    <t>固定片</t>
    <phoneticPr fontId="34" type="noConversion"/>
  </si>
  <si>
    <t>SPCC</t>
    <phoneticPr fontId="34" type="noConversion"/>
  </si>
  <si>
    <t>M8螺母</t>
    <phoneticPr fontId="34" type="noConversion"/>
  </si>
  <si>
    <t>02.01.05.084</t>
    <phoneticPr fontId="14" type="noConversion"/>
  </si>
  <si>
    <t>Q195</t>
    <phoneticPr fontId="34" type="noConversion"/>
  </si>
  <si>
    <r>
      <t>1</t>
    </r>
    <r>
      <rPr>
        <sz val="11"/>
        <color theme="1"/>
        <rFont val="等线"/>
        <family val="3"/>
        <charset val="134"/>
        <scheme val="minor"/>
      </rPr>
      <t>25T</t>
    </r>
    <phoneticPr fontId="34" type="noConversion"/>
  </si>
  <si>
    <r>
      <t>8</t>
    </r>
    <r>
      <rPr>
        <sz val="11"/>
        <color theme="1"/>
        <rFont val="等线"/>
        <family val="3"/>
        <charset val="134"/>
        <scheme val="minor"/>
      </rPr>
      <t>0T</t>
    </r>
    <phoneticPr fontId="34" type="noConversion"/>
  </si>
  <si>
    <t>下料</t>
    <phoneticPr fontId="34" type="noConversion"/>
  </si>
  <si>
    <t>冲孔</t>
    <phoneticPr fontId="34" type="noConversion"/>
  </si>
  <si>
    <t>SHT0001117</t>
    <phoneticPr fontId="34" type="noConversion"/>
  </si>
  <si>
    <t>绞架连接轴</t>
    <phoneticPr fontId="34" type="noConversion"/>
  </si>
  <si>
    <r>
      <t>2</t>
    </r>
    <r>
      <rPr>
        <sz val="11"/>
        <color theme="1"/>
        <rFont val="等线"/>
        <family val="3"/>
        <charset val="134"/>
        <scheme val="minor"/>
      </rPr>
      <t>5</t>
    </r>
    <r>
      <rPr>
        <sz val="11"/>
        <color theme="1"/>
        <rFont val="等线"/>
        <family val="3"/>
        <charset val="134"/>
        <scheme val="minor"/>
      </rPr>
      <t>T</t>
    </r>
    <phoneticPr fontId="34" type="noConversion"/>
  </si>
  <si>
    <t>SHT0001082</t>
    <phoneticPr fontId="34" type="noConversion"/>
  </si>
  <si>
    <t>罩壳固定片</t>
    <phoneticPr fontId="34" type="noConversion"/>
  </si>
  <si>
    <r>
      <t>25T</t>
    </r>
    <r>
      <rPr>
        <sz val="11"/>
        <color theme="1"/>
        <rFont val="等线"/>
        <family val="3"/>
        <charset val="134"/>
        <scheme val="minor"/>
      </rPr>
      <t/>
    </r>
    <phoneticPr fontId="34" type="noConversion"/>
  </si>
  <si>
    <t>落冲</t>
    <phoneticPr fontId="34" type="noConversion"/>
  </si>
  <si>
    <r>
      <t>4</t>
    </r>
    <r>
      <rPr>
        <sz val="11"/>
        <color theme="1"/>
        <rFont val="等线"/>
        <family val="3"/>
        <charset val="134"/>
        <scheme val="minor"/>
      </rPr>
      <t>0T</t>
    </r>
    <phoneticPr fontId="34" type="noConversion"/>
  </si>
  <si>
    <t>40T</t>
    <phoneticPr fontId="34" type="noConversion"/>
  </si>
  <si>
    <t>前倾角锁舌下固定片</t>
    <phoneticPr fontId="34" type="noConversion"/>
  </si>
  <si>
    <t>落料</t>
    <phoneticPr fontId="34" type="noConversion"/>
  </si>
  <si>
    <t>成型</t>
    <phoneticPr fontId="34" type="noConversion"/>
  </si>
  <si>
    <t>SHT0001043</t>
    <phoneticPr fontId="34" type="noConversion"/>
  </si>
  <si>
    <t>H4A下限位支架</t>
    <phoneticPr fontId="34" type="noConversion"/>
  </si>
  <si>
    <t>左右罩壳中间固定片</t>
    <phoneticPr fontId="34" type="noConversion"/>
  </si>
  <si>
    <t>SAPH440</t>
    <phoneticPr fontId="34" type="noConversion"/>
  </si>
  <si>
    <t>C32B左侧调角器下连接板总成</t>
    <phoneticPr fontId="34" type="noConversion"/>
  </si>
  <si>
    <r>
      <t>1</t>
    </r>
    <r>
      <rPr>
        <sz val="11"/>
        <color theme="1"/>
        <rFont val="等线"/>
        <family val="3"/>
        <charset val="134"/>
        <scheme val="minor"/>
      </rPr>
      <t>25T</t>
    </r>
    <phoneticPr fontId="34" type="noConversion"/>
  </si>
  <si>
    <r>
      <t>8</t>
    </r>
    <r>
      <rPr>
        <sz val="11"/>
        <color theme="1"/>
        <rFont val="等线"/>
        <family val="3"/>
        <charset val="134"/>
        <scheme val="minor"/>
      </rPr>
      <t>0T</t>
    </r>
    <phoneticPr fontId="34" type="noConversion"/>
  </si>
  <si>
    <r>
      <t>SCS000453</t>
    </r>
    <r>
      <rPr>
        <sz val="11"/>
        <color theme="1"/>
        <rFont val="等线"/>
        <family val="3"/>
        <charset val="134"/>
        <scheme val="minor"/>
      </rPr>
      <t>4</t>
    </r>
    <phoneticPr fontId="34" type="noConversion"/>
  </si>
  <si>
    <t>C32B右侧调角器下连接板总成</t>
    <phoneticPr fontId="34" type="noConversion"/>
  </si>
  <si>
    <t>SCS0004459</t>
    <phoneticPr fontId="34" type="noConversion"/>
  </si>
  <si>
    <t>B40L头枕中间保护钣金</t>
    <phoneticPr fontId="34" type="noConversion"/>
  </si>
  <si>
    <t>SCS0004441</t>
    <phoneticPr fontId="34" type="noConversion"/>
  </si>
  <si>
    <t>B40L四分地锁拉线固定片</t>
    <phoneticPr fontId="34" type="noConversion"/>
  </si>
  <si>
    <t>SCS0004440</t>
    <phoneticPr fontId="34" type="noConversion"/>
  </si>
  <si>
    <t>B40L六分地锁拉线固定片</t>
    <phoneticPr fontId="34" type="noConversion"/>
  </si>
  <si>
    <r>
      <t>Q</t>
    </r>
    <r>
      <rPr>
        <sz val="11"/>
        <color theme="1"/>
        <rFont val="等线"/>
        <family val="3"/>
        <charset val="134"/>
        <scheme val="minor"/>
      </rPr>
      <t>235</t>
    </r>
    <phoneticPr fontId="34" type="noConversion"/>
  </si>
  <si>
    <t>SAPH440</t>
  </si>
  <si>
    <t>起突台</t>
    <phoneticPr fontId="34" type="noConversion"/>
  </si>
  <si>
    <t>7/16焊接螺母</t>
  </si>
  <si>
    <t>固定板</t>
    <phoneticPr fontId="34" type="noConversion"/>
  </si>
  <si>
    <t>焊接-委外</t>
    <phoneticPr fontId="34" type="noConversion"/>
  </si>
  <si>
    <t>160T</t>
    <phoneticPr fontId="34" type="noConversion"/>
  </si>
  <si>
    <t>100T</t>
    <phoneticPr fontId="34" type="noConversion"/>
  </si>
  <si>
    <t>SPFH590</t>
  </si>
  <si>
    <t>升降右前固定钣金</t>
    <phoneticPr fontId="34" type="noConversion"/>
  </si>
  <si>
    <t>SHT0013700</t>
    <phoneticPr fontId="34" type="noConversion"/>
  </si>
  <si>
    <t>SHT0012844</t>
    <phoneticPr fontId="34" type="noConversion"/>
  </si>
  <si>
    <t>升降左后固定钣金</t>
    <phoneticPr fontId="34" type="noConversion"/>
  </si>
  <si>
    <t>SHT0013699</t>
    <phoneticPr fontId="34" type="noConversion"/>
  </si>
  <si>
    <t>升降右后固定钣金</t>
    <phoneticPr fontId="34" type="noConversion"/>
  </si>
  <si>
    <t>SHT0012212</t>
  </si>
  <si>
    <t>1.0座框前横梁</t>
    <phoneticPr fontId="34" type="noConversion"/>
  </si>
  <si>
    <t>前罩壳固定片</t>
    <phoneticPr fontId="34" type="noConversion"/>
  </si>
  <si>
    <t>左右罩壳中间固定片</t>
    <phoneticPr fontId="34" type="noConversion"/>
  </si>
  <si>
    <t>SPFH590</t>
    <phoneticPr fontId="34" type="noConversion"/>
  </si>
  <si>
    <t>翻铆</t>
    <phoneticPr fontId="34" type="noConversion"/>
  </si>
  <si>
    <t>成型1</t>
    <phoneticPr fontId="34" type="noConversion"/>
  </si>
  <si>
    <t>成型2</t>
    <phoneticPr fontId="34" type="noConversion"/>
  </si>
  <si>
    <t>SHT0011999</t>
    <phoneticPr fontId="34" type="noConversion"/>
  </si>
  <si>
    <t>SHT0011723</t>
    <phoneticPr fontId="34" type="noConversion"/>
  </si>
  <si>
    <t>稳定钣金</t>
    <phoneticPr fontId="34" type="noConversion"/>
  </si>
  <si>
    <t>Q235</t>
  </si>
  <si>
    <t>SHT0011778</t>
    <phoneticPr fontId="34" type="noConversion"/>
  </si>
  <si>
    <t>座框前梁</t>
    <phoneticPr fontId="34" type="noConversion"/>
  </si>
  <si>
    <t>SHT0011804</t>
    <phoneticPr fontId="34" type="noConversion"/>
  </si>
  <si>
    <t>仰角调节机构钣金件1左</t>
    <phoneticPr fontId="34" type="noConversion"/>
  </si>
  <si>
    <t>SHT0011805</t>
    <phoneticPr fontId="34" type="noConversion"/>
  </si>
  <si>
    <t>仰角调节机构钣金件1右</t>
    <phoneticPr fontId="34" type="noConversion"/>
  </si>
  <si>
    <t>SHT0011806</t>
  </si>
  <si>
    <t>25T</t>
    <phoneticPr fontId="14" type="noConversion"/>
  </si>
  <si>
    <t>压筋</t>
    <phoneticPr fontId="34" type="noConversion"/>
  </si>
  <si>
    <t>底座左连接板</t>
  </si>
  <si>
    <t>M10螺母</t>
  </si>
  <si>
    <r>
      <t>80</t>
    </r>
    <r>
      <rPr>
        <sz val="11"/>
        <color theme="1"/>
        <rFont val="等线"/>
        <family val="3"/>
        <charset val="134"/>
        <scheme val="minor"/>
      </rPr>
      <t>T</t>
    </r>
    <phoneticPr fontId="34" type="noConversion"/>
  </si>
  <si>
    <r>
      <t>40</t>
    </r>
    <r>
      <rPr>
        <sz val="11"/>
        <color theme="1"/>
        <rFont val="等线"/>
        <family val="3"/>
        <charset val="134"/>
        <scheme val="minor"/>
      </rPr>
      <t>T</t>
    </r>
    <phoneticPr fontId="34" type="noConversion"/>
  </si>
  <si>
    <t>底座右连接板</t>
    <phoneticPr fontId="34" type="noConversion"/>
  </si>
  <si>
    <t>连杆板2（后右）</t>
    <phoneticPr fontId="14" type="noConversion"/>
  </si>
  <si>
    <t>SHT0001191</t>
    <phoneticPr fontId="34" type="noConversion"/>
  </si>
  <si>
    <t>连杆板3</t>
    <phoneticPr fontId="34" type="noConversion"/>
  </si>
  <si>
    <r>
      <t>1</t>
    </r>
    <r>
      <rPr>
        <sz val="11"/>
        <color theme="1"/>
        <rFont val="等线"/>
        <family val="3"/>
        <charset val="134"/>
        <scheme val="minor"/>
      </rPr>
      <t>60T</t>
    </r>
    <phoneticPr fontId="34" type="noConversion"/>
  </si>
  <si>
    <t>压弯</t>
    <phoneticPr fontId="34" type="noConversion"/>
  </si>
  <si>
    <t>落料</t>
    <phoneticPr fontId="34" type="noConversion"/>
  </si>
  <si>
    <t>冲孔</t>
    <phoneticPr fontId="34" type="noConversion"/>
  </si>
  <si>
    <t>成型</t>
    <phoneticPr fontId="34" type="noConversion"/>
  </si>
  <si>
    <r>
      <t>1</t>
    </r>
    <r>
      <rPr>
        <sz val="11"/>
        <color theme="1"/>
        <rFont val="等线"/>
        <family val="3"/>
        <charset val="134"/>
        <scheme val="minor"/>
      </rPr>
      <t>00T</t>
    </r>
    <phoneticPr fontId="34" type="noConversion"/>
  </si>
  <si>
    <t>SAPH440</t>
    <phoneticPr fontId="34" type="noConversion"/>
  </si>
  <si>
    <t>扶手支架</t>
    <phoneticPr fontId="34" type="noConversion"/>
  </si>
  <si>
    <t>焊接</t>
    <phoneticPr fontId="34" type="noConversion"/>
  </si>
  <si>
    <r>
      <t>M</t>
    </r>
    <r>
      <rPr>
        <sz val="11"/>
        <color theme="1"/>
        <rFont val="等线"/>
        <family val="3"/>
        <charset val="134"/>
        <scheme val="minor"/>
      </rPr>
      <t>8焊母</t>
    </r>
    <phoneticPr fontId="34" type="noConversion"/>
  </si>
  <si>
    <r>
      <t>6</t>
    </r>
    <r>
      <rPr>
        <sz val="11"/>
        <color theme="1"/>
        <rFont val="等线"/>
        <family val="3"/>
        <charset val="134"/>
        <scheme val="minor"/>
      </rPr>
      <t>3T</t>
    </r>
    <phoneticPr fontId="34" type="noConversion"/>
  </si>
  <si>
    <t>SHT0001103</t>
    <phoneticPr fontId="34" type="noConversion"/>
  </si>
  <si>
    <t>H4定位片</t>
    <phoneticPr fontId="34" type="noConversion"/>
  </si>
  <si>
    <t>切管</t>
    <phoneticPr fontId="34" type="noConversion"/>
  </si>
  <si>
    <t>冲口</t>
    <phoneticPr fontId="34" type="noConversion"/>
  </si>
  <si>
    <t>SCS0004800</t>
    <phoneticPr fontId="34" type="noConversion"/>
  </si>
  <si>
    <t>头枕管φ16.2</t>
    <phoneticPr fontId="34" type="noConversion"/>
  </si>
  <si>
    <t>花眼</t>
    <phoneticPr fontId="34" type="noConversion"/>
  </si>
  <si>
    <r>
      <t>S</t>
    </r>
    <r>
      <rPr>
        <sz val="11"/>
        <color theme="1"/>
        <rFont val="等线"/>
        <family val="3"/>
        <charset val="134"/>
        <scheme val="minor"/>
      </rPr>
      <t>HT0010438</t>
    </r>
    <phoneticPr fontId="34" type="noConversion"/>
  </si>
  <si>
    <t>M3000阻尼器上支撑板</t>
    <phoneticPr fontId="34" type="noConversion"/>
  </si>
  <si>
    <t>SHT0010438</t>
    <phoneticPr fontId="14" type="noConversion"/>
  </si>
  <si>
    <t>降幅%</t>
    <phoneticPr fontId="34" type="noConversion"/>
  </si>
  <si>
    <t xml:space="preserve">                                             再兴公司价格核算明细表                                          2024.1.13</t>
  </si>
  <si>
    <t>QAD</t>
  </si>
  <si>
    <t>零件名称</t>
  </si>
  <si>
    <t>耗用量</t>
  </si>
  <si>
    <t>下料尺寸</t>
  </si>
  <si>
    <t>未税单价</t>
  </si>
  <si>
    <t>系数</t>
  </si>
  <si>
    <t>未税价</t>
  </si>
  <si>
    <t>长mm</t>
  </si>
  <si>
    <t>宽mm</t>
  </si>
  <si>
    <t>厚mm</t>
  </si>
  <si>
    <t>出件数</t>
  </si>
  <si>
    <t>SLT0010564</t>
  </si>
  <si>
    <t>滚轮上滑槽</t>
  </si>
  <si>
    <t>拉伸</t>
  </si>
  <si>
    <t>材料成本合计：</t>
  </si>
  <si>
    <t>加工成本合计：</t>
  </si>
  <si>
    <t>价格核算明细表</t>
  </si>
  <si>
    <t>SLT0010540</t>
  </si>
  <si>
    <t>滚轮下滑槽</t>
  </si>
  <si>
    <t>63T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</si>
</sst>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0_);[Red]\(0.0000\)"/>
    <numFmt numFmtId="177" formatCode="0_ "/>
    <numFmt numFmtId="178" formatCode="0_);[Red]\(0\)"/>
    <numFmt numFmtId="179" formatCode="0.00_);[Red]\(0.00\)"/>
    <numFmt numFmtId="180" formatCode="0.0000_ "/>
    <numFmt numFmtId="181" formatCode="0.000_);[Red]\(0.000\)"/>
    <numFmt numFmtId="182" formatCode="0.00_ "/>
    <numFmt numFmtId="183" formatCode="0.000_ "/>
    <numFmt numFmtId="184" formatCode="0.0_);[Red]\(0.0\)"/>
    <numFmt numFmtId="185" formatCode="0.0_ "/>
  </numFmts>
  <fonts count="37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sz val="11"/>
      <color indexed="8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0"/>
      <color indexed="8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新宋体"/>
      <family val="3"/>
      <charset val="134"/>
    </font>
    <font>
      <sz val="10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新宋体"/>
      <family val="3"/>
      <charset val="134"/>
    </font>
    <font>
      <sz val="11"/>
      <name val="等线"/>
      <family val="3"/>
      <charset val="134"/>
      <scheme val="minor"/>
    </font>
    <font>
      <sz val="10"/>
      <name val="楷体_GB2312"/>
      <charset val="134"/>
    </font>
    <font>
      <sz val="10"/>
      <color indexed="8"/>
      <name val="楷体_GB2312"/>
      <charset val="134"/>
    </font>
    <font>
      <sz val="10"/>
      <color rgb="FF000000"/>
      <name val="宋体"/>
      <family val="3"/>
      <charset val="134"/>
    </font>
    <font>
      <sz val="10"/>
      <name val="Arial"/>
      <family val="2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1"/>
      <color indexed="8"/>
      <name val="等线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楷体_GB2312"/>
      <charset val="134"/>
    </font>
    <font>
      <b/>
      <sz val="11"/>
      <name val="宋体"/>
      <family val="3"/>
      <charset val="134"/>
    </font>
    <font>
      <u/>
      <sz val="12"/>
      <name val="楷体_GB2312"/>
      <charset val="134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26" fillId="0" borderId="1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7" fillId="0" borderId="0"/>
    <xf numFmtId="0" fontId="33" fillId="0" borderId="0">
      <alignment vertical="center"/>
    </xf>
    <xf numFmtId="0" fontId="2" fillId="0" borderId="0">
      <alignment vertical="center"/>
    </xf>
    <xf numFmtId="0" fontId="27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/>
    <xf numFmtId="0" fontId="33" fillId="0" borderId="0">
      <alignment vertical="center"/>
    </xf>
  </cellStyleXfs>
  <cellXfs count="333">
    <xf numFmtId="0" fontId="0" fillId="0" borderId="0" xfId="0"/>
    <xf numFmtId="0" fontId="1" fillId="0" borderId="0" xfId="4" applyFont="1" applyAlignment="1">
      <alignment horizontal="center" vertical="center"/>
    </xf>
    <xf numFmtId="0" fontId="2" fillId="0" borderId="0" xfId="5">
      <alignment vertical="center"/>
    </xf>
    <xf numFmtId="0" fontId="1" fillId="0" borderId="0" xfId="5" applyFont="1">
      <alignment vertical="center"/>
    </xf>
    <xf numFmtId="0" fontId="1" fillId="2" borderId="0" xfId="4" applyFont="1" applyFill="1" applyAlignment="1">
      <alignment horizontal="center" vertical="center"/>
    </xf>
    <xf numFmtId="49" fontId="3" fillId="2" borderId="0" xfId="4" applyNumberFormat="1" applyFont="1" applyFill="1" applyAlignment="1">
      <alignment horizontal="center" vertical="center"/>
    </xf>
    <xf numFmtId="0" fontId="1" fillId="2" borderId="0" xfId="4" applyFont="1" applyFill="1" applyAlignment="1">
      <alignment horizontal="left" vertical="center"/>
    </xf>
    <xf numFmtId="0" fontId="1" fillId="2" borderId="0" xfId="4" applyFont="1" applyFill="1" applyAlignment="1">
      <alignment horizontal="center" vertical="center" wrapText="1"/>
    </xf>
    <xf numFmtId="0" fontId="4" fillId="2" borderId="0" xfId="4" applyFont="1" applyFill="1" applyAlignment="1">
      <alignment horizontal="center" vertical="center"/>
    </xf>
    <xf numFmtId="176" fontId="1" fillId="2" borderId="0" xfId="4" applyNumberFormat="1" applyFont="1" applyFill="1" applyAlignment="1">
      <alignment horizontal="center" vertical="center"/>
    </xf>
    <xf numFmtId="176" fontId="1" fillId="3" borderId="0" xfId="4" applyNumberFormat="1" applyFont="1" applyFill="1" applyAlignment="1">
      <alignment horizontal="center" vertical="center"/>
    </xf>
    <xf numFmtId="0" fontId="1" fillId="2" borderId="0" xfId="4" applyFont="1" applyFill="1" applyAlignment="1">
      <alignment horizontal="center" vertical="center" shrinkToFit="1"/>
    </xf>
    <xf numFmtId="176" fontId="10" fillId="4" borderId="1" xfId="6" applyNumberFormat="1" applyFont="1" applyFill="1" applyBorder="1" applyAlignment="1">
      <alignment horizontal="center" vertical="center" wrapText="1"/>
    </xf>
    <xf numFmtId="57" fontId="10" fillId="4" borderId="1" xfId="6" applyNumberFormat="1" applyFont="1" applyFill="1" applyBorder="1" applyAlignment="1">
      <alignment horizontal="center" vertical="center" wrapText="1"/>
    </xf>
    <xf numFmtId="57" fontId="10" fillId="3" borderId="1" xfId="6" applyNumberFormat="1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11" fillId="0" borderId="1" xfId="2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176" fontId="8" fillId="0" borderId="1" xfId="4" applyNumberFormat="1" applyFont="1" applyBorder="1" applyAlignment="1">
      <alignment horizontal="center" vertical="center" wrapText="1"/>
    </xf>
    <xf numFmtId="176" fontId="8" fillId="3" borderId="1" xfId="4" applyNumberFormat="1" applyFont="1" applyFill="1" applyBorder="1" applyAlignment="1">
      <alignment horizontal="center" vertical="center" wrapText="1"/>
    </xf>
    <xf numFmtId="0" fontId="11" fillId="0" borderId="1" xfId="8" applyFont="1" applyBorder="1" applyAlignment="1">
      <alignment horizontal="left" vertical="center" wrapText="1"/>
    </xf>
    <xf numFmtId="0" fontId="11" fillId="0" borderId="1" xfId="7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0" fontId="11" fillId="0" borderId="1" xfId="9" applyFont="1" applyBorder="1" applyAlignment="1" applyProtection="1">
      <alignment horizontal="left" vertical="center" wrapText="1"/>
      <protection locked="0"/>
    </xf>
    <xf numFmtId="177" fontId="13" fillId="0" borderId="1" xfId="4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3" applyFont="1" applyBorder="1" applyAlignment="1">
      <alignment horizontal="left" vertical="center" wrapText="1"/>
    </xf>
    <xf numFmtId="0" fontId="15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center" wrapText="1"/>
    </xf>
    <xf numFmtId="178" fontId="16" fillId="0" borderId="1" xfId="4" applyNumberFormat="1" applyFont="1" applyBorder="1" applyAlignment="1">
      <alignment horizontal="left" vertical="center"/>
    </xf>
    <xf numFmtId="178" fontId="9" fillId="0" borderId="1" xfId="4" applyNumberFormat="1" applyFont="1" applyBorder="1" applyAlignment="1">
      <alignment horizontal="left" vertical="center"/>
    </xf>
    <xf numFmtId="0" fontId="18" fillId="0" borderId="1" xfId="4" applyFont="1" applyBorder="1" applyAlignment="1">
      <alignment horizontal="center" vertical="center" wrapText="1"/>
    </xf>
    <xf numFmtId="177" fontId="13" fillId="0" borderId="1" xfId="4" applyNumberFormat="1" applyFont="1" applyBorder="1" applyAlignment="1">
      <alignment horizontal="left" vertical="center" wrapText="1"/>
    </xf>
    <xf numFmtId="179" fontId="9" fillId="4" borderId="1" xfId="7" applyNumberFormat="1" applyFont="1" applyFill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wrapText="1"/>
    </xf>
    <xf numFmtId="176" fontId="8" fillId="2" borderId="1" xfId="4" applyNumberFormat="1" applyFont="1" applyFill="1" applyBorder="1" applyAlignment="1">
      <alignment horizontal="center" vertical="center" wrapText="1"/>
    </xf>
    <xf numFmtId="177" fontId="8" fillId="2" borderId="1" xfId="4" applyNumberFormat="1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shrinkToFit="1"/>
    </xf>
    <xf numFmtId="0" fontId="8" fillId="0" borderId="1" xfId="4" applyFont="1" applyBorder="1" applyAlignment="1">
      <alignment horizontal="center" vertical="center" wrapText="1" shrinkToFit="1"/>
    </xf>
    <xf numFmtId="0" fontId="13" fillId="0" borderId="1" xfId="4" applyFont="1" applyBorder="1" applyAlignment="1">
      <alignment horizontal="center" vertical="center" shrinkToFit="1"/>
    </xf>
    <xf numFmtId="0" fontId="20" fillId="0" borderId="1" xfId="4" applyFont="1" applyBorder="1" applyAlignment="1">
      <alignment horizontal="center" vertical="center" shrinkToFit="1"/>
    </xf>
    <xf numFmtId="0" fontId="21" fillId="0" borderId="1" xfId="4" applyFont="1" applyBorder="1" applyAlignment="1">
      <alignment horizontal="center" vertical="center" shrinkToFit="1"/>
    </xf>
    <xf numFmtId="177" fontId="15" fillId="5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Border="1" applyAlignment="1">
      <alignment horizontal="center" vertical="center"/>
    </xf>
    <xf numFmtId="177" fontId="16" fillId="5" borderId="1" xfId="4" applyNumberFormat="1" applyFont="1" applyFill="1" applyBorder="1" applyAlignment="1">
      <alignment horizontal="center" vertical="center"/>
    </xf>
    <xf numFmtId="0" fontId="33" fillId="0" borderId="1" xfId="4" applyBorder="1" applyAlignment="1">
      <alignment horizontal="center" vertical="center"/>
    </xf>
    <xf numFmtId="180" fontId="13" fillId="3" borderId="1" xfId="4" applyNumberFormat="1" applyFont="1" applyFill="1" applyBorder="1" applyAlignment="1">
      <alignment horizontal="center" vertical="center" wrapText="1"/>
    </xf>
    <xf numFmtId="177" fontId="13" fillId="2" borderId="1" xfId="4" applyNumberFormat="1" applyFont="1" applyFill="1" applyBorder="1" applyAlignment="1">
      <alignment horizontal="center" vertical="center" wrapText="1"/>
    </xf>
    <xf numFmtId="180" fontId="13" fillId="0" borderId="1" xfId="4" applyNumberFormat="1" applyFont="1" applyBorder="1" applyAlignment="1">
      <alignment horizontal="center" vertical="center" wrapText="1"/>
    </xf>
    <xf numFmtId="177" fontId="13" fillId="5" borderId="1" xfId="4" applyNumberFormat="1" applyFont="1" applyFill="1" applyBorder="1" applyAlignment="1">
      <alignment horizontal="center" vertical="center" wrapText="1"/>
    </xf>
    <xf numFmtId="0" fontId="33" fillId="0" borderId="0" xfId="4">
      <alignment vertical="center"/>
    </xf>
    <xf numFmtId="0" fontId="33" fillId="0" borderId="0" xfId="4" applyAlignment="1">
      <alignment horizontal="center" vertical="center"/>
    </xf>
    <xf numFmtId="0" fontId="9" fillId="0" borderId="1" xfId="9" applyFont="1" applyBorder="1" applyAlignment="1" applyProtection="1">
      <alignment horizontal="center" vertical="center" wrapText="1"/>
      <protection locked="0"/>
    </xf>
    <xf numFmtId="0" fontId="9" fillId="0" borderId="4" xfId="9" applyFont="1" applyBorder="1" applyAlignment="1" applyProtection="1">
      <alignment horizontal="left" vertical="center" wrapText="1"/>
      <protection locked="0"/>
    </xf>
    <xf numFmtId="0" fontId="22" fillId="0" borderId="1" xfId="2" applyFont="1" applyFill="1" applyBorder="1" applyAlignment="1" applyProtection="1">
      <alignment horizontal="center" vertical="center" wrapText="1"/>
      <protection locked="0"/>
    </xf>
    <xf numFmtId="0" fontId="22" fillId="0" borderId="4" xfId="2" applyFont="1" applyFill="1" applyBorder="1" applyAlignment="1" applyProtection="1">
      <alignment horizontal="center" vertical="center" wrapText="1"/>
      <protection locked="0"/>
    </xf>
    <xf numFmtId="0" fontId="33" fillId="0" borderId="0" xfId="7">
      <alignment vertical="center"/>
    </xf>
    <xf numFmtId="176" fontId="8" fillId="0" borderId="5" xfId="4" applyNumberFormat="1" applyFont="1" applyBorder="1" applyAlignment="1">
      <alignment horizontal="center" vertical="center" wrapText="1"/>
    </xf>
    <xf numFmtId="180" fontId="16" fillId="0" borderId="1" xfId="4" applyNumberFormat="1" applyFont="1" applyBorder="1" applyAlignment="1">
      <alignment horizontal="center" vertical="center"/>
    </xf>
    <xf numFmtId="0" fontId="12" fillId="0" borderId="1" xfId="7" applyFont="1" applyBorder="1" applyAlignment="1">
      <alignment horizontal="left" vertical="center"/>
    </xf>
    <xf numFmtId="180" fontId="8" fillId="0" borderId="1" xfId="4" applyNumberFormat="1" applyFont="1" applyBorder="1" applyAlignment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7" fillId="0" borderId="0" xfId="5" applyFont="1">
      <alignment vertical="center"/>
    </xf>
    <xf numFmtId="49" fontId="23" fillId="0" borderId="0" xfId="5" applyNumberFormat="1" applyFont="1" applyAlignment="1">
      <alignment vertical="center" wrapText="1"/>
    </xf>
    <xf numFmtId="176" fontId="7" fillId="0" borderId="0" xfId="5" applyNumberFormat="1" applyFont="1">
      <alignment vertical="center"/>
    </xf>
    <xf numFmtId="0" fontId="24" fillId="0" borderId="0" xfId="5" applyFont="1">
      <alignment vertical="center"/>
    </xf>
    <xf numFmtId="49" fontId="23" fillId="0" borderId="0" xfId="5" applyNumberFormat="1" applyFont="1" applyAlignment="1">
      <alignment horizontal="left" vertical="center" wrapText="1"/>
    </xf>
    <xf numFmtId="0" fontId="7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176" fontId="1" fillId="0" borderId="0" xfId="5" applyNumberFormat="1" applyFont="1">
      <alignment vertical="center"/>
    </xf>
    <xf numFmtId="0" fontId="24" fillId="0" borderId="0" xfId="5" applyFont="1" applyAlignment="1">
      <alignment horizontal="center" vertical="center"/>
    </xf>
    <xf numFmtId="0" fontId="25" fillId="2" borderId="0" xfId="4" applyFont="1" applyFill="1" applyAlignment="1">
      <alignment horizontal="center" vertical="center"/>
    </xf>
    <xf numFmtId="49" fontId="12" fillId="5" borderId="1" xfId="7" applyNumberFormat="1" applyFont="1" applyFill="1" applyBorder="1" applyAlignment="1">
      <alignment horizontal="center" vertical="center"/>
    </xf>
    <xf numFmtId="176" fontId="7" fillId="2" borderId="0" xfId="5" applyNumberFormat="1" applyFont="1" applyFill="1">
      <alignment vertical="center"/>
    </xf>
    <xf numFmtId="0" fontId="7" fillId="0" borderId="0" xfId="5" applyFont="1" applyAlignment="1">
      <alignment vertical="center" shrinkToFit="1"/>
    </xf>
    <xf numFmtId="176" fontId="1" fillId="2" borderId="0" xfId="5" applyNumberFormat="1" applyFont="1" applyFill="1">
      <alignment vertical="center"/>
    </xf>
    <xf numFmtId="0" fontId="1" fillId="0" borderId="0" xfId="5" applyFont="1" applyAlignment="1">
      <alignment vertical="center" shrinkToFit="1"/>
    </xf>
    <xf numFmtId="0" fontId="2" fillId="2" borderId="0" xfId="5" applyFill="1">
      <alignment vertical="center"/>
    </xf>
    <xf numFmtId="176" fontId="8" fillId="0" borderId="0" xfId="4" applyNumberFormat="1" applyFont="1" applyAlignment="1">
      <alignment horizontal="center" vertical="center" wrapText="1"/>
    </xf>
    <xf numFmtId="0" fontId="2" fillId="0" borderId="0" xfId="5" applyAlignment="1">
      <alignment horizontal="center" vertical="center"/>
    </xf>
    <xf numFmtId="2" fontId="2" fillId="0" borderId="0" xfId="5" applyNumberFormat="1">
      <alignment vertical="center"/>
    </xf>
    <xf numFmtId="0" fontId="1" fillId="0" borderId="0" xfId="5" applyFont="1" applyAlignment="1">
      <alignment horizontal="center" vertical="center"/>
    </xf>
    <xf numFmtId="0" fontId="12" fillId="0" borderId="1" xfId="7" quotePrefix="1" applyFont="1" applyBorder="1" applyAlignment="1">
      <alignment horizontal="center" vertical="center"/>
    </xf>
    <xf numFmtId="0" fontId="8" fillId="0" borderId="1" xfId="4" quotePrefix="1" applyFont="1" applyBorder="1" applyAlignment="1">
      <alignment horizontal="center" vertical="center" wrapText="1"/>
    </xf>
    <xf numFmtId="0" fontId="33" fillId="0" borderId="2" xfId="10" applyBorder="1" applyAlignment="1">
      <alignment horizontal="center" vertical="center"/>
    </xf>
    <xf numFmtId="0" fontId="33" fillId="0" borderId="3" xfId="10" applyBorder="1" applyAlignment="1">
      <alignment horizontal="center" vertical="center"/>
    </xf>
    <xf numFmtId="0" fontId="33" fillId="0" borderId="1" xfId="10" applyBorder="1" applyAlignment="1">
      <alignment horizontal="center" vertical="center" wrapText="1" shrinkToFit="1"/>
    </xf>
    <xf numFmtId="179" fontId="33" fillId="0" borderId="1" xfId="10" applyNumberFormat="1" applyBorder="1" applyAlignment="1">
      <alignment horizontal="center" vertical="center"/>
    </xf>
    <xf numFmtId="181" fontId="33" fillId="0" borderId="1" xfId="10" applyNumberFormat="1" applyBorder="1" applyAlignment="1">
      <alignment horizontal="center" vertical="center" shrinkToFit="1"/>
    </xf>
    <xf numFmtId="179" fontId="33" fillId="0" borderId="1" xfId="10" applyNumberFormat="1" applyBorder="1" applyAlignment="1">
      <alignment horizontal="center" vertical="center" wrapText="1"/>
    </xf>
    <xf numFmtId="179" fontId="33" fillId="0" borderId="1" xfId="10" applyNumberForma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33" fillId="0" borderId="1" xfId="0" applyFont="1" applyBorder="1" applyAlignment="1">
      <alignment horizontal="center"/>
    </xf>
    <xf numFmtId="179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77" fontId="13" fillId="3" borderId="1" xfId="4" applyNumberFormat="1" applyFont="1" applyFill="1" applyBorder="1" applyAlignment="1">
      <alignment horizontal="center" vertical="center" wrapText="1"/>
    </xf>
    <xf numFmtId="0" fontId="17" fillId="3" borderId="1" xfId="4" applyFont="1" applyFill="1" applyBorder="1" applyAlignment="1">
      <alignment horizontal="center" vertical="center"/>
    </xf>
    <xf numFmtId="176" fontId="0" fillId="0" borderId="0" xfId="0" applyNumberFormat="1"/>
    <xf numFmtId="0" fontId="0" fillId="0" borderId="0" xfId="0" applyAlignment="1"/>
    <xf numFmtId="0" fontId="33" fillId="0" borderId="1" xfId="0" applyNumberFormat="1" applyFont="1" applyBorder="1" applyAlignment="1">
      <alignment horizontal="center"/>
    </xf>
    <xf numFmtId="0" fontId="0" fillId="0" borderId="0" xfId="0" applyNumberFormat="1"/>
    <xf numFmtId="0" fontId="33" fillId="0" borderId="1" xfId="4" applyBorder="1">
      <alignment vertical="center"/>
    </xf>
    <xf numFmtId="0" fontId="33" fillId="0" borderId="2" xfId="4" applyBorder="1" applyAlignment="1">
      <alignment horizontal="center" vertical="center" wrapText="1"/>
    </xf>
    <xf numFmtId="177" fontId="13" fillId="3" borderId="1" xfId="4" applyNumberFormat="1" applyFont="1" applyFill="1" applyBorder="1" applyAlignment="1">
      <alignment horizontal="left" vertical="center" wrapText="1"/>
    </xf>
    <xf numFmtId="0" fontId="33" fillId="0" borderId="1" xfId="10" applyBorder="1" applyAlignment="1">
      <alignment horizontal="center" vertical="center" wrapText="1"/>
    </xf>
    <xf numFmtId="179" fontId="33" fillId="0" borderId="1" xfId="4" applyNumberFormat="1" applyBorder="1">
      <alignment vertical="center"/>
    </xf>
    <xf numFmtId="0" fontId="33" fillId="0" borderId="2" xfId="4" applyBorder="1" applyAlignment="1">
      <alignment vertical="center" wrapText="1"/>
    </xf>
    <xf numFmtId="179" fontId="33" fillId="0" borderId="2" xfId="4" applyNumberFormat="1" applyBorder="1" applyAlignment="1">
      <alignment vertical="center" wrapText="1"/>
    </xf>
    <xf numFmtId="179" fontId="33" fillId="0" borderId="2" xfId="4" applyNumberFormat="1" applyBorder="1" applyAlignment="1">
      <alignment vertical="center"/>
    </xf>
    <xf numFmtId="179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/>
    </xf>
    <xf numFmtId="181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33" fillId="0" borderId="2" xfId="4" applyBorder="1" applyAlignment="1">
      <alignment horizontal="center" vertical="center" wrapText="1"/>
    </xf>
    <xf numFmtId="179" fontId="33" fillId="0" borderId="1" xfId="4" applyNumberFormat="1" applyBorder="1" applyAlignment="1">
      <alignment horizontal="center" vertical="center"/>
    </xf>
    <xf numFmtId="179" fontId="33" fillId="0" borderId="1" xfId="10" applyNumberFormat="1" applyBorder="1" applyAlignment="1">
      <alignment horizontal="center" vertical="center"/>
    </xf>
    <xf numFmtId="179" fontId="33" fillId="0" borderId="1" xfId="10" applyNumberFormat="1" applyBorder="1" applyAlignment="1">
      <alignment horizontal="center" vertical="center" wrapText="1"/>
    </xf>
    <xf numFmtId="0" fontId="33" fillId="0" borderId="1" xfId="1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82" fontId="0" fillId="0" borderId="1" xfId="0" applyNumberFormat="1" applyBorder="1" applyAlignment="1">
      <alignment vertical="center" shrinkToFit="1"/>
    </xf>
    <xf numFmtId="183" fontId="0" fillId="0" borderId="1" xfId="0" applyNumberFormat="1" applyBorder="1" applyAlignment="1">
      <alignment vertical="center" shrinkToFit="1"/>
    </xf>
    <xf numFmtId="179" fontId="33" fillId="0" borderId="1" xfId="0" applyNumberFormat="1" applyFont="1" applyBorder="1" applyAlignment="1">
      <alignment horizontal="center" vertical="center"/>
    </xf>
    <xf numFmtId="0" fontId="33" fillId="0" borderId="0" xfId="0" applyFont="1"/>
    <xf numFmtId="179" fontId="3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33" fillId="0" borderId="1" xfId="0" applyFont="1" applyBorder="1" applyAlignment="1">
      <alignment horizontal="center" vertical="center"/>
    </xf>
    <xf numFmtId="179" fontId="33" fillId="0" borderId="1" xfId="0" applyNumberFormat="1" applyFont="1" applyBorder="1" applyAlignment="1">
      <alignment vertical="center"/>
    </xf>
    <xf numFmtId="0" fontId="14" fillId="3" borderId="1" xfId="4" applyFont="1" applyFill="1" applyBorder="1" applyAlignment="1">
      <alignment horizontal="center" vertical="center" wrapText="1"/>
    </xf>
    <xf numFmtId="178" fontId="16" fillId="3" borderId="1" xfId="4" applyNumberFormat="1" applyFont="1" applyFill="1" applyBorder="1" applyAlignment="1">
      <alignment horizontal="center" vertical="center"/>
    </xf>
    <xf numFmtId="0" fontId="11" fillId="3" borderId="1" xfId="7" applyFont="1" applyFill="1" applyBorder="1" applyAlignment="1">
      <alignment horizontal="center" vertical="center" wrapText="1"/>
    </xf>
    <xf numFmtId="179" fontId="33" fillId="0" borderId="1" xfId="0" applyNumberFormat="1" applyFont="1" applyBorder="1" applyAlignment="1">
      <alignment horizontal="center" vertical="center"/>
    </xf>
    <xf numFmtId="0" fontId="11" fillId="3" borderId="1" xfId="8" applyFont="1" applyFill="1" applyBorder="1" applyAlignment="1">
      <alignment horizontal="center" vertical="center"/>
    </xf>
    <xf numFmtId="49" fontId="11" fillId="3" borderId="1" xfId="9" applyNumberFormat="1" applyFont="1" applyFill="1" applyBorder="1" applyAlignment="1" applyProtection="1">
      <alignment horizontal="center" vertical="center" wrapText="1"/>
      <protection locked="0"/>
    </xf>
    <xf numFmtId="179" fontId="0" fillId="0" borderId="1" xfId="0" applyNumberFormat="1" applyFill="1" applyBorder="1" applyAlignment="1">
      <alignment horizontal="center" vertical="center"/>
    </xf>
    <xf numFmtId="0" fontId="15" fillId="3" borderId="1" xfId="4" applyFont="1" applyFill="1" applyBorder="1" applyAlignment="1">
      <alignment horizontal="center" vertical="center" wrapText="1"/>
    </xf>
    <xf numFmtId="0" fontId="17" fillId="3" borderId="1" xfId="7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79" fontId="3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81" fontId="33" fillId="0" borderId="1" xfId="10" applyNumberFormat="1" applyBorder="1" applyAlignment="1">
      <alignment horizontal="center" vertical="center" shrinkToFit="1"/>
    </xf>
    <xf numFmtId="179" fontId="33" fillId="0" borderId="1" xfId="10" applyNumberFormat="1" applyBorder="1" applyAlignment="1">
      <alignment horizontal="center" vertical="center"/>
    </xf>
    <xf numFmtId="179" fontId="33" fillId="0" borderId="1" xfId="10" applyNumberFormat="1" applyBorder="1" applyAlignment="1">
      <alignment horizontal="center" vertical="center" wrapText="1"/>
    </xf>
    <xf numFmtId="0" fontId="33" fillId="0" borderId="1" xfId="10" applyBorder="1" applyAlignment="1">
      <alignment horizontal="center" vertical="center" wrapText="1"/>
    </xf>
    <xf numFmtId="0" fontId="33" fillId="0" borderId="2" xfId="10" applyBorder="1" applyAlignment="1">
      <alignment horizontal="center" vertical="center"/>
    </xf>
    <xf numFmtId="0" fontId="33" fillId="0" borderId="3" xfId="10" applyBorder="1" applyAlignment="1">
      <alignment horizontal="center" vertical="center"/>
    </xf>
    <xf numFmtId="0" fontId="33" fillId="0" borderId="1" xfId="10" applyBorder="1" applyAlignment="1">
      <alignment horizontal="center" vertical="center" wrapText="1" shrinkToFit="1"/>
    </xf>
    <xf numFmtId="0" fontId="33" fillId="0" borderId="2" xfId="4" applyBorder="1" applyAlignment="1">
      <alignment horizontal="center" vertical="center" wrapText="1"/>
    </xf>
    <xf numFmtId="179" fontId="33" fillId="0" borderId="2" xfId="4" applyNumberFormat="1" applyBorder="1" applyAlignment="1">
      <alignment horizontal="center" vertical="center" wrapText="1"/>
    </xf>
    <xf numFmtId="0" fontId="12" fillId="3" borderId="1" xfId="7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179" fontId="0" fillId="0" borderId="1" xfId="0" applyNumberFormat="1" applyBorder="1" applyAlignment="1">
      <alignment vertical="center"/>
    </xf>
    <xf numFmtId="10" fontId="0" fillId="0" borderId="0" xfId="0" applyNumberFormat="1"/>
    <xf numFmtId="10" fontId="0" fillId="0" borderId="1" xfId="0" applyNumberFormat="1" applyBorder="1" applyAlignment="1">
      <alignment horizontal="center" vertical="center"/>
    </xf>
    <xf numFmtId="179" fontId="33" fillId="0" borderId="1" xfId="4" applyNumberFormat="1" applyBorder="1" applyAlignment="1">
      <alignment vertical="center"/>
    </xf>
    <xf numFmtId="179" fontId="0" fillId="0" borderId="1" xfId="0" applyNumberFormat="1" applyBorder="1"/>
    <xf numFmtId="179" fontId="0" fillId="0" borderId="1" xfId="0" applyNumberFormat="1" applyBorder="1" applyAlignment="1">
      <alignment horizontal="center"/>
    </xf>
    <xf numFmtId="179" fontId="0" fillId="0" borderId="0" xfId="0" applyNumberFormat="1"/>
    <xf numFmtId="179" fontId="0" fillId="0" borderId="1" xfId="0" applyNumberFormat="1" applyFill="1" applyBorder="1" applyAlignment="1">
      <alignment vertical="center"/>
    </xf>
    <xf numFmtId="179" fontId="33" fillId="0" borderId="2" xfId="4" applyNumberFormat="1" applyBorder="1" applyAlignment="1">
      <alignment vertical="center"/>
    </xf>
    <xf numFmtId="179" fontId="33" fillId="0" borderId="1" xfId="4" applyNumberFormat="1" applyBorder="1" applyAlignment="1">
      <alignment vertical="center"/>
    </xf>
    <xf numFmtId="179" fontId="0" fillId="0" borderId="1" xfId="0" applyNumberFormat="1" applyBorder="1" applyAlignment="1"/>
    <xf numFmtId="179" fontId="0" fillId="0" borderId="0" xfId="0" applyNumberFormat="1" applyAlignment="1"/>
    <xf numFmtId="179" fontId="0" fillId="0" borderId="1" xfId="0" applyNumberFormat="1" applyBorder="1" applyAlignment="1">
      <alignment vertical="center"/>
    </xf>
    <xf numFmtId="0" fontId="33" fillId="0" borderId="2" xfId="4" applyBorder="1" applyAlignment="1">
      <alignment horizontal="center" vertical="center"/>
    </xf>
    <xf numFmtId="0" fontId="33" fillId="0" borderId="3" xfId="4" applyBorder="1" applyAlignment="1">
      <alignment horizontal="center" vertical="center"/>
    </xf>
    <xf numFmtId="184" fontId="33" fillId="0" borderId="1" xfId="4" applyNumberFormat="1" applyBorder="1" applyAlignment="1">
      <alignment horizontal="center" vertical="center" wrapText="1" shrinkToFit="1"/>
    </xf>
    <xf numFmtId="181" fontId="33" fillId="0" borderId="1" xfId="4" applyNumberFormat="1" applyBorder="1" applyAlignment="1">
      <alignment horizontal="center" vertical="center" shrinkToFit="1"/>
    </xf>
    <xf numFmtId="184" fontId="33" fillId="0" borderId="1" xfId="4" applyNumberFormat="1" applyBorder="1" applyAlignment="1">
      <alignment horizontal="center" vertical="center" wrapText="1"/>
    </xf>
    <xf numFmtId="179" fontId="33" fillId="0" borderId="1" xfId="4" applyNumberForma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184" fontId="11" fillId="0" borderId="1" xfId="0" applyNumberFormat="1" applyFont="1" applyBorder="1" applyAlignment="1">
      <alignment vertical="center" wrapText="1"/>
    </xf>
    <xf numFmtId="179" fontId="11" fillId="0" borderId="1" xfId="1" applyNumberFormat="1" applyFont="1" applyFill="1" applyBorder="1" applyAlignment="1" applyProtection="1">
      <alignment vertical="center" wrapText="1"/>
      <protection locked="0"/>
    </xf>
    <xf numFmtId="181" fontId="11" fillId="0" borderId="1" xfId="7" applyNumberFormat="1" applyFont="1" applyBorder="1">
      <alignment vertical="center"/>
    </xf>
    <xf numFmtId="181" fontId="11" fillId="0" borderId="1" xfId="0" applyNumberFormat="1" applyFont="1" applyBorder="1" applyAlignment="1">
      <alignment vertical="center" wrapText="1"/>
    </xf>
    <xf numFmtId="181" fontId="11" fillId="0" borderId="1" xfId="1" applyNumberFormat="1" applyFont="1" applyFill="1" applyBorder="1" applyAlignment="1" applyProtection="1">
      <alignment vertical="center" wrapText="1"/>
      <protection locked="0"/>
    </xf>
    <xf numFmtId="18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82" fontId="9" fillId="0" borderId="1" xfId="0" applyNumberFormat="1" applyFont="1" applyBorder="1" applyAlignment="1">
      <alignment vertical="center"/>
    </xf>
    <xf numFmtId="184" fontId="0" fillId="0" borderId="1" xfId="0" applyNumberFormat="1" applyBorder="1" applyAlignment="1">
      <alignment vertical="center"/>
    </xf>
    <xf numFmtId="185" fontId="11" fillId="0" borderId="1" xfId="0" applyNumberFormat="1" applyFont="1" applyBorder="1" applyAlignment="1">
      <alignment vertical="center"/>
    </xf>
    <xf numFmtId="182" fontId="0" fillId="0" borderId="1" xfId="0" applyNumberFormat="1" applyBorder="1" applyAlignment="1">
      <alignment vertical="center"/>
    </xf>
    <xf numFmtId="0" fontId="7" fillId="0" borderId="0" xfId="5" applyFont="1" applyAlignment="1">
      <alignment horizontal="left" vertical="center" wrapText="1"/>
    </xf>
    <xf numFmtId="0" fontId="7" fillId="2" borderId="0" xfId="5" applyFont="1" applyFill="1" applyAlignment="1">
      <alignment horizontal="left" vertical="center" wrapText="1"/>
    </xf>
    <xf numFmtId="0" fontId="7" fillId="2" borderId="0" xfId="4" applyFont="1" applyFill="1" applyAlignment="1">
      <alignment horizontal="left" vertical="center" shrinkToFit="1"/>
    </xf>
    <xf numFmtId="176" fontId="10" fillId="4" borderId="1" xfId="6" applyNumberFormat="1" applyFont="1" applyFill="1" applyBorder="1" applyAlignment="1">
      <alignment horizontal="center" vertical="center" wrapText="1"/>
    </xf>
    <xf numFmtId="0" fontId="19" fillId="4" borderId="1" xfId="7" applyFont="1" applyFill="1" applyBorder="1" applyAlignment="1">
      <alignment horizontal="center" vertical="center" wrapText="1"/>
    </xf>
    <xf numFmtId="0" fontId="7" fillId="0" borderId="6" xfId="5" applyFont="1" applyBorder="1" applyAlignment="1">
      <alignment horizontal="left" vertical="center" wrapText="1"/>
    </xf>
    <xf numFmtId="0" fontId="7" fillId="2" borderId="6" xfId="5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49" fontId="9" fillId="2" borderId="1" xfId="4" applyNumberFormat="1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wrapText="1"/>
    </xf>
    <xf numFmtId="176" fontId="10" fillId="2" borderId="2" xfId="6" applyNumberFormat="1" applyFont="1" applyFill="1" applyBorder="1" applyAlignment="1">
      <alignment horizontal="center" vertical="center" wrapText="1"/>
    </xf>
    <xf numFmtId="176" fontId="10" fillId="2" borderId="3" xfId="6" applyNumberFormat="1" applyFont="1" applyFill="1" applyBorder="1" applyAlignment="1">
      <alignment horizontal="center" vertical="center" wrapText="1"/>
    </xf>
    <xf numFmtId="179" fontId="9" fillId="2" borderId="1" xfId="4" applyNumberFormat="1" applyFont="1" applyFill="1" applyBorder="1" applyAlignment="1">
      <alignment horizontal="center" vertical="center" shrinkToFit="1"/>
    </xf>
    <xf numFmtId="0" fontId="5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7" fillId="2" borderId="0" xfId="4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 wrapText="1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33" fillId="0" borderId="1" xfId="0" applyNumberFormat="1" applyFont="1" applyBorder="1" applyAlignment="1">
      <alignment horizontal="center" vertical="center"/>
    </xf>
    <xf numFmtId="10" fontId="33" fillId="0" borderId="2" xfId="4" applyNumberFormat="1" applyBorder="1" applyAlignment="1">
      <alignment horizontal="center" vertical="center"/>
    </xf>
    <xf numFmtId="10" fontId="33" fillId="0" borderId="4" xfId="4" applyNumberFormat="1" applyBorder="1" applyAlignment="1">
      <alignment horizontal="center" vertical="center"/>
    </xf>
    <xf numFmtId="10" fontId="33" fillId="0" borderId="3" xfId="4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2" fontId="33" fillId="0" borderId="1" xfId="4" applyNumberFormat="1" applyBorder="1" applyAlignment="1">
      <alignment horizontal="center" vertical="center"/>
    </xf>
    <xf numFmtId="0" fontId="33" fillId="0" borderId="1" xfId="4" applyNumberFormat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10" fontId="0" fillId="0" borderId="3" xfId="0" applyNumberFormat="1" applyFill="1" applyBorder="1" applyAlignment="1">
      <alignment horizontal="center" vertical="center"/>
    </xf>
    <xf numFmtId="10" fontId="33" fillId="0" borderId="2" xfId="0" applyNumberFormat="1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33" fillId="0" borderId="1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  <xf numFmtId="179" fontId="0" fillId="0" borderId="2" xfId="0" applyNumberFormat="1" applyBorder="1" applyAlignment="1">
      <alignment vertical="center"/>
    </xf>
    <xf numFmtId="179" fontId="0" fillId="0" borderId="3" xfId="0" applyNumberForma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81" fontId="0" fillId="0" borderId="4" xfId="0" applyNumberFormat="1" applyBorder="1" applyAlignment="1">
      <alignment horizontal="center" vertical="center"/>
    </xf>
    <xf numFmtId="179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183" fontId="0" fillId="0" borderId="1" xfId="0" applyNumberFormat="1" applyBorder="1" applyAlignment="1">
      <alignment horizontal="center" vertical="center" shrinkToFit="1"/>
    </xf>
    <xf numFmtId="0" fontId="33" fillId="0" borderId="2" xfId="4" applyNumberFormat="1" applyBorder="1" applyAlignment="1">
      <alignment horizontal="center" vertical="center"/>
    </xf>
    <xf numFmtId="0" fontId="33" fillId="0" borderId="3" xfId="4" applyNumberFormat="1" applyBorder="1" applyAlignment="1">
      <alignment horizontal="center" vertical="center"/>
    </xf>
    <xf numFmtId="0" fontId="33" fillId="0" borderId="2" xfId="4" applyBorder="1" applyAlignment="1">
      <alignment horizontal="center" vertical="center"/>
    </xf>
    <xf numFmtId="0" fontId="33" fillId="0" borderId="3" xfId="4" applyBorder="1" applyAlignment="1">
      <alignment horizontal="center" vertical="center"/>
    </xf>
    <xf numFmtId="179" fontId="33" fillId="0" borderId="2" xfId="4" applyNumberFormat="1" applyBorder="1" applyAlignment="1">
      <alignment horizontal="center" vertical="center"/>
    </xf>
    <xf numFmtId="179" fontId="33" fillId="0" borderId="3" xfId="4" applyNumberFormat="1" applyBorder="1" applyAlignment="1">
      <alignment horizontal="center" vertical="center"/>
    </xf>
    <xf numFmtId="0" fontId="33" fillId="0" borderId="2" xfId="4" applyBorder="1" applyAlignment="1">
      <alignment horizontal="center" vertical="center" wrapText="1"/>
    </xf>
    <xf numFmtId="0" fontId="33" fillId="0" borderId="4" xfId="4" applyBorder="1" applyAlignment="1">
      <alignment horizontal="center" vertical="center" wrapText="1"/>
    </xf>
    <xf numFmtId="0" fontId="33" fillId="0" borderId="3" xfId="4" applyBorder="1" applyAlignment="1">
      <alignment horizontal="center" vertical="center" wrapText="1"/>
    </xf>
    <xf numFmtId="0" fontId="33" fillId="0" borderId="1" xfId="4" applyBorder="1" applyAlignment="1">
      <alignment horizontal="center" vertical="center" wrapText="1"/>
    </xf>
    <xf numFmtId="179" fontId="33" fillId="0" borderId="1" xfId="4" applyNumberFormat="1" applyBorder="1" applyAlignment="1">
      <alignment horizontal="center" vertical="center" wrapText="1"/>
    </xf>
    <xf numFmtId="179" fontId="33" fillId="0" borderId="2" xfId="4" applyNumberFormat="1" applyBorder="1" applyAlignment="1">
      <alignment horizontal="center" vertical="center" wrapText="1"/>
    </xf>
    <xf numFmtId="179" fontId="33" fillId="0" borderId="4" xfId="4" applyNumberFormat="1" applyBorder="1" applyAlignment="1">
      <alignment horizontal="center" vertical="center" wrapText="1"/>
    </xf>
    <xf numFmtId="179" fontId="33" fillId="0" borderId="3" xfId="4" applyNumberFormat="1" applyBorder="1" applyAlignment="1">
      <alignment horizontal="center" vertical="center" wrapText="1"/>
    </xf>
    <xf numFmtId="179" fontId="33" fillId="0" borderId="1" xfId="4" applyNumberFormat="1" applyBorder="1" applyAlignment="1">
      <alignment vertical="center"/>
    </xf>
    <xf numFmtId="182" fontId="33" fillId="0" borderId="2" xfId="4" applyNumberFormat="1" applyBorder="1" applyAlignment="1">
      <alignment horizontal="center" vertical="center"/>
    </xf>
    <xf numFmtId="182" fontId="33" fillId="0" borderId="4" xfId="4" applyNumberFormat="1" applyBorder="1" applyAlignment="1">
      <alignment horizontal="center" vertical="center"/>
    </xf>
    <xf numFmtId="182" fontId="33" fillId="0" borderId="3" xfId="4" applyNumberFormat="1" applyBorder="1" applyAlignment="1">
      <alignment horizontal="center" vertical="center"/>
    </xf>
    <xf numFmtId="0" fontId="33" fillId="0" borderId="4" xfId="4" applyNumberFormat="1" applyBorder="1" applyAlignment="1">
      <alignment horizontal="center" vertical="center"/>
    </xf>
    <xf numFmtId="179" fontId="33" fillId="0" borderId="2" xfId="4" applyNumberFormat="1" applyBorder="1" applyAlignment="1">
      <alignment vertical="center"/>
    </xf>
    <xf numFmtId="179" fontId="33" fillId="0" borderId="4" xfId="4" applyNumberFormat="1" applyBorder="1" applyAlignment="1">
      <alignment vertical="center"/>
    </xf>
    <xf numFmtId="179" fontId="33" fillId="0" borderId="3" xfId="4" applyNumberFormat="1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81" fontId="33" fillId="0" borderId="1" xfId="10" applyNumberFormat="1" applyBorder="1" applyAlignment="1">
      <alignment horizontal="center" vertical="center" shrinkToFit="1"/>
    </xf>
    <xf numFmtId="179" fontId="33" fillId="0" borderId="1" xfId="10" applyNumberFormat="1" applyBorder="1" applyAlignment="1">
      <alignment horizontal="center" vertical="center"/>
    </xf>
    <xf numFmtId="179" fontId="33" fillId="0" borderId="1" xfId="10" applyNumberForma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33" fillId="0" borderId="1" xfId="10" applyBorder="1" applyAlignment="1">
      <alignment horizontal="center" vertical="center" wrapText="1"/>
    </xf>
    <xf numFmtId="0" fontId="33" fillId="0" borderId="2" xfId="10" applyBorder="1" applyAlignment="1">
      <alignment horizontal="center" vertical="center"/>
    </xf>
    <xf numFmtId="0" fontId="33" fillId="0" borderId="3" xfId="10" applyBorder="1" applyAlignment="1">
      <alignment horizontal="center" vertical="center"/>
    </xf>
    <xf numFmtId="0" fontId="33" fillId="0" borderId="2" xfId="10" applyBorder="1" applyAlignment="1">
      <alignment horizontal="center" vertical="center" wrapText="1"/>
    </xf>
    <xf numFmtId="0" fontId="33" fillId="0" borderId="3" xfId="10" applyBorder="1" applyAlignment="1">
      <alignment horizontal="center" vertical="center" wrapText="1"/>
    </xf>
    <xf numFmtId="0" fontId="33" fillId="0" borderId="2" xfId="10" applyBorder="1" applyAlignment="1">
      <alignment horizontal="center" vertical="center" shrinkToFit="1"/>
    </xf>
    <xf numFmtId="0" fontId="33" fillId="0" borderId="3" xfId="10" applyBorder="1" applyAlignment="1">
      <alignment horizontal="center" vertical="center" shrinkToFit="1"/>
    </xf>
    <xf numFmtId="0" fontId="33" fillId="0" borderId="1" xfId="10" applyBorder="1" applyAlignment="1">
      <alignment horizontal="center" vertical="center" wrapText="1" shrinkToFit="1"/>
    </xf>
    <xf numFmtId="182" fontId="0" fillId="0" borderId="2" xfId="0" applyNumberFormat="1" applyBorder="1" applyAlignment="1">
      <alignment horizontal="center" vertical="center"/>
    </xf>
    <xf numFmtId="182" fontId="0" fillId="0" borderId="4" xfId="0" applyNumberFormat="1" applyBorder="1" applyAlignment="1">
      <alignment horizontal="center" vertical="center"/>
    </xf>
    <xf numFmtId="182" fontId="0" fillId="0" borderId="3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79" fontId="33" fillId="0" borderId="2" xfId="0" applyNumberFormat="1" applyFont="1" applyBorder="1" applyAlignment="1">
      <alignment horizontal="center" vertical="center"/>
    </xf>
    <xf numFmtId="179" fontId="33" fillId="0" borderId="3" xfId="0" applyNumberFormat="1" applyFont="1" applyBorder="1" applyAlignment="1">
      <alignment horizontal="center" vertical="center"/>
    </xf>
    <xf numFmtId="181" fontId="33" fillId="0" borderId="2" xfId="0" applyNumberFormat="1" applyFont="1" applyBorder="1" applyAlignment="1">
      <alignment horizontal="center" vertical="center"/>
    </xf>
    <xf numFmtId="181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179" fontId="0" fillId="0" borderId="3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81" fontId="33" fillId="0" borderId="1" xfId="0" applyNumberFormat="1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179" fontId="33" fillId="0" borderId="1" xfId="4" applyNumberFormat="1" applyBorder="1" applyAlignment="1">
      <alignment horizontal="center" vertical="center"/>
    </xf>
    <xf numFmtId="176" fontId="33" fillId="0" borderId="1" xfId="4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9" fontId="36" fillId="0" borderId="1" xfId="0" applyNumberFormat="1" applyFont="1" applyBorder="1" applyAlignment="1">
      <alignment horizontal="center" vertical="center" wrapText="1"/>
    </xf>
    <xf numFmtId="176" fontId="36" fillId="0" borderId="1" xfId="0" applyNumberFormat="1" applyFont="1" applyBorder="1" applyAlignment="1">
      <alignment horizontal="center" vertical="center" wrapText="1"/>
    </xf>
    <xf numFmtId="0" fontId="33" fillId="0" borderId="2" xfId="4" applyBorder="1" applyAlignment="1">
      <alignment horizontal="center" vertical="center" shrinkToFit="1"/>
    </xf>
    <xf numFmtId="0" fontId="33" fillId="0" borderId="3" xfId="4" applyBorder="1" applyAlignment="1">
      <alignment horizontal="center" vertical="center" shrinkToFit="1"/>
    </xf>
    <xf numFmtId="184" fontId="33" fillId="0" borderId="1" xfId="4" applyNumberFormat="1" applyBorder="1" applyAlignment="1">
      <alignment horizontal="center" vertical="center" wrapText="1" shrinkToFit="1"/>
    </xf>
    <xf numFmtId="181" fontId="33" fillId="0" borderId="1" xfId="4" applyNumberFormat="1" applyBorder="1" applyAlignment="1">
      <alignment horizontal="center" vertical="center" shrinkToFit="1"/>
    </xf>
    <xf numFmtId="0" fontId="35" fillId="0" borderId="7" xfId="4" applyFont="1" applyBorder="1" applyAlignment="1">
      <alignment horizontal="center" vertical="center"/>
    </xf>
    <xf numFmtId="0" fontId="33" fillId="0" borderId="1" xfId="4" applyBorder="1" applyAlignment="1">
      <alignment horizontal="center" vertical="center" shrinkToFit="1"/>
    </xf>
  </cellXfs>
  <cellStyles count="11">
    <cellStyle name="BOM_Level_Below3 2 2" xfId="1" xr:uid="{00000000-0005-0000-0000-000031000000}"/>
    <cellStyle name="BOM_Level_Below3 3" xfId="2" xr:uid="{00000000-0005-0000-0000-000032000000}"/>
    <cellStyle name="常规" xfId="0" builtinId="0"/>
    <cellStyle name="常规 10" xfId="3" xr:uid="{00000000-0005-0000-0000-000033000000}"/>
    <cellStyle name="常规 2" xfId="4" xr:uid="{00000000-0005-0000-0000-000034000000}"/>
    <cellStyle name="常规 2 2" xfId="5" xr:uid="{00000000-0005-0000-0000-000035000000}"/>
    <cellStyle name="常规 2 2 6" xfId="6" xr:uid="{00000000-0005-0000-0000-000036000000}"/>
    <cellStyle name="常规 2 3" xfId="10" xr:uid="{013EB72F-5FB9-410B-AF38-0C0AA23EAF0C}"/>
    <cellStyle name="常规 3" xfId="7" xr:uid="{00000000-0005-0000-0000-000037000000}"/>
    <cellStyle name="常规 3 30" xfId="8" xr:uid="{00000000-0005-0000-0000-000038000000}"/>
    <cellStyle name="样式 1" xfId="9" xr:uid="{00000000-0005-0000-0000-000039000000}"/>
  </cellStyles>
  <dxfs count="10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38477;&#26412;&#36164;&#26009;\&#37329;&#23646;&#20214;&#21378;&#30446;&#26631;&#20215;&#26684;&#27979;&#31639;%201-10&#252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标价格"/>
      <sheetName val="汇总表"/>
      <sheetName val="河北金属件目标价格"/>
      <sheetName val="冲压工序费"/>
      <sheetName val="航天宏达按集团"/>
      <sheetName val="航天宏达按库房"/>
    </sheetNames>
    <sheetDataSet>
      <sheetData sheetId="0"/>
      <sheetData sheetId="1">
        <row r="2">
          <cell r="B2" t="str">
            <v>物料代码</v>
          </cell>
          <cell r="C2" t="str">
            <v>零件号</v>
          </cell>
          <cell r="D2" t="str">
            <v>名  称</v>
          </cell>
          <cell r="E2" t="str">
            <v>2023.4月使用量</v>
          </cell>
          <cell r="F2" t="str">
            <v>未税目标价（不含模摊）</v>
          </cell>
        </row>
        <row r="4">
          <cell r="B4" t="str">
            <v>SHT0016053</v>
          </cell>
          <cell r="C4" t="str">
            <v>SHT0016053</v>
          </cell>
          <cell r="D4" t="str">
            <v>气囊下支架</v>
          </cell>
          <cell r="E4" t="e">
            <v>#N/A</v>
          </cell>
          <cell r="F4">
            <v>5.0129369231200007</v>
          </cell>
        </row>
        <row r="5">
          <cell r="B5" t="str">
            <v>SHT0011638</v>
          </cell>
          <cell r="C5" t="str">
            <v>SHT0011638</v>
          </cell>
          <cell r="D5" t="str">
            <v>下框横梁</v>
          </cell>
          <cell r="E5" t="e">
            <v>#N/A</v>
          </cell>
          <cell r="F5">
            <v>2.7518044377600002</v>
          </cell>
        </row>
        <row r="6">
          <cell r="B6" t="str">
            <v>SHT0015093</v>
          </cell>
          <cell r="C6" t="str">
            <v>SHT0015093</v>
          </cell>
          <cell r="D6" t="str">
            <v>下框后横梁组件</v>
          </cell>
          <cell r="E6" t="e">
            <v>#N/A</v>
          </cell>
          <cell r="F6">
            <v>4.1232558505600005</v>
          </cell>
        </row>
        <row r="7">
          <cell r="B7" t="str">
            <v>SHT0001256</v>
          </cell>
          <cell r="C7" t="str">
            <v>SHT0001256</v>
          </cell>
          <cell r="D7" t="str">
            <v>阻尼器连接螺栓</v>
          </cell>
          <cell r="E7">
            <v>5180</v>
          </cell>
          <cell r="F7">
            <v>0.39</v>
          </cell>
        </row>
        <row r="8">
          <cell r="B8" t="str">
            <v>BFA0000561</v>
          </cell>
          <cell r="C8" t="str">
            <v>SQX3000-6805460</v>
          </cell>
          <cell r="D8" t="str">
            <v>销轴</v>
          </cell>
          <cell r="E8">
            <v>3334</v>
          </cell>
          <cell r="F8">
            <v>0.43500000000000005</v>
          </cell>
        </row>
        <row r="9">
          <cell r="B9" t="str">
            <v>BFA0000400</v>
          </cell>
          <cell r="C9" t="str">
            <v>BFA0000400</v>
          </cell>
          <cell r="D9" t="str">
            <v>安全带固定螺母7/16</v>
          </cell>
          <cell r="E9">
            <v>12287</v>
          </cell>
          <cell r="F9">
            <v>0.255</v>
          </cell>
        </row>
        <row r="10">
          <cell r="B10" t="str">
            <v>SLT0002817</v>
          </cell>
          <cell r="C10" t="str">
            <v>SLT0002817</v>
          </cell>
          <cell r="D10" t="str">
            <v>外盘簧支架K1司机调角器</v>
          </cell>
          <cell r="E10">
            <v>9168</v>
          </cell>
          <cell r="F10">
            <v>0.19958933050000005</v>
          </cell>
        </row>
        <row r="11">
          <cell r="B11" t="str">
            <v>SLT0010891</v>
          </cell>
          <cell r="C11" t="str">
            <v>SLT0010891</v>
          </cell>
          <cell r="D11" t="str">
            <v>二级调节解锁手柄欧马可升级</v>
          </cell>
          <cell r="E11">
            <v>518</v>
          </cell>
          <cell r="F11">
            <v>0.19573411200000002</v>
          </cell>
        </row>
        <row r="12">
          <cell r="B12" t="str">
            <v>SCS0004400</v>
          </cell>
          <cell r="C12" t="str">
            <v>SCS0004400</v>
          </cell>
          <cell r="D12" t="str">
            <v>中改调角器限位支架B40L中改后排</v>
          </cell>
          <cell r="E12">
            <v>4383</v>
          </cell>
          <cell r="F12">
            <v>0.25474025472</v>
          </cell>
        </row>
        <row r="13">
          <cell r="B13" t="str">
            <v>SLT0002815</v>
          </cell>
          <cell r="C13" t="str">
            <v>SLT0002815</v>
          </cell>
          <cell r="D13" t="str">
            <v>内盘簧支架K1司机调角器</v>
          </cell>
          <cell r="E13">
            <v>9168</v>
          </cell>
          <cell r="F13">
            <v>0.18835740000000001</v>
          </cell>
        </row>
        <row r="14">
          <cell r="B14" t="str">
            <v>SLT0010959</v>
          </cell>
          <cell r="C14" t="str">
            <v>SLT0010959</v>
          </cell>
          <cell r="D14" t="str">
            <v>护盖挂接片欧马可升级</v>
          </cell>
          <cell r="E14">
            <v>61</v>
          </cell>
          <cell r="F14">
            <v>0.33098705920000004</v>
          </cell>
        </row>
        <row r="15">
          <cell r="B15" t="str">
            <v>SLT0010955</v>
          </cell>
          <cell r="C15" t="str">
            <v>SLT0010955</v>
          </cell>
          <cell r="D15" t="str">
            <v>驾驶员座垫前固定支架欧马可升级</v>
          </cell>
          <cell r="E15">
            <v>122</v>
          </cell>
          <cell r="F15">
            <v>0.50030674624000004</v>
          </cell>
        </row>
        <row r="16">
          <cell r="B16" t="str">
            <v>SLT0010956</v>
          </cell>
          <cell r="C16" t="str">
            <v>SLT0010956</v>
          </cell>
          <cell r="D16" t="str">
            <v>驾驶员座垫固定支架RH欧马可升级</v>
          </cell>
          <cell r="E16">
            <v>61</v>
          </cell>
          <cell r="F16">
            <v>0.69370116256000003</v>
          </cell>
        </row>
        <row r="17">
          <cell r="B17" t="str">
            <v>SLT0002813</v>
          </cell>
          <cell r="C17" t="str">
            <v>SLT0002813</v>
          </cell>
          <cell r="D17" t="str">
            <v>左手柄K1司机调角器</v>
          </cell>
          <cell r="E17">
            <v>1219</v>
          </cell>
          <cell r="F17">
            <v>1.0671385004000002</v>
          </cell>
        </row>
        <row r="18">
          <cell r="B18" t="str">
            <v>SLT0002814</v>
          </cell>
          <cell r="C18" t="str">
            <v>SLT0002814</v>
          </cell>
          <cell r="D18" t="str">
            <v>右手柄K1司机调角器</v>
          </cell>
          <cell r="E18">
            <v>2300</v>
          </cell>
          <cell r="F18">
            <v>1.0671385004000002</v>
          </cell>
        </row>
        <row r="19">
          <cell r="B19" t="str">
            <v>SHT0012098</v>
          </cell>
          <cell r="C19" t="str">
            <v>SHT0012098</v>
          </cell>
          <cell r="D19" t="str">
            <v>后升降手柄焊接总成1.3平台-M4</v>
          </cell>
          <cell r="E19">
            <v>400</v>
          </cell>
          <cell r="F19">
            <v>1.3694588096</v>
          </cell>
        </row>
        <row r="20">
          <cell r="B20" t="str">
            <v>SHT0012102</v>
          </cell>
          <cell r="C20" t="str">
            <v>SHT0012102</v>
          </cell>
          <cell r="D20" t="str">
            <v>前升降手柄焊接总成1.3平台-M4</v>
          </cell>
          <cell r="E20">
            <v>0</v>
          </cell>
          <cell r="F20">
            <v>1.6251859366400001</v>
          </cell>
        </row>
        <row r="21">
          <cell r="B21" t="str">
            <v>SLT0010905</v>
          </cell>
          <cell r="C21" t="str">
            <v>SLT0010905</v>
          </cell>
          <cell r="D21" t="str">
            <v>二级调节上连接板点焊总成欧马可升级</v>
          </cell>
          <cell r="E21">
            <v>518</v>
          </cell>
          <cell r="F21">
            <v>3.43451226064</v>
          </cell>
        </row>
        <row r="22">
          <cell r="B22" t="str">
            <v>SCS0004388</v>
          </cell>
          <cell r="C22" t="str">
            <v>SCS0004388</v>
          </cell>
          <cell r="D22" t="str">
            <v>右座椅左侧仰卧器连接板组合</v>
          </cell>
          <cell r="E22">
            <v>1955</v>
          </cell>
          <cell r="F22">
            <v>3.43451226064</v>
          </cell>
        </row>
        <row r="23">
          <cell r="B23" t="str">
            <v>SCS0004385</v>
          </cell>
          <cell r="C23" t="str">
            <v>SCS0004385</v>
          </cell>
          <cell r="D23" t="str">
            <v>右侧调角器下连接板组合B40L中改后排左座椅</v>
          </cell>
          <cell r="E23">
            <v>2108</v>
          </cell>
          <cell r="F23">
            <v>3.9293690672000006</v>
          </cell>
        </row>
        <row r="24">
          <cell r="B24" t="str">
            <v>SHT0010725</v>
          </cell>
          <cell r="C24" t="str">
            <v>SHT0010725</v>
          </cell>
          <cell r="D24" t="str">
            <v>司机副边调角器下连接钣BH6</v>
          </cell>
          <cell r="E24">
            <v>263</v>
          </cell>
          <cell r="F24">
            <v>3.5111500927999999</v>
          </cell>
        </row>
        <row r="25">
          <cell r="B25" t="str">
            <v>SHT0010723</v>
          </cell>
          <cell r="C25" t="str">
            <v>SHT0010723</v>
          </cell>
          <cell r="D25" t="str">
            <v>司机主边调角器下连接板B</v>
          </cell>
          <cell r="E25">
            <v>263</v>
          </cell>
          <cell r="F25">
            <v>3.5111500927999999</v>
          </cell>
        </row>
        <row r="26">
          <cell r="B26" t="str">
            <v>SCS0004387</v>
          </cell>
          <cell r="C26" t="str">
            <v>SCS0004387</v>
          </cell>
          <cell r="D26" t="str">
            <v>右侧调角器下连接板组合B40L中改后排右座椅</v>
          </cell>
          <cell r="E26">
            <v>2275</v>
          </cell>
          <cell r="F26">
            <v>4.5089093219200009</v>
          </cell>
        </row>
        <row r="27">
          <cell r="B27" t="str">
            <v>SCS0004386</v>
          </cell>
          <cell r="C27" t="str">
            <v>SCS0004386</v>
          </cell>
          <cell r="D27" t="str">
            <v>中改左侧调角器下连接板B40L中改后排左座椅</v>
          </cell>
          <cell r="E27">
            <v>2108</v>
          </cell>
          <cell r="F27">
            <v>4.5089093219200009</v>
          </cell>
        </row>
        <row r="28">
          <cell r="B28" t="str">
            <v>SCS0004396</v>
          </cell>
          <cell r="C28" t="str">
            <v>SCS0004396</v>
          </cell>
          <cell r="D28" t="str">
            <v>右侧地锁安装支架点焊组件B40L中改后排左座椅</v>
          </cell>
          <cell r="E28">
            <v>2271</v>
          </cell>
          <cell r="F28">
            <v>4.9381763240000014</v>
          </cell>
        </row>
        <row r="29">
          <cell r="B29" t="str">
            <v>SCS0004395</v>
          </cell>
          <cell r="C29" t="str">
            <v>SCS0004395</v>
          </cell>
          <cell r="D29" t="str">
            <v>中改右座椅右侧地锁安装B40L中改后排</v>
          </cell>
          <cell r="E29">
            <v>2045</v>
          </cell>
          <cell r="F29">
            <v>4.8473005159000007</v>
          </cell>
        </row>
        <row r="30">
          <cell r="B30" t="str">
            <v>SCS0004397</v>
          </cell>
          <cell r="C30" t="str">
            <v>SCS0004397</v>
          </cell>
          <cell r="D30" t="str">
            <v>左侧地锁安装支架点焊组件B40L中改后排左座椅</v>
          </cell>
          <cell r="E30">
            <v>4758</v>
          </cell>
          <cell r="F30">
            <v>4.8473005159000007</v>
          </cell>
        </row>
        <row r="31">
          <cell r="B31" t="str">
            <v>SLT0010877</v>
          </cell>
          <cell r="C31" t="str">
            <v>SLT0010877</v>
          </cell>
          <cell r="D31" t="str">
            <v>一级调节左旁接板焊接总成基础款欧马可升级</v>
          </cell>
          <cell r="E31">
            <v>269</v>
          </cell>
          <cell r="F31">
            <v>5.6766727281600007</v>
          </cell>
        </row>
        <row r="32">
          <cell r="B32" t="str">
            <v>SCS0004382</v>
          </cell>
          <cell r="C32" t="str">
            <v>SCS0004382</v>
          </cell>
          <cell r="D32" t="str">
            <v>左侧调角器上连接板B40L中改后排</v>
          </cell>
          <cell r="E32">
            <v>4383</v>
          </cell>
          <cell r="F32">
            <v>5.8563722252000012</v>
          </cell>
        </row>
        <row r="33">
          <cell r="B33" t="str">
            <v>SCS0004381</v>
          </cell>
          <cell r="C33" t="str">
            <v>SCS0004381</v>
          </cell>
          <cell r="D33" t="str">
            <v>右侧调角器上连接板B40L中改后排</v>
          </cell>
          <cell r="E33">
            <v>4386</v>
          </cell>
          <cell r="F33">
            <v>5.8563722252000012</v>
          </cell>
        </row>
        <row r="34">
          <cell r="B34" t="str">
            <v>SLT0011033</v>
          </cell>
          <cell r="C34" t="str">
            <v>SLT0011033</v>
          </cell>
          <cell r="D34" t="str">
            <v>副驾靠背右侧装车钣金焊接欧马可升级</v>
          </cell>
          <cell r="E34">
            <v>382</v>
          </cell>
          <cell r="F34">
            <v>5.4089856676800006</v>
          </cell>
        </row>
        <row r="35">
          <cell r="B35" t="str">
            <v>SLT0011089</v>
          </cell>
          <cell r="C35" t="str">
            <v>SLT0011089</v>
          </cell>
          <cell r="D35" t="str">
            <v>靠背拉线解锁手柄欧马可升级</v>
          </cell>
          <cell r="E35">
            <v>414</v>
          </cell>
          <cell r="F35">
            <v>0.19265321600000002</v>
          </cell>
        </row>
        <row r="36">
          <cell r="B36" t="str">
            <v>SHT0000999</v>
          </cell>
          <cell r="C36" t="str">
            <v>SHT0000999</v>
          </cell>
          <cell r="D36" t="str">
            <v>调角器左下连接板一汽</v>
          </cell>
          <cell r="E36">
            <v>0</v>
          </cell>
          <cell r="F36">
            <v>3.0663846651200002</v>
          </cell>
        </row>
        <row r="37">
          <cell r="B37" t="str">
            <v>SHT0000998</v>
          </cell>
          <cell r="C37" t="str">
            <v>SHT0000998</v>
          </cell>
          <cell r="D37" t="str">
            <v>调角器右下连接板一汽</v>
          </cell>
          <cell r="E37">
            <v>0</v>
          </cell>
          <cell r="F37">
            <v>3.0663846651200002</v>
          </cell>
        </row>
        <row r="38">
          <cell r="B38" t="str">
            <v>SLT0010754</v>
          </cell>
          <cell r="C38" t="str">
            <v>SLT0010754</v>
          </cell>
          <cell r="D38" t="str">
            <v>驾驶员靠背网簧固定钣金</v>
          </cell>
          <cell r="E38">
            <v>2604</v>
          </cell>
          <cell r="F38">
            <v>9.4478596799999995E-2</v>
          </cell>
        </row>
        <row r="39">
          <cell r="B39" t="str">
            <v>SHT0013841</v>
          </cell>
          <cell r="C39" t="str">
            <v>SHT0013841</v>
          </cell>
          <cell r="D39" t="str">
            <v>气管支架</v>
          </cell>
          <cell r="E39">
            <v>600</v>
          </cell>
          <cell r="F39">
            <v>0.50650836600000004</v>
          </cell>
        </row>
        <row r="40">
          <cell r="B40" t="str">
            <v>SHT0013238</v>
          </cell>
          <cell r="C40" t="str">
            <v>SHT0013238</v>
          </cell>
          <cell r="D40" t="str">
            <v>VDC阀上支架总成</v>
          </cell>
          <cell r="E40">
            <v>368</v>
          </cell>
          <cell r="F40">
            <v>0.90937813120000011</v>
          </cell>
        </row>
        <row r="41">
          <cell r="B41" t="str">
            <v>SHT0013239</v>
          </cell>
          <cell r="C41" t="str">
            <v>SHT0013239</v>
          </cell>
          <cell r="D41" t="str">
            <v>VDC阀下支架总成</v>
          </cell>
          <cell r="E41">
            <v>368</v>
          </cell>
          <cell r="F41">
            <v>0.82722040800000007</v>
          </cell>
        </row>
        <row r="42">
          <cell r="B42" t="str">
            <v>SHT0013120</v>
          </cell>
          <cell r="C42" t="str">
            <v>SHT0013120</v>
          </cell>
          <cell r="D42" t="str">
            <v>扶手旋转轴</v>
          </cell>
          <cell r="E42">
            <v>221</v>
          </cell>
          <cell r="F42">
            <v>3.7163571200000005</v>
          </cell>
        </row>
        <row r="43">
          <cell r="B43" t="str">
            <v>SHT0013140</v>
          </cell>
          <cell r="C43" t="str">
            <v>SHT0013140</v>
          </cell>
          <cell r="D43" t="str">
            <v>扶手旋转轴</v>
          </cell>
          <cell r="E43">
            <v>730</v>
          </cell>
          <cell r="F43">
            <v>5.2429384000000017</v>
          </cell>
        </row>
        <row r="44">
          <cell r="B44" t="str">
            <v>SHT0014366</v>
          </cell>
          <cell r="C44" t="str">
            <v>SHT0014366</v>
          </cell>
          <cell r="D44" t="str">
            <v>扶手支架总成H4-2.1靠背</v>
          </cell>
          <cell r="E44">
            <v>1375</v>
          </cell>
          <cell r="F44">
            <v>5.3249953212400003</v>
          </cell>
        </row>
        <row r="45">
          <cell r="B45" t="str">
            <v>BAS0000056</v>
          </cell>
          <cell r="C45" t="str">
            <v>SQX3000-6805425</v>
          </cell>
          <cell r="D45" t="str">
            <v>内绞架钢轴套</v>
          </cell>
          <cell r="E45">
            <v>9432</v>
          </cell>
          <cell r="F45">
            <v>1.2072247712000002</v>
          </cell>
        </row>
        <row r="46">
          <cell r="B46" t="str">
            <v>BAS0000055</v>
          </cell>
          <cell r="C46" t="str">
            <v>SQX3000-6805473</v>
          </cell>
          <cell r="D46" t="str">
            <v>螺纹轴套</v>
          </cell>
          <cell r="E46">
            <v>9382</v>
          </cell>
          <cell r="F46">
            <v>0.69788205760000011</v>
          </cell>
        </row>
        <row r="47">
          <cell r="B47" t="str">
            <v>SLT0011664</v>
          </cell>
          <cell r="C47" t="str">
            <v>SLT0011664</v>
          </cell>
          <cell r="D47" t="str">
            <v>靠背调角器侧板联动钣金欧马可升级</v>
          </cell>
          <cell r="E47">
            <v>0</v>
          </cell>
          <cell r="F47">
            <v>2.0500294724000003</v>
          </cell>
        </row>
        <row r="48">
          <cell r="B48" t="str">
            <v>SBS0010257</v>
          </cell>
          <cell r="C48" t="str">
            <v>SBS0010257</v>
          </cell>
          <cell r="D48" t="str">
            <v>胎压钣金焊接总成</v>
          </cell>
          <cell r="E48">
            <v>1824</v>
          </cell>
          <cell r="F48">
            <v>0.31092473599999998</v>
          </cell>
        </row>
        <row r="49">
          <cell r="B49" t="str">
            <v>SLT0010549</v>
          </cell>
          <cell r="C49" t="str">
            <v>SLT0010549</v>
          </cell>
          <cell r="D49" t="str">
            <v>外绞架加强板</v>
          </cell>
          <cell r="E49">
            <v>1530</v>
          </cell>
          <cell r="F49">
            <v>1.0230387999999999</v>
          </cell>
        </row>
        <row r="50">
          <cell r="B50" t="str">
            <v>SLT0010725</v>
          </cell>
          <cell r="C50" t="str">
            <v>SLT0010725</v>
          </cell>
          <cell r="D50" t="str">
            <v>中间靠背左侧装车钣金总成</v>
          </cell>
          <cell r="E50">
            <v>836</v>
          </cell>
          <cell r="F50">
            <v>4.3792490216999997</v>
          </cell>
        </row>
        <row r="51">
          <cell r="B51" t="str">
            <v>SLT0010353</v>
          </cell>
          <cell r="C51" t="str">
            <v>SLT0010353</v>
          </cell>
          <cell r="D51" t="str">
            <v>副驾靠背右侧装车钣金</v>
          </cell>
          <cell r="E51">
            <v>1578</v>
          </cell>
          <cell r="F51">
            <v>3.5974604806000001</v>
          </cell>
        </row>
        <row r="52">
          <cell r="B52" t="str">
            <v>SLT0010366</v>
          </cell>
          <cell r="C52" t="str">
            <v>SLT0010366</v>
          </cell>
          <cell r="D52" t="str">
            <v>中间靠背支撑钣金</v>
          </cell>
          <cell r="E52">
            <v>1672</v>
          </cell>
          <cell r="F52">
            <v>0.61630491999999992</v>
          </cell>
        </row>
        <row r="53">
          <cell r="B53" t="str">
            <v>SLT0010380</v>
          </cell>
          <cell r="C53" t="str">
            <v>SLT0010380</v>
          </cell>
          <cell r="D53" t="str">
            <v>驾驶员左侧护板固定支架B</v>
          </cell>
          <cell r="E53">
            <v>1309</v>
          </cell>
          <cell r="F53">
            <v>0.16150631840000004</v>
          </cell>
        </row>
        <row r="54">
          <cell r="B54" t="str">
            <v>SLT0010449</v>
          </cell>
          <cell r="C54" t="str">
            <v>SLT0010449</v>
          </cell>
          <cell r="D54" t="str">
            <v>拉簧挂接钣金</v>
          </cell>
          <cell r="E54">
            <v>836</v>
          </cell>
          <cell r="F54">
            <v>0.132156416</v>
          </cell>
        </row>
        <row r="55">
          <cell r="B55" t="str">
            <v>SHT0010720</v>
          </cell>
          <cell r="C55" t="str">
            <v>SHT0010720</v>
          </cell>
          <cell r="D55" t="str">
            <v>调角器解锁手柄（正左）</v>
          </cell>
          <cell r="E55">
            <v>3251</v>
          </cell>
          <cell r="F55">
            <v>0.45916497760000002</v>
          </cell>
        </row>
        <row r="56">
          <cell r="B56" t="str">
            <v>SHT0010721</v>
          </cell>
          <cell r="C56" t="str">
            <v>SHT0010721</v>
          </cell>
          <cell r="D56" t="str">
            <v>调角器解锁手柄（副右）</v>
          </cell>
          <cell r="E56">
            <v>3136</v>
          </cell>
          <cell r="F56">
            <v>0.45916497760000002</v>
          </cell>
        </row>
        <row r="57">
          <cell r="B57" t="str">
            <v>SHT0013914</v>
          </cell>
          <cell r="C57" t="str">
            <v>SHT0013914</v>
          </cell>
          <cell r="D57" t="str">
            <v>右侧调角器解锁把手 X5000副驾</v>
          </cell>
          <cell r="E57">
            <v>0</v>
          </cell>
          <cell r="F57">
            <v>0.47894643626666666</v>
          </cell>
        </row>
        <row r="58">
          <cell r="B58" t="str">
            <v>BFA0000361</v>
          </cell>
          <cell r="C58" t="str">
            <v>BFA0000361</v>
          </cell>
          <cell r="D58" t="str">
            <v>调节螺杆(长)</v>
          </cell>
          <cell r="E58">
            <v>349</v>
          </cell>
          <cell r="F58">
            <v>3.4415922240000003</v>
          </cell>
        </row>
        <row r="59">
          <cell r="B59" t="str">
            <v>SHT0001141</v>
          </cell>
          <cell r="C59" t="str">
            <v>SHT0001141</v>
          </cell>
          <cell r="D59" t="str">
            <v>连接杆3</v>
          </cell>
          <cell r="E59">
            <v>801</v>
          </cell>
          <cell r="F59">
            <v>2.0328449792000001</v>
          </cell>
        </row>
        <row r="60">
          <cell r="B60" t="str">
            <v>SHT0014205</v>
          </cell>
          <cell r="C60" t="str">
            <v>SHT0014205</v>
          </cell>
          <cell r="D60" t="str">
            <v>下框左连接梁总成</v>
          </cell>
          <cell r="E60">
            <v>0</v>
          </cell>
          <cell r="F60">
            <v>3.3387904928000012</v>
          </cell>
        </row>
        <row r="61">
          <cell r="B61" t="str">
            <v>SHT0014359</v>
          </cell>
          <cell r="C61" t="str">
            <v>SHT0014359</v>
          </cell>
          <cell r="D61" t="str">
            <v>下框右连接梁总成</v>
          </cell>
          <cell r="E61">
            <v>0</v>
          </cell>
          <cell r="F61">
            <v>3.3387904928000012</v>
          </cell>
        </row>
        <row r="62">
          <cell r="B62" t="str">
            <v>SLT0011383</v>
          </cell>
          <cell r="D62" t="str">
            <v>左侧调角器下连接板</v>
          </cell>
          <cell r="E62">
            <v>340</v>
          </cell>
          <cell r="F62">
            <v>1.8416312655999998</v>
          </cell>
        </row>
        <row r="63">
          <cell r="B63" t="str">
            <v>SLT0011384</v>
          </cell>
          <cell r="D63" t="str">
            <v>右侧调角器下连接板</v>
          </cell>
          <cell r="E63">
            <v>100</v>
          </cell>
          <cell r="F63">
            <v>2.3616831616000002</v>
          </cell>
        </row>
        <row r="64">
          <cell r="B64" t="str">
            <v>SBS0010286</v>
          </cell>
          <cell r="D64" t="str">
            <v>右侧调角器上限位板</v>
          </cell>
          <cell r="E64">
            <v>100</v>
          </cell>
          <cell r="F64">
            <v>0.39997657279999999</v>
          </cell>
        </row>
        <row r="65">
          <cell r="B65" t="str">
            <v>SLT0010876</v>
          </cell>
          <cell r="D65" t="str">
            <v>二级调节左侧上连接板焊接总成</v>
          </cell>
          <cell r="E65">
            <v>518</v>
          </cell>
          <cell r="F65">
            <v>3.2241888000000007</v>
          </cell>
        </row>
        <row r="66">
          <cell r="B66" t="str">
            <v>SLT0010894</v>
          </cell>
          <cell r="D66" t="str">
            <v>二级调节调角器上连接板LH</v>
          </cell>
          <cell r="E66" t="e">
            <v>#N/A</v>
          </cell>
          <cell r="F66">
            <v>2.5705077104000003</v>
          </cell>
        </row>
        <row r="67">
          <cell r="B67" t="str">
            <v>SLT0010899</v>
          </cell>
          <cell r="D67" t="str">
            <v>一级调节上接板铆接总成</v>
          </cell>
          <cell r="E67">
            <v>518</v>
          </cell>
          <cell r="F67">
            <v>3.8077154560000004</v>
          </cell>
        </row>
        <row r="68">
          <cell r="B68" t="str">
            <v>SLT0010901</v>
          </cell>
          <cell r="D68" t="str">
            <v>一级调节右旁接板焊接总成</v>
          </cell>
          <cell r="E68">
            <v>269</v>
          </cell>
          <cell r="F68">
            <v>3.9838812104000003</v>
          </cell>
        </row>
        <row r="69">
          <cell r="B69" t="str">
            <v>SLT0010908</v>
          </cell>
          <cell r="D69" t="str">
            <v>扶手支架总成</v>
          </cell>
          <cell r="E69">
            <v>518</v>
          </cell>
          <cell r="F69">
            <v>1.4378453420800001</v>
          </cell>
        </row>
        <row r="70">
          <cell r="B70" t="str">
            <v>SLT0011087</v>
          </cell>
          <cell r="D70" t="str">
            <v>小背下连接边板</v>
          </cell>
          <cell r="E70">
            <v>414</v>
          </cell>
          <cell r="F70">
            <v>3.8707373039999995</v>
          </cell>
        </row>
        <row r="71">
          <cell r="B71" t="str">
            <v>SLT0011098</v>
          </cell>
          <cell r="D71" t="str">
            <v>小背旋转轴固定板焊接总成</v>
          </cell>
          <cell r="E71">
            <v>414</v>
          </cell>
          <cell r="F71">
            <v>5.4592589811600005</v>
          </cell>
        </row>
        <row r="72">
          <cell r="B72" t="str">
            <v>SLT0011251</v>
          </cell>
          <cell r="D72" t="str">
            <v>一级调节左旁接板焊接总成</v>
          </cell>
          <cell r="E72">
            <v>418</v>
          </cell>
          <cell r="F72">
            <v>5.9521767116799991</v>
          </cell>
        </row>
        <row r="73">
          <cell r="B73" t="str">
            <v>SLT0010540</v>
          </cell>
          <cell r="D73" t="str">
            <v>滚轮下滑槽</v>
          </cell>
          <cell r="E73" t="e">
            <v>#N/A</v>
          </cell>
          <cell r="F73">
            <v>0.76241931248000006</v>
          </cell>
        </row>
        <row r="74">
          <cell r="B74" t="str">
            <v>SLT0010557</v>
          </cell>
          <cell r="D74" t="str">
            <v>外绞架支撑板组件</v>
          </cell>
          <cell r="E74">
            <v>3060</v>
          </cell>
          <cell r="F74">
            <v>9.7008087896158912</v>
          </cell>
        </row>
        <row r="75">
          <cell r="B75" t="str">
            <v>SLT0010556</v>
          </cell>
          <cell r="D75" t="str">
            <v>内绞架支撑板组件</v>
          </cell>
          <cell r="E75">
            <v>3068</v>
          </cell>
          <cell r="F75">
            <v>6.7933057695999999</v>
          </cell>
        </row>
        <row r="76">
          <cell r="B76" t="str">
            <v>SLT0010564</v>
          </cell>
          <cell r="D76" t="str">
            <v>滚轮上滑槽</v>
          </cell>
          <cell r="E76" t="e">
            <v>#N/A</v>
          </cell>
          <cell r="F76">
            <v>0.73537186408000021</v>
          </cell>
        </row>
        <row r="77">
          <cell r="B77" t="str">
            <v>SHT0014219</v>
          </cell>
          <cell r="C77" t="str">
            <v>SHT0014219</v>
          </cell>
          <cell r="D77" t="str">
            <v>车身手柄安装支架减震器连接钣金焊接总成</v>
          </cell>
          <cell r="E77">
            <v>0</v>
          </cell>
          <cell r="F77">
            <v>5.3359066745600012</v>
          </cell>
        </row>
        <row r="78">
          <cell r="B78" t="str">
            <v>SLT0002816</v>
          </cell>
          <cell r="D78" t="str">
            <v>罩壳支架</v>
          </cell>
          <cell r="E78">
            <v>7542</v>
          </cell>
          <cell r="F78">
            <v>0.18213770689655176</v>
          </cell>
        </row>
        <row r="79">
          <cell r="B79" t="str">
            <v>SLT0002820</v>
          </cell>
          <cell r="D79" t="str">
            <v>手柄左</v>
          </cell>
          <cell r="E79">
            <v>5063</v>
          </cell>
          <cell r="F79">
            <v>0.63316421875000017</v>
          </cell>
        </row>
        <row r="80">
          <cell r="B80" t="str">
            <v>SLT0002821</v>
          </cell>
          <cell r="D80" t="str">
            <v>手柄右</v>
          </cell>
          <cell r="E80">
            <v>5133</v>
          </cell>
          <cell r="F80">
            <v>0.63316421875000017</v>
          </cell>
        </row>
        <row r="81">
          <cell r="B81" t="str">
            <v>SLT0002819</v>
          </cell>
          <cell r="D81" t="str">
            <v>上板</v>
          </cell>
          <cell r="E81">
            <v>17711</v>
          </cell>
          <cell r="F81">
            <v>1.5307025416666669</v>
          </cell>
        </row>
        <row r="82">
          <cell r="B82" t="str">
            <v>SLT0002833</v>
          </cell>
          <cell r="D82" t="str">
            <v>上板</v>
          </cell>
          <cell r="E82" t="e">
            <v>#N/A</v>
          </cell>
          <cell r="F82">
            <v>1.5336145416666669</v>
          </cell>
        </row>
        <row r="83">
          <cell r="B83" t="str">
            <v>SLT0011654</v>
          </cell>
          <cell r="D83" t="str">
            <v>防滑铝板安装钣金分总成</v>
          </cell>
          <cell r="E83">
            <v>0</v>
          </cell>
          <cell r="F83">
            <v>6.7992180800000011</v>
          </cell>
        </row>
        <row r="84">
          <cell r="B84" t="str">
            <v>SLT0011652</v>
          </cell>
          <cell r="D84" t="str">
            <v>防滑铝板安装钣金分总成</v>
          </cell>
          <cell r="E84">
            <v>0</v>
          </cell>
          <cell r="F84">
            <v>6.5878521280000015</v>
          </cell>
        </row>
        <row r="85">
          <cell r="B85" t="str">
            <v>SLT0011638</v>
          </cell>
          <cell r="D85" t="str">
            <v>驾驶员座垫固定支架</v>
          </cell>
          <cell r="E85">
            <v>8</v>
          </cell>
          <cell r="F85">
            <v>1.0953060105599999</v>
          </cell>
        </row>
        <row r="86">
          <cell r="B86" t="str">
            <v>SLT0011650</v>
          </cell>
          <cell r="D86" t="str">
            <v>驾驶员座垫右侧安装板分总成</v>
          </cell>
          <cell r="E86">
            <v>0</v>
          </cell>
          <cell r="F86">
            <v>7.2296833128800015</v>
          </cell>
        </row>
        <row r="87">
          <cell r="B87" t="str">
            <v>SLT0011602</v>
          </cell>
          <cell r="D87" t="str">
            <v>坐垫横梁焊接总成</v>
          </cell>
          <cell r="E87" t="e">
            <v>#N/A</v>
          </cell>
          <cell r="F87">
            <v>23.172559864832003</v>
          </cell>
        </row>
        <row r="88">
          <cell r="B88" t="str">
            <v>SLT0011593</v>
          </cell>
          <cell r="D88" t="str">
            <v>驾驶员调角器下连接板</v>
          </cell>
          <cell r="E88">
            <v>4</v>
          </cell>
          <cell r="F88">
            <v>8.6021027007999997</v>
          </cell>
        </row>
        <row r="89">
          <cell r="B89" t="str">
            <v>SHT0014875</v>
          </cell>
          <cell r="D89" t="str">
            <v>坐垫翻折限位钣金</v>
          </cell>
          <cell r="E89" t="e">
            <v>#N/A</v>
          </cell>
          <cell r="F89">
            <v>2.5669792</v>
          </cell>
        </row>
        <row r="90">
          <cell r="B90" t="str">
            <v>SHT0014221</v>
          </cell>
          <cell r="D90" t="str">
            <v>车身手柄连接支架焊接总成</v>
          </cell>
          <cell r="E90" t="e">
            <v>#N/A</v>
          </cell>
          <cell r="F90">
            <v>7.9160953536000012</v>
          </cell>
        </row>
        <row r="91">
          <cell r="B91" t="str">
            <v>SHT0014861</v>
          </cell>
          <cell r="C91" t="str">
            <v>SHT0014861</v>
          </cell>
          <cell r="D91" t="str">
            <v>左罩壳固定钣金总成</v>
          </cell>
          <cell r="E91" t="e">
            <v>#N/A</v>
          </cell>
          <cell r="F91">
            <v>0.41155520000000007</v>
          </cell>
        </row>
        <row r="92">
          <cell r="B92" t="str">
            <v>SLT0011367</v>
          </cell>
          <cell r="C92" t="str">
            <v>SLT0011367</v>
          </cell>
          <cell r="D92" t="str">
            <v>下底板焊接总成</v>
          </cell>
          <cell r="E92">
            <v>299</v>
          </cell>
          <cell r="F92">
            <v>44.05702144144</v>
          </cell>
        </row>
        <row r="93">
          <cell r="B93" t="str">
            <v>SLT0011371</v>
          </cell>
          <cell r="C93" t="str">
            <v>SLT0011371</v>
          </cell>
          <cell r="D93" t="str">
            <v>上盖板焊接总成</v>
          </cell>
          <cell r="E93">
            <v>290</v>
          </cell>
          <cell r="F93">
            <v>39.594639253371767</v>
          </cell>
        </row>
        <row r="94">
          <cell r="B94" t="str">
            <v>SLT0010551</v>
          </cell>
          <cell r="C94" t="str">
            <v>SLT0010551</v>
          </cell>
          <cell r="D94" t="str">
            <v>上盖板焊接总成一汽轻卡减震</v>
          </cell>
          <cell r="E94">
            <v>1500</v>
          </cell>
          <cell r="F94">
            <v>39.570407836829737</v>
          </cell>
        </row>
        <row r="95">
          <cell r="B95" t="str">
            <v>SLT0010550</v>
          </cell>
          <cell r="C95" t="str">
            <v>SLT0010550</v>
          </cell>
          <cell r="D95" t="str">
            <v>下底板焊接总成一汽轻卡减震</v>
          </cell>
          <cell r="E95">
            <v>1500</v>
          </cell>
          <cell r="F95">
            <v>42.728081360160004</v>
          </cell>
        </row>
        <row r="96">
          <cell r="B96" t="str">
            <v>SLT0011616</v>
          </cell>
          <cell r="C96" t="str">
            <v>SLT0011616</v>
          </cell>
          <cell r="D96" t="str">
            <v>下底板焊接分总成铁马</v>
          </cell>
          <cell r="E96" t="e">
            <v>#N/A</v>
          </cell>
          <cell r="F96">
            <v>33.644005150559998</v>
          </cell>
        </row>
        <row r="97">
          <cell r="B97" t="str">
            <v>SLT0011620</v>
          </cell>
          <cell r="C97" t="str">
            <v>SLT0011620</v>
          </cell>
          <cell r="D97" t="str">
            <v>减震器上盖板分总成铁马</v>
          </cell>
          <cell r="E97" t="e">
            <v>#N/A</v>
          </cell>
          <cell r="F97">
            <v>27.064201940160004</v>
          </cell>
        </row>
        <row r="98">
          <cell r="B98" t="str">
            <v>SHT0001854</v>
          </cell>
          <cell r="C98" t="str">
            <v>SQX3000-6805414</v>
          </cell>
          <cell r="D98" t="str">
            <v>左纵梁</v>
          </cell>
          <cell r="E98">
            <v>5855</v>
          </cell>
          <cell r="F98">
            <v>3.6009470442400007</v>
          </cell>
        </row>
        <row r="99">
          <cell r="B99" t="str">
            <v>SHT0001855</v>
          </cell>
          <cell r="C99" t="str">
            <v>SQX3000-6805415</v>
          </cell>
          <cell r="D99" t="str">
            <v>右纵梁</v>
          </cell>
          <cell r="E99">
            <v>2838</v>
          </cell>
          <cell r="F99">
            <v>3.6009470442400007</v>
          </cell>
        </row>
        <row r="100">
          <cell r="B100" t="str">
            <v>SHT0001856</v>
          </cell>
          <cell r="C100" t="str">
            <v>SQX3000-6805416</v>
          </cell>
          <cell r="D100" t="str">
            <v>上框前横梁</v>
          </cell>
          <cell r="E100">
            <v>4858</v>
          </cell>
          <cell r="F100">
            <v>2.6840241416800006</v>
          </cell>
        </row>
        <row r="101">
          <cell r="B101" t="str">
            <v>SHT0012159</v>
          </cell>
          <cell r="C101" t="str">
            <v>SHT0012159</v>
          </cell>
          <cell r="D101" t="str">
            <v>左纵梁焊接组件</v>
          </cell>
          <cell r="E101">
            <v>2098</v>
          </cell>
          <cell r="F101">
            <v>4.0837470442400008</v>
          </cell>
        </row>
        <row r="102">
          <cell r="B102" t="str">
            <v>SHT0012160</v>
          </cell>
          <cell r="C102" t="str">
            <v>SHT0012160</v>
          </cell>
          <cell r="D102" t="str">
            <v>右纵梁焊接组件</v>
          </cell>
          <cell r="E102">
            <v>2029</v>
          </cell>
          <cell r="F102">
            <v>4.0837470442400008</v>
          </cell>
        </row>
        <row r="103">
          <cell r="B103" t="str">
            <v>SHT0002318</v>
          </cell>
          <cell r="C103" t="str">
            <v>SQXM3000-6805833</v>
          </cell>
          <cell r="D103" t="str">
            <v>纵梁支撑架</v>
          </cell>
          <cell r="E103">
            <v>6170</v>
          </cell>
          <cell r="F103">
            <v>2.9154133299200002</v>
          </cell>
        </row>
        <row r="104">
          <cell r="B104" t="str">
            <v>SHT0001970</v>
          </cell>
          <cell r="C104" t="str">
            <v>SHT0010442</v>
          </cell>
          <cell r="D104" t="str">
            <v>座框前连接板</v>
          </cell>
          <cell r="E104">
            <v>481</v>
          </cell>
          <cell r="F104">
            <v>2.55036044032</v>
          </cell>
        </row>
        <row r="105">
          <cell r="B105" t="str">
            <v>SHT0001934</v>
          </cell>
          <cell r="C105" t="str">
            <v>H5-6802109</v>
          </cell>
          <cell r="D105" t="str">
            <v>左侧主板总成</v>
          </cell>
          <cell r="E105">
            <v>4214</v>
          </cell>
          <cell r="F105">
            <v>4.6836636407199999</v>
          </cell>
        </row>
        <row r="106">
          <cell r="B106" t="str">
            <v>SHT0001936</v>
          </cell>
          <cell r="C106" t="str">
            <v>H5-6802111</v>
          </cell>
          <cell r="D106" t="str">
            <v>右主板总成</v>
          </cell>
          <cell r="E106">
            <v>4212</v>
          </cell>
          <cell r="F106">
            <v>4.6836636407199999</v>
          </cell>
        </row>
        <row r="107">
          <cell r="B107" t="str">
            <v>SHT0001860</v>
          </cell>
          <cell r="C107" t="str">
            <v>SQX3000-6805422</v>
          </cell>
          <cell r="D107" t="str">
            <v>下框左纵梁</v>
          </cell>
          <cell r="E107">
            <v>5003</v>
          </cell>
          <cell r="F107">
            <v>3.9682486368000007</v>
          </cell>
        </row>
        <row r="108">
          <cell r="B108" t="str">
            <v>SHT0001861</v>
          </cell>
          <cell r="C108" t="str">
            <v>SQX3000-6805423</v>
          </cell>
          <cell r="D108" t="str">
            <v>下框右纵梁</v>
          </cell>
          <cell r="E108">
            <v>5003</v>
          </cell>
          <cell r="F108">
            <v>3.9682486368000007</v>
          </cell>
        </row>
        <row r="109">
          <cell r="B109" t="str">
            <v>SHT0001900</v>
          </cell>
          <cell r="C109" t="str">
            <v>SQX3000-6805321</v>
          </cell>
          <cell r="D109" t="str">
            <v>卡板</v>
          </cell>
          <cell r="E109">
            <v>2764</v>
          </cell>
          <cell r="F109">
            <v>1.7817072448000004</v>
          </cell>
        </row>
        <row r="110">
          <cell r="B110" t="str">
            <v>SHT0001901</v>
          </cell>
          <cell r="C110" t="str">
            <v>SQX3000-6805314</v>
          </cell>
          <cell r="D110" t="str">
            <v>右侧限位支座焊接总成</v>
          </cell>
          <cell r="E110">
            <v>991</v>
          </cell>
          <cell r="F110">
            <v>1.3005429888</v>
          </cell>
        </row>
        <row r="111">
          <cell r="B111" t="str">
            <v>SHT0001904</v>
          </cell>
          <cell r="C111" t="str">
            <v>SQX3000-6805315</v>
          </cell>
          <cell r="D111" t="str">
            <v>左侧限位支座焊接总成</v>
          </cell>
          <cell r="E111">
            <v>1379</v>
          </cell>
          <cell r="F111">
            <v>1.3005429888</v>
          </cell>
        </row>
        <row r="112">
          <cell r="B112" t="str">
            <v>BAS0000032</v>
          </cell>
          <cell r="C112" t="str">
            <v>BAS0000032</v>
          </cell>
          <cell r="D112" t="str">
            <v>座垫前倾角定位片衬套</v>
          </cell>
          <cell r="E112">
            <v>8266</v>
          </cell>
          <cell r="F112">
            <v>0.319824</v>
          </cell>
        </row>
        <row r="113">
          <cell r="B113" t="str">
            <v>SHT0001864</v>
          </cell>
          <cell r="C113" t="str">
            <v>SQX3000-6805432</v>
          </cell>
          <cell r="D113" t="str">
            <v>气囊下支架</v>
          </cell>
          <cell r="E113">
            <v>5795</v>
          </cell>
          <cell r="F113">
            <v>5.4240683392000015</v>
          </cell>
        </row>
        <row r="114">
          <cell r="B114" t="str">
            <v>SHT0010999</v>
          </cell>
          <cell r="C114" t="str">
            <v>SHT0010999</v>
          </cell>
          <cell r="D114" t="str">
            <v>滑轨左上连接钣金焊接总成</v>
          </cell>
          <cell r="E114">
            <v>488</v>
          </cell>
          <cell r="F114">
            <v>6.6990798935827192</v>
          </cell>
        </row>
        <row r="115">
          <cell r="B115" t="str">
            <v>SHT0011003</v>
          </cell>
          <cell r="C115" t="str">
            <v>SHT0011003</v>
          </cell>
          <cell r="D115" t="str">
            <v>滑轨右上连接钣金焊接总成</v>
          </cell>
          <cell r="E115">
            <v>491</v>
          </cell>
          <cell r="F115">
            <v>6.6990798935827192</v>
          </cell>
        </row>
        <row r="116">
          <cell r="B116" t="str">
            <v>SHT0010521</v>
          </cell>
          <cell r="C116" t="str">
            <v>SHT0010521</v>
          </cell>
          <cell r="D116" t="str">
            <v>气囊上支撑板</v>
          </cell>
          <cell r="E116">
            <v>5271</v>
          </cell>
          <cell r="F116">
            <v>6.1200961808000001</v>
          </cell>
        </row>
        <row r="117">
          <cell r="B117" t="str">
            <v>SHT0010451</v>
          </cell>
          <cell r="C117" t="str">
            <v>SHT0010451</v>
          </cell>
          <cell r="D117" t="str">
            <v>座框前连接板焊接组件</v>
          </cell>
          <cell r="E117">
            <v>777</v>
          </cell>
          <cell r="F117">
            <v>2.8402804403200004</v>
          </cell>
        </row>
        <row r="118">
          <cell r="B118" t="str">
            <v>SHT0001133</v>
          </cell>
          <cell r="C118" t="str">
            <v>SHT0001133</v>
          </cell>
          <cell r="D118" t="str">
            <v>减震垫支撑板组件</v>
          </cell>
          <cell r="E118">
            <v>11880</v>
          </cell>
          <cell r="F118">
            <v>0.37364339936000002</v>
          </cell>
        </row>
        <row r="119">
          <cell r="B119" t="str">
            <v>SHT0001862</v>
          </cell>
          <cell r="C119" t="str">
            <v>SQX3000-6805424</v>
          </cell>
          <cell r="D119" t="str">
            <v>左滑轨链接钣</v>
          </cell>
          <cell r="E119">
            <v>1553</v>
          </cell>
          <cell r="F119">
            <v>2.7632850504000004</v>
          </cell>
        </row>
        <row r="120">
          <cell r="B120" t="str">
            <v>SHT0001863</v>
          </cell>
          <cell r="C120" t="str">
            <v>SQX3000-6805428</v>
          </cell>
          <cell r="D120" t="str">
            <v>右滑轨链接钣</v>
          </cell>
          <cell r="E120">
            <v>1553</v>
          </cell>
          <cell r="F120">
            <v>2.7632850504000004</v>
          </cell>
        </row>
        <row r="121">
          <cell r="B121" t="str">
            <v>SHT0001899</v>
          </cell>
          <cell r="C121" t="str">
            <v>SQX3000-6805318</v>
          </cell>
          <cell r="D121" t="str">
            <v>左滑块托架</v>
          </cell>
          <cell r="E121">
            <v>6586</v>
          </cell>
          <cell r="F121">
            <v>0.69990045608000018</v>
          </cell>
        </row>
        <row r="122">
          <cell r="B122" t="str">
            <v>SHT0001769</v>
          </cell>
          <cell r="C122" t="str">
            <v>SQX3000-6805497</v>
          </cell>
          <cell r="D122" t="str">
            <v>拉线固定支架</v>
          </cell>
          <cell r="E122">
            <v>3000</v>
          </cell>
          <cell r="F122">
            <v>0.52184979616000005</v>
          </cell>
        </row>
        <row r="123">
          <cell r="B123" t="str">
            <v>SHT0012974</v>
          </cell>
          <cell r="C123" t="str">
            <v>SHT0012974</v>
          </cell>
          <cell r="D123" t="str">
            <v>副驾驶安全带上悬置固定板总成</v>
          </cell>
          <cell r="E123">
            <v>1267</v>
          </cell>
          <cell r="F123">
            <v>3.7200370326400001</v>
          </cell>
        </row>
        <row r="124">
          <cell r="B124" t="str">
            <v>SHT0012150</v>
          </cell>
          <cell r="C124" t="str">
            <v>SHT0012150</v>
          </cell>
          <cell r="D124" t="str">
            <v>齿板锁舌</v>
          </cell>
          <cell r="E124">
            <v>6716</v>
          </cell>
          <cell r="F124">
            <v>0.45015884592000005</v>
          </cell>
        </row>
        <row r="125">
          <cell r="B125" t="str">
            <v>SHT0012268</v>
          </cell>
          <cell r="C125" t="str">
            <v>SHT0012268</v>
          </cell>
          <cell r="D125" t="str">
            <v>左侧调角连接板焊接总成</v>
          </cell>
          <cell r="E125">
            <v>5823</v>
          </cell>
          <cell r="F125">
            <v>4.6684750509999997</v>
          </cell>
        </row>
        <row r="126">
          <cell r="B126" t="str">
            <v>SHT0012269</v>
          </cell>
          <cell r="C126" t="str">
            <v>SHT0012269</v>
          </cell>
          <cell r="D126" t="str">
            <v>右侧调角连接板焊接总成</v>
          </cell>
          <cell r="E126">
            <v>5868</v>
          </cell>
          <cell r="F126">
            <v>4.6684750509999997</v>
          </cell>
        </row>
        <row r="127">
          <cell r="B127" t="str">
            <v>SHT0012153</v>
          </cell>
          <cell r="C127" t="str">
            <v>SHT0012153</v>
          </cell>
          <cell r="D127" t="str">
            <v>左侧边框分总成</v>
          </cell>
          <cell r="E127">
            <v>2561</v>
          </cell>
          <cell r="F127">
            <v>6.6467559299200012</v>
          </cell>
        </row>
        <row r="128">
          <cell r="B128" t="str">
            <v>SHT0012154</v>
          </cell>
          <cell r="C128" t="str">
            <v>SHT0012154</v>
          </cell>
          <cell r="D128" t="str">
            <v>右侧边框分总成</v>
          </cell>
          <cell r="E128">
            <v>2557</v>
          </cell>
          <cell r="F128">
            <v>6.6467559299200012</v>
          </cell>
        </row>
        <row r="129">
          <cell r="B129" t="str">
            <v>SHT0012140</v>
          </cell>
          <cell r="C129" t="str">
            <v>SHT0012140</v>
          </cell>
          <cell r="D129" t="str">
            <v>座框左侧内边板</v>
          </cell>
          <cell r="E129">
            <v>2551</v>
          </cell>
          <cell r="F129">
            <v>4.7736360526399997</v>
          </cell>
        </row>
        <row r="130">
          <cell r="B130" t="str">
            <v>SHT0012142</v>
          </cell>
          <cell r="C130" t="str">
            <v>SHT0012142</v>
          </cell>
          <cell r="D130" t="str">
            <v>座框右侧内边板</v>
          </cell>
          <cell r="E130">
            <v>2516</v>
          </cell>
          <cell r="F130">
            <v>4.7736360526399997</v>
          </cell>
        </row>
        <row r="131">
          <cell r="B131" t="str">
            <v>SHT0012146</v>
          </cell>
          <cell r="C131" t="str">
            <v>SHT0012146</v>
          </cell>
          <cell r="D131" t="str">
            <v>座框前边板</v>
          </cell>
          <cell r="E131" t="e">
            <v>#N/A</v>
          </cell>
          <cell r="F131">
            <v>1.8527990275200001</v>
          </cell>
        </row>
        <row r="132">
          <cell r="B132" t="str">
            <v>SHT0013131</v>
          </cell>
          <cell r="C132" t="str">
            <v>SHT0013131</v>
          </cell>
          <cell r="D132" t="str">
            <v>座框前边板焊接分总成</v>
          </cell>
          <cell r="E132">
            <v>2440</v>
          </cell>
          <cell r="F132">
            <v>2.1427190275200001</v>
          </cell>
        </row>
        <row r="133">
          <cell r="B133" t="str">
            <v>SHT0013818</v>
          </cell>
          <cell r="C133" t="str">
            <v>SHT0013818</v>
          </cell>
          <cell r="D133" t="str">
            <v>防尘罩前支架</v>
          </cell>
          <cell r="E133">
            <v>5754</v>
          </cell>
          <cell r="F133">
            <v>0.72211353200000006</v>
          </cell>
        </row>
        <row r="134">
          <cell r="B134" t="str">
            <v>SHT0013819</v>
          </cell>
          <cell r="C134" t="str">
            <v>SHT0013819</v>
          </cell>
          <cell r="D134" t="str">
            <v>防尘罩侧支架</v>
          </cell>
          <cell r="E134">
            <v>5856</v>
          </cell>
          <cell r="F134">
            <v>0.35018384800000002</v>
          </cell>
        </row>
        <row r="135">
          <cell r="B135" t="str">
            <v>SHT0013822</v>
          </cell>
          <cell r="C135" t="str">
            <v>SHT0013822</v>
          </cell>
          <cell r="D135" t="str">
            <v>防尘罩前支架</v>
          </cell>
          <cell r="E135">
            <v>2</v>
          </cell>
          <cell r="F135">
            <v>0.61859011200000014</v>
          </cell>
        </row>
        <row r="136">
          <cell r="B136" t="str">
            <v>SHT0012145</v>
          </cell>
          <cell r="C136" t="str">
            <v>SHT0012145</v>
          </cell>
          <cell r="D136" t="str">
            <v>右侧仰角卡板</v>
          </cell>
          <cell r="E136">
            <v>1937</v>
          </cell>
          <cell r="F136">
            <v>2.3538157440000007</v>
          </cell>
        </row>
        <row r="137">
          <cell r="B137" t="str">
            <v>SHT0012144</v>
          </cell>
          <cell r="C137" t="str">
            <v>SHT0012144</v>
          </cell>
          <cell r="D137" t="str">
            <v>左侧仰角卡板</v>
          </cell>
          <cell r="E137">
            <v>2321</v>
          </cell>
          <cell r="F137">
            <v>2.3538157440000007</v>
          </cell>
        </row>
        <row r="138">
          <cell r="B138" t="str">
            <v>SHT0001971</v>
          </cell>
          <cell r="C138" t="str">
            <v>SQX3000-6805323</v>
          </cell>
          <cell r="D138" t="str">
            <v>限位门</v>
          </cell>
          <cell r="E138">
            <v>3091</v>
          </cell>
          <cell r="F138">
            <v>0.37734366180000001</v>
          </cell>
        </row>
        <row r="139">
          <cell r="B139" t="str">
            <v>SHT0001857</v>
          </cell>
          <cell r="C139" t="str">
            <v>SQX3000-6805464</v>
          </cell>
          <cell r="D139" t="str">
            <v>上框后横梁总成</v>
          </cell>
          <cell r="E139">
            <v>4321</v>
          </cell>
          <cell r="F139">
            <v>3.0747728334400009</v>
          </cell>
        </row>
        <row r="140">
          <cell r="B140" t="str">
            <v>SHT0001859</v>
          </cell>
          <cell r="C140" t="str">
            <v>SQX3000-6805421</v>
          </cell>
          <cell r="D140" t="str">
            <v>下框横梁</v>
          </cell>
          <cell r="E140">
            <v>5049</v>
          </cell>
          <cell r="F140">
            <v>2.23479280864</v>
          </cell>
        </row>
        <row r="141">
          <cell r="B141" t="str">
            <v>SHT0015606</v>
          </cell>
          <cell r="C141" t="str">
            <v>SHT0015606</v>
          </cell>
          <cell r="D141" t="str">
            <v>缓冲块支架组件</v>
          </cell>
          <cell r="E141" t="e">
            <v>#N/A</v>
          </cell>
          <cell r="F141">
            <v>0.37963066344000007</v>
          </cell>
        </row>
        <row r="142">
          <cell r="B142" t="str">
            <v>SHT0001967</v>
          </cell>
          <cell r="C142" t="str">
            <v>SQX3000-6805479</v>
          </cell>
          <cell r="D142" t="str">
            <v>悬浮机构支架组件</v>
          </cell>
          <cell r="E142">
            <v>4348</v>
          </cell>
          <cell r="F142">
            <v>0.41042350160000002</v>
          </cell>
        </row>
        <row r="143">
          <cell r="B143" t="str">
            <v>SHT0012971</v>
          </cell>
          <cell r="C143" t="str">
            <v>SHT0012971</v>
          </cell>
          <cell r="D143" t="str">
            <v>安全带上悬置固定板总成</v>
          </cell>
          <cell r="E143">
            <v>2668</v>
          </cell>
          <cell r="F143">
            <v>3.7200370326400001</v>
          </cell>
        </row>
        <row r="144">
          <cell r="B144" t="str">
            <v>SHT0011804</v>
          </cell>
          <cell r="C144" t="str">
            <v>SHT0011804</v>
          </cell>
          <cell r="D144" t="str">
            <v>仰角调节机构钣金件1</v>
          </cell>
          <cell r="E144">
            <v>3899</v>
          </cell>
          <cell r="F144">
            <v>0.65939022380000012</v>
          </cell>
        </row>
        <row r="145">
          <cell r="B145" t="str">
            <v>SHT0013062</v>
          </cell>
          <cell r="C145" t="str">
            <v>SHT0013062</v>
          </cell>
          <cell r="D145" t="str">
            <v>仰角调节机构钣金件1</v>
          </cell>
          <cell r="E145" t="e">
            <v>#N/A</v>
          </cell>
          <cell r="F145">
            <v>0.65939022380000012</v>
          </cell>
        </row>
        <row r="146">
          <cell r="B146" t="str">
            <v>SHT0011806</v>
          </cell>
          <cell r="C146" t="str">
            <v>SHT0011806</v>
          </cell>
          <cell r="D146" t="str">
            <v>仰角调节机构钣金件2</v>
          </cell>
          <cell r="E146">
            <v>3899</v>
          </cell>
          <cell r="F146">
            <v>0.13304222288000001</v>
          </cell>
        </row>
        <row r="147">
          <cell r="B147" t="str">
            <v>SHT0001058</v>
          </cell>
          <cell r="C147" t="str">
            <v>H4A-6805325</v>
          </cell>
          <cell r="D147" t="str">
            <v>仰角调节机构手柄钣金件</v>
          </cell>
          <cell r="E147">
            <v>3530</v>
          </cell>
          <cell r="F147">
            <v>0.14756428680000003</v>
          </cell>
        </row>
        <row r="148">
          <cell r="B148" t="str">
            <v>SHT0001117</v>
          </cell>
          <cell r="C148" t="str">
            <v>SHT0001117</v>
          </cell>
          <cell r="D148" t="str">
            <v>绞架连接轴</v>
          </cell>
          <cell r="E148">
            <v>617</v>
          </cell>
          <cell r="F148">
            <v>1.0862940480000001</v>
          </cell>
        </row>
        <row r="149">
          <cell r="B149" t="str">
            <v>SHT0000823</v>
          </cell>
          <cell r="C149" t="str">
            <v>H4681010070A0</v>
          </cell>
          <cell r="D149" t="str">
            <v>底支架总成</v>
          </cell>
          <cell r="E149">
            <v>1197</v>
          </cell>
          <cell r="F149">
            <v>51.37026804768</v>
          </cell>
        </row>
        <row r="150">
          <cell r="B150" t="str">
            <v>SHT0001051</v>
          </cell>
          <cell r="C150" t="str">
            <v>H4A-6805314</v>
          </cell>
          <cell r="D150" t="str">
            <v>罩壳前固定钣金件左</v>
          </cell>
          <cell r="E150">
            <v>894</v>
          </cell>
          <cell r="F150">
            <v>0.33767094759999999</v>
          </cell>
        </row>
        <row r="151">
          <cell r="B151" t="str">
            <v>SHT0001050</v>
          </cell>
          <cell r="C151" t="str">
            <v>H4A-6805315</v>
          </cell>
          <cell r="D151" t="str">
            <v>罩壳前固定钣金件右</v>
          </cell>
          <cell r="E151">
            <v>864</v>
          </cell>
          <cell r="F151">
            <v>0.33767094759999999</v>
          </cell>
        </row>
        <row r="152">
          <cell r="B152" t="str">
            <v>SHT0012829</v>
          </cell>
          <cell r="C152" t="str">
            <v>SHT0012829</v>
          </cell>
          <cell r="D152" t="str">
            <v>五挡仰角卡板</v>
          </cell>
          <cell r="E152">
            <v>1316</v>
          </cell>
          <cell r="F152">
            <v>1.6438926448000002</v>
          </cell>
        </row>
        <row r="153">
          <cell r="B153" t="str">
            <v>SHT0001898</v>
          </cell>
          <cell r="C153" t="str">
            <v>SQX3000-6805319</v>
          </cell>
          <cell r="D153" t="str">
            <v>右侧边板</v>
          </cell>
          <cell r="E153">
            <v>3299</v>
          </cell>
          <cell r="F153">
            <v>4.0182482502400001</v>
          </cell>
        </row>
        <row r="154">
          <cell r="B154" t="str">
            <v>SHT0001903</v>
          </cell>
          <cell r="C154" t="str">
            <v>SQX3000-6805317</v>
          </cell>
          <cell r="D154" t="str">
            <v>左侧边板</v>
          </cell>
          <cell r="E154">
            <v>3300</v>
          </cell>
          <cell r="F154">
            <v>4.0182482502400001</v>
          </cell>
        </row>
        <row r="155">
          <cell r="B155" t="str">
            <v>SHT0001085</v>
          </cell>
          <cell r="C155" t="str">
            <v>SHT0001085</v>
          </cell>
          <cell r="D155" t="str">
            <v>阻尼器下支架总成</v>
          </cell>
          <cell r="E155">
            <v>4576</v>
          </cell>
          <cell r="F155">
            <v>0.71006084127999991</v>
          </cell>
        </row>
        <row r="156">
          <cell r="B156" t="str">
            <v>SHT0010522</v>
          </cell>
          <cell r="C156" t="str">
            <v>SHT0010522</v>
          </cell>
          <cell r="D156" t="str">
            <v>阻尼销轴支架</v>
          </cell>
          <cell r="E156">
            <v>4526</v>
          </cell>
          <cell r="F156">
            <v>0.97650428624000007</v>
          </cell>
        </row>
        <row r="157">
          <cell r="B157" t="str">
            <v>SLT0010357</v>
          </cell>
          <cell r="C157" t="str">
            <v>SLT0010357</v>
          </cell>
          <cell r="D157" t="str">
            <v>副驾靠背旋转轴固定座</v>
          </cell>
          <cell r="E157">
            <v>3836</v>
          </cell>
          <cell r="F157">
            <v>0.57955528960000002</v>
          </cell>
        </row>
        <row r="158">
          <cell r="B158" t="str">
            <v>SLT0010342</v>
          </cell>
          <cell r="C158" t="str">
            <v>SLT0010342</v>
          </cell>
          <cell r="D158" t="str">
            <v>驾驶员左侧护板固定支架A</v>
          </cell>
          <cell r="E158">
            <v>1309</v>
          </cell>
          <cell r="F158">
            <v>0.2133852</v>
          </cell>
        </row>
        <row r="159">
          <cell r="B159" t="str">
            <v>SLT0010607</v>
          </cell>
          <cell r="C159" t="str">
            <v>SLT0010607</v>
          </cell>
          <cell r="D159" t="str">
            <v>前排靠背复位卷簧限位支架</v>
          </cell>
          <cell r="E159">
            <v>526</v>
          </cell>
          <cell r="F159">
            <v>0.42473163712000001</v>
          </cell>
        </row>
        <row r="160">
          <cell r="B160" t="str">
            <v>SLT0010375</v>
          </cell>
          <cell r="C160" t="str">
            <v>SLT0010375</v>
          </cell>
          <cell r="D160" t="str">
            <v>中间固定支架焊接总成</v>
          </cell>
          <cell r="E160">
            <v>946</v>
          </cell>
          <cell r="F160">
            <v>3.6167996750400007</v>
          </cell>
        </row>
        <row r="161">
          <cell r="B161" t="str">
            <v>SLT0010698</v>
          </cell>
          <cell r="C161" t="str">
            <v>SLT0010698</v>
          </cell>
          <cell r="D161" t="str">
            <v>扶手安装支架焊接总成</v>
          </cell>
          <cell r="E161">
            <v>287</v>
          </cell>
          <cell r="F161">
            <v>3.9979129267200002</v>
          </cell>
        </row>
        <row r="162">
          <cell r="B162" t="str">
            <v>SLT0010433</v>
          </cell>
          <cell r="C162" t="str">
            <v>SLT0010433</v>
          </cell>
          <cell r="D162" t="str">
            <v>副驾靠背右侧上连接板</v>
          </cell>
          <cell r="E162">
            <v>1434</v>
          </cell>
          <cell r="F162">
            <v>3.5216911520000007</v>
          </cell>
        </row>
        <row r="163">
          <cell r="B163" t="str">
            <v>SHT0014256</v>
          </cell>
          <cell r="C163" t="str">
            <v>SHT0014256</v>
          </cell>
          <cell r="D163" t="str">
            <v>线束护套固定钣金</v>
          </cell>
          <cell r="E163">
            <v>0</v>
          </cell>
          <cell r="F163">
            <v>0.72872289280000002</v>
          </cell>
        </row>
        <row r="164">
          <cell r="B164" t="str">
            <v>SHT0014099</v>
          </cell>
          <cell r="C164" t="str">
            <v>SHT0014099</v>
          </cell>
          <cell r="D164" t="str">
            <v>左侧立板加强板</v>
          </cell>
          <cell r="E164">
            <v>50</v>
          </cell>
          <cell r="F164">
            <v>3.524265668</v>
          </cell>
        </row>
        <row r="165">
          <cell r="B165" t="str">
            <v>SHT0014100</v>
          </cell>
          <cell r="C165" t="str">
            <v>SHT0014100</v>
          </cell>
          <cell r="D165" t="str">
            <v>右侧立板加强板H6副驾底座</v>
          </cell>
          <cell r="E165">
            <v>50</v>
          </cell>
          <cell r="F165">
            <v>3.5097056680000001</v>
          </cell>
        </row>
        <row r="166">
          <cell r="B166" t="str">
            <v>SHT0015414</v>
          </cell>
          <cell r="C166" t="str">
            <v>SHT0015414</v>
          </cell>
          <cell r="D166" t="str">
            <v>换挡扶手支架焊接组件</v>
          </cell>
          <cell r="E166">
            <v>306</v>
          </cell>
          <cell r="F166">
            <v>1.580218892</v>
          </cell>
        </row>
        <row r="167">
          <cell r="B167" t="str">
            <v>SCS0004393</v>
          </cell>
          <cell r="C167" t="str">
            <v>SCS0004393</v>
          </cell>
          <cell r="D167" t="str">
            <v>地脚固定板组合左右共用总成（中期改款）</v>
          </cell>
          <cell r="E167">
            <v>4755</v>
          </cell>
          <cell r="F167">
            <v>10.908923433333335</v>
          </cell>
        </row>
        <row r="168">
          <cell r="B168" t="str">
            <v>SCS0004392</v>
          </cell>
          <cell r="C168" t="str">
            <v>SCS0004392</v>
          </cell>
          <cell r="D168" t="str">
            <v>右侧地脚固定板组合B40L中改后排左座椅</v>
          </cell>
          <cell r="E168">
            <v>2266</v>
          </cell>
          <cell r="F168">
            <v>9.672500366666668</v>
          </cell>
        </row>
        <row r="169">
          <cell r="B169" t="str">
            <v>SCS0004391</v>
          </cell>
          <cell r="C169" t="str">
            <v>SCS0004391</v>
          </cell>
          <cell r="D169" t="str">
            <v>左侧地脚固定板组合B40L中改后排右座椅</v>
          </cell>
          <cell r="E169">
            <v>2489</v>
          </cell>
          <cell r="F169">
            <v>9.9513803666666671</v>
          </cell>
        </row>
        <row r="170">
          <cell r="B170" t="str">
            <v>SLT0010629</v>
          </cell>
          <cell r="C170" t="str">
            <v>SLT0010629</v>
          </cell>
          <cell r="D170" t="str">
            <v>扶手安装支架</v>
          </cell>
          <cell r="E170">
            <v>298</v>
          </cell>
          <cell r="F170">
            <v>1.3623632148</v>
          </cell>
        </row>
        <row r="171">
          <cell r="B171" t="str">
            <v>SHT0013862</v>
          </cell>
          <cell r="C171" t="str">
            <v>SHT0013862</v>
          </cell>
          <cell r="D171" t="str">
            <v>升降左后固定钣金</v>
          </cell>
          <cell r="E171">
            <v>628</v>
          </cell>
          <cell r="F171">
            <v>1.0162980939999999</v>
          </cell>
        </row>
        <row r="172">
          <cell r="B172" t="str">
            <v>SHT0013864</v>
          </cell>
          <cell r="C172" t="str">
            <v>SHT0013864</v>
          </cell>
          <cell r="D172" t="str">
            <v>升降右后固定钣金</v>
          </cell>
          <cell r="E172">
            <v>628</v>
          </cell>
          <cell r="F172">
            <v>1.0162980939999999</v>
          </cell>
        </row>
        <row r="173">
          <cell r="B173" t="str">
            <v>SHT0013865</v>
          </cell>
          <cell r="C173" t="str">
            <v>SHT0013865</v>
          </cell>
          <cell r="D173" t="str">
            <v>升降左前固定钣金</v>
          </cell>
          <cell r="E173">
            <v>429</v>
          </cell>
          <cell r="F173">
            <v>0.55890677639999997</v>
          </cell>
        </row>
        <row r="174">
          <cell r="B174" t="str">
            <v>SHT0013866</v>
          </cell>
          <cell r="C174" t="str">
            <v>SHT0013866</v>
          </cell>
          <cell r="D174" t="str">
            <v>升降右前固定钣金</v>
          </cell>
          <cell r="E174">
            <v>509</v>
          </cell>
          <cell r="F174">
            <v>0.55890677639999997</v>
          </cell>
        </row>
        <row r="175">
          <cell r="B175" t="str">
            <v>SHT0013388</v>
          </cell>
          <cell r="C175" t="str">
            <v>SHT0013388</v>
          </cell>
          <cell r="D175" t="str">
            <v>后升降长连杆</v>
          </cell>
          <cell r="E175">
            <v>3193</v>
          </cell>
          <cell r="F175">
            <v>1.4056935256</v>
          </cell>
        </row>
        <row r="176">
          <cell r="B176" t="str">
            <v>SHT0013389</v>
          </cell>
          <cell r="C176" t="str">
            <v>SHT0013389</v>
          </cell>
          <cell r="D176" t="str">
            <v>后升降短连杆</v>
          </cell>
          <cell r="E176">
            <v>3681</v>
          </cell>
          <cell r="F176">
            <v>1.0024684320000001</v>
          </cell>
        </row>
        <row r="177">
          <cell r="B177" t="str">
            <v>SHT0013256</v>
          </cell>
          <cell r="C177" t="str">
            <v>SHT0013256</v>
          </cell>
          <cell r="D177" t="str">
            <v>防尘罩</v>
          </cell>
          <cell r="E177">
            <v>4034</v>
          </cell>
          <cell r="F177">
            <v>31.5</v>
          </cell>
        </row>
        <row r="178">
          <cell r="B178" t="str">
            <v>SHT0001147</v>
          </cell>
          <cell r="C178" t="str">
            <v>RC026807007</v>
          </cell>
          <cell r="D178" t="str">
            <v>上限位缓冲块</v>
          </cell>
          <cell r="E178">
            <v>11473</v>
          </cell>
          <cell r="F178">
            <v>0.378</v>
          </cell>
        </row>
        <row r="179">
          <cell r="B179" t="str">
            <v>SHT0002184</v>
          </cell>
          <cell r="C179" t="str">
            <v>SQX3000-6805600</v>
          </cell>
          <cell r="D179" t="str">
            <v>防尘罩</v>
          </cell>
          <cell r="E179">
            <v>1138</v>
          </cell>
          <cell r="F179">
            <v>26</v>
          </cell>
        </row>
        <row r="180">
          <cell r="B180" t="str">
            <v>SHT0013129</v>
          </cell>
          <cell r="C180" t="str">
            <v>SHT0013129</v>
          </cell>
          <cell r="D180" t="str">
            <v>防尘罩</v>
          </cell>
          <cell r="E180">
            <v>3</v>
          </cell>
          <cell r="F180">
            <v>26</v>
          </cell>
        </row>
        <row r="181">
          <cell r="B181" t="str">
            <v>SHT0012215</v>
          </cell>
          <cell r="C181" t="str">
            <v>SHT0012215</v>
          </cell>
          <cell r="D181" t="str">
            <v>连接梁本体</v>
          </cell>
          <cell r="E181" t="e">
            <v>#N/A</v>
          </cell>
          <cell r="F181">
            <v>3.1282015116800004</v>
          </cell>
        </row>
        <row r="182">
          <cell r="B182" t="str">
            <v>SHT0012216</v>
          </cell>
          <cell r="C182" t="str">
            <v>SHT0012216</v>
          </cell>
          <cell r="D182" t="str">
            <v>连接梁加强钣金</v>
          </cell>
          <cell r="E182" t="e">
            <v>#N/A</v>
          </cell>
          <cell r="F182">
            <v>0.91656136207999994</v>
          </cell>
        </row>
        <row r="183">
          <cell r="B183" t="str">
            <v>SLT0010599</v>
          </cell>
          <cell r="C183" t="str">
            <v>SLT0010599</v>
          </cell>
          <cell r="D183" t="str">
            <v>左侧装车钣金焊接总成</v>
          </cell>
          <cell r="E183">
            <v>489</v>
          </cell>
          <cell r="F183">
            <v>3.1798233810000007</v>
          </cell>
        </row>
        <row r="184">
          <cell r="B184" t="str">
            <v>SHT0011694</v>
          </cell>
          <cell r="C184" t="str">
            <v>SHT0011694</v>
          </cell>
          <cell r="D184" t="str">
            <v>IGS尼龙轴套</v>
          </cell>
          <cell r="E184">
            <v>21445</v>
          </cell>
          <cell r="F184" t="str">
            <v>持续寻找国产替代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D139"/>
  <sheetViews>
    <sheetView zoomScale="90" zoomScaleNormal="90" zoomScaleSheetLayoutView="90" workbookViewId="0">
      <pane xSplit="5" ySplit="8" topLeftCell="F65" activePane="bottomRight" state="frozen"/>
      <selection pane="topRight" activeCell="F1" sqref="F1"/>
      <selection pane="bottomLeft" activeCell="A9" sqref="A9"/>
      <selection pane="bottomRight" activeCell="D58" sqref="D58:D104"/>
    </sheetView>
  </sheetViews>
  <sheetFormatPr defaultColWidth="9" defaultRowHeight="14.25"/>
  <cols>
    <col min="1" max="1" width="6.5" style="4" customWidth="1"/>
    <col min="2" max="2" width="13.625" style="5" customWidth="1"/>
    <col min="3" max="3" width="23.875" style="6" customWidth="1"/>
    <col min="4" max="4" width="16.25" style="7" customWidth="1"/>
    <col min="5" max="5" width="5.625" style="8" customWidth="1"/>
    <col min="6" max="6" width="9.375" style="9" customWidth="1"/>
    <col min="7" max="7" width="11.125" style="9" customWidth="1"/>
    <col min="8" max="8" width="14.875" style="10" customWidth="1"/>
    <col min="9" max="9" width="13.125" style="9" customWidth="1"/>
    <col min="10" max="10" width="11.5" style="9" customWidth="1"/>
    <col min="11" max="11" width="18.625" style="9" customWidth="1"/>
    <col min="12" max="12" width="14.25" style="9" customWidth="1"/>
    <col min="13" max="13" width="14.25" style="10" customWidth="1"/>
    <col min="14" max="14" width="8.25" style="9" customWidth="1"/>
    <col min="15" max="15" width="7.125" style="9" customWidth="1"/>
    <col min="16" max="16" width="11.5" style="11" customWidth="1"/>
    <col min="17" max="17" width="19.625" style="4" customWidth="1"/>
    <col min="18" max="18" width="50.875" style="4" customWidth="1"/>
    <col min="19" max="19" width="25.875" style="4" customWidth="1"/>
    <col min="20" max="20" width="19.125" style="4" customWidth="1"/>
    <col min="21" max="245" width="8.875" style="4"/>
    <col min="246" max="246" width="5" style="4" customWidth="1"/>
    <col min="247" max="247" width="15" style="4" customWidth="1"/>
    <col min="248" max="249" width="14.625" style="4" customWidth="1"/>
    <col min="250" max="250" width="6.25" style="4" customWidth="1"/>
    <col min="251" max="253" width="10.125" style="4" customWidth="1"/>
    <col min="254" max="254" width="10.5" style="4" customWidth="1"/>
    <col min="255" max="262" width="8.875" style="4"/>
    <col min="263" max="263" width="6.5" style="4" customWidth="1"/>
    <col min="264" max="264" width="12.25" style="4" customWidth="1"/>
    <col min="265" max="265" width="28.25" style="4" customWidth="1"/>
    <col min="266" max="266" width="13.75" style="4" customWidth="1"/>
    <col min="267" max="267" width="5.625" style="4" customWidth="1"/>
    <col min="268" max="269" width="9.375" style="4" customWidth="1"/>
    <col min="270" max="270" width="13.125" style="4" customWidth="1"/>
    <col min="271" max="501" width="8.875" style="4"/>
    <col min="502" max="502" width="5" style="4" customWidth="1"/>
    <col min="503" max="503" width="15" style="4" customWidth="1"/>
    <col min="504" max="505" width="14.625" style="4" customWidth="1"/>
    <col min="506" max="506" width="6.25" style="4" customWidth="1"/>
    <col min="507" max="509" width="10.125" style="4" customWidth="1"/>
    <col min="510" max="510" width="10.5" style="4" customWidth="1"/>
    <col min="511" max="518" width="8.875" style="4"/>
    <col min="519" max="519" width="6.5" style="4" customWidth="1"/>
    <col min="520" max="520" width="12.25" style="4" customWidth="1"/>
    <col min="521" max="521" width="28.25" style="4" customWidth="1"/>
    <col min="522" max="522" width="13.75" style="4" customWidth="1"/>
    <col min="523" max="523" width="5.625" style="4" customWidth="1"/>
    <col min="524" max="525" width="9.375" style="4" customWidth="1"/>
    <col min="526" max="526" width="13.125" style="4" customWidth="1"/>
    <col min="527" max="757" width="8.875" style="4"/>
    <col min="758" max="758" width="5" style="4" customWidth="1"/>
    <col min="759" max="759" width="15" style="4" customWidth="1"/>
    <col min="760" max="761" width="14.625" style="4" customWidth="1"/>
    <col min="762" max="762" width="6.25" style="4" customWidth="1"/>
    <col min="763" max="765" width="10.125" style="4" customWidth="1"/>
    <col min="766" max="766" width="10.5" style="4" customWidth="1"/>
    <col min="767" max="774" width="8.875" style="4"/>
    <col min="775" max="775" width="6.5" style="4" customWidth="1"/>
    <col min="776" max="776" width="12.25" style="4" customWidth="1"/>
    <col min="777" max="777" width="28.25" style="4" customWidth="1"/>
    <col min="778" max="778" width="13.75" style="4" customWidth="1"/>
    <col min="779" max="779" width="5.625" style="4" customWidth="1"/>
    <col min="780" max="781" width="9.375" style="4" customWidth="1"/>
    <col min="782" max="782" width="13.125" style="4" customWidth="1"/>
    <col min="783" max="1013" width="8.875" style="4"/>
    <col min="1014" max="1014" width="5" style="4" customWidth="1"/>
    <col min="1015" max="1015" width="15" style="4" customWidth="1"/>
    <col min="1016" max="1017" width="14.625" style="4" customWidth="1"/>
    <col min="1018" max="1018" width="6.25" style="4" customWidth="1"/>
    <col min="1019" max="1021" width="10.125" style="4" customWidth="1"/>
    <col min="1022" max="1022" width="10.5" style="4" customWidth="1"/>
    <col min="1023" max="1030" width="8.875" style="4"/>
    <col min="1031" max="1031" width="6.5" style="4" customWidth="1"/>
    <col min="1032" max="1032" width="12.25" style="4" customWidth="1"/>
    <col min="1033" max="1033" width="28.25" style="4" customWidth="1"/>
    <col min="1034" max="1034" width="13.75" style="4" customWidth="1"/>
    <col min="1035" max="1035" width="5.625" style="4" customWidth="1"/>
    <col min="1036" max="1037" width="9.375" style="4" customWidth="1"/>
    <col min="1038" max="1038" width="13.125" style="4" customWidth="1"/>
    <col min="1039" max="1269" width="8.875" style="4"/>
    <col min="1270" max="1270" width="5" style="4" customWidth="1"/>
    <col min="1271" max="1271" width="15" style="4" customWidth="1"/>
    <col min="1272" max="1273" width="14.625" style="4" customWidth="1"/>
    <col min="1274" max="1274" width="6.25" style="4" customWidth="1"/>
    <col min="1275" max="1277" width="10.125" style="4" customWidth="1"/>
    <col min="1278" max="1278" width="10.5" style="4" customWidth="1"/>
    <col min="1279" max="1286" width="8.875" style="4"/>
    <col min="1287" max="1287" width="6.5" style="4" customWidth="1"/>
    <col min="1288" max="1288" width="12.25" style="4" customWidth="1"/>
    <col min="1289" max="1289" width="28.25" style="4" customWidth="1"/>
    <col min="1290" max="1290" width="13.75" style="4" customWidth="1"/>
    <col min="1291" max="1291" width="5.625" style="4" customWidth="1"/>
    <col min="1292" max="1293" width="9.375" style="4" customWidth="1"/>
    <col min="1294" max="1294" width="13.125" style="4" customWidth="1"/>
    <col min="1295" max="1525" width="8.875" style="4"/>
    <col min="1526" max="1526" width="5" style="4" customWidth="1"/>
    <col min="1527" max="1527" width="15" style="4" customWidth="1"/>
    <col min="1528" max="1529" width="14.625" style="4" customWidth="1"/>
    <col min="1530" max="1530" width="6.25" style="4" customWidth="1"/>
    <col min="1531" max="1533" width="10.125" style="4" customWidth="1"/>
    <col min="1534" max="1534" width="10.5" style="4" customWidth="1"/>
    <col min="1535" max="1542" width="8.875" style="4"/>
    <col min="1543" max="1543" width="6.5" style="4" customWidth="1"/>
    <col min="1544" max="1544" width="12.25" style="4" customWidth="1"/>
    <col min="1545" max="1545" width="28.25" style="4" customWidth="1"/>
    <col min="1546" max="1546" width="13.75" style="4" customWidth="1"/>
    <col min="1547" max="1547" width="5.625" style="4" customWidth="1"/>
    <col min="1548" max="1549" width="9.375" style="4" customWidth="1"/>
    <col min="1550" max="1550" width="13.125" style="4" customWidth="1"/>
    <col min="1551" max="1781" width="8.875" style="4"/>
    <col min="1782" max="1782" width="5" style="4" customWidth="1"/>
    <col min="1783" max="1783" width="15" style="4" customWidth="1"/>
    <col min="1784" max="1785" width="14.625" style="4" customWidth="1"/>
    <col min="1786" max="1786" width="6.25" style="4" customWidth="1"/>
    <col min="1787" max="1789" width="10.125" style="4" customWidth="1"/>
    <col min="1790" max="1790" width="10.5" style="4" customWidth="1"/>
    <col min="1791" max="1798" width="8.875" style="4"/>
    <col min="1799" max="1799" width="6.5" style="4" customWidth="1"/>
    <col min="1800" max="1800" width="12.25" style="4" customWidth="1"/>
    <col min="1801" max="1801" width="28.25" style="4" customWidth="1"/>
    <col min="1802" max="1802" width="13.75" style="4" customWidth="1"/>
    <col min="1803" max="1803" width="5.625" style="4" customWidth="1"/>
    <col min="1804" max="1805" width="9.375" style="4" customWidth="1"/>
    <col min="1806" max="1806" width="13.125" style="4" customWidth="1"/>
    <col min="1807" max="2037" width="8.875" style="4"/>
    <col min="2038" max="2038" width="5" style="4" customWidth="1"/>
    <col min="2039" max="2039" width="15" style="4" customWidth="1"/>
    <col min="2040" max="2041" width="14.625" style="4" customWidth="1"/>
    <col min="2042" max="2042" width="6.25" style="4" customWidth="1"/>
    <col min="2043" max="2045" width="10.125" style="4" customWidth="1"/>
    <col min="2046" max="2046" width="10.5" style="4" customWidth="1"/>
    <col min="2047" max="2054" width="8.875" style="4"/>
    <col min="2055" max="2055" width="6.5" style="4" customWidth="1"/>
    <col min="2056" max="2056" width="12.25" style="4" customWidth="1"/>
    <col min="2057" max="2057" width="28.25" style="4" customWidth="1"/>
    <col min="2058" max="2058" width="13.75" style="4" customWidth="1"/>
    <col min="2059" max="2059" width="5.625" style="4" customWidth="1"/>
    <col min="2060" max="2061" width="9.375" style="4" customWidth="1"/>
    <col min="2062" max="2062" width="13.125" style="4" customWidth="1"/>
    <col min="2063" max="2293" width="8.875" style="4"/>
    <col min="2294" max="2294" width="5" style="4" customWidth="1"/>
    <col min="2295" max="2295" width="15" style="4" customWidth="1"/>
    <col min="2296" max="2297" width="14.625" style="4" customWidth="1"/>
    <col min="2298" max="2298" width="6.25" style="4" customWidth="1"/>
    <col min="2299" max="2301" width="10.125" style="4" customWidth="1"/>
    <col min="2302" max="2302" width="10.5" style="4" customWidth="1"/>
    <col min="2303" max="2310" width="8.875" style="4"/>
    <col min="2311" max="2311" width="6.5" style="4" customWidth="1"/>
    <col min="2312" max="2312" width="12.25" style="4" customWidth="1"/>
    <col min="2313" max="2313" width="28.25" style="4" customWidth="1"/>
    <col min="2314" max="2314" width="13.75" style="4" customWidth="1"/>
    <col min="2315" max="2315" width="5.625" style="4" customWidth="1"/>
    <col min="2316" max="2317" width="9.375" style="4" customWidth="1"/>
    <col min="2318" max="2318" width="13.125" style="4" customWidth="1"/>
    <col min="2319" max="2549" width="8.875" style="4"/>
    <col min="2550" max="2550" width="5" style="4" customWidth="1"/>
    <col min="2551" max="2551" width="15" style="4" customWidth="1"/>
    <col min="2552" max="2553" width="14.625" style="4" customWidth="1"/>
    <col min="2554" max="2554" width="6.25" style="4" customWidth="1"/>
    <col min="2555" max="2557" width="10.125" style="4" customWidth="1"/>
    <col min="2558" max="2558" width="10.5" style="4" customWidth="1"/>
    <col min="2559" max="2566" width="8.875" style="4"/>
    <col min="2567" max="2567" width="6.5" style="4" customWidth="1"/>
    <col min="2568" max="2568" width="12.25" style="4" customWidth="1"/>
    <col min="2569" max="2569" width="28.25" style="4" customWidth="1"/>
    <col min="2570" max="2570" width="13.75" style="4" customWidth="1"/>
    <col min="2571" max="2571" width="5.625" style="4" customWidth="1"/>
    <col min="2572" max="2573" width="9.375" style="4" customWidth="1"/>
    <col min="2574" max="2574" width="13.125" style="4" customWidth="1"/>
    <col min="2575" max="2805" width="8.875" style="4"/>
    <col min="2806" max="2806" width="5" style="4" customWidth="1"/>
    <col min="2807" max="2807" width="15" style="4" customWidth="1"/>
    <col min="2808" max="2809" width="14.625" style="4" customWidth="1"/>
    <col min="2810" max="2810" width="6.25" style="4" customWidth="1"/>
    <col min="2811" max="2813" width="10.125" style="4" customWidth="1"/>
    <col min="2814" max="2814" width="10.5" style="4" customWidth="1"/>
    <col min="2815" max="2822" width="8.875" style="4"/>
    <col min="2823" max="2823" width="6.5" style="4" customWidth="1"/>
    <col min="2824" max="2824" width="12.25" style="4" customWidth="1"/>
    <col min="2825" max="2825" width="28.25" style="4" customWidth="1"/>
    <col min="2826" max="2826" width="13.75" style="4" customWidth="1"/>
    <col min="2827" max="2827" width="5.625" style="4" customWidth="1"/>
    <col min="2828" max="2829" width="9.375" style="4" customWidth="1"/>
    <col min="2830" max="2830" width="13.125" style="4" customWidth="1"/>
    <col min="2831" max="3061" width="8.875" style="4"/>
    <col min="3062" max="3062" width="5" style="4" customWidth="1"/>
    <col min="3063" max="3063" width="15" style="4" customWidth="1"/>
    <col min="3064" max="3065" width="14.625" style="4" customWidth="1"/>
    <col min="3066" max="3066" width="6.25" style="4" customWidth="1"/>
    <col min="3067" max="3069" width="10.125" style="4" customWidth="1"/>
    <col min="3070" max="3070" width="10.5" style="4" customWidth="1"/>
    <col min="3071" max="3078" width="8.875" style="4"/>
    <col min="3079" max="3079" width="6.5" style="4" customWidth="1"/>
    <col min="3080" max="3080" width="12.25" style="4" customWidth="1"/>
    <col min="3081" max="3081" width="28.25" style="4" customWidth="1"/>
    <col min="3082" max="3082" width="13.75" style="4" customWidth="1"/>
    <col min="3083" max="3083" width="5.625" style="4" customWidth="1"/>
    <col min="3084" max="3085" width="9.375" style="4" customWidth="1"/>
    <col min="3086" max="3086" width="13.125" style="4" customWidth="1"/>
    <col min="3087" max="3317" width="8.875" style="4"/>
    <col min="3318" max="3318" width="5" style="4" customWidth="1"/>
    <col min="3319" max="3319" width="15" style="4" customWidth="1"/>
    <col min="3320" max="3321" width="14.625" style="4" customWidth="1"/>
    <col min="3322" max="3322" width="6.25" style="4" customWidth="1"/>
    <col min="3323" max="3325" width="10.125" style="4" customWidth="1"/>
    <col min="3326" max="3326" width="10.5" style="4" customWidth="1"/>
    <col min="3327" max="3334" width="8.875" style="4"/>
    <col min="3335" max="3335" width="6.5" style="4" customWidth="1"/>
    <col min="3336" max="3336" width="12.25" style="4" customWidth="1"/>
    <col min="3337" max="3337" width="28.25" style="4" customWidth="1"/>
    <col min="3338" max="3338" width="13.75" style="4" customWidth="1"/>
    <col min="3339" max="3339" width="5.625" style="4" customWidth="1"/>
    <col min="3340" max="3341" width="9.375" style="4" customWidth="1"/>
    <col min="3342" max="3342" width="13.125" style="4" customWidth="1"/>
    <col min="3343" max="3573" width="8.875" style="4"/>
    <col min="3574" max="3574" width="5" style="4" customWidth="1"/>
    <col min="3575" max="3575" width="15" style="4" customWidth="1"/>
    <col min="3576" max="3577" width="14.625" style="4" customWidth="1"/>
    <col min="3578" max="3578" width="6.25" style="4" customWidth="1"/>
    <col min="3579" max="3581" width="10.125" style="4" customWidth="1"/>
    <col min="3582" max="3582" width="10.5" style="4" customWidth="1"/>
    <col min="3583" max="3590" width="8.875" style="4"/>
    <col min="3591" max="3591" width="6.5" style="4" customWidth="1"/>
    <col min="3592" max="3592" width="12.25" style="4" customWidth="1"/>
    <col min="3593" max="3593" width="28.25" style="4" customWidth="1"/>
    <col min="3594" max="3594" width="13.75" style="4" customWidth="1"/>
    <col min="3595" max="3595" width="5.625" style="4" customWidth="1"/>
    <col min="3596" max="3597" width="9.375" style="4" customWidth="1"/>
    <col min="3598" max="3598" width="13.125" style="4" customWidth="1"/>
    <col min="3599" max="3829" width="8.875" style="4"/>
    <col min="3830" max="3830" width="5" style="4" customWidth="1"/>
    <col min="3831" max="3831" width="15" style="4" customWidth="1"/>
    <col min="3832" max="3833" width="14.625" style="4" customWidth="1"/>
    <col min="3834" max="3834" width="6.25" style="4" customWidth="1"/>
    <col min="3835" max="3837" width="10.125" style="4" customWidth="1"/>
    <col min="3838" max="3838" width="10.5" style="4" customWidth="1"/>
    <col min="3839" max="3846" width="8.875" style="4"/>
    <col min="3847" max="3847" width="6.5" style="4" customWidth="1"/>
    <col min="3848" max="3848" width="12.25" style="4" customWidth="1"/>
    <col min="3849" max="3849" width="28.25" style="4" customWidth="1"/>
    <col min="3850" max="3850" width="13.75" style="4" customWidth="1"/>
    <col min="3851" max="3851" width="5.625" style="4" customWidth="1"/>
    <col min="3852" max="3853" width="9.375" style="4" customWidth="1"/>
    <col min="3854" max="3854" width="13.125" style="4" customWidth="1"/>
    <col min="3855" max="4085" width="8.875" style="4"/>
    <col min="4086" max="4086" width="5" style="4" customWidth="1"/>
    <col min="4087" max="4087" width="15" style="4" customWidth="1"/>
    <col min="4088" max="4089" width="14.625" style="4" customWidth="1"/>
    <col min="4090" max="4090" width="6.25" style="4" customWidth="1"/>
    <col min="4091" max="4093" width="10.125" style="4" customWidth="1"/>
    <col min="4094" max="4094" width="10.5" style="4" customWidth="1"/>
    <col min="4095" max="4102" width="8.875" style="4"/>
    <col min="4103" max="4103" width="6.5" style="4" customWidth="1"/>
    <col min="4104" max="4104" width="12.25" style="4" customWidth="1"/>
    <col min="4105" max="4105" width="28.25" style="4" customWidth="1"/>
    <col min="4106" max="4106" width="13.75" style="4" customWidth="1"/>
    <col min="4107" max="4107" width="5.625" style="4" customWidth="1"/>
    <col min="4108" max="4109" width="9.375" style="4" customWidth="1"/>
    <col min="4110" max="4110" width="13.125" style="4" customWidth="1"/>
    <col min="4111" max="4341" width="8.875" style="4"/>
    <col min="4342" max="4342" width="5" style="4" customWidth="1"/>
    <col min="4343" max="4343" width="15" style="4" customWidth="1"/>
    <col min="4344" max="4345" width="14.625" style="4" customWidth="1"/>
    <col min="4346" max="4346" width="6.25" style="4" customWidth="1"/>
    <col min="4347" max="4349" width="10.125" style="4" customWidth="1"/>
    <col min="4350" max="4350" width="10.5" style="4" customWidth="1"/>
    <col min="4351" max="4358" width="8.875" style="4"/>
    <col min="4359" max="4359" width="6.5" style="4" customWidth="1"/>
    <col min="4360" max="4360" width="12.25" style="4" customWidth="1"/>
    <col min="4361" max="4361" width="28.25" style="4" customWidth="1"/>
    <col min="4362" max="4362" width="13.75" style="4" customWidth="1"/>
    <col min="4363" max="4363" width="5.625" style="4" customWidth="1"/>
    <col min="4364" max="4365" width="9.375" style="4" customWidth="1"/>
    <col min="4366" max="4366" width="13.125" style="4" customWidth="1"/>
    <col min="4367" max="4597" width="8.875" style="4"/>
    <col min="4598" max="4598" width="5" style="4" customWidth="1"/>
    <col min="4599" max="4599" width="15" style="4" customWidth="1"/>
    <col min="4600" max="4601" width="14.625" style="4" customWidth="1"/>
    <col min="4602" max="4602" width="6.25" style="4" customWidth="1"/>
    <col min="4603" max="4605" width="10.125" style="4" customWidth="1"/>
    <col min="4606" max="4606" width="10.5" style="4" customWidth="1"/>
    <col min="4607" max="4614" width="8.875" style="4"/>
    <col min="4615" max="4615" width="6.5" style="4" customWidth="1"/>
    <col min="4616" max="4616" width="12.25" style="4" customWidth="1"/>
    <col min="4617" max="4617" width="28.25" style="4" customWidth="1"/>
    <col min="4618" max="4618" width="13.75" style="4" customWidth="1"/>
    <col min="4619" max="4619" width="5.625" style="4" customWidth="1"/>
    <col min="4620" max="4621" width="9.375" style="4" customWidth="1"/>
    <col min="4622" max="4622" width="13.125" style="4" customWidth="1"/>
    <col min="4623" max="4853" width="8.875" style="4"/>
    <col min="4854" max="4854" width="5" style="4" customWidth="1"/>
    <col min="4855" max="4855" width="15" style="4" customWidth="1"/>
    <col min="4856" max="4857" width="14.625" style="4" customWidth="1"/>
    <col min="4858" max="4858" width="6.25" style="4" customWidth="1"/>
    <col min="4859" max="4861" width="10.125" style="4" customWidth="1"/>
    <col min="4862" max="4862" width="10.5" style="4" customWidth="1"/>
    <col min="4863" max="4870" width="8.875" style="4"/>
    <col min="4871" max="4871" width="6.5" style="4" customWidth="1"/>
    <col min="4872" max="4872" width="12.25" style="4" customWidth="1"/>
    <col min="4873" max="4873" width="28.25" style="4" customWidth="1"/>
    <col min="4874" max="4874" width="13.75" style="4" customWidth="1"/>
    <col min="4875" max="4875" width="5.625" style="4" customWidth="1"/>
    <col min="4876" max="4877" width="9.375" style="4" customWidth="1"/>
    <col min="4878" max="4878" width="13.125" style="4" customWidth="1"/>
    <col min="4879" max="5109" width="8.875" style="4"/>
    <col min="5110" max="5110" width="5" style="4" customWidth="1"/>
    <col min="5111" max="5111" width="15" style="4" customWidth="1"/>
    <col min="5112" max="5113" width="14.625" style="4" customWidth="1"/>
    <col min="5114" max="5114" width="6.25" style="4" customWidth="1"/>
    <col min="5115" max="5117" width="10.125" style="4" customWidth="1"/>
    <col min="5118" max="5118" width="10.5" style="4" customWidth="1"/>
    <col min="5119" max="5126" width="8.875" style="4"/>
    <col min="5127" max="5127" width="6.5" style="4" customWidth="1"/>
    <col min="5128" max="5128" width="12.25" style="4" customWidth="1"/>
    <col min="5129" max="5129" width="28.25" style="4" customWidth="1"/>
    <col min="5130" max="5130" width="13.75" style="4" customWidth="1"/>
    <col min="5131" max="5131" width="5.625" style="4" customWidth="1"/>
    <col min="5132" max="5133" width="9.375" style="4" customWidth="1"/>
    <col min="5134" max="5134" width="13.125" style="4" customWidth="1"/>
    <col min="5135" max="5365" width="8.875" style="4"/>
    <col min="5366" max="5366" width="5" style="4" customWidth="1"/>
    <col min="5367" max="5367" width="15" style="4" customWidth="1"/>
    <col min="5368" max="5369" width="14.625" style="4" customWidth="1"/>
    <col min="5370" max="5370" width="6.25" style="4" customWidth="1"/>
    <col min="5371" max="5373" width="10.125" style="4" customWidth="1"/>
    <col min="5374" max="5374" width="10.5" style="4" customWidth="1"/>
    <col min="5375" max="5382" width="8.875" style="4"/>
    <col min="5383" max="5383" width="6.5" style="4" customWidth="1"/>
    <col min="5384" max="5384" width="12.25" style="4" customWidth="1"/>
    <col min="5385" max="5385" width="28.25" style="4" customWidth="1"/>
    <col min="5386" max="5386" width="13.75" style="4" customWidth="1"/>
    <col min="5387" max="5387" width="5.625" style="4" customWidth="1"/>
    <col min="5388" max="5389" width="9.375" style="4" customWidth="1"/>
    <col min="5390" max="5390" width="13.125" style="4" customWidth="1"/>
    <col min="5391" max="5621" width="8.875" style="4"/>
    <col min="5622" max="5622" width="5" style="4" customWidth="1"/>
    <col min="5623" max="5623" width="15" style="4" customWidth="1"/>
    <col min="5624" max="5625" width="14.625" style="4" customWidth="1"/>
    <col min="5626" max="5626" width="6.25" style="4" customWidth="1"/>
    <col min="5627" max="5629" width="10.125" style="4" customWidth="1"/>
    <col min="5630" max="5630" width="10.5" style="4" customWidth="1"/>
    <col min="5631" max="5638" width="8.875" style="4"/>
    <col min="5639" max="5639" width="6.5" style="4" customWidth="1"/>
    <col min="5640" max="5640" width="12.25" style="4" customWidth="1"/>
    <col min="5641" max="5641" width="28.25" style="4" customWidth="1"/>
    <col min="5642" max="5642" width="13.75" style="4" customWidth="1"/>
    <col min="5643" max="5643" width="5.625" style="4" customWidth="1"/>
    <col min="5644" max="5645" width="9.375" style="4" customWidth="1"/>
    <col min="5646" max="5646" width="13.125" style="4" customWidth="1"/>
    <col min="5647" max="5877" width="8.875" style="4"/>
    <col min="5878" max="5878" width="5" style="4" customWidth="1"/>
    <col min="5879" max="5879" width="15" style="4" customWidth="1"/>
    <col min="5880" max="5881" width="14.625" style="4" customWidth="1"/>
    <col min="5882" max="5882" width="6.25" style="4" customWidth="1"/>
    <col min="5883" max="5885" width="10.125" style="4" customWidth="1"/>
    <col min="5886" max="5886" width="10.5" style="4" customWidth="1"/>
    <col min="5887" max="5894" width="8.875" style="4"/>
    <col min="5895" max="5895" width="6.5" style="4" customWidth="1"/>
    <col min="5896" max="5896" width="12.25" style="4" customWidth="1"/>
    <col min="5897" max="5897" width="28.25" style="4" customWidth="1"/>
    <col min="5898" max="5898" width="13.75" style="4" customWidth="1"/>
    <col min="5899" max="5899" width="5.625" style="4" customWidth="1"/>
    <col min="5900" max="5901" width="9.375" style="4" customWidth="1"/>
    <col min="5902" max="5902" width="13.125" style="4" customWidth="1"/>
    <col min="5903" max="6133" width="8.875" style="4"/>
    <col min="6134" max="6134" width="5" style="4" customWidth="1"/>
    <col min="6135" max="6135" width="15" style="4" customWidth="1"/>
    <col min="6136" max="6137" width="14.625" style="4" customWidth="1"/>
    <col min="6138" max="6138" width="6.25" style="4" customWidth="1"/>
    <col min="6139" max="6141" width="10.125" style="4" customWidth="1"/>
    <col min="6142" max="6142" width="10.5" style="4" customWidth="1"/>
    <col min="6143" max="6150" width="8.875" style="4"/>
    <col min="6151" max="6151" width="6.5" style="4" customWidth="1"/>
    <col min="6152" max="6152" width="12.25" style="4" customWidth="1"/>
    <col min="6153" max="6153" width="28.25" style="4" customWidth="1"/>
    <col min="6154" max="6154" width="13.75" style="4" customWidth="1"/>
    <col min="6155" max="6155" width="5.625" style="4" customWidth="1"/>
    <col min="6156" max="6157" width="9.375" style="4" customWidth="1"/>
    <col min="6158" max="6158" width="13.125" style="4" customWidth="1"/>
    <col min="6159" max="6389" width="8.875" style="4"/>
    <col min="6390" max="6390" width="5" style="4" customWidth="1"/>
    <col min="6391" max="6391" width="15" style="4" customWidth="1"/>
    <col min="6392" max="6393" width="14.625" style="4" customWidth="1"/>
    <col min="6394" max="6394" width="6.25" style="4" customWidth="1"/>
    <col min="6395" max="6397" width="10.125" style="4" customWidth="1"/>
    <col min="6398" max="6398" width="10.5" style="4" customWidth="1"/>
    <col min="6399" max="6406" width="8.875" style="4"/>
    <col min="6407" max="6407" width="6.5" style="4" customWidth="1"/>
    <col min="6408" max="6408" width="12.25" style="4" customWidth="1"/>
    <col min="6409" max="6409" width="28.25" style="4" customWidth="1"/>
    <col min="6410" max="6410" width="13.75" style="4" customWidth="1"/>
    <col min="6411" max="6411" width="5.625" style="4" customWidth="1"/>
    <col min="6412" max="6413" width="9.375" style="4" customWidth="1"/>
    <col min="6414" max="6414" width="13.125" style="4" customWidth="1"/>
    <col min="6415" max="6645" width="8.875" style="4"/>
    <col min="6646" max="6646" width="5" style="4" customWidth="1"/>
    <col min="6647" max="6647" width="15" style="4" customWidth="1"/>
    <col min="6648" max="6649" width="14.625" style="4" customWidth="1"/>
    <col min="6650" max="6650" width="6.25" style="4" customWidth="1"/>
    <col min="6651" max="6653" width="10.125" style="4" customWidth="1"/>
    <col min="6654" max="6654" width="10.5" style="4" customWidth="1"/>
    <col min="6655" max="6662" width="8.875" style="4"/>
    <col min="6663" max="6663" width="6.5" style="4" customWidth="1"/>
    <col min="6664" max="6664" width="12.25" style="4" customWidth="1"/>
    <col min="6665" max="6665" width="28.25" style="4" customWidth="1"/>
    <col min="6666" max="6666" width="13.75" style="4" customWidth="1"/>
    <col min="6667" max="6667" width="5.625" style="4" customWidth="1"/>
    <col min="6668" max="6669" width="9.375" style="4" customWidth="1"/>
    <col min="6670" max="6670" width="13.125" style="4" customWidth="1"/>
    <col min="6671" max="6901" width="8.875" style="4"/>
    <col min="6902" max="6902" width="5" style="4" customWidth="1"/>
    <col min="6903" max="6903" width="15" style="4" customWidth="1"/>
    <col min="6904" max="6905" width="14.625" style="4" customWidth="1"/>
    <col min="6906" max="6906" width="6.25" style="4" customWidth="1"/>
    <col min="6907" max="6909" width="10.125" style="4" customWidth="1"/>
    <col min="6910" max="6910" width="10.5" style="4" customWidth="1"/>
    <col min="6911" max="6918" width="8.875" style="4"/>
    <col min="6919" max="6919" width="6.5" style="4" customWidth="1"/>
    <col min="6920" max="6920" width="12.25" style="4" customWidth="1"/>
    <col min="6921" max="6921" width="28.25" style="4" customWidth="1"/>
    <col min="6922" max="6922" width="13.75" style="4" customWidth="1"/>
    <col min="6923" max="6923" width="5.625" style="4" customWidth="1"/>
    <col min="6924" max="6925" width="9.375" style="4" customWidth="1"/>
    <col min="6926" max="6926" width="13.125" style="4" customWidth="1"/>
    <col min="6927" max="7157" width="8.875" style="4"/>
    <col min="7158" max="7158" width="5" style="4" customWidth="1"/>
    <col min="7159" max="7159" width="15" style="4" customWidth="1"/>
    <col min="7160" max="7161" width="14.625" style="4" customWidth="1"/>
    <col min="7162" max="7162" width="6.25" style="4" customWidth="1"/>
    <col min="7163" max="7165" width="10.125" style="4" customWidth="1"/>
    <col min="7166" max="7166" width="10.5" style="4" customWidth="1"/>
    <col min="7167" max="7174" width="8.875" style="4"/>
    <col min="7175" max="7175" width="6.5" style="4" customWidth="1"/>
    <col min="7176" max="7176" width="12.25" style="4" customWidth="1"/>
    <col min="7177" max="7177" width="28.25" style="4" customWidth="1"/>
    <col min="7178" max="7178" width="13.75" style="4" customWidth="1"/>
    <col min="7179" max="7179" width="5.625" style="4" customWidth="1"/>
    <col min="7180" max="7181" width="9.375" style="4" customWidth="1"/>
    <col min="7182" max="7182" width="13.125" style="4" customWidth="1"/>
    <col min="7183" max="7413" width="8.875" style="4"/>
    <col min="7414" max="7414" width="5" style="4" customWidth="1"/>
    <col min="7415" max="7415" width="15" style="4" customWidth="1"/>
    <col min="7416" max="7417" width="14.625" style="4" customWidth="1"/>
    <col min="7418" max="7418" width="6.25" style="4" customWidth="1"/>
    <col min="7419" max="7421" width="10.125" style="4" customWidth="1"/>
    <col min="7422" max="7422" width="10.5" style="4" customWidth="1"/>
    <col min="7423" max="7430" width="8.875" style="4"/>
    <col min="7431" max="7431" width="6.5" style="4" customWidth="1"/>
    <col min="7432" max="7432" width="12.25" style="4" customWidth="1"/>
    <col min="7433" max="7433" width="28.25" style="4" customWidth="1"/>
    <col min="7434" max="7434" width="13.75" style="4" customWidth="1"/>
    <col min="7435" max="7435" width="5.625" style="4" customWidth="1"/>
    <col min="7436" max="7437" width="9.375" style="4" customWidth="1"/>
    <col min="7438" max="7438" width="13.125" style="4" customWidth="1"/>
    <col min="7439" max="7669" width="8.875" style="4"/>
    <col min="7670" max="7670" width="5" style="4" customWidth="1"/>
    <col min="7671" max="7671" width="15" style="4" customWidth="1"/>
    <col min="7672" max="7673" width="14.625" style="4" customWidth="1"/>
    <col min="7674" max="7674" width="6.25" style="4" customWidth="1"/>
    <col min="7675" max="7677" width="10.125" style="4" customWidth="1"/>
    <col min="7678" max="7678" width="10.5" style="4" customWidth="1"/>
    <col min="7679" max="7686" width="8.875" style="4"/>
    <col min="7687" max="7687" width="6.5" style="4" customWidth="1"/>
    <col min="7688" max="7688" width="12.25" style="4" customWidth="1"/>
    <col min="7689" max="7689" width="28.25" style="4" customWidth="1"/>
    <col min="7690" max="7690" width="13.75" style="4" customWidth="1"/>
    <col min="7691" max="7691" width="5.625" style="4" customWidth="1"/>
    <col min="7692" max="7693" width="9.375" style="4" customWidth="1"/>
    <col min="7694" max="7694" width="13.125" style="4" customWidth="1"/>
    <col min="7695" max="7925" width="8.875" style="4"/>
    <col min="7926" max="7926" width="5" style="4" customWidth="1"/>
    <col min="7927" max="7927" width="15" style="4" customWidth="1"/>
    <col min="7928" max="7929" width="14.625" style="4" customWidth="1"/>
    <col min="7930" max="7930" width="6.25" style="4" customWidth="1"/>
    <col min="7931" max="7933" width="10.125" style="4" customWidth="1"/>
    <col min="7934" max="7934" width="10.5" style="4" customWidth="1"/>
    <col min="7935" max="7942" width="8.875" style="4"/>
    <col min="7943" max="7943" width="6.5" style="4" customWidth="1"/>
    <col min="7944" max="7944" width="12.25" style="4" customWidth="1"/>
    <col min="7945" max="7945" width="28.25" style="4" customWidth="1"/>
    <col min="7946" max="7946" width="13.75" style="4" customWidth="1"/>
    <col min="7947" max="7947" width="5.625" style="4" customWidth="1"/>
    <col min="7948" max="7949" width="9.375" style="4" customWidth="1"/>
    <col min="7950" max="7950" width="13.125" style="4" customWidth="1"/>
    <col min="7951" max="8181" width="8.875" style="4"/>
    <col min="8182" max="8182" width="5" style="4" customWidth="1"/>
    <col min="8183" max="8183" width="15" style="4" customWidth="1"/>
    <col min="8184" max="8185" width="14.625" style="4" customWidth="1"/>
    <col min="8186" max="8186" width="6.25" style="4" customWidth="1"/>
    <col min="8187" max="8189" width="10.125" style="4" customWidth="1"/>
    <col min="8190" max="8190" width="10.5" style="4" customWidth="1"/>
    <col min="8191" max="8198" width="8.875" style="4"/>
    <col min="8199" max="8199" width="6.5" style="4" customWidth="1"/>
    <col min="8200" max="8200" width="12.25" style="4" customWidth="1"/>
    <col min="8201" max="8201" width="28.25" style="4" customWidth="1"/>
    <col min="8202" max="8202" width="13.75" style="4" customWidth="1"/>
    <col min="8203" max="8203" width="5.625" style="4" customWidth="1"/>
    <col min="8204" max="8205" width="9.375" style="4" customWidth="1"/>
    <col min="8206" max="8206" width="13.125" style="4" customWidth="1"/>
    <col min="8207" max="8437" width="8.875" style="4"/>
    <col min="8438" max="8438" width="5" style="4" customWidth="1"/>
    <col min="8439" max="8439" width="15" style="4" customWidth="1"/>
    <col min="8440" max="8441" width="14.625" style="4" customWidth="1"/>
    <col min="8442" max="8442" width="6.25" style="4" customWidth="1"/>
    <col min="8443" max="8445" width="10.125" style="4" customWidth="1"/>
    <col min="8446" max="8446" width="10.5" style="4" customWidth="1"/>
    <col min="8447" max="8454" width="8.875" style="4"/>
    <col min="8455" max="8455" width="6.5" style="4" customWidth="1"/>
    <col min="8456" max="8456" width="12.25" style="4" customWidth="1"/>
    <col min="8457" max="8457" width="28.25" style="4" customWidth="1"/>
    <col min="8458" max="8458" width="13.75" style="4" customWidth="1"/>
    <col min="8459" max="8459" width="5.625" style="4" customWidth="1"/>
    <col min="8460" max="8461" width="9.375" style="4" customWidth="1"/>
    <col min="8462" max="8462" width="13.125" style="4" customWidth="1"/>
    <col min="8463" max="8693" width="8.875" style="4"/>
    <col min="8694" max="8694" width="5" style="4" customWidth="1"/>
    <col min="8695" max="8695" width="15" style="4" customWidth="1"/>
    <col min="8696" max="8697" width="14.625" style="4" customWidth="1"/>
    <col min="8698" max="8698" width="6.25" style="4" customWidth="1"/>
    <col min="8699" max="8701" width="10.125" style="4" customWidth="1"/>
    <col min="8702" max="8702" width="10.5" style="4" customWidth="1"/>
    <col min="8703" max="8710" width="8.875" style="4"/>
    <col min="8711" max="8711" width="6.5" style="4" customWidth="1"/>
    <col min="8712" max="8712" width="12.25" style="4" customWidth="1"/>
    <col min="8713" max="8713" width="28.25" style="4" customWidth="1"/>
    <col min="8714" max="8714" width="13.75" style="4" customWidth="1"/>
    <col min="8715" max="8715" width="5.625" style="4" customWidth="1"/>
    <col min="8716" max="8717" width="9.375" style="4" customWidth="1"/>
    <col min="8718" max="8718" width="13.125" style="4" customWidth="1"/>
    <col min="8719" max="8949" width="8.875" style="4"/>
    <col min="8950" max="8950" width="5" style="4" customWidth="1"/>
    <col min="8951" max="8951" width="15" style="4" customWidth="1"/>
    <col min="8952" max="8953" width="14.625" style="4" customWidth="1"/>
    <col min="8954" max="8954" width="6.25" style="4" customWidth="1"/>
    <col min="8955" max="8957" width="10.125" style="4" customWidth="1"/>
    <col min="8958" max="8958" width="10.5" style="4" customWidth="1"/>
    <col min="8959" max="8966" width="8.875" style="4"/>
    <col min="8967" max="8967" width="6.5" style="4" customWidth="1"/>
    <col min="8968" max="8968" width="12.25" style="4" customWidth="1"/>
    <col min="8969" max="8969" width="28.25" style="4" customWidth="1"/>
    <col min="8970" max="8970" width="13.75" style="4" customWidth="1"/>
    <col min="8971" max="8971" width="5.625" style="4" customWidth="1"/>
    <col min="8972" max="8973" width="9.375" style="4" customWidth="1"/>
    <col min="8974" max="8974" width="13.125" style="4" customWidth="1"/>
    <col min="8975" max="9205" width="8.875" style="4"/>
    <col min="9206" max="9206" width="5" style="4" customWidth="1"/>
    <col min="9207" max="9207" width="15" style="4" customWidth="1"/>
    <col min="9208" max="9209" width="14.625" style="4" customWidth="1"/>
    <col min="9210" max="9210" width="6.25" style="4" customWidth="1"/>
    <col min="9211" max="9213" width="10.125" style="4" customWidth="1"/>
    <col min="9214" max="9214" width="10.5" style="4" customWidth="1"/>
    <col min="9215" max="9222" width="8.875" style="4"/>
    <col min="9223" max="9223" width="6.5" style="4" customWidth="1"/>
    <col min="9224" max="9224" width="12.25" style="4" customWidth="1"/>
    <col min="9225" max="9225" width="28.25" style="4" customWidth="1"/>
    <col min="9226" max="9226" width="13.75" style="4" customWidth="1"/>
    <col min="9227" max="9227" width="5.625" style="4" customWidth="1"/>
    <col min="9228" max="9229" width="9.375" style="4" customWidth="1"/>
    <col min="9230" max="9230" width="13.125" style="4" customWidth="1"/>
    <col min="9231" max="9461" width="8.875" style="4"/>
    <col min="9462" max="9462" width="5" style="4" customWidth="1"/>
    <col min="9463" max="9463" width="15" style="4" customWidth="1"/>
    <col min="9464" max="9465" width="14.625" style="4" customWidth="1"/>
    <col min="9466" max="9466" width="6.25" style="4" customWidth="1"/>
    <col min="9467" max="9469" width="10.125" style="4" customWidth="1"/>
    <col min="9470" max="9470" width="10.5" style="4" customWidth="1"/>
    <col min="9471" max="9478" width="8.875" style="4"/>
    <col min="9479" max="9479" width="6.5" style="4" customWidth="1"/>
    <col min="9480" max="9480" width="12.25" style="4" customWidth="1"/>
    <col min="9481" max="9481" width="28.25" style="4" customWidth="1"/>
    <col min="9482" max="9482" width="13.75" style="4" customWidth="1"/>
    <col min="9483" max="9483" width="5.625" style="4" customWidth="1"/>
    <col min="9484" max="9485" width="9.375" style="4" customWidth="1"/>
    <col min="9486" max="9486" width="13.125" style="4" customWidth="1"/>
    <col min="9487" max="9717" width="8.875" style="4"/>
    <col min="9718" max="9718" width="5" style="4" customWidth="1"/>
    <col min="9719" max="9719" width="15" style="4" customWidth="1"/>
    <col min="9720" max="9721" width="14.625" style="4" customWidth="1"/>
    <col min="9722" max="9722" width="6.25" style="4" customWidth="1"/>
    <col min="9723" max="9725" width="10.125" style="4" customWidth="1"/>
    <col min="9726" max="9726" width="10.5" style="4" customWidth="1"/>
    <col min="9727" max="9734" width="8.875" style="4"/>
    <col min="9735" max="9735" width="6.5" style="4" customWidth="1"/>
    <col min="9736" max="9736" width="12.25" style="4" customWidth="1"/>
    <col min="9737" max="9737" width="28.25" style="4" customWidth="1"/>
    <col min="9738" max="9738" width="13.75" style="4" customWidth="1"/>
    <col min="9739" max="9739" width="5.625" style="4" customWidth="1"/>
    <col min="9740" max="9741" width="9.375" style="4" customWidth="1"/>
    <col min="9742" max="9742" width="13.125" style="4" customWidth="1"/>
    <col min="9743" max="9973" width="8.875" style="4"/>
    <col min="9974" max="9974" width="5" style="4" customWidth="1"/>
    <col min="9975" max="9975" width="15" style="4" customWidth="1"/>
    <col min="9976" max="9977" width="14.625" style="4" customWidth="1"/>
    <col min="9978" max="9978" width="6.25" style="4" customWidth="1"/>
    <col min="9979" max="9981" width="10.125" style="4" customWidth="1"/>
    <col min="9982" max="9982" width="10.5" style="4" customWidth="1"/>
    <col min="9983" max="9990" width="8.875" style="4"/>
    <col min="9991" max="9991" width="6.5" style="4" customWidth="1"/>
    <col min="9992" max="9992" width="12.25" style="4" customWidth="1"/>
    <col min="9993" max="9993" width="28.25" style="4" customWidth="1"/>
    <col min="9994" max="9994" width="13.75" style="4" customWidth="1"/>
    <col min="9995" max="9995" width="5.625" style="4" customWidth="1"/>
    <col min="9996" max="9997" width="9.375" style="4" customWidth="1"/>
    <col min="9998" max="9998" width="13.125" style="4" customWidth="1"/>
    <col min="9999" max="10229" width="8.875" style="4"/>
    <col min="10230" max="10230" width="5" style="4" customWidth="1"/>
    <col min="10231" max="10231" width="15" style="4" customWidth="1"/>
    <col min="10232" max="10233" width="14.625" style="4" customWidth="1"/>
    <col min="10234" max="10234" width="6.25" style="4" customWidth="1"/>
    <col min="10235" max="10237" width="10.125" style="4" customWidth="1"/>
    <col min="10238" max="10238" width="10.5" style="4" customWidth="1"/>
    <col min="10239" max="10246" width="8.875" style="4"/>
    <col min="10247" max="10247" width="6.5" style="4" customWidth="1"/>
    <col min="10248" max="10248" width="12.25" style="4" customWidth="1"/>
    <col min="10249" max="10249" width="28.25" style="4" customWidth="1"/>
    <col min="10250" max="10250" width="13.75" style="4" customWidth="1"/>
    <col min="10251" max="10251" width="5.625" style="4" customWidth="1"/>
    <col min="10252" max="10253" width="9.375" style="4" customWidth="1"/>
    <col min="10254" max="10254" width="13.125" style="4" customWidth="1"/>
    <col min="10255" max="10485" width="8.875" style="4"/>
    <col min="10486" max="10486" width="5" style="4" customWidth="1"/>
    <col min="10487" max="10487" width="15" style="4" customWidth="1"/>
    <col min="10488" max="10489" width="14.625" style="4" customWidth="1"/>
    <col min="10490" max="10490" width="6.25" style="4" customWidth="1"/>
    <col min="10491" max="10493" width="10.125" style="4" customWidth="1"/>
    <col min="10494" max="10494" width="10.5" style="4" customWidth="1"/>
    <col min="10495" max="10502" width="8.875" style="4"/>
    <col min="10503" max="10503" width="6.5" style="4" customWidth="1"/>
    <col min="10504" max="10504" width="12.25" style="4" customWidth="1"/>
    <col min="10505" max="10505" width="28.25" style="4" customWidth="1"/>
    <col min="10506" max="10506" width="13.75" style="4" customWidth="1"/>
    <col min="10507" max="10507" width="5.625" style="4" customWidth="1"/>
    <col min="10508" max="10509" width="9.375" style="4" customWidth="1"/>
    <col min="10510" max="10510" width="13.125" style="4" customWidth="1"/>
    <col min="10511" max="10741" width="8.875" style="4"/>
    <col min="10742" max="10742" width="5" style="4" customWidth="1"/>
    <col min="10743" max="10743" width="15" style="4" customWidth="1"/>
    <col min="10744" max="10745" width="14.625" style="4" customWidth="1"/>
    <col min="10746" max="10746" width="6.25" style="4" customWidth="1"/>
    <col min="10747" max="10749" width="10.125" style="4" customWidth="1"/>
    <col min="10750" max="10750" width="10.5" style="4" customWidth="1"/>
    <col min="10751" max="10758" width="8.875" style="4"/>
    <col min="10759" max="10759" width="6.5" style="4" customWidth="1"/>
    <col min="10760" max="10760" width="12.25" style="4" customWidth="1"/>
    <col min="10761" max="10761" width="28.25" style="4" customWidth="1"/>
    <col min="10762" max="10762" width="13.75" style="4" customWidth="1"/>
    <col min="10763" max="10763" width="5.625" style="4" customWidth="1"/>
    <col min="10764" max="10765" width="9.375" style="4" customWidth="1"/>
    <col min="10766" max="10766" width="13.125" style="4" customWidth="1"/>
    <col min="10767" max="10997" width="8.875" style="4"/>
    <col min="10998" max="10998" width="5" style="4" customWidth="1"/>
    <col min="10999" max="10999" width="15" style="4" customWidth="1"/>
    <col min="11000" max="11001" width="14.625" style="4" customWidth="1"/>
    <col min="11002" max="11002" width="6.25" style="4" customWidth="1"/>
    <col min="11003" max="11005" width="10.125" style="4" customWidth="1"/>
    <col min="11006" max="11006" width="10.5" style="4" customWidth="1"/>
    <col min="11007" max="11014" width="8.875" style="4"/>
    <col min="11015" max="11015" width="6.5" style="4" customWidth="1"/>
    <col min="11016" max="11016" width="12.25" style="4" customWidth="1"/>
    <col min="11017" max="11017" width="28.25" style="4" customWidth="1"/>
    <col min="11018" max="11018" width="13.75" style="4" customWidth="1"/>
    <col min="11019" max="11019" width="5.625" style="4" customWidth="1"/>
    <col min="11020" max="11021" width="9.375" style="4" customWidth="1"/>
    <col min="11022" max="11022" width="13.125" style="4" customWidth="1"/>
    <col min="11023" max="11253" width="8.875" style="4"/>
    <col min="11254" max="11254" width="5" style="4" customWidth="1"/>
    <col min="11255" max="11255" width="15" style="4" customWidth="1"/>
    <col min="11256" max="11257" width="14.625" style="4" customWidth="1"/>
    <col min="11258" max="11258" width="6.25" style="4" customWidth="1"/>
    <col min="11259" max="11261" width="10.125" style="4" customWidth="1"/>
    <col min="11262" max="11262" width="10.5" style="4" customWidth="1"/>
    <col min="11263" max="11270" width="8.875" style="4"/>
    <col min="11271" max="11271" width="6.5" style="4" customWidth="1"/>
    <col min="11272" max="11272" width="12.25" style="4" customWidth="1"/>
    <col min="11273" max="11273" width="28.25" style="4" customWidth="1"/>
    <col min="11274" max="11274" width="13.75" style="4" customWidth="1"/>
    <col min="11275" max="11275" width="5.625" style="4" customWidth="1"/>
    <col min="11276" max="11277" width="9.375" style="4" customWidth="1"/>
    <col min="11278" max="11278" width="13.125" style="4" customWidth="1"/>
    <col min="11279" max="11509" width="8.875" style="4"/>
    <col min="11510" max="11510" width="5" style="4" customWidth="1"/>
    <col min="11511" max="11511" width="15" style="4" customWidth="1"/>
    <col min="11512" max="11513" width="14.625" style="4" customWidth="1"/>
    <col min="11514" max="11514" width="6.25" style="4" customWidth="1"/>
    <col min="11515" max="11517" width="10.125" style="4" customWidth="1"/>
    <col min="11518" max="11518" width="10.5" style="4" customWidth="1"/>
    <col min="11519" max="11526" width="8.875" style="4"/>
    <col min="11527" max="11527" width="6.5" style="4" customWidth="1"/>
    <col min="11528" max="11528" width="12.25" style="4" customWidth="1"/>
    <col min="11529" max="11529" width="28.25" style="4" customWidth="1"/>
    <col min="11530" max="11530" width="13.75" style="4" customWidth="1"/>
    <col min="11531" max="11531" width="5.625" style="4" customWidth="1"/>
    <col min="11532" max="11533" width="9.375" style="4" customWidth="1"/>
    <col min="11534" max="11534" width="13.125" style="4" customWidth="1"/>
    <col min="11535" max="11765" width="8.875" style="4"/>
    <col min="11766" max="11766" width="5" style="4" customWidth="1"/>
    <col min="11767" max="11767" width="15" style="4" customWidth="1"/>
    <col min="11768" max="11769" width="14.625" style="4" customWidth="1"/>
    <col min="11770" max="11770" width="6.25" style="4" customWidth="1"/>
    <col min="11771" max="11773" width="10.125" style="4" customWidth="1"/>
    <col min="11774" max="11774" width="10.5" style="4" customWidth="1"/>
    <col min="11775" max="11782" width="8.875" style="4"/>
    <col min="11783" max="11783" width="6.5" style="4" customWidth="1"/>
    <col min="11784" max="11784" width="12.25" style="4" customWidth="1"/>
    <col min="11785" max="11785" width="28.25" style="4" customWidth="1"/>
    <col min="11786" max="11786" width="13.75" style="4" customWidth="1"/>
    <col min="11787" max="11787" width="5.625" style="4" customWidth="1"/>
    <col min="11788" max="11789" width="9.375" style="4" customWidth="1"/>
    <col min="11790" max="11790" width="13.125" style="4" customWidth="1"/>
    <col min="11791" max="12021" width="8.875" style="4"/>
    <col min="12022" max="12022" width="5" style="4" customWidth="1"/>
    <col min="12023" max="12023" width="15" style="4" customWidth="1"/>
    <col min="12024" max="12025" width="14.625" style="4" customWidth="1"/>
    <col min="12026" max="12026" width="6.25" style="4" customWidth="1"/>
    <col min="12027" max="12029" width="10.125" style="4" customWidth="1"/>
    <col min="12030" max="12030" width="10.5" style="4" customWidth="1"/>
    <col min="12031" max="12038" width="8.875" style="4"/>
    <col min="12039" max="12039" width="6.5" style="4" customWidth="1"/>
    <col min="12040" max="12040" width="12.25" style="4" customWidth="1"/>
    <col min="12041" max="12041" width="28.25" style="4" customWidth="1"/>
    <col min="12042" max="12042" width="13.75" style="4" customWidth="1"/>
    <col min="12043" max="12043" width="5.625" style="4" customWidth="1"/>
    <col min="12044" max="12045" width="9.375" style="4" customWidth="1"/>
    <col min="12046" max="12046" width="13.125" style="4" customWidth="1"/>
    <col min="12047" max="12277" width="8.875" style="4"/>
    <col min="12278" max="12278" width="5" style="4" customWidth="1"/>
    <col min="12279" max="12279" width="15" style="4" customWidth="1"/>
    <col min="12280" max="12281" width="14.625" style="4" customWidth="1"/>
    <col min="12282" max="12282" width="6.25" style="4" customWidth="1"/>
    <col min="12283" max="12285" width="10.125" style="4" customWidth="1"/>
    <col min="12286" max="12286" width="10.5" style="4" customWidth="1"/>
    <col min="12287" max="12294" width="8.875" style="4"/>
    <col min="12295" max="12295" width="6.5" style="4" customWidth="1"/>
    <col min="12296" max="12296" width="12.25" style="4" customWidth="1"/>
    <col min="12297" max="12297" width="28.25" style="4" customWidth="1"/>
    <col min="12298" max="12298" width="13.75" style="4" customWidth="1"/>
    <col min="12299" max="12299" width="5.625" style="4" customWidth="1"/>
    <col min="12300" max="12301" width="9.375" style="4" customWidth="1"/>
    <col min="12302" max="12302" width="13.125" style="4" customWidth="1"/>
    <col min="12303" max="12533" width="8.875" style="4"/>
    <col min="12534" max="12534" width="5" style="4" customWidth="1"/>
    <col min="12535" max="12535" width="15" style="4" customWidth="1"/>
    <col min="12536" max="12537" width="14.625" style="4" customWidth="1"/>
    <col min="12538" max="12538" width="6.25" style="4" customWidth="1"/>
    <col min="12539" max="12541" width="10.125" style="4" customWidth="1"/>
    <col min="12542" max="12542" width="10.5" style="4" customWidth="1"/>
    <col min="12543" max="12550" width="8.875" style="4"/>
    <col min="12551" max="12551" width="6.5" style="4" customWidth="1"/>
    <col min="12552" max="12552" width="12.25" style="4" customWidth="1"/>
    <col min="12553" max="12553" width="28.25" style="4" customWidth="1"/>
    <col min="12554" max="12554" width="13.75" style="4" customWidth="1"/>
    <col min="12555" max="12555" width="5.625" style="4" customWidth="1"/>
    <col min="12556" max="12557" width="9.375" style="4" customWidth="1"/>
    <col min="12558" max="12558" width="13.125" style="4" customWidth="1"/>
    <col min="12559" max="12789" width="8.875" style="4"/>
    <col min="12790" max="12790" width="5" style="4" customWidth="1"/>
    <col min="12791" max="12791" width="15" style="4" customWidth="1"/>
    <col min="12792" max="12793" width="14.625" style="4" customWidth="1"/>
    <col min="12794" max="12794" width="6.25" style="4" customWidth="1"/>
    <col min="12795" max="12797" width="10.125" style="4" customWidth="1"/>
    <col min="12798" max="12798" width="10.5" style="4" customWidth="1"/>
    <col min="12799" max="12806" width="8.875" style="4"/>
    <col min="12807" max="12807" width="6.5" style="4" customWidth="1"/>
    <col min="12808" max="12808" width="12.25" style="4" customWidth="1"/>
    <col min="12809" max="12809" width="28.25" style="4" customWidth="1"/>
    <col min="12810" max="12810" width="13.75" style="4" customWidth="1"/>
    <col min="12811" max="12811" width="5.625" style="4" customWidth="1"/>
    <col min="12812" max="12813" width="9.375" style="4" customWidth="1"/>
    <col min="12814" max="12814" width="13.125" style="4" customWidth="1"/>
    <col min="12815" max="13045" width="8.875" style="4"/>
    <col min="13046" max="13046" width="5" style="4" customWidth="1"/>
    <col min="13047" max="13047" width="15" style="4" customWidth="1"/>
    <col min="13048" max="13049" width="14.625" style="4" customWidth="1"/>
    <col min="13050" max="13050" width="6.25" style="4" customWidth="1"/>
    <col min="13051" max="13053" width="10.125" style="4" customWidth="1"/>
    <col min="13054" max="13054" width="10.5" style="4" customWidth="1"/>
    <col min="13055" max="13062" width="8.875" style="4"/>
    <col min="13063" max="13063" width="6.5" style="4" customWidth="1"/>
    <col min="13064" max="13064" width="12.25" style="4" customWidth="1"/>
    <col min="13065" max="13065" width="28.25" style="4" customWidth="1"/>
    <col min="13066" max="13066" width="13.75" style="4" customWidth="1"/>
    <col min="13067" max="13067" width="5.625" style="4" customWidth="1"/>
    <col min="13068" max="13069" width="9.375" style="4" customWidth="1"/>
    <col min="13070" max="13070" width="13.125" style="4" customWidth="1"/>
    <col min="13071" max="13301" width="8.875" style="4"/>
    <col min="13302" max="13302" width="5" style="4" customWidth="1"/>
    <col min="13303" max="13303" width="15" style="4" customWidth="1"/>
    <col min="13304" max="13305" width="14.625" style="4" customWidth="1"/>
    <col min="13306" max="13306" width="6.25" style="4" customWidth="1"/>
    <col min="13307" max="13309" width="10.125" style="4" customWidth="1"/>
    <col min="13310" max="13310" width="10.5" style="4" customWidth="1"/>
    <col min="13311" max="13318" width="8.875" style="4"/>
    <col min="13319" max="13319" width="6.5" style="4" customWidth="1"/>
    <col min="13320" max="13320" width="12.25" style="4" customWidth="1"/>
    <col min="13321" max="13321" width="28.25" style="4" customWidth="1"/>
    <col min="13322" max="13322" width="13.75" style="4" customWidth="1"/>
    <col min="13323" max="13323" width="5.625" style="4" customWidth="1"/>
    <col min="13324" max="13325" width="9.375" style="4" customWidth="1"/>
    <col min="13326" max="13326" width="13.125" style="4" customWidth="1"/>
    <col min="13327" max="13557" width="8.875" style="4"/>
    <col min="13558" max="13558" width="5" style="4" customWidth="1"/>
    <col min="13559" max="13559" width="15" style="4" customWidth="1"/>
    <col min="13560" max="13561" width="14.625" style="4" customWidth="1"/>
    <col min="13562" max="13562" width="6.25" style="4" customWidth="1"/>
    <col min="13563" max="13565" width="10.125" style="4" customWidth="1"/>
    <col min="13566" max="13566" width="10.5" style="4" customWidth="1"/>
    <col min="13567" max="13574" width="8.875" style="4"/>
    <col min="13575" max="13575" width="6.5" style="4" customWidth="1"/>
    <col min="13576" max="13576" width="12.25" style="4" customWidth="1"/>
    <col min="13577" max="13577" width="28.25" style="4" customWidth="1"/>
    <col min="13578" max="13578" width="13.75" style="4" customWidth="1"/>
    <col min="13579" max="13579" width="5.625" style="4" customWidth="1"/>
    <col min="13580" max="13581" width="9.375" style="4" customWidth="1"/>
    <col min="13582" max="13582" width="13.125" style="4" customWidth="1"/>
    <col min="13583" max="13813" width="8.875" style="4"/>
    <col min="13814" max="13814" width="5" style="4" customWidth="1"/>
    <col min="13815" max="13815" width="15" style="4" customWidth="1"/>
    <col min="13816" max="13817" width="14.625" style="4" customWidth="1"/>
    <col min="13818" max="13818" width="6.25" style="4" customWidth="1"/>
    <col min="13819" max="13821" width="10.125" style="4" customWidth="1"/>
    <col min="13822" max="13822" width="10.5" style="4" customWidth="1"/>
    <col min="13823" max="13830" width="8.875" style="4"/>
    <col min="13831" max="13831" width="6.5" style="4" customWidth="1"/>
    <col min="13832" max="13832" width="12.25" style="4" customWidth="1"/>
    <col min="13833" max="13833" width="28.25" style="4" customWidth="1"/>
    <col min="13834" max="13834" width="13.75" style="4" customWidth="1"/>
    <col min="13835" max="13835" width="5.625" style="4" customWidth="1"/>
    <col min="13836" max="13837" width="9.375" style="4" customWidth="1"/>
    <col min="13838" max="13838" width="13.125" style="4" customWidth="1"/>
    <col min="13839" max="14069" width="8.875" style="4"/>
    <col min="14070" max="14070" width="5" style="4" customWidth="1"/>
    <col min="14071" max="14071" width="15" style="4" customWidth="1"/>
    <col min="14072" max="14073" width="14.625" style="4" customWidth="1"/>
    <col min="14074" max="14074" width="6.25" style="4" customWidth="1"/>
    <col min="14075" max="14077" width="10.125" style="4" customWidth="1"/>
    <col min="14078" max="14078" width="10.5" style="4" customWidth="1"/>
    <col min="14079" max="14086" width="8.875" style="4"/>
    <col min="14087" max="14087" width="6.5" style="4" customWidth="1"/>
    <col min="14088" max="14088" width="12.25" style="4" customWidth="1"/>
    <col min="14089" max="14089" width="28.25" style="4" customWidth="1"/>
    <col min="14090" max="14090" width="13.75" style="4" customWidth="1"/>
    <col min="14091" max="14091" width="5.625" style="4" customWidth="1"/>
    <col min="14092" max="14093" width="9.375" style="4" customWidth="1"/>
    <col min="14094" max="14094" width="13.125" style="4" customWidth="1"/>
    <col min="14095" max="14325" width="8.875" style="4"/>
    <col min="14326" max="14326" width="5" style="4" customWidth="1"/>
    <col min="14327" max="14327" width="15" style="4" customWidth="1"/>
    <col min="14328" max="14329" width="14.625" style="4" customWidth="1"/>
    <col min="14330" max="14330" width="6.25" style="4" customWidth="1"/>
    <col min="14331" max="14333" width="10.125" style="4" customWidth="1"/>
    <col min="14334" max="14334" width="10.5" style="4" customWidth="1"/>
    <col min="14335" max="14342" width="8.875" style="4"/>
    <col min="14343" max="14343" width="6.5" style="4" customWidth="1"/>
    <col min="14344" max="14344" width="12.25" style="4" customWidth="1"/>
    <col min="14345" max="14345" width="28.25" style="4" customWidth="1"/>
    <col min="14346" max="14346" width="13.75" style="4" customWidth="1"/>
    <col min="14347" max="14347" width="5.625" style="4" customWidth="1"/>
    <col min="14348" max="14349" width="9.375" style="4" customWidth="1"/>
    <col min="14350" max="14350" width="13.125" style="4" customWidth="1"/>
    <col min="14351" max="14581" width="8.875" style="4"/>
    <col min="14582" max="14582" width="5" style="4" customWidth="1"/>
    <col min="14583" max="14583" width="15" style="4" customWidth="1"/>
    <col min="14584" max="14585" width="14.625" style="4" customWidth="1"/>
    <col min="14586" max="14586" width="6.25" style="4" customWidth="1"/>
    <col min="14587" max="14589" width="10.125" style="4" customWidth="1"/>
    <col min="14590" max="14590" width="10.5" style="4" customWidth="1"/>
    <col min="14591" max="14598" width="8.875" style="4"/>
    <col min="14599" max="14599" width="6.5" style="4" customWidth="1"/>
    <col min="14600" max="14600" width="12.25" style="4" customWidth="1"/>
    <col min="14601" max="14601" width="28.25" style="4" customWidth="1"/>
    <col min="14602" max="14602" width="13.75" style="4" customWidth="1"/>
    <col min="14603" max="14603" width="5.625" style="4" customWidth="1"/>
    <col min="14604" max="14605" width="9.375" style="4" customWidth="1"/>
    <col min="14606" max="14606" width="13.125" style="4" customWidth="1"/>
    <col min="14607" max="14837" width="8.875" style="4"/>
    <col min="14838" max="14838" width="5" style="4" customWidth="1"/>
    <col min="14839" max="14839" width="15" style="4" customWidth="1"/>
    <col min="14840" max="14841" width="14.625" style="4" customWidth="1"/>
    <col min="14842" max="14842" width="6.25" style="4" customWidth="1"/>
    <col min="14843" max="14845" width="10.125" style="4" customWidth="1"/>
    <col min="14846" max="14846" width="10.5" style="4" customWidth="1"/>
    <col min="14847" max="14854" width="8.875" style="4"/>
    <col min="14855" max="14855" width="6.5" style="4" customWidth="1"/>
    <col min="14856" max="14856" width="12.25" style="4" customWidth="1"/>
    <col min="14857" max="14857" width="28.25" style="4" customWidth="1"/>
    <col min="14858" max="14858" width="13.75" style="4" customWidth="1"/>
    <col min="14859" max="14859" width="5.625" style="4" customWidth="1"/>
    <col min="14860" max="14861" width="9.375" style="4" customWidth="1"/>
    <col min="14862" max="14862" width="13.125" style="4" customWidth="1"/>
    <col min="14863" max="15093" width="8.875" style="4"/>
    <col min="15094" max="15094" width="5" style="4" customWidth="1"/>
    <col min="15095" max="15095" width="15" style="4" customWidth="1"/>
    <col min="15096" max="15097" width="14.625" style="4" customWidth="1"/>
    <col min="15098" max="15098" width="6.25" style="4" customWidth="1"/>
    <col min="15099" max="15101" width="10.125" style="4" customWidth="1"/>
    <col min="15102" max="15102" width="10.5" style="4" customWidth="1"/>
    <col min="15103" max="15110" width="8.875" style="4"/>
    <col min="15111" max="15111" width="6.5" style="4" customWidth="1"/>
    <col min="15112" max="15112" width="12.25" style="4" customWidth="1"/>
    <col min="15113" max="15113" width="28.25" style="4" customWidth="1"/>
    <col min="15114" max="15114" width="13.75" style="4" customWidth="1"/>
    <col min="15115" max="15115" width="5.625" style="4" customWidth="1"/>
    <col min="15116" max="15117" width="9.375" style="4" customWidth="1"/>
    <col min="15118" max="15118" width="13.125" style="4" customWidth="1"/>
    <col min="15119" max="15349" width="8.875" style="4"/>
    <col min="15350" max="15350" width="5" style="4" customWidth="1"/>
    <col min="15351" max="15351" width="15" style="4" customWidth="1"/>
    <col min="15352" max="15353" width="14.625" style="4" customWidth="1"/>
    <col min="15354" max="15354" width="6.25" style="4" customWidth="1"/>
    <col min="15355" max="15357" width="10.125" style="4" customWidth="1"/>
    <col min="15358" max="15358" width="10.5" style="4" customWidth="1"/>
    <col min="15359" max="15366" width="8.875" style="4"/>
    <col min="15367" max="15367" width="6.5" style="4" customWidth="1"/>
    <col min="15368" max="15368" width="12.25" style="4" customWidth="1"/>
    <col min="15369" max="15369" width="28.25" style="4" customWidth="1"/>
    <col min="15370" max="15370" width="13.75" style="4" customWidth="1"/>
    <col min="15371" max="15371" width="5.625" style="4" customWidth="1"/>
    <col min="15372" max="15373" width="9.375" style="4" customWidth="1"/>
    <col min="15374" max="15374" width="13.125" style="4" customWidth="1"/>
    <col min="15375" max="15605" width="8.875" style="4"/>
    <col min="15606" max="15606" width="5" style="4" customWidth="1"/>
    <col min="15607" max="15607" width="15" style="4" customWidth="1"/>
    <col min="15608" max="15609" width="14.625" style="4" customWidth="1"/>
    <col min="15610" max="15610" width="6.25" style="4" customWidth="1"/>
    <col min="15611" max="15613" width="10.125" style="4" customWidth="1"/>
    <col min="15614" max="15614" width="10.5" style="4" customWidth="1"/>
    <col min="15615" max="15622" width="8.875" style="4"/>
    <col min="15623" max="15623" width="6.5" style="4" customWidth="1"/>
    <col min="15624" max="15624" width="12.25" style="4" customWidth="1"/>
    <col min="15625" max="15625" width="28.25" style="4" customWidth="1"/>
    <col min="15626" max="15626" width="13.75" style="4" customWidth="1"/>
    <col min="15627" max="15627" width="5.625" style="4" customWidth="1"/>
    <col min="15628" max="15629" width="9.375" style="4" customWidth="1"/>
    <col min="15630" max="15630" width="13.125" style="4" customWidth="1"/>
    <col min="15631" max="15861" width="8.875" style="4"/>
    <col min="15862" max="15862" width="5" style="4" customWidth="1"/>
    <col min="15863" max="15863" width="15" style="4" customWidth="1"/>
    <col min="15864" max="15865" width="14.625" style="4" customWidth="1"/>
    <col min="15866" max="15866" width="6.25" style="4" customWidth="1"/>
    <col min="15867" max="15869" width="10.125" style="4" customWidth="1"/>
    <col min="15870" max="15870" width="10.5" style="4" customWidth="1"/>
    <col min="15871" max="15878" width="8.875" style="4"/>
    <col min="15879" max="15879" width="6.5" style="4" customWidth="1"/>
    <col min="15880" max="15880" width="12.25" style="4" customWidth="1"/>
    <col min="15881" max="15881" width="28.25" style="4" customWidth="1"/>
    <col min="15882" max="15882" width="13.75" style="4" customWidth="1"/>
    <col min="15883" max="15883" width="5.625" style="4" customWidth="1"/>
    <col min="15884" max="15885" width="9.375" style="4" customWidth="1"/>
    <col min="15886" max="15886" width="13.125" style="4" customWidth="1"/>
    <col min="15887" max="16117" width="8.875" style="4"/>
    <col min="16118" max="16118" width="5" style="4" customWidth="1"/>
    <col min="16119" max="16119" width="15" style="4" customWidth="1"/>
    <col min="16120" max="16121" width="14.625" style="4" customWidth="1"/>
    <col min="16122" max="16122" width="6.25" style="4" customWidth="1"/>
    <col min="16123" max="16125" width="10.125" style="4" customWidth="1"/>
    <col min="16126" max="16126" width="10.5" style="4" customWidth="1"/>
    <col min="16127" max="16134" width="8.875" style="4"/>
    <col min="16135" max="16135" width="6.5" style="4" customWidth="1"/>
    <col min="16136" max="16136" width="12.25" style="4" customWidth="1"/>
    <col min="16137" max="16137" width="28.25" style="4" customWidth="1"/>
    <col min="16138" max="16138" width="13.75" style="4" customWidth="1"/>
    <col min="16139" max="16139" width="5.625" style="4" customWidth="1"/>
    <col min="16140" max="16141" width="9.375" style="4" customWidth="1"/>
    <col min="16142" max="16142" width="13.125" style="4" customWidth="1"/>
    <col min="16143" max="16373" width="8.875" style="4"/>
    <col min="16374" max="16374" width="5" style="4" customWidth="1"/>
    <col min="16375" max="16375" width="15" style="4" customWidth="1"/>
    <col min="16376" max="16377" width="14.625" style="4" customWidth="1"/>
    <col min="16378" max="16378" width="6.25" style="4" customWidth="1"/>
    <col min="16379" max="16381" width="10.125" style="4" customWidth="1"/>
    <col min="16382" max="16384" width="10.5" style="4" customWidth="1"/>
  </cols>
  <sheetData>
    <row r="1" spans="1:264" ht="22.5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53"/>
      <c r="R1" s="53"/>
      <c r="S1" s="54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</row>
    <row r="2" spans="1:264" ht="15.75" customHeight="1">
      <c r="A2" s="211" t="s">
        <v>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53"/>
      <c r="R2" s="53"/>
      <c r="S2" s="54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</row>
    <row r="3" spans="1:264">
      <c r="A3" s="212" t="s">
        <v>2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53"/>
      <c r="R3" s="53"/>
      <c r="S3" s="54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</row>
    <row r="4" spans="1:264" ht="21" customHeight="1">
      <c r="A4" s="212" t="s">
        <v>334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53"/>
      <c r="R4" s="53"/>
      <c r="S4" s="54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</row>
    <row r="5" spans="1:264" ht="31.5" customHeight="1">
      <c r="A5" s="213" t="s">
        <v>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53"/>
      <c r="R5" s="53"/>
      <c r="S5" s="54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</row>
    <row r="6" spans="1:264">
      <c r="A6" s="198" t="s">
        <v>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53"/>
      <c r="R6" s="53"/>
      <c r="S6" s="54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</row>
    <row r="7" spans="1:264" ht="33" customHeight="1">
      <c r="A7" s="203" t="s">
        <v>5</v>
      </c>
      <c r="B7" s="204" t="s">
        <v>6</v>
      </c>
      <c r="C7" s="205" t="s">
        <v>7</v>
      </c>
      <c r="D7" s="205" t="s">
        <v>8</v>
      </c>
      <c r="E7" s="205" t="s">
        <v>9</v>
      </c>
      <c r="F7" s="199" t="s">
        <v>10</v>
      </c>
      <c r="G7" s="199"/>
      <c r="H7" s="199"/>
      <c r="I7" s="200" t="s">
        <v>11</v>
      </c>
      <c r="J7" s="200"/>
      <c r="K7" s="200"/>
      <c r="L7" s="199" t="s">
        <v>12</v>
      </c>
      <c r="M7" s="199"/>
      <c r="N7" s="207" t="s">
        <v>13</v>
      </c>
      <c r="O7" s="207" t="s">
        <v>14</v>
      </c>
      <c r="P7" s="209" t="s">
        <v>15</v>
      </c>
      <c r="Q7" s="53"/>
      <c r="R7" s="53"/>
      <c r="S7" s="54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</row>
    <row r="8" spans="1:264" ht="33">
      <c r="A8" s="203"/>
      <c r="B8" s="204"/>
      <c r="C8" s="205"/>
      <c r="D8" s="205"/>
      <c r="E8" s="205"/>
      <c r="F8" s="12" t="s">
        <v>333</v>
      </c>
      <c r="G8" s="13" t="s">
        <v>16</v>
      </c>
      <c r="H8" s="14" t="s">
        <v>17</v>
      </c>
      <c r="I8" s="36" t="s">
        <v>18</v>
      </c>
      <c r="J8" s="36" t="s">
        <v>19</v>
      </c>
      <c r="K8" s="36" t="s">
        <v>20</v>
      </c>
      <c r="L8" s="13" t="s">
        <v>16</v>
      </c>
      <c r="M8" s="14" t="s">
        <v>17</v>
      </c>
      <c r="N8" s="208"/>
      <c r="O8" s="208"/>
      <c r="P8" s="209"/>
      <c r="Q8" s="53"/>
      <c r="R8" s="53"/>
      <c r="S8" s="54" t="s">
        <v>21</v>
      </c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</row>
    <row r="9" spans="1:264" s="1" customFormat="1" ht="30" hidden="1" customHeight="1">
      <c r="A9" s="15">
        <v>1</v>
      </c>
      <c r="B9" s="140" t="s">
        <v>22</v>
      </c>
      <c r="C9" s="16" t="s">
        <v>23</v>
      </c>
      <c r="D9" s="85" t="s">
        <v>24</v>
      </c>
      <c r="E9" s="18" t="s">
        <v>25</v>
      </c>
      <c r="F9" s="19">
        <v>0.14221064070796499</v>
      </c>
      <c r="G9" s="19">
        <v>0.14221064070796499</v>
      </c>
      <c r="H9" s="20">
        <f>G9*0.9</f>
        <v>0.12798957663716851</v>
      </c>
      <c r="I9" s="37">
        <v>3600</v>
      </c>
      <c r="J9" s="19">
        <f>I9/100000</f>
        <v>3.5999999999999997E-2</v>
      </c>
      <c r="K9" s="19" t="s">
        <v>26</v>
      </c>
      <c r="L9" s="19">
        <f>G9+J9</f>
        <v>0.178210640707965</v>
      </c>
      <c r="M9" s="20">
        <f>H9+J9</f>
        <v>0.16398957663716851</v>
      </c>
      <c r="N9" s="38">
        <v>0.1782</v>
      </c>
      <c r="O9" s="39">
        <v>230</v>
      </c>
      <c r="P9" s="19"/>
      <c r="Q9" s="53"/>
      <c r="R9" s="53"/>
      <c r="S9" s="55"/>
      <c r="T9" s="56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</row>
    <row r="10" spans="1:264" s="1" customFormat="1" ht="30" hidden="1" customHeight="1">
      <c r="A10" s="15">
        <v>2</v>
      </c>
      <c r="B10" s="142" t="s">
        <v>27</v>
      </c>
      <c r="C10" s="21" t="s">
        <v>28</v>
      </c>
      <c r="D10" s="85" t="s">
        <v>29</v>
      </c>
      <c r="E10" s="18" t="s">
        <v>25</v>
      </c>
      <c r="F10" s="19">
        <v>0.41830870088495598</v>
      </c>
      <c r="G10" s="19">
        <v>0.41830870088495598</v>
      </c>
      <c r="H10" s="20">
        <f t="shared" ref="H10:H13" si="0">G10*0.9</f>
        <v>0.37647783079646041</v>
      </c>
      <c r="I10" s="37">
        <v>4100</v>
      </c>
      <c r="J10" s="19">
        <f>I10/100000</f>
        <v>4.1000000000000002E-2</v>
      </c>
      <c r="K10" s="19" t="s">
        <v>26</v>
      </c>
      <c r="L10" s="19">
        <f t="shared" ref="L10:L38" si="1">G10+J10</f>
        <v>0.45930870088495596</v>
      </c>
      <c r="M10" s="20">
        <f t="shared" ref="M10:M73" si="2">H10+J10</f>
        <v>0.41747783079646039</v>
      </c>
      <c r="N10" s="38">
        <v>0.45929999999999999</v>
      </c>
      <c r="O10" s="39">
        <v>230</v>
      </c>
      <c r="P10" s="19"/>
      <c r="Q10" s="53"/>
      <c r="R10" s="53"/>
      <c r="S10" s="55"/>
      <c r="T10" s="56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</row>
    <row r="11" spans="1:264" s="1" customFormat="1" ht="30" hidden="1" customHeight="1">
      <c r="A11" s="15">
        <v>3</v>
      </c>
      <c r="B11" s="143" t="s">
        <v>30</v>
      </c>
      <c r="C11" s="22" t="s">
        <v>31</v>
      </c>
      <c r="D11" s="23" t="s">
        <v>32</v>
      </c>
      <c r="E11" s="18" t="s">
        <v>25</v>
      </c>
      <c r="F11" s="19">
        <v>0.20029503716814201</v>
      </c>
      <c r="G11" s="19">
        <v>0.20029503716814201</v>
      </c>
      <c r="H11" s="20">
        <f t="shared" si="0"/>
        <v>0.18026553345132781</v>
      </c>
      <c r="I11" s="37">
        <v>4300</v>
      </c>
      <c r="J11" s="19">
        <f>I11/100000</f>
        <v>4.2999999999999997E-2</v>
      </c>
      <c r="K11" s="19" t="s">
        <v>26</v>
      </c>
      <c r="L11" s="19">
        <f t="shared" si="1"/>
        <v>0.24329503716814199</v>
      </c>
      <c r="M11" s="20">
        <f t="shared" si="2"/>
        <v>0.22326553345132782</v>
      </c>
      <c r="N11" s="38">
        <v>0.24329999999999999</v>
      </c>
      <c r="O11" s="39">
        <v>230</v>
      </c>
      <c r="P11" s="19"/>
      <c r="Q11" s="53"/>
      <c r="R11" s="53"/>
      <c r="S11" s="57"/>
      <c r="T11" s="58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  <c r="IW11" s="53"/>
      <c r="IX11" s="53"/>
      <c r="IY11" s="53"/>
      <c r="IZ11" s="53"/>
      <c r="JA11" s="53"/>
      <c r="JB11" s="53"/>
      <c r="JC11" s="53"/>
      <c r="JD11" s="53"/>
    </row>
    <row r="12" spans="1:264" s="1" customFormat="1" ht="30" hidden="1" customHeight="1">
      <c r="A12" s="15">
        <v>4</v>
      </c>
      <c r="B12" s="143" t="s">
        <v>33</v>
      </c>
      <c r="C12" s="24" t="s">
        <v>34</v>
      </c>
      <c r="D12" s="85" t="s">
        <v>35</v>
      </c>
      <c r="E12" s="18" t="s">
        <v>25</v>
      </c>
      <c r="F12" s="19">
        <v>0.15632115929203499</v>
      </c>
      <c r="G12" s="19">
        <v>0.15632115929203499</v>
      </c>
      <c r="H12" s="20">
        <f t="shared" si="0"/>
        <v>0.1406890433628315</v>
      </c>
      <c r="I12" s="37">
        <v>3600</v>
      </c>
      <c r="J12" s="19">
        <f t="shared" ref="J12:J36" si="3">I12/100000</f>
        <v>3.5999999999999997E-2</v>
      </c>
      <c r="K12" s="19" t="s">
        <v>26</v>
      </c>
      <c r="L12" s="19">
        <f t="shared" si="1"/>
        <v>0.192321159292035</v>
      </c>
      <c r="M12" s="20">
        <f t="shared" si="2"/>
        <v>0.1766890433628315</v>
      </c>
      <c r="N12" s="38">
        <v>0.1923</v>
      </c>
      <c r="O12" s="39">
        <v>230</v>
      </c>
      <c r="P12" s="40"/>
      <c r="Q12" s="59"/>
      <c r="R12" s="53"/>
      <c r="S12" s="57"/>
      <c r="T12" s="58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  <c r="IW12" s="53"/>
      <c r="IX12" s="53"/>
      <c r="IY12" s="53"/>
      <c r="IZ12" s="53"/>
      <c r="JA12" s="53"/>
      <c r="JB12" s="53"/>
      <c r="JC12" s="53"/>
      <c r="JD12" s="53"/>
    </row>
    <row r="13" spans="1:264" s="1" customFormat="1" ht="30" hidden="1" customHeight="1">
      <c r="A13" s="15">
        <v>5</v>
      </c>
      <c r="B13" s="143" t="s">
        <v>36</v>
      </c>
      <c r="C13" s="24" t="s">
        <v>37</v>
      </c>
      <c r="D13" s="85" t="s">
        <v>38</v>
      </c>
      <c r="E13" s="18" t="s">
        <v>25</v>
      </c>
      <c r="F13" s="19">
        <v>0.34834689557522103</v>
      </c>
      <c r="G13" s="19">
        <v>0.34834689557522103</v>
      </c>
      <c r="H13" s="20">
        <f t="shared" si="0"/>
        <v>0.31351220601769891</v>
      </c>
      <c r="I13" s="37">
        <v>5700</v>
      </c>
      <c r="J13" s="19">
        <f t="shared" si="3"/>
        <v>5.7000000000000002E-2</v>
      </c>
      <c r="K13" s="19" t="s">
        <v>26</v>
      </c>
      <c r="L13" s="19">
        <f t="shared" si="1"/>
        <v>0.40534689557522102</v>
      </c>
      <c r="M13" s="20">
        <f t="shared" si="2"/>
        <v>0.37051220601769891</v>
      </c>
      <c r="N13" s="38">
        <v>0.40529999999999999</v>
      </c>
      <c r="O13" s="39">
        <v>230</v>
      </c>
      <c r="P13" s="40"/>
      <c r="Q13" s="59"/>
      <c r="R13" s="53"/>
      <c r="S13" s="57"/>
      <c r="T13" s="58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  <c r="IS13" s="53"/>
      <c r="IT13" s="53"/>
      <c r="IU13" s="53"/>
      <c r="IV13" s="53"/>
      <c r="IW13" s="53"/>
      <c r="IX13" s="53"/>
      <c r="IY13" s="53"/>
      <c r="IZ13" s="53"/>
      <c r="JA13" s="53"/>
      <c r="JB13" s="53"/>
      <c r="JC13" s="53"/>
      <c r="JD13" s="53"/>
    </row>
    <row r="14" spans="1:264" s="1" customFormat="1" ht="30" hidden="1" customHeight="1">
      <c r="A14" s="15">
        <v>6</v>
      </c>
      <c r="B14" s="101" t="s">
        <v>39</v>
      </c>
      <c r="C14" s="26" t="s">
        <v>40</v>
      </c>
      <c r="D14" s="23" t="s">
        <v>41</v>
      </c>
      <c r="E14" s="18" t="s">
        <v>25</v>
      </c>
      <c r="F14" s="19">
        <v>4.4241999999999999</v>
      </c>
      <c r="G14" s="19">
        <v>4.4241999999999999</v>
      </c>
      <c r="H14" s="20">
        <f>VLOOKUP(B14,[1]汇总表!$B:$F,5,0)</f>
        <v>3.7200370326400001</v>
      </c>
      <c r="I14" s="37">
        <v>66800</v>
      </c>
      <c r="J14" s="19">
        <f>I14/50000</f>
        <v>1.3360000000000001</v>
      </c>
      <c r="K14" s="19" t="s">
        <v>42</v>
      </c>
      <c r="L14" s="19">
        <f t="shared" si="1"/>
        <v>5.7602000000000002</v>
      </c>
      <c r="M14" s="20">
        <f t="shared" si="2"/>
        <v>5.0560370326399999</v>
      </c>
      <c r="N14" s="38">
        <v>5.7602000000000002</v>
      </c>
      <c r="O14" s="39">
        <v>230</v>
      </c>
      <c r="P14" s="40"/>
      <c r="Q14" s="53" t="s">
        <v>43</v>
      </c>
      <c r="R14" s="53"/>
      <c r="S14" s="48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</row>
    <row r="15" spans="1:264" s="1" customFormat="1" ht="30" hidden="1" customHeight="1">
      <c r="A15" s="15">
        <v>7</v>
      </c>
      <c r="B15" s="101" t="s">
        <v>44</v>
      </c>
      <c r="C15" s="26" t="s">
        <v>45</v>
      </c>
      <c r="D15" s="23" t="s">
        <v>46</v>
      </c>
      <c r="E15" s="18" t="s">
        <v>25</v>
      </c>
      <c r="F15" s="19">
        <v>1.0730887168141601</v>
      </c>
      <c r="G15" s="19">
        <v>1.0730887168141601</v>
      </c>
      <c r="H15" s="20">
        <f t="shared" ref="H15:H24" si="4">G15*0.9</f>
        <v>0.96577984513274406</v>
      </c>
      <c r="I15" s="206">
        <f>17900+12000</f>
        <v>29900</v>
      </c>
      <c r="J15" s="19">
        <f>I15/2/100000</f>
        <v>0.14949999999999999</v>
      </c>
      <c r="K15" s="19" t="s">
        <v>26</v>
      </c>
      <c r="L15" s="19">
        <f t="shared" si="1"/>
        <v>1.22258871681416</v>
      </c>
      <c r="M15" s="20">
        <f t="shared" si="2"/>
        <v>1.1152798451327441</v>
      </c>
      <c r="N15" s="38">
        <v>1.2225999999999999</v>
      </c>
      <c r="O15" s="39">
        <v>230</v>
      </c>
      <c r="P15" s="40"/>
      <c r="Q15" s="53" t="s">
        <v>47</v>
      </c>
      <c r="R15" s="53"/>
      <c r="S15" s="48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  <c r="IU15" s="53"/>
      <c r="IV15" s="53"/>
      <c r="IW15" s="53"/>
      <c r="IX15" s="53"/>
      <c r="IY15" s="53"/>
      <c r="IZ15" s="53"/>
      <c r="JA15" s="53"/>
      <c r="JB15" s="53"/>
      <c r="JC15" s="53"/>
      <c r="JD15" s="53"/>
    </row>
    <row r="16" spans="1:264" s="1" customFormat="1" ht="30" hidden="1" customHeight="1">
      <c r="A16" s="15">
        <v>8</v>
      </c>
      <c r="B16" s="101" t="s">
        <v>48</v>
      </c>
      <c r="C16" s="26" t="s">
        <v>49</v>
      </c>
      <c r="D16" s="23" t="s">
        <v>50</v>
      </c>
      <c r="E16" s="18" t="s">
        <v>25</v>
      </c>
      <c r="F16" s="19">
        <v>1.0730887168141601</v>
      </c>
      <c r="G16" s="19">
        <v>1.0730887168141601</v>
      </c>
      <c r="H16" s="20">
        <f t="shared" si="4"/>
        <v>0.96577984513274406</v>
      </c>
      <c r="I16" s="206"/>
      <c r="J16" s="19">
        <f>I15/2/100000</f>
        <v>0.14949999999999999</v>
      </c>
      <c r="K16" s="19" t="s">
        <v>26</v>
      </c>
      <c r="L16" s="19">
        <f t="shared" si="1"/>
        <v>1.22258871681416</v>
      </c>
      <c r="M16" s="20">
        <f t="shared" si="2"/>
        <v>1.1152798451327441</v>
      </c>
      <c r="N16" s="38">
        <v>1.2225999999999999</v>
      </c>
      <c r="O16" s="39">
        <v>230</v>
      </c>
      <c r="P16" s="40"/>
      <c r="Q16" s="53" t="s">
        <v>47</v>
      </c>
      <c r="R16" s="53"/>
      <c r="S16" s="48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  <c r="IU16" s="53"/>
      <c r="IV16" s="53"/>
      <c r="IW16" s="53"/>
      <c r="IX16" s="53"/>
      <c r="IY16" s="53"/>
      <c r="IZ16" s="53"/>
      <c r="JA16" s="53"/>
      <c r="JB16" s="53"/>
      <c r="JC16" s="53"/>
      <c r="JD16" s="53"/>
    </row>
    <row r="17" spans="1:264" s="1" customFormat="1" ht="30" hidden="1" customHeight="1">
      <c r="A17" s="15">
        <v>9</v>
      </c>
      <c r="B17" s="101" t="s">
        <v>51</v>
      </c>
      <c r="C17" s="26" t="s">
        <v>52</v>
      </c>
      <c r="D17" s="23" t="s">
        <v>53</v>
      </c>
      <c r="E17" s="18" t="s">
        <v>25</v>
      </c>
      <c r="F17" s="19">
        <v>1.20885325221239</v>
      </c>
      <c r="G17" s="19">
        <v>1.20885325221239</v>
      </c>
      <c r="H17" s="20">
        <f t="shared" si="4"/>
        <v>1.0879679269911511</v>
      </c>
      <c r="I17" s="206">
        <f>18600+18300</f>
        <v>36900</v>
      </c>
      <c r="J17" s="19">
        <f>I17/2/100000</f>
        <v>0.1845</v>
      </c>
      <c r="K17" s="19" t="s">
        <v>26</v>
      </c>
      <c r="L17" s="19">
        <f t="shared" si="1"/>
        <v>1.3933532522123899</v>
      </c>
      <c r="M17" s="20">
        <f t="shared" si="2"/>
        <v>1.2724679269911512</v>
      </c>
      <c r="N17" s="38">
        <v>1.3934</v>
      </c>
      <c r="O17" s="39">
        <v>230</v>
      </c>
      <c r="P17" s="40"/>
      <c r="Q17" s="53" t="s">
        <v>47</v>
      </c>
      <c r="R17" s="53"/>
      <c r="S17" s="48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  <c r="IU17" s="53"/>
      <c r="IV17" s="53"/>
      <c r="IW17" s="53"/>
      <c r="IX17" s="53"/>
      <c r="IY17" s="53"/>
      <c r="IZ17" s="53"/>
      <c r="JA17" s="53"/>
      <c r="JB17" s="53"/>
      <c r="JC17" s="53"/>
      <c r="JD17" s="53"/>
    </row>
    <row r="18" spans="1:264" s="1" customFormat="1" ht="30" hidden="1" customHeight="1">
      <c r="A18" s="15">
        <v>10</v>
      </c>
      <c r="B18" s="101" t="s">
        <v>54</v>
      </c>
      <c r="C18" s="26" t="s">
        <v>55</v>
      </c>
      <c r="D18" s="23" t="s">
        <v>56</v>
      </c>
      <c r="E18" s="18" t="s">
        <v>25</v>
      </c>
      <c r="F18" s="19">
        <v>1.20885325221239</v>
      </c>
      <c r="G18" s="19">
        <v>1.20885325221239</v>
      </c>
      <c r="H18" s="20">
        <f t="shared" si="4"/>
        <v>1.0879679269911511</v>
      </c>
      <c r="I18" s="206"/>
      <c r="J18" s="19">
        <f>I17/2/100000</f>
        <v>0.1845</v>
      </c>
      <c r="K18" s="19" t="s">
        <v>26</v>
      </c>
      <c r="L18" s="19">
        <f t="shared" si="1"/>
        <v>1.3933532522123899</v>
      </c>
      <c r="M18" s="20">
        <f t="shared" si="2"/>
        <v>1.2724679269911512</v>
      </c>
      <c r="N18" s="38">
        <v>1.3934</v>
      </c>
      <c r="O18" s="39">
        <v>230</v>
      </c>
      <c r="P18" s="40"/>
      <c r="Q18" s="53" t="s">
        <v>47</v>
      </c>
      <c r="R18" s="53"/>
      <c r="S18" s="48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  <c r="IW18" s="53"/>
      <c r="IX18" s="53"/>
      <c r="IY18" s="53"/>
      <c r="IZ18" s="53"/>
      <c r="JA18" s="53"/>
      <c r="JB18" s="53"/>
      <c r="JC18" s="53"/>
      <c r="JD18" s="53"/>
    </row>
    <row r="19" spans="1:264" s="1" customFormat="1" ht="30" hidden="1" customHeight="1">
      <c r="A19" s="15">
        <v>11</v>
      </c>
      <c r="B19" s="101" t="s">
        <v>330</v>
      </c>
      <c r="C19" s="26" t="s">
        <v>57</v>
      </c>
      <c r="D19" s="86" t="s">
        <v>58</v>
      </c>
      <c r="E19" s="18" t="s">
        <v>25</v>
      </c>
      <c r="F19" s="19">
        <v>4.7282999999999999</v>
      </c>
      <c r="G19" s="19">
        <v>4.7282999999999999</v>
      </c>
      <c r="H19" s="20">
        <f t="shared" si="4"/>
        <v>4.2554699999999999</v>
      </c>
      <c r="I19" s="37">
        <v>73200</v>
      </c>
      <c r="J19" s="19">
        <f t="shared" si="3"/>
        <v>0.73199999999999998</v>
      </c>
      <c r="K19" s="41" t="s">
        <v>26</v>
      </c>
      <c r="L19" s="19">
        <f t="shared" si="1"/>
        <v>5.4603000000000002</v>
      </c>
      <c r="M19" s="20">
        <f t="shared" si="2"/>
        <v>4.9874700000000001</v>
      </c>
      <c r="N19" s="20">
        <v>5.4603000000000002</v>
      </c>
      <c r="O19" s="39">
        <v>230</v>
      </c>
      <c r="P19" s="40" t="s">
        <v>59</v>
      </c>
      <c r="Q19" s="53"/>
      <c r="R19" s="53"/>
      <c r="S19" s="48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  <c r="IU19" s="53"/>
      <c r="IV19" s="53"/>
      <c r="IW19" s="53"/>
      <c r="IX19" s="53"/>
      <c r="IY19" s="53"/>
      <c r="IZ19" s="53"/>
      <c r="JA19" s="53"/>
      <c r="JB19" s="53"/>
      <c r="JC19" s="53"/>
      <c r="JD19" s="53"/>
    </row>
    <row r="20" spans="1:264" s="1" customFormat="1" ht="43.15" hidden="1" customHeight="1">
      <c r="A20" s="15">
        <v>12</v>
      </c>
      <c r="B20" s="101" t="s">
        <v>60</v>
      </c>
      <c r="C20" s="26" t="s">
        <v>61</v>
      </c>
      <c r="D20" s="23" t="s">
        <v>62</v>
      </c>
      <c r="E20" s="18" t="s">
        <v>25</v>
      </c>
      <c r="F20" s="19">
        <v>2.9605001628318601</v>
      </c>
      <c r="G20" s="19">
        <v>2.9605001628318601</v>
      </c>
      <c r="H20" s="20">
        <f t="shared" si="4"/>
        <v>2.6644501465486741</v>
      </c>
      <c r="I20" s="37">
        <v>0</v>
      </c>
      <c r="J20" s="19">
        <v>0</v>
      </c>
      <c r="K20" s="41" t="s">
        <v>331</v>
      </c>
      <c r="L20" s="19">
        <f t="shared" si="1"/>
        <v>2.9605001628318601</v>
      </c>
      <c r="M20" s="20">
        <f t="shared" si="2"/>
        <v>2.6644501465486741</v>
      </c>
      <c r="N20" s="20">
        <v>2.9605000000000001</v>
      </c>
      <c r="O20" s="39">
        <v>230</v>
      </c>
      <c r="P20" s="41"/>
      <c r="Q20" s="53" t="s">
        <v>63</v>
      </c>
      <c r="R20" s="53"/>
      <c r="S20" s="48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</row>
    <row r="21" spans="1:264" s="1" customFormat="1" ht="30" hidden="1" customHeight="1">
      <c r="A21" s="15">
        <v>13</v>
      </c>
      <c r="B21" s="101" t="s">
        <v>64</v>
      </c>
      <c r="C21" s="26" t="s">
        <v>65</v>
      </c>
      <c r="D21" s="23" t="s">
        <v>66</v>
      </c>
      <c r="E21" s="18" t="s">
        <v>25</v>
      </c>
      <c r="F21" s="19">
        <v>0.18314308407079599</v>
      </c>
      <c r="G21" s="19">
        <v>0.18314308407079599</v>
      </c>
      <c r="H21" s="20">
        <f t="shared" si="4"/>
        <v>0.1648287756637164</v>
      </c>
      <c r="I21" s="37">
        <v>3000</v>
      </c>
      <c r="J21" s="19">
        <f t="shared" si="3"/>
        <v>0.03</v>
      </c>
      <c r="K21" s="19" t="s">
        <v>26</v>
      </c>
      <c r="L21" s="19">
        <f t="shared" si="1"/>
        <v>0.21314308407079599</v>
      </c>
      <c r="M21" s="20">
        <f t="shared" si="2"/>
        <v>0.1948287756637164</v>
      </c>
      <c r="N21" s="38">
        <v>0.21310000000000001</v>
      </c>
      <c r="O21" s="39">
        <v>230</v>
      </c>
      <c r="P21" s="42"/>
      <c r="Q21" s="53"/>
      <c r="R21" s="53"/>
      <c r="S21" s="48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  <c r="IX21" s="53"/>
      <c r="IY21" s="53"/>
      <c r="IZ21" s="53"/>
      <c r="JA21" s="53"/>
      <c r="JB21" s="53"/>
      <c r="JC21" s="53"/>
      <c r="JD21" s="53"/>
    </row>
    <row r="22" spans="1:264" s="1" customFormat="1" ht="30" hidden="1" customHeight="1">
      <c r="A22" s="15">
        <v>14</v>
      </c>
      <c r="B22" s="101" t="s">
        <v>67</v>
      </c>
      <c r="C22" s="26" t="s">
        <v>68</v>
      </c>
      <c r="D22" s="23" t="s">
        <v>69</v>
      </c>
      <c r="E22" s="18" t="s">
        <v>25</v>
      </c>
      <c r="F22" s="19">
        <v>0.16976644247787601</v>
      </c>
      <c r="G22" s="19">
        <v>0.16976644247787601</v>
      </c>
      <c r="H22" s="20">
        <f t="shared" si="4"/>
        <v>0.1527897982300884</v>
      </c>
      <c r="I22" s="37">
        <v>3000</v>
      </c>
      <c r="J22" s="19">
        <f t="shared" si="3"/>
        <v>0.03</v>
      </c>
      <c r="K22" s="19" t="s">
        <v>26</v>
      </c>
      <c r="L22" s="19">
        <f t="shared" si="1"/>
        <v>0.19976644247787601</v>
      </c>
      <c r="M22" s="20">
        <f t="shared" si="2"/>
        <v>0.1827897982300884</v>
      </c>
      <c r="N22" s="38">
        <v>0.19980000000000001</v>
      </c>
      <c r="O22" s="39">
        <v>230</v>
      </c>
      <c r="P22" s="42"/>
      <c r="Q22" s="53"/>
      <c r="R22" s="53"/>
      <c r="S22" s="48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  <c r="IX22" s="53"/>
      <c r="IY22" s="53"/>
      <c r="IZ22" s="53"/>
      <c r="JA22" s="53"/>
      <c r="JB22" s="53"/>
      <c r="JC22" s="53"/>
      <c r="JD22" s="53"/>
    </row>
    <row r="23" spans="1:264" s="1" customFormat="1" ht="30" hidden="1" customHeight="1">
      <c r="A23" s="15">
        <v>15</v>
      </c>
      <c r="B23" s="101" t="s">
        <v>70</v>
      </c>
      <c r="C23" s="26" t="s">
        <v>71</v>
      </c>
      <c r="D23" s="23" t="s">
        <v>72</v>
      </c>
      <c r="E23" s="18" t="s">
        <v>25</v>
      </c>
      <c r="F23" s="19">
        <v>0.191860444247788</v>
      </c>
      <c r="G23" s="19">
        <v>0.191860444247788</v>
      </c>
      <c r="H23" s="20">
        <f t="shared" si="4"/>
        <v>0.17267439982300919</v>
      </c>
      <c r="I23" s="37">
        <v>4500</v>
      </c>
      <c r="J23" s="19">
        <f t="shared" si="3"/>
        <v>4.4999999999999998E-2</v>
      </c>
      <c r="K23" s="19" t="s">
        <v>26</v>
      </c>
      <c r="L23" s="19">
        <f t="shared" si="1"/>
        <v>0.23686044424778802</v>
      </c>
      <c r="M23" s="20">
        <f t="shared" si="2"/>
        <v>0.21767439982300918</v>
      </c>
      <c r="N23" s="38">
        <v>0.2369</v>
      </c>
      <c r="O23" s="39">
        <v>230</v>
      </c>
      <c r="P23" s="40"/>
      <c r="Q23" s="53"/>
      <c r="R23" s="53"/>
      <c r="S23" s="48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  <c r="IU23" s="53"/>
      <c r="IV23" s="53"/>
      <c r="IW23" s="53"/>
      <c r="IX23" s="53"/>
      <c r="IY23" s="53"/>
      <c r="IZ23" s="53"/>
      <c r="JA23" s="53"/>
      <c r="JB23" s="53"/>
      <c r="JC23" s="53"/>
      <c r="JD23" s="53"/>
    </row>
    <row r="24" spans="1:264" s="1" customFormat="1" ht="30" hidden="1" customHeight="1">
      <c r="A24" s="15">
        <v>16</v>
      </c>
      <c r="B24" s="101" t="s">
        <v>73</v>
      </c>
      <c r="C24" s="26" t="s">
        <v>74</v>
      </c>
      <c r="D24" s="23" t="s">
        <v>75</v>
      </c>
      <c r="E24" s="18" t="s">
        <v>25</v>
      </c>
      <c r="F24" s="19">
        <v>0.229537985840708</v>
      </c>
      <c r="G24" s="19">
        <v>0.229537985840708</v>
      </c>
      <c r="H24" s="20">
        <f t="shared" si="4"/>
        <v>0.20658418725663721</v>
      </c>
      <c r="I24" s="37">
        <v>3000</v>
      </c>
      <c r="J24" s="19">
        <f t="shared" si="3"/>
        <v>0.03</v>
      </c>
      <c r="K24" s="19" t="s">
        <v>26</v>
      </c>
      <c r="L24" s="19">
        <f t="shared" si="1"/>
        <v>0.25953798584070797</v>
      </c>
      <c r="M24" s="20">
        <f t="shared" si="2"/>
        <v>0.23658418725663721</v>
      </c>
      <c r="N24" s="38">
        <v>0.25950000000000001</v>
      </c>
      <c r="O24" s="39">
        <v>230</v>
      </c>
      <c r="P24" s="43"/>
      <c r="Q24" s="53"/>
      <c r="R24" s="53"/>
      <c r="S24" s="48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  <c r="IU24" s="53"/>
      <c r="IV24" s="53"/>
      <c r="IW24" s="53"/>
      <c r="IX24" s="53"/>
      <c r="IY24" s="53"/>
      <c r="IZ24" s="53"/>
      <c r="JA24" s="53"/>
      <c r="JB24" s="53"/>
      <c r="JC24" s="53"/>
      <c r="JD24" s="53"/>
    </row>
    <row r="25" spans="1:264" s="1" customFormat="1" ht="30" hidden="1" customHeight="1">
      <c r="A25" s="15">
        <v>17</v>
      </c>
      <c r="B25" s="27" t="s">
        <v>76</v>
      </c>
      <c r="C25" s="28" t="s">
        <v>77</v>
      </c>
      <c r="D25" s="23" t="s">
        <v>78</v>
      </c>
      <c r="E25" s="18" t="s">
        <v>25</v>
      </c>
      <c r="F25" s="19">
        <v>3.6180826194690301</v>
      </c>
      <c r="G25" s="19">
        <v>3.6180826194690301</v>
      </c>
      <c r="H25" s="20">
        <f>VLOOKUP(B25,[1]汇总表!$B:$F,5,0)</f>
        <v>3.0747728334400009</v>
      </c>
      <c r="I25" s="37">
        <v>37000</v>
      </c>
      <c r="J25" s="19">
        <f t="shared" si="3"/>
        <v>0.37</v>
      </c>
      <c r="K25" s="19" t="s">
        <v>26</v>
      </c>
      <c r="L25" s="19">
        <f t="shared" si="1"/>
        <v>3.9880826194690302</v>
      </c>
      <c r="M25" s="20">
        <f t="shared" si="2"/>
        <v>3.444772833440001</v>
      </c>
      <c r="N25" s="38">
        <v>3.9881000000000002</v>
      </c>
      <c r="O25" s="39">
        <v>230</v>
      </c>
      <c r="P25" s="43"/>
      <c r="Q25" s="53"/>
      <c r="R25" s="53"/>
      <c r="S25" s="48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</row>
    <row r="26" spans="1:264" s="1" customFormat="1" ht="30" hidden="1" customHeight="1">
      <c r="A26" s="15">
        <v>18</v>
      </c>
      <c r="B26" s="138" t="s">
        <v>79</v>
      </c>
      <c r="C26" s="29" t="s">
        <v>80</v>
      </c>
      <c r="D26" s="23" t="s">
        <v>81</v>
      </c>
      <c r="E26" s="18" t="s">
        <v>25</v>
      </c>
      <c r="F26" s="19">
        <v>2.5644560920354</v>
      </c>
      <c r="G26" s="19">
        <v>2.5644560920354</v>
      </c>
      <c r="H26" s="20">
        <f>VLOOKUP(B26,[1]汇总表!$B:$F,5,0)</f>
        <v>2.23479280864</v>
      </c>
      <c r="I26" s="37">
        <v>36000</v>
      </c>
      <c r="J26" s="19">
        <f t="shared" si="3"/>
        <v>0.36</v>
      </c>
      <c r="K26" s="19" t="s">
        <v>26</v>
      </c>
      <c r="L26" s="19">
        <f t="shared" si="1"/>
        <v>2.9244560920353999</v>
      </c>
      <c r="M26" s="20">
        <f t="shared" si="2"/>
        <v>2.5947928086399998</v>
      </c>
      <c r="N26" s="38">
        <v>2.9245000000000001</v>
      </c>
      <c r="O26" s="39">
        <v>230</v>
      </c>
      <c r="P26" s="44" t="s">
        <v>82</v>
      </c>
      <c r="Q26" s="53" t="s">
        <v>83</v>
      </c>
      <c r="R26" s="53"/>
      <c r="S26" s="48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  <c r="IV26" s="53"/>
      <c r="IW26" s="53"/>
      <c r="IX26" s="53"/>
      <c r="IY26" s="53"/>
      <c r="IZ26" s="53"/>
      <c r="JA26" s="53"/>
      <c r="JB26" s="53"/>
      <c r="JC26" s="53"/>
      <c r="JD26" s="53"/>
    </row>
    <row r="27" spans="1:264" s="1" customFormat="1" ht="30" hidden="1" customHeight="1">
      <c r="A27" s="15">
        <v>19</v>
      </c>
      <c r="B27" s="145" t="s">
        <v>84</v>
      </c>
      <c r="C27" s="31" t="s">
        <v>85</v>
      </c>
      <c r="D27" s="23" t="s">
        <v>86</v>
      </c>
      <c r="E27" s="18" t="s">
        <v>25</v>
      </c>
      <c r="F27" s="19">
        <v>2.0656526017699099</v>
      </c>
      <c r="G27" s="19">
        <v>2.0656526017699099</v>
      </c>
      <c r="H27" s="20">
        <f t="shared" ref="H27:H28" si="5">G27*0.9</f>
        <v>1.859087341592919</v>
      </c>
      <c r="I27" s="37">
        <v>32000</v>
      </c>
      <c r="J27" s="19">
        <f>I27/50000</f>
        <v>0.64</v>
      </c>
      <c r="K27" s="19" t="s">
        <v>42</v>
      </c>
      <c r="L27" s="19">
        <f t="shared" si="1"/>
        <v>2.7056526017699101</v>
      </c>
      <c r="M27" s="20">
        <f t="shared" si="2"/>
        <v>2.4990873415929191</v>
      </c>
      <c r="N27" s="38">
        <v>2.7057000000000002</v>
      </c>
      <c r="O27" s="39">
        <v>230</v>
      </c>
      <c r="P27" s="43"/>
      <c r="Q27" s="53"/>
      <c r="R27" s="53"/>
      <c r="S27" s="48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  <c r="IW27" s="53"/>
      <c r="IX27" s="53"/>
      <c r="IY27" s="53"/>
      <c r="IZ27" s="53"/>
      <c r="JA27" s="53"/>
      <c r="JB27" s="53"/>
      <c r="JC27" s="53"/>
      <c r="JD27" s="53"/>
    </row>
    <row r="28" spans="1:264" s="1" customFormat="1" ht="30" hidden="1" customHeight="1">
      <c r="A28" s="15">
        <v>20</v>
      </c>
      <c r="B28" s="145" t="s">
        <v>87</v>
      </c>
      <c r="C28" s="31" t="s">
        <v>88</v>
      </c>
      <c r="D28" s="23" t="s">
        <v>89</v>
      </c>
      <c r="E28" s="18" t="s">
        <v>25</v>
      </c>
      <c r="F28" s="19">
        <v>1.3272999999999999</v>
      </c>
      <c r="G28" s="19">
        <v>1.3272999999999999</v>
      </c>
      <c r="H28" s="20">
        <f t="shared" si="5"/>
        <v>1.1945699999999999</v>
      </c>
      <c r="I28" s="37">
        <v>26000</v>
      </c>
      <c r="J28" s="19">
        <f>I28/50000</f>
        <v>0.52</v>
      </c>
      <c r="K28" s="19" t="s">
        <v>42</v>
      </c>
      <c r="L28" s="19">
        <f t="shared" si="1"/>
        <v>1.8472999999999999</v>
      </c>
      <c r="M28" s="20">
        <f t="shared" si="2"/>
        <v>1.7145699999999999</v>
      </c>
      <c r="N28" s="30">
        <v>1.8472999999999999</v>
      </c>
      <c r="O28" s="45">
        <v>230</v>
      </c>
      <c r="P28" s="43"/>
      <c r="Q28" s="53"/>
      <c r="R28" s="53"/>
      <c r="S28" s="48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  <c r="IW28" s="53"/>
      <c r="IX28" s="53"/>
      <c r="IY28" s="53"/>
      <c r="IZ28" s="53"/>
      <c r="JA28" s="53"/>
      <c r="JB28" s="53"/>
      <c r="JC28" s="53"/>
      <c r="JD28" s="53"/>
    </row>
    <row r="29" spans="1:264" s="1" customFormat="1" ht="30" hidden="1" customHeight="1">
      <c r="A29" s="15">
        <v>21</v>
      </c>
      <c r="B29" s="139" t="s">
        <v>90</v>
      </c>
      <c r="C29" s="32" t="s">
        <v>91</v>
      </c>
      <c r="D29" s="23" t="s">
        <v>92</v>
      </c>
      <c r="E29" s="18" t="s">
        <v>25</v>
      </c>
      <c r="F29" s="19">
        <v>0.792610619469027</v>
      </c>
      <c r="G29" s="19">
        <v>0.792610619469027</v>
      </c>
      <c r="H29" s="20">
        <f>VLOOKUP(B29,[1]汇总表!$B:$F,5,0)</f>
        <v>0.65939022380000012</v>
      </c>
      <c r="I29" s="206">
        <v>29000</v>
      </c>
      <c r="J29" s="19">
        <f>I29/2/100000</f>
        <v>0.14499999999999999</v>
      </c>
      <c r="K29" s="19" t="s">
        <v>26</v>
      </c>
      <c r="L29" s="19">
        <f t="shared" si="1"/>
        <v>0.93761061946902702</v>
      </c>
      <c r="M29" s="20">
        <f t="shared" si="2"/>
        <v>0.80439022380000014</v>
      </c>
      <c r="N29" s="38">
        <v>0.93759999999999999</v>
      </c>
      <c r="O29" s="39">
        <v>230</v>
      </c>
      <c r="P29" s="43"/>
      <c r="Q29" s="53" t="s">
        <v>93</v>
      </c>
      <c r="R29" s="53"/>
      <c r="S29" s="48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  <c r="IV29" s="53"/>
      <c r="IW29" s="53"/>
      <c r="IX29" s="53"/>
      <c r="IY29" s="53"/>
      <c r="IZ29" s="53"/>
      <c r="JA29" s="53"/>
      <c r="JB29" s="53"/>
      <c r="JC29" s="53"/>
      <c r="JD29" s="53"/>
    </row>
    <row r="30" spans="1:264" s="1" customFormat="1" ht="30" hidden="1" customHeight="1">
      <c r="A30" s="15">
        <v>22</v>
      </c>
      <c r="B30" s="146" t="s">
        <v>94</v>
      </c>
      <c r="C30" s="32" t="s">
        <v>95</v>
      </c>
      <c r="D30" s="23" t="s">
        <v>96</v>
      </c>
      <c r="E30" s="18" t="s">
        <v>25</v>
      </c>
      <c r="F30" s="19">
        <v>0.792610619469027</v>
      </c>
      <c r="G30" s="19">
        <v>0.792610619469027</v>
      </c>
      <c r="H30" s="20">
        <f>G30*0.9</f>
        <v>0.71334955752212437</v>
      </c>
      <c r="I30" s="206"/>
      <c r="J30" s="19">
        <f>I29/2/100000</f>
        <v>0.14499999999999999</v>
      </c>
      <c r="K30" s="19" t="s">
        <v>26</v>
      </c>
      <c r="L30" s="19">
        <f t="shared" si="1"/>
        <v>0.93761061946902702</v>
      </c>
      <c r="M30" s="20">
        <f t="shared" si="2"/>
        <v>0.85834955752212438</v>
      </c>
      <c r="N30" s="38" t="s">
        <v>97</v>
      </c>
      <c r="O30" s="38" t="s">
        <v>97</v>
      </c>
      <c r="P30" s="43"/>
      <c r="Q30" s="53"/>
      <c r="R30" s="53"/>
      <c r="S30" s="48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  <c r="IV30" s="53"/>
      <c r="IW30" s="53"/>
      <c r="IX30" s="53"/>
      <c r="IY30" s="53"/>
      <c r="IZ30" s="53"/>
      <c r="JA30" s="53"/>
      <c r="JB30" s="53"/>
      <c r="JC30" s="53"/>
      <c r="JD30" s="53"/>
    </row>
    <row r="31" spans="1:264" s="1" customFormat="1" ht="30" hidden="1" customHeight="1">
      <c r="A31" s="15">
        <v>23</v>
      </c>
      <c r="B31" s="139" t="s">
        <v>332</v>
      </c>
      <c r="C31" s="32" t="s">
        <v>98</v>
      </c>
      <c r="D31" s="23" t="s">
        <v>99</v>
      </c>
      <c r="E31" s="18" t="s">
        <v>25</v>
      </c>
      <c r="F31" s="19">
        <v>0.12925270353982299</v>
      </c>
      <c r="G31" s="19">
        <v>0.12925270353982299</v>
      </c>
      <c r="H31" s="20">
        <f>VLOOKUP(B31,[1]汇总表!$B:$F,5,0)</f>
        <v>0.13304222288000001</v>
      </c>
      <c r="I31" s="37">
        <v>6300</v>
      </c>
      <c r="J31" s="19">
        <f t="shared" si="3"/>
        <v>6.3E-2</v>
      </c>
      <c r="K31" s="19" t="s">
        <v>26</v>
      </c>
      <c r="L31" s="19">
        <f t="shared" si="1"/>
        <v>0.19225270353982299</v>
      </c>
      <c r="M31" s="20">
        <f t="shared" si="2"/>
        <v>0.19604222288000001</v>
      </c>
      <c r="N31" s="20">
        <v>0.85560000000000003</v>
      </c>
      <c r="O31" s="39">
        <v>230</v>
      </c>
      <c r="P31" s="43"/>
      <c r="Q31" s="53"/>
      <c r="R31" s="53"/>
      <c r="S31" s="48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</row>
    <row r="32" spans="1:264" s="1" customFormat="1" ht="30" hidden="1" customHeight="1">
      <c r="A32" s="15">
        <v>24</v>
      </c>
      <c r="B32" s="139" t="s">
        <v>100</v>
      </c>
      <c r="C32" s="32" t="s">
        <v>101</v>
      </c>
      <c r="D32" s="23" t="s">
        <v>102</v>
      </c>
      <c r="E32" s="18" t="s">
        <v>25</v>
      </c>
      <c r="F32" s="19">
        <v>0.208870685840708</v>
      </c>
      <c r="G32" s="19">
        <v>0.208870685840708</v>
      </c>
      <c r="H32" s="20">
        <f>VLOOKUP(B32,[1]汇总表!$B:$F,5,0)</f>
        <v>0.14756428680000003</v>
      </c>
      <c r="I32" s="37">
        <v>4400</v>
      </c>
      <c r="J32" s="19">
        <f t="shared" si="3"/>
        <v>4.3999999999999997E-2</v>
      </c>
      <c r="K32" s="19" t="s">
        <v>26</v>
      </c>
      <c r="L32" s="19">
        <f t="shared" si="1"/>
        <v>0.25287068584070799</v>
      </c>
      <c r="M32" s="20">
        <f t="shared" si="2"/>
        <v>0.19156428680000004</v>
      </c>
      <c r="N32" s="38">
        <v>0.25290000000000001</v>
      </c>
      <c r="O32" s="39">
        <v>230</v>
      </c>
      <c r="P32" s="43"/>
      <c r="Q32" s="53"/>
      <c r="R32" s="53"/>
      <c r="S32" s="48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  <c r="IV32" s="53"/>
      <c r="IW32" s="53"/>
      <c r="IX32" s="53"/>
      <c r="IY32" s="53"/>
      <c r="IZ32" s="53"/>
      <c r="JA32" s="53"/>
      <c r="JB32" s="53"/>
      <c r="JC32" s="53"/>
      <c r="JD32" s="53"/>
    </row>
    <row r="33" spans="1:264" s="1" customFormat="1" ht="30" hidden="1" customHeight="1">
      <c r="A33" s="15">
        <v>25</v>
      </c>
      <c r="B33" s="102" t="s">
        <v>103</v>
      </c>
      <c r="C33" s="33" t="s">
        <v>104</v>
      </c>
      <c r="D33" s="23" t="s">
        <v>105</v>
      </c>
      <c r="E33" s="18" t="s">
        <v>25</v>
      </c>
      <c r="F33" s="19">
        <v>0.15218587964601801</v>
      </c>
      <c r="G33" s="19">
        <v>0.15218587964601801</v>
      </c>
      <c r="H33" s="20">
        <f t="shared" ref="H33:H47" si="6">G33*0.9</f>
        <v>0.13696729168141622</v>
      </c>
      <c r="I33" s="37">
        <v>4600</v>
      </c>
      <c r="J33" s="19">
        <f t="shared" si="3"/>
        <v>4.5999999999999999E-2</v>
      </c>
      <c r="K33" s="19" t="s">
        <v>26</v>
      </c>
      <c r="L33" s="19">
        <f t="shared" si="1"/>
        <v>0.19818587964601803</v>
      </c>
      <c r="M33" s="20">
        <f t="shared" si="2"/>
        <v>0.18296729168141623</v>
      </c>
      <c r="N33" s="38">
        <v>0.19819999999999999</v>
      </c>
      <c r="O33" s="39">
        <v>230</v>
      </c>
      <c r="P33" s="43"/>
      <c r="Q33" s="53"/>
      <c r="R33" s="53"/>
      <c r="S33" s="48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  <c r="IU33" s="53"/>
      <c r="IV33" s="53"/>
      <c r="IW33" s="53"/>
      <c r="IX33" s="53"/>
      <c r="IY33" s="53"/>
      <c r="IZ33" s="53"/>
      <c r="JA33" s="53"/>
      <c r="JB33" s="53"/>
      <c r="JC33" s="53"/>
      <c r="JD33" s="53"/>
    </row>
    <row r="34" spans="1:264" s="1" customFormat="1" ht="30" hidden="1" customHeight="1">
      <c r="A34" s="15">
        <v>26</v>
      </c>
      <c r="B34" s="139" t="s">
        <v>106</v>
      </c>
      <c r="C34" s="32" t="s">
        <v>107</v>
      </c>
      <c r="D34" s="23" t="s">
        <v>108</v>
      </c>
      <c r="E34" s="18" t="s">
        <v>25</v>
      </c>
      <c r="F34" s="19">
        <v>0.36384791150442503</v>
      </c>
      <c r="G34" s="19">
        <v>0.36384791150442503</v>
      </c>
      <c r="H34" s="20">
        <f t="shared" si="6"/>
        <v>0.32746312035398251</v>
      </c>
      <c r="I34" s="37">
        <v>5500</v>
      </c>
      <c r="J34" s="19">
        <f t="shared" si="3"/>
        <v>5.5E-2</v>
      </c>
      <c r="K34" s="19" t="s">
        <v>26</v>
      </c>
      <c r="L34" s="19">
        <f t="shared" si="1"/>
        <v>0.41884791150442502</v>
      </c>
      <c r="M34" s="20">
        <f t="shared" si="2"/>
        <v>0.3824631203539825</v>
      </c>
      <c r="N34" s="38">
        <v>0.41880000000000001</v>
      </c>
      <c r="O34" s="39">
        <v>230</v>
      </c>
      <c r="P34" s="43"/>
      <c r="Q34" s="53"/>
      <c r="R34" s="53"/>
      <c r="S34" s="48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  <c r="IU34" s="53"/>
      <c r="IV34" s="53"/>
      <c r="IW34" s="53"/>
      <c r="IX34" s="53"/>
      <c r="IY34" s="53"/>
      <c r="IZ34" s="53"/>
      <c r="JA34" s="53"/>
      <c r="JB34" s="53"/>
      <c r="JC34" s="53"/>
      <c r="JD34" s="53"/>
    </row>
    <row r="35" spans="1:264" s="1" customFormat="1" ht="30" hidden="1" customHeight="1">
      <c r="A35" s="15">
        <v>27</v>
      </c>
      <c r="B35" s="139" t="s">
        <v>109</v>
      </c>
      <c r="C35" s="32" t="s">
        <v>110</v>
      </c>
      <c r="D35" s="86" t="s">
        <v>111</v>
      </c>
      <c r="E35" s="18" t="s">
        <v>25</v>
      </c>
      <c r="F35" s="19">
        <v>0.36384791150442503</v>
      </c>
      <c r="G35" s="19">
        <v>0.36384791150442503</v>
      </c>
      <c r="H35" s="20">
        <f t="shared" si="6"/>
        <v>0.32746312035398251</v>
      </c>
      <c r="I35" s="37">
        <v>2000</v>
      </c>
      <c r="J35" s="19">
        <f t="shared" si="3"/>
        <v>0.02</v>
      </c>
      <c r="K35" s="19" t="s">
        <v>26</v>
      </c>
      <c r="L35" s="19">
        <f t="shared" si="1"/>
        <v>0.38384791150442504</v>
      </c>
      <c r="M35" s="20">
        <f t="shared" si="2"/>
        <v>0.34746312035398252</v>
      </c>
      <c r="N35" s="38">
        <v>0.38379999999999997</v>
      </c>
      <c r="O35" s="39">
        <v>230</v>
      </c>
      <c r="P35" s="43"/>
      <c r="Q35" s="53"/>
      <c r="R35" s="53"/>
      <c r="S35" s="48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  <c r="IV35" s="53"/>
      <c r="IW35" s="53"/>
      <c r="IX35" s="53"/>
      <c r="IY35" s="53"/>
      <c r="IZ35" s="53"/>
      <c r="JA35" s="53"/>
      <c r="JB35" s="53"/>
      <c r="JC35" s="53"/>
      <c r="JD35" s="53"/>
    </row>
    <row r="36" spans="1:264" s="1" customFormat="1" ht="30" hidden="1" customHeight="1">
      <c r="A36" s="15">
        <v>28</v>
      </c>
      <c r="B36" s="139" t="s">
        <v>112</v>
      </c>
      <c r="C36" s="32" t="s">
        <v>113</v>
      </c>
      <c r="D36" s="23" t="s">
        <v>114</v>
      </c>
      <c r="E36" s="18" t="s">
        <v>25</v>
      </c>
      <c r="F36" s="19">
        <v>0.28710562300885001</v>
      </c>
      <c r="G36" s="19">
        <v>0.28710562300885001</v>
      </c>
      <c r="H36" s="20">
        <f t="shared" si="6"/>
        <v>0.25839506070796503</v>
      </c>
      <c r="I36" s="37">
        <v>5000</v>
      </c>
      <c r="J36" s="19">
        <f t="shared" si="3"/>
        <v>0.05</v>
      </c>
      <c r="K36" s="19" t="s">
        <v>26</v>
      </c>
      <c r="L36" s="19">
        <f t="shared" si="1"/>
        <v>0.33710562300885</v>
      </c>
      <c r="M36" s="20">
        <f t="shared" si="2"/>
        <v>0.30839506070796502</v>
      </c>
      <c r="N36" s="46">
        <v>0.33710000000000001</v>
      </c>
      <c r="O36" s="47">
        <v>230</v>
      </c>
      <c r="P36" s="43"/>
      <c r="Q36" s="53"/>
      <c r="R36" s="53"/>
      <c r="S36" s="48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  <c r="IU36" s="53"/>
      <c r="IV36" s="53"/>
      <c r="IW36" s="53"/>
      <c r="IX36" s="53"/>
      <c r="IY36" s="53"/>
      <c r="IZ36" s="53"/>
      <c r="JA36" s="53"/>
      <c r="JB36" s="53"/>
      <c r="JC36" s="53"/>
      <c r="JD36" s="53"/>
    </row>
    <row r="37" spans="1:264" s="1" customFormat="1" ht="30" hidden="1" customHeight="1">
      <c r="A37" s="15">
        <v>29</v>
      </c>
      <c r="B37" s="139" t="s">
        <v>115</v>
      </c>
      <c r="C37" s="32" t="s">
        <v>116</v>
      </c>
      <c r="D37" s="86" t="s">
        <v>117</v>
      </c>
      <c r="E37" s="18" t="s">
        <v>25</v>
      </c>
      <c r="F37" s="19">
        <v>1.1625000000000001</v>
      </c>
      <c r="G37" s="19">
        <v>1.1625000000000001</v>
      </c>
      <c r="H37" s="20">
        <f t="shared" si="6"/>
        <v>1.0462500000000001</v>
      </c>
      <c r="I37" s="37">
        <v>16200</v>
      </c>
      <c r="J37" s="19">
        <f>I37/50000</f>
        <v>0.32400000000000001</v>
      </c>
      <c r="K37" s="19" t="s">
        <v>42</v>
      </c>
      <c r="L37" s="19">
        <f t="shared" si="1"/>
        <v>1.4865000000000002</v>
      </c>
      <c r="M37" s="20">
        <f t="shared" si="2"/>
        <v>1.3702500000000002</v>
      </c>
      <c r="N37" s="20">
        <v>1.4864999999999999</v>
      </c>
      <c r="O37" s="39">
        <v>230</v>
      </c>
      <c r="P37" s="43"/>
      <c r="Q37" s="53"/>
      <c r="R37" s="53"/>
      <c r="S37" s="48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  <c r="IV37" s="53"/>
      <c r="IW37" s="53"/>
      <c r="IX37" s="53"/>
      <c r="IY37" s="53"/>
      <c r="IZ37" s="53"/>
      <c r="JA37" s="53"/>
      <c r="JB37" s="53"/>
      <c r="JC37" s="53"/>
      <c r="JD37" s="53"/>
    </row>
    <row r="38" spans="1:264" s="1" customFormat="1" ht="30" hidden="1" customHeight="1">
      <c r="A38" s="15">
        <v>30</v>
      </c>
      <c r="B38" s="139" t="s">
        <v>118</v>
      </c>
      <c r="C38" s="32" t="s">
        <v>119</v>
      </c>
      <c r="D38" s="86" t="s">
        <v>120</v>
      </c>
      <c r="E38" s="18" t="s">
        <v>25</v>
      </c>
      <c r="F38" s="19">
        <v>1.16245078539823</v>
      </c>
      <c r="G38" s="19">
        <v>1.16245078539823</v>
      </c>
      <c r="H38" s="20">
        <f t="shared" si="6"/>
        <v>1.046205706858407</v>
      </c>
      <c r="I38" s="37">
        <v>8200</v>
      </c>
      <c r="J38" s="19">
        <f>I38/50000</f>
        <v>0.16400000000000001</v>
      </c>
      <c r="K38" s="19" t="s">
        <v>42</v>
      </c>
      <c r="L38" s="19">
        <f t="shared" si="1"/>
        <v>1.3264507853982299</v>
      </c>
      <c r="M38" s="20">
        <f t="shared" si="2"/>
        <v>1.2102057068584069</v>
      </c>
      <c r="N38" s="38">
        <v>1.3265</v>
      </c>
      <c r="O38" s="39">
        <v>230</v>
      </c>
      <c r="P38" s="43"/>
      <c r="Q38" s="53"/>
      <c r="R38" s="53"/>
      <c r="S38" s="48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  <c r="IV38" s="53"/>
      <c r="IW38" s="53"/>
      <c r="IX38" s="53"/>
      <c r="IY38" s="53"/>
      <c r="IZ38" s="53"/>
      <c r="JA38" s="53"/>
      <c r="JB38" s="53"/>
      <c r="JC38" s="53"/>
      <c r="JD38" s="53"/>
    </row>
    <row r="39" spans="1:264" s="1" customFormat="1" ht="24.6" hidden="1" customHeight="1">
      <c r="A39" s="15">
        <v>31</v>
      </c>
      <c r="B39" s="101" t="s">
        <v>121</v>
      </c>
      <c r="C39" s="26" t="s">
        <v>122</v>
      </c>
      <c r="D39" s="23" t="s">
        <v>123</v>
      </c>
      <c r="E39" s="34" t="s">
        <v>124</v>
      </c>
      <c r="F39" s="19">
        <v>2.5537999999999998</v>
      </c>
      <c r="G39" s="19">
        <v>2.5537999999999998</v>
      </c>
      <c r="H39" s="20">
        <f t="shared" si="6"/>
        <v>2.2984200000000001</v>
      </c>
      <c r="I39" s="19">
        <v>0</v>
      </c>
      <c r="J39" s="19">
        <v>0</v>
      </c>
      <c r="K39" s="48" t="s">
        <v>125</v>
      </c>
      <c r="L39" s="19">
        <f t="shared" ref="L39:L102" si="7">G39+J39</f>
        <v>2.5537999999999998</v>
      </c>
      <c r="M39" s="20">
        <f t="shared" si="2"/>
        <v>2.2984200000000001</v>
      </c>
      <c r="N39" s="20">
        <v>2.5537700000000001</v>
      </c>
      <c r="O39" s="39">
        <v>230</v>
      </c>
      <c r="P39" s="19"/>
      <c r="Q39" s="60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  <c r="IU39" s="53"/>
      <c r="IV39" s="53"/>
      <c r="IW39" s="53"/>
      <c r="IX39" s="53"/>
      <c r="IY39" s="53"/>
    </row>
    <row r="40" spans="1:264" s="1" customFormat="1" ht="24.6" hidden="1" customHeight="1">
      <c r="A40" s="15">
        <v>32</v>
      </c>
      <c r="B40" s="101" t="s">
        <v>126</v>
      </c>
      <c r="C40" s="26" t="s">
        <v>127</v>
      </c>
      <c r="D40" s="23" t="s">
        <v>128</v>
      </c>
      <c r="E40" s="34" t="s">
        <v>124</v>
      </c>
      <c r="F40" s="19">
        <v>1.4701599999999999</v>
      </c>
      <c r="G40" s="19">
        <v>1.4701599999999999</v>
      </c>
      <c r="H40" s="20">
        <f t="shared" si="6"/>
        <v>1.3231439999999999</v>
      </c>
      <c r="I40" s="19">
        <v>0</v>
      </c>
      <c r="J40" s="19">
        <v>0</v>
      </c>
      <c r="K40" s="48" t="s">
        <v>125</v>
      </c>
      <c r="L40" s="19">
        <f t="shared" si="7"/>
        <v>1.4701599999999999</v>
      </c>
      <c r="M40" s="20">
        <f t="shared" si="2"/>
        <v>1.3231439999999999</v>
      </c>
      <c r="N40" s="20">
        <v>1.4701599999999999</v>
      </c>
      <c r="O40" s="39">
        <v>230</v>
      </c>
      <c r="P40" s="19"/>
      <c r="Q40" s="60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/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53"/>
      <c r="IF40" s="53"/>
      <c r="IG40" s="53"/>
      <c r="IH40" s="53"/>
      <c r="II40" s="53"/>
      <c r="IJ40" s="53"/>
      <c r="IK40" s="53"/>
      <c r="IL40" s="53"/>
      <c r="IM40" s="53"/>
      <c r="IN40" s="53"/>
      <c r="IO40" s="53"/>
      <c r="IP40" s="53"/>
      <c r="IQ40" s="53"/>
      <c r="IR40" s="53"/>
      <c r="IS40" s="53"/>
      <c r="IT40" s="53"/>
      <c r="IU40" s="53"/>
      <c r="IV40" s="53"/>
      <c r="IW40" s="53"/>
      <c r="IX40" s="53"/>
      <c r="IY40" s="53"/>
    </row>
    <row r="41" spans="1:264" s="1" customFormat="1" ht="24.6" hidden="1" customHeight="1">
      <c r="A41" s="15">
        <v>33</v>
      </c>
      <c r="B41" s="101" t="s">
        <v>129</v>
      </c>
      <c r="C41" s="109" t="s">
        <v>130</v>
      </c>
      <c r="D41" s="23" t="s">
        <v>131</v>
      </c>
      <c r="E41" s="34" t="s">
        <v>124</v>
      </c>
      <c r="F41" s="19">
        <v>1.4701599999999999</v>
      </c>
      <c r="G41" s="19">
        <v>1.4701599999999999</v>
      </c>
      <c r="H41" s="20">
        <f t="shared" si="6"/>
        <v>1.3231439999999999</v>
      </c>
      <c r="I41" s="19">
        <v>0</v>
      </c>
      <c r="J41" s="19">
        <v>0</v>
      </c>
      <c r="K41" s="48" t="s">
        <v>125</v>
      </c>
      <c r="L41" s="19">
        <f t="shared" si="7"/>
        <v>1.4701599999999999</v>
      </c>
      <c r="M41" s="20">
        <f t="shared" si="2"/>
        <v>1.3231439999999999</v>
      </c>
      <c r="N41" s="20">
        <v>1.4701599999999999</v>
      </c>
      <c r="O41" s="39">
        <v>230</v>
      </c>
      <c r="P41" s="19"/>
      <c r="Q41" s="60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/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53"/>
      <c r="IF41" s="53"/>
      <c r="IG41" s="53"/>
      <c r="IH41" s="53"/>
      <c r="II41" s="53"/>
      <c r="IJ41" s="53"/>
      <c r="IK41" s="53"/>
      <c r="IL41" s="53"/>
      <c r="IM41" s="53"/>
      <c r="IN41" s="53"/>
      <c r="IO41" s="53"/>
      <c r="IP41" s="53"/>
      <c r="IQ41" s="53"/>
      <c r="IR41" s="53"/>
      <c r="IS41" s="53"/>
      <c r="IT41" s="53"/>
      <c r="IU41" s="53"/>
      <c r="IV41" s="53"/>
      <c r="IW41" s="53"/>
      <c r="IX41" s="53"/>
      <c r="IY41" s="53"/>
    </row>
    <row r="42" spans="1:264" s="1" customFormat="1" ht="24.6" hidden="1" customHeight="1">
      <c r="A42" s="15">
        <v>34</v>
      </c>
      <c r="B42" s="101" t="s">
        <v>132</v>
      </c>
      <c r="C42" s="35" t="s">
        <v>133</v>
      </c>
      <c r="D42" s="23" t="s">
        <v>134</v>
      </c>
      <c r="E42" s="34" t="s">
        <v>124</v>
      </c>
      <c r="F42" s="19">
        <v>5</v>
      </c>
      <c r="G42" s="19">
        <v>5</v>
      </c>
      <c r="H42" s="20">
        <f t="shared" si="6"/>
        <v>4.5</v>
      </c>
      <c r="I42" s="19">
        <v>0</v>
      </c>
      <c r="J42" s="19">
        <v>0</v>
      </c>
      <c r="K42" s="48" t="s">
        <v>125</v>
      </c>
      <c r="L42" s="19">
        <f t="shared" si="7"/>
        <v>5</v>
      </c>
      <c r="M42" s="20">
        <f t="shared" si="2"/>
        <v>4.5</v>
      </c>
      <c r="N42" s="20">
        <v>5</v>
      </c>
      <c r="O42" s="39">
        <v>230</v>
      </c>
      <c r="P42" s="19"/>
      <c r="Q42" s="60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</row>
    <row r="43" spans="1:264" s="1" customFormat="1" ht="24.6" hidden="1" customHeight="1">
      <c r="A43" s="15">
        <v>35</v>
      </c>
      <c r="B43" s="101" t="s">
        <v>135</v>
      </c>
      <c r="C43" s="26" t="s">
        <v>136</v>
      </c>
      <c r="D43" s="23" t="s">
        <v>137</v>
      </c>
      <c r="E43" s="34" t="s">
        <v>124</v>
      </c>
      <c r="F43" s="19">
        <v>5</v>
      </c>
      <c r="G43" s="19">
        <v>5</v>
      </c>
      <c r="H43" s="20">
        <f t="shared" si="6"/>
        <v>4.5</v>
      </c>
      <c r="I43" s="19">
        <v>0</v>
      </c>
      <c r="J43" s="19">
        <v>0</v>
      </c>
      <c r="K43" s="48" t="s">
        <v>125</v>
      </c>
      <c r="L43" s="19">
        <f t="shared" si="7"/>
        <v>5</v>
      </c>
      <c r="M43" s="20">
        <f t="shared" si="2"/>
        <v>4.5</v>
      </c>
      <c r="N43" s="20">
        <v>5</v>
      </c>
      <c r="O43" s="39">
        <v>230</v>
      </c>
      <c r="P43" s="19"/>
      <c r="Q43" s="60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  <c r="HG43" s="53"/>
      <c r="HH43" s="53"/>
      <c r="HI43" s="53"/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53"/>
      <c r="HV43" s="53"/>
      <c r="HW43" s="53"/>
      <c r="HX43" s="53"/>
      <c r="HY43" s="53"/>
      <c r="HZ43" s="53"/>
      <c r="IA43" s="53"/>
      <c r="IB43" s="53"/>
      <c r="IC43" s="53"/>
      <c r="ID43" s="53"/>
      <c r="IE43" s="53"/>
      <c r="IF43" s="53"/>
      <c r="IG43" s="53"/>
      <c r="IH43" s="53"/>
      <c r="II43" s="53"/>
      <c r="IJ43" s="53"/>
      <c r="IK43" s="53"/>
      <c r="IL43" s="53"/>
      <c r="IM43" s="53"/>
      <c r="IN43" s="53"/>
      <c r="IO43" s="53"/>
      <c r="IP43" s="53"/>
      <c r="IQ43" s="53"/>
      <c r="IR43" s="53"/>
      <c r="IS43" s="53"/>
      <c r="IT43" s="53"/>
      <c r="IU43" s="53"/>
      <c r="IV43" s="53"/>
      <c r="IW43" s="53"/>
      <c r="IX43" s="53"/>
      <c r="IY43" s="53"/>
    </row>
    <row r="44" spans="1:264" s="1" customFormat="1" ht="24.6" hidden="1" customHeight="1">
      <c r="A44" s="15">
        <v>36</v>
      </c>
      <c r="B44" s="101" t="s">
        <v>138</v>
      </c>
      <c r="C44" s="26" t="s">
        <v>139</v>
      </c>
      <c r="D44" s="23" t="s">
        <v>140</v>
      </c>
      <c r="E44" s="34" t="s">
        <v>124</v>
      </c>
      <c r="F44" s="19">
        <v>4.3047800000000001</v>
      </c>
      <c r="G44" s="19">
        <v>4.3047800000000001</v>
      </c>
      <c r="H44" s="20">
        <f t="shared" si="6"/>
        <v>3.8743020000000001</v>
      </c>
      <c r="I44" s="19">
        <v>0</v>
      </c>
      <c r="J44" s="19">
        <v>0</v>
      </c>
      <c r="K44" s="48" t="s">
        <v>125</v>
      </c>
      <c r="L44" s="19">
        <f t="shared" si="7"/>
        <v>4.3047800000000001</v>
      </c>
      <c r="M44" s="20">
        <f t="shared" si="2"/>
        <v>3.8743020000000001</v>
      </c>
      <c r="N44" s="20">
        <v>4.3047800000000001</v>
      </c>
      <c r="O44" s="39">
        <v>230</v>
      </c>
      <c r="P44" s="19"/>
      <c r="Q44" s="60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  <c r="IU44" s="53"/>
      <c r="IV44" s="53"/>
      <c r="IW44" s="53"/>
      <c r="IX44" s="53"/>
      <c r="IY44" s="53"/>
    </row>
    <row r="45" spans="1:264" s="1" customFormat="1" ht="24.6" hidden="1" customHeight="1">
      <c r="A45" s="15">
        <v>37</v>
      </c>
      <c r="B45" s="101" t="s">
        <v>141</v>
      </c>
      <c r="C45" s="26" t="s">
        <v>142</v>
      </c>
      <c r="D45" s="23" t="s">
        <v>143</v>
      </c>
      <c r="E45" s="34" t="s">
        <v>124</v>
      </c>
      <c r="F45" s="19">
        <v>0.27052999999999999</v>
      </c>
      <c r="G45" s="19">
        <v>0.27052999999999999</v>
      </c>
      <c r="H45" s="20">
        <f t="shared" si="6"/>
        <v>0.243477</v>
      </c>
      <c r="I45" s="19">
        <v>0</v>
      </c>
      <c r="J45" s="19">
        <v>0</v>
      </c>
      <c r="K45" s="48" t="s">
        <v>125</v>
      </c>
      <c r="L45" s="19">
        <f t="shared" si="7"/>
        <v>0.27052999999999999</v>
      </c>
      <c r="M45" s="20">
        <f t="shared" si="2"/>
        <v>0.243477</v>
      </c>
      <c r="N45" s="20">
        <v>0.27052999999999999</v>
      </c>
      <c r="O45" s="39">
        <v>230</v>
      </c>
      <c r="P45" s="19"/>
      <c r="Q45" s="60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 s="53"/>
      <c r="IH45" s="53"/>
      <c r="II45" s="53"/>
      <c r="IJ45" s="53"/>
      <c r="IK45" s="53"/>
      <c r="IL45" s="53"/>
      <c r="IM45" s="53"/>
      <c r="IN45" s="53"/>
      <c r="IO45" s="53"/>
      <c r="IP45" s="53"/>
      <c r="IQ45" s="53"/>
      <c r="IR45" s="53"/>
      <c r="IS45" s="53"/>
      <c r="IT45" s="53"/>
      <c r="IU45" s="53"/>
      <c r="IV45" s="53"/>
      <c r="IW45" s="53"/>
      <c r="IX45" s="53"/>
      <c r="IY45" s="53"/>
    </row>
    <row r="46" spans="1:264" s="1" customFormat="1" ht="24.6" hidden="1" customHeight="1">
      <c r="A46" s="15">
        <v>38</v>
      </c>
      <c r="B46" s="101" t="s">
        <v>144</v>
      </c>
      <c r="C46" s="26" t="s">
        <v>145</v>
      </c>
      <c r="D46" s="23" t="s">
        <v>146</v>
      </c>
      <c r="E46" s="34" t="s">
        <v>124</v>
      </c>
      <c r="F46" s="19">
        <v>0.60021000000000002</v>
      </c>
      <c r="G46" s="19">
        <v>0.60021000000000002</v>
      </c>
      <c r="H46" s="20">
        <f t="shared" si="6"/>
        <v>0.54018900000000003</v>
      </c>
      <c r="I46" s="19">
        <v>0</v>
      </c>
      <c r="J46" s="19">
        <v>0</v>
      </c>
      <c r="K46" s="48" t="s">
        <v>125</v>
      </c>
      <c r="L46" s="19">
        <f t="shared" si="7"/>
        <v>0.60021000000000002</v>
      </c>
      <c r="M46" s="20">
        <f t="shared" si="2"/>
        <v>0.54018900000000003</v>
      </c>
      <c r="N46" s="20">
        <v>0.60021000000000002</v>
      </c>
      <c r="O46" s="39">
        <v>230</v>
      </c>
      <c r="P46" s="19"/>
      <c r="Q46" s="60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53"/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53"/>
      <c r="IF46" s="53"/>
      <c r="IG46" s="53"/>
      <c r="IH46" s="53"/>
      <c r="II46" s="53"/>
      <c r="IJ46" s="53"/>
      <c r="IK46" s="53"/>
      <c r="IL46" s="53"/>
      <c r="IM46" s="53"/>
      <c r="IN46" s="53"/>
      <c r="IO46" s="53"/>
      <c r="IP46" s="53"/>
      <c r="IQ46" s="53"/>
      <c r="IR46" s="53"/>
      <c r="IS46" s="53"/>
      <c r="IT46" s="53"/>
      <c r="IU46" s="53"/>
      <c r="IV46" s="53"/>
      <c r="IW46" s="53"/>
      <c r="IX46" s="53"/>
      <c r="IY46" s="53"/>
    </row>
    <row r="47" spans="1:264" s="1" customFormat="1" ht="24.6" hidden="1" customHeight="1">
      <c r="A47" s="15">
        <v>39</v>
      </c>
      <c r="B47" s="101" t="s">
        <v>147</v>
      </c>
      <c r="C47" s="26" t="s">
        <v>148</v>
      </c>
      <c r="D47" s="23" t="s">
        <v>149</v>
      </c>
      <c r="E47" s="34" t="s">
        <v>124</v>
      </c>
      <c r="F47" s="19">
        <v>2.49749</v>
      </c>
      <c r="G47" s="19">
        <v>2.49749</v>
      </c>
      <c r="H47" s="20">
        <f t="shared" si="6"/>
        <v>2.247741</v>
      </c>
      <c r="I47" s="19">
        <v>0</v>
      </c>
      <c r="J47" s="19">
        <v>0</v>
      </c>
      <c r="K47" s="48" t="s">
        <v>125</v>
      </c>
      <c r="L47" s="19">
        <f t="shared" si="7"/>
        <v>2.49749</v>
      </c>
      <c r="M47" s="20">
        <f t="shared" si="2"/>
        <v>2.247741</v>
      </c>
      <c r="N47" s="49">
        <v>2.49749</v>
      </c>
      <c r="O47" s="50">
        <v>230</v>
      </c>
      <c r="P47" s="19"/>
      <c r="Q47" s="60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</row>
    <row r="48" spans="1:264" s="1" customFormat="1" ht="24.6" hidden="1" customHeight="1">
      <c r="A48" s="15">
        <v>40</v>
      </c>
      <c r="B48" s="101" t="s">
        <v>76</v>
      </c>
      <c r="C48" s="26" t="s">
        <v>150</v>
      </c>
      <c r="D48" s="23" t="s">
        <v>151</v>
      </c>
      <c r="E48" s="34" t="s">
        <v>124</v>
      </c>
      <c r="F48" s="19">
        <v>3.9881000000000002</v>
      </c>
      <c r="G48" s="19">
        <v>3.9881000000000002</v>
      </c>
      <c r="H48" s="20">
        <f>VLOOKUP(B48,[1]汇总表!$B:$F,5,0)</f>
        <v>3.0747728334400009</v>
      </c>
      <c r="I48" s="19">
        <v>0</v>
      </c>
      <c r="J48" s="19">
        <v>0</v>
      </c>
      <c r="K48" s="48" t="s">
        <v>125</v>
      </c>
      <c r="L48" s="19">
        <f t="shared" si="7"/>
        <v>3.9881000000000002</v>
      </c>
      <c r="M48" s="20">
        <f t="shared" si="2"/>
        <v>3.0747728334400009</v>
      </c>
      <c r="N48" s="20">
        <v>3.9881000000000002</v>
      </c>
      <c r="O48" s="39">
        <v>230</v>
      </c>
      <c r="P48" s="19"/>
      <c r="Q48" s="60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53"/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53"/>
      <c r="IF48" s="53"/>
      <c r="IG48" s="53"/>
      <c r="IH48" s="53"/>
      <c r="II48" s="53"/>
      <c r="IJ48" s="53"/>
      <c r="IK48" s="53"/>
      <c r="IL48" s="53"/>
      <c r="IM48" s="53"/>
      <c r="IN48" s="53"/>
      <c r="IO48" s="53"/>
      <c r="IP48" s="53"/>
      <c r="IQ48" s="53"/>
      <c r="IR48" s="53"/>
      <c r="IS48" s="53"/>
      <c r="IT48" s="53"/>
      <c r="IU48" s="53"/>
      <c r="IV48" s="53"/>
      <c r="IW48" s="53"/>
      <c r="IX48" s="53"/>
      <c r="IY48" s="53"/>
    </row>
    <row r="49" spans="1:259" s="1" customFormat="1" ht="24.6" hidden="1" customHeight="1">
      <c r="A49" s="15">
        <v>41</v>
      </c>
      <c r="B49" s="101" t="s">
        <v>152</v>
      </c>
      <c r="C49" s="26" t="s">
        <v>153</v>
      </c>
      <c r="D49" s="23" t="s">
        <v>154</v>
      </c>
      <c r="E49" s="34" t="s">
        <v>124</v>
      </c>
      <c r="F49" s="19">
        <v>3.7639999999999998</v>
      </c>
      <c r="G49" s="19">
        <v>3.7639999999999998</v>
      </c>
      <c r="H49" s="20">
        <f t="shared" ref="H49:H79" si="8">G49*0.9</f>
        <v>3.3875999999999999</v>
      </c>
      <c r="I49" s="19">
        <v>0</v>
      </c>
      <c r="J49" s="19">
        <v>0</v>
      </c>
      <c r="K49" s="48" t="s">
        <v>125</v>
      </c>
      <c r="L49" s="19">
        <f t="shared" si="7"/>
        <v>3.7639999999999998</v>
      </c>
      <c r="M49" s="20">
        <f t="shared" si="2"/>
        <v>3.3875999999999999</v>
      </c>
      <c r="N49" s="20">
        <v>3.7639999999999998</v>
      </c>
      <c r="O49" s="39">
        <v>230</v>
      </c>
      <c r="P49" s="19"/>
      <c r="Q49" s="60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53"/>
      <c r="IS49" s="53"/>
      <c r="IT49" s="53"/>
      <c r="IU49" s="53"/>
      <c r="IV49" s="53"/>
      <c r="IW49" s="53"/>
      <c r="IX49" s="53"/>
      <c r="IY49" s="53"/>
    </row>
    <row r="50" spans="1:259" s="1" customFormat="1" ht="24.6" hidden="1" customHeight="1">
      <c r="A50" s="15">
        <v>42</v>
      </c>
      <c r="B50" s="101" t="s">
        <v>155</v>
      </c>
      <c r="C50" s="26" t="s">
        <v>156</v>
      </c>
      <c r="D50" s="23" t="s">
        <v>157</v>
      </c>
      <c r="E50" s="34" t="s">
        <v>124</v>
      </c>
      <c r="F50" s="19">
        <v>2.0321400000000001</v>
      </c>
      <c r="G50" s="19">
        <v>2.0321400000000001</v>
      </c>
      <c r="H50" s="20">
        <f t="shared" si="8"/>
        <v>1.8289260000000001</v>
      </c>
      <c r="I50" s="19">
        <v>0</v>
      </c>
      <c r="J50" s="19">
        <v>0</v>
      </c>
      <c r="K50" s="48" t="s">
        <v>125</v>
      </c>
      <c r="L50" s="19">
        <f t="shared" si="7"/>
        <v>2.0321400000000001</v>
      </c>
      <c r="M50" s="20">
        <f t="shared" si="2"/>
        <v>1.8289260000000001</v>
      </c>
      <c r="N50" s="20">
        <v>2.0321400000000001</v>
      </c>
      <c r="O50" s="39">
        <v>230</v>
      </c>
      <c r="P50" s="19"/>
      <c r="Q50" s="60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/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53"/>
      <c r="IF50" s="53"/>
      <c r="IG50" s="53"/>
      <c r="IH50" s="53"/>
      <c r="II50" s="53"/>
      <c r="IJ50" s="53"/>
      <c r="IK50" s="53"/>
      <c r="IL50" s="53"/>
      <c r="IM50" s="53"/>
      <c r="IN50" s="53"/>
      <c r="IO50" s="53"/>
      <c r="IP50" s="53"/>
      <c r="IQ50" s="53"/>
      <c r="IR50" s="53"/>
      <c r="IS50" s="53"/>
      <c r="IT50" s="53"/>
      <c r="IU50" s="53"/>
      <c r="IV50" s="53"/>
      <c r="IW50" s="53"/>
      <c r="IX50" s="53"/>
      <c r="IY50" s="53"/>
    </row>
    <row r="51" spans="1:259" s="1" customFormat="1" ht="24.6" hidden="1" customHeight="1">
      <c r="A51" s="15">
        <v>43</v>
      </c>
      <c r="B51" s="101" t="s">
        <v>384</v>
      </c>
      <c r="C51" s="26" t="s">
        <v>158</v>
      </c>
      <c r="D51" s="23" t="s">
        <v>159</v>
      </c>
      <c r="E51" s="34" t="s">
        <v>124</v>
      </c>
      <c r="F51" s="19">
        <v>0.58407079646017701</v>
      </c>
      <c r="G51" s="19">
        <v>0.58407079646017701</v>
      </c>
      <c r="H51" s="20">
        <f t="shared" si="8"/>
        <v>0.52566371681415935</v>
      </c>
      <c r="I51" s="19">
        <v>0</v>
      </c>
      <c r="J51" s="19">
        <v>0</v>
      </c>
      <c r="K51" s="48" t="s">
        <v>125</v>
      </c>
      <c r="L51" s="19">
        <f t="shared" si="7"/>
        <v>0.58407079646017701</v>
      </c>
      <c r="M51" s="20">
        <f t="shared" si="2"/>
        <v>0.52566371681415935</v>
      </c>
      <c r="N51" s="38" t="s">
        <v>97</v>
      </c>
      <c r="O51" s="38" t="s">
        <v>97</v>
      </c>
      <c r="P51" s="19"/>
      <c r="Q51" s="60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  <c r="HG51" s="53"/>
      <c r="HH51" s="53"/>
      <c r="HI51" s="53"/>
      <c r="HJ51" s="53"/>
      <c r="HK51" s="53"/>
      <c r="HL51" s="53"/>
      <c r="HM51" s="53"/>
      <c r="HN51" s="53"/>
      <c r="HO51" s="53"/>
      <c r="HP51" s="53"/>
      <c r="HQ51" s="53"/>
      <c r="HR51" s="53"/>
      <c r="HS51" s="53"/>
      <c r="HT51" s="53"/>
      <c r="HU51" s="53"/>
      <c r="HV51" s="53"/>
      <c r="HW51" s="53"/>
      <c r="HX51" s="53"/>
      <c r="HY51" s="53"/>
      <c r="HZ51" s="53"/>
      <c r="IA51" s="53"/>
      <c r="IB51" s="53"/>
      <c r="IC51" s="53"/>
      <c r="ID51" s="53"/>
      <c r="IE51" s="53"/>
      <c r="IF51" s="53"/>
      <c r="IG51" s="53"/>
      <c r="IH51" s="53"/>
      <c r="II51" s="53"/>
      <c r="IJ51" s="53"/>
      <c r="IK51" s="53"/>
      <c r="IL51" s="53"/>
      <c r="IM51" s="53"/>
      <c r="IN51" s="53"/>
      <c r="IO51" s="53"/>
      <c r="IP51" s="53"/>
      <c r="IQ51" s="53"/>
      <c r="IR51" s="53"/>
      <c r="IS51" s="53"/>
      <c r="IT51" s="53"/>
      <c r="IU51" s="53"/>
      <c r="IV51" s="53"/>
      <c r="IW51" s="53"/>
      <c r="IX51" s="53"/>
      <c r="IY51" s="53"/>
    </row>
    <row r="52" spans="1:259" s="1" customFormat="1" ht="24.6" hidden="1" customHeight="1">
      <c r="A52" s="15">
        <v>44</v>
      </c>
      <c r="B52" s="101" t="s">
        <v>160</v>
      </c>
      <c r="C52" s="26" t="s">
        <v>161</v>
      </c>
      <c r="D52" s="23" t="s">
        <v>162</v>
      </c>
      <c r="E52" s="34" t="s">
        <v>124</v>
      </c>
      <c r="F52" s="19">
        <v>1.10619469026549</v>
      </c>
      <c r="G52" s="19">
        <v>1.10619469026549</v>
      </c>
      <c r="H52" s="20">
        <f t="shared" si="8"/>
        <v>0.99557522123894104</v>
      </c>
      <c r="I52" s="19">
        <v>0</v>
      </c>
      <c r="J52" s="19">
        <v>0</v>
      </c>
      <c r="K52" s="48" t="s">
        <v>125</v>
      </c>
      <c r="L52" s="19">
        <f t="shared" si="7"/>
        <v>1.10619469026549</v>
      </c>
      <c r="M52" s="20">
        <f t="shared" si="2"/>
        <v>0.99557522123894104</v>
      </c>
      <c r="N52" s="38">
        <v>1.1062000000000001</v>
      </c>
      <c r="O52" s="39">
        <v>230</v>
      </c>
      <c r="P52" s="19"/>
      <c r="Q52" s="60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3"/>
      <c r="FE52" s="53"/>
      <c r="FF52" s="53"/>
      <c r="FG52" s="53"/>
      <c r="FH52" s="53"/>
      <c r="FI52" s="53"/>
      <c r="FJ52" s="53"/>
      <c r="FK52" s="53"/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3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53"/>
      <c r="GN52" s="53"/>
      <c r="GO52" s="53"/>
      <c r="GP52" s="53"/>
      <c r="GQ52" s="53"/>
      <c r="GR52" s="53"/>
      <c r="GS52" s="53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3"/>
      <c r="HF52" s="53"/>
      <c r="HG52" s="53"/>
      <c r="HH52" s="53"/>
      <c r="HI52" s="53"/>
      <c r="HJ52" s="53"/>
      <c r="HK52" s="53"/>
      <c r="HL52" s="53"/>
      <c r="HM52" s="53"/>
      <c r="HN52" s="53"/>
      <c r="HO52" s="53"/>
      <c r="HP52" s="53"/>
      <c r="HQ52" s="53"/>
      <c r="HR52" s="53"/>
      <c r="HS52" s="53"/>
      <c r="HT52" s="53"/>
      <c r="HU52" s="53"/>
      <c r="HV52" s="53"/>
      <c r="HW52" s="53"/>
      <c r="HX52" s="53"/>
      <c r="HY52" s="53"/>
      <c r="HZ52" s="53"/>
      <c r="IA52" s="53"/>
      <c r="IB52" s="53"/>
      <c r="IC52" s="53"/>
      <c r="ID52" s="53"/>
      <c r="IE52" s="53"/>
      <c r="IF52" s="53"/>
      <c r="IG52" s="53"/>
      <c r="IH52" s="53"/>
      <c r="II52" s="53"/>
      <c r="IJ52" s="53"/>
      <c r="IK52" s="53"/>
      <c r="IL52" s="53"/>
      <c r="IM52" s="53"/>
      <c r="IN52" s="53"/>
      <c r="IO52" s="53"/>
      <c r="IP52" s="53"/>
      <c r="IQ52" s="53"/>
      <c r="IR52" s="53"/>
      <c r="IS52" s="53"/>
      <c r="IT52" s="53"/>
      <c r="IU52" s="53"/>
      <c r="IV52" s="53"/>
      <c r="IW52" s="53"/>
      <c r="IX52" s="53"/>
      <c r="IY52" s="53"/>
    </row>
    <row r="53" spans="1:259" s="1" customFormat="1" ht="24.6" hidden="1" customHeight="1">
      <c r="A53" s="15">
        <v>45</v>
      </c>
      <c r="B53" s="101" t="s">
        <v>163</v>
      </c>
      <c r="C53" s="26" t="s">
        <v>164</v>
      </c>
      <c r="D53" s="23" t="s">
        <v>165</v>
      </c>
      <c r="E53" s="34" t="s">
        <v>124</v>
      </c>
      <c r="F53" s="19">
        <v>1.10619469026549</v>
      </c>
      <c r="G53" s="19">
        <v>1.10619469026549</v>
      </c>
      <c r="H53" s="20">
        <f t="shared" si="8"/>
        <v>0.99557522123894104</v>
      </c>
      <c r="I53" s="19">
        <v>0</v>
      </c>
      <c r="J53" s="19">
        <v>0</v>
      </c>
      <c r="K53" s="48" t="s">
        <v>125</v>
      </c>
      <c r="L53" s="19">
        <f t="shared" si="7"/>
        <v>1.10619469026549</v>
      </c>
      <c r="M53" s="20">
        <f t="shared" si="2"/>
        <v>0.99557522123894104</v>
      </c>
      <c r="N53" s="38">
        <v>1.1062000000000001</v>
      </c>
      <c r="O53" s="39">
        <v>230</v>
      </c>
      <c r="P53" s="19"/>
      <c r="Q53" s="60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</row>
    <row r="54" spans="1:259" s="1" customFormat="1" ht="24.6" hidden="1" customHeight="1">
      <c r="A54" s="15">
        <v>46</v>
      </c>
      <c r="B54" s="101" t="s">
        <v>166</v>
      </c>
      <c r="C54" s="26" t="s">
        <v>167</v>
      </c>
      <c r="D54" s="23" t="s">
        <v>168</v>
      </c>
      <c r="E54" s="34" t="s">
        <v>124</v>
      </c>
      <c r="F54" s="19">
        <v>0.49475999999999998</v>
      </c>
      <c r="G54" s="19">
        <v>0.49475999999999998</v>
      </c>
      <c r="H54" s="20">
        <f t="shared" si="8"/>
        <v>0.44528400000000001</v>
      </c>
      <c r="I54" s="19">
        <v>0</v>
      </c>
      <c r="J54" s="19">
        <v>0</v>
      </c>
      <c r="K54" s="48" t="s">
        <v>125</v>
      </c>
      <c r="L54" s="19">
        <f t="shared" si="7"/>
        <v>0.49475999999999998</v>
      </c>
      <c r="M54" s="20">
        <f t="shared" si="2"/>
        <v>0.44528400000000001</v>
      </c>
      <c r="N54" s="20">
        <v>0.49475999999999998</v>
      </c>
      <c r="O54" s="39">
        <v>230</v>
      </c>
      <c r="P54" s="19"/>
      <c r="Q54" s="60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3"/>
      <c r="FE54" s="53"/>
      <c r="FF54" s="53"/>
      <c r="FG54" s="53"/>
      <c r="FH54" s="53"/>
      <c r="FI54" s="53"/>
      <c r="FJ54" s="53"/>
      <c r="FK54" s="53"/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3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53"/>
      <c r="GN54" s="53"/>
      <c r="GO54" s="53"/>
      <c r="GP54" s="53"/>
      <c r="GQ54" s="53"/>
      <c r="GR54" s="53"/>
      <c r="GS54" s="53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3"/>
      <c r="HF54" s="53"/>
      <c r="HG54" s="53"/>
      <c r="HH54" s="53"/>
      <c r="HI54" s="53"/>
      <c r="HJ54" s="53"/>
      <c r="HK54" s="53"/>
      <c r="HL54" s="53"/>
      <c r="HM54" s="53"/>
      <c r="HN54" s="53"/>
      <c r="HO54" s="53"/>
      <c r="HP54" s="53"/>
      <c r="HQ54" s="53"/>
      <c r="HR54" s="53"/>
      <c r="HS54" s="53"/>
      <c r="HT54" s="53"/>
      <c r="HU54" s="53"/>
      <c r="HV54" s="53"/>
      <c r="HW54" s="53"/>
      <c r="HX54" s="53"/>
      <c r="HY54" s="53"/>
      <c r="HZ54" s="53"/>
      <c r="IA54" s="53"/>
      <c r="IB54" s="53"/>
      <c r="IC54" s="53"/>
      <c r="ID54" s="53"/>
      <c r="IE54" s="53"/>
      <c r="IF54" s="53"/>
      <c r="IG54" s="53"/>
      <c r="IH54" s="53"/>
      <c r="II54" s="53"/>
      <c r="IJ54" s="53"/>
      <c r="IK54" s="53"/>
      <c r="IL54" s="53"/>
      <c r="IM54" s="53"/>
      <c r="IN54" s="53"/>
      <c r="IO54" s="53"/>
      <c r="IP54" s="53"/>
      <c r="IQ54" s="53"/>
      <c r="IR54" s="53"/>
      <c r="IS54" s="53"/>
      <c r="IT54" s="53"/>
      <c r="IU54" s="53"/>
      <c r="IV54" s="53"/>
      <c r="IW54" s="53"/>
      <c r="IX54" s="53"/>
      <c r="IY54" s="53"/>
    </row>
    <row r="55" spans="1:259" s="1" customFormat="1" ht="24.6" hidden="1" customHeight="1">
      <c r="A55" s="15">
        <v>47</v>
      </c>
      <c r="B55" s="101" t="s">
        <v>169</v>
      </c>
      <c r="C55" s="26" t="s">
        <v>170</v>
      </c>
      <c r="D55" s="23" t="s">
        <v>171</v>
      </c>
      <c r="E55" s="34" t="s">
        <v>124</v>
      </c>
      <c r="F55" s="19">
        <v>0.20086999999999999</v>
      </c>
      <c r="G55" s="19">
        <v>0.20086999999999999</v>
      </c>
      <c r="H55" s="20">
        <f t="shared" si="8"/>
        <v>0.180783</v>
      </c>
      <c r="I55" s="19">
        <v>0</v>
      </c>
      <c r="J55" s="19">
        <v>0</v>
      </c>
      <c r="K55" s="48" t="s">
        <v>125</v>
      </c>
      <c r="L55" s="19">
        <f t="shared" si="7"/>
        <v>0.20086999999999999</v>
      </c>
      <c r="M55" s="20">
        <f t="shared" si="2"/>
        <v>0.180783</v>
      </c>
      <c r="N55" s="20">
        <v>0.20086999999999999</v>
      </c>
      <c r="O55" s="39">
        <v>230</v>
      </c>
      <c r="P55" s="19"/>
      <c r="Q55" s="60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3"/>
      <c r="FF55" s="53"/>
      <c r="FG55" s="53"/>
      <c r="FH55" s="53"/>
      <c r="FI55" s="53"/>
      <c r="FJ55" s="53"/>
      <c r="FK55" s="53"/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3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53"/>
      <c r="GN55" s="53"/>
      <c r="GO55" s="53"/>
      <c r="GP55" s="53"/>
      <c r="GQ55" s="53"/>
      <c r="GR55" s="53"/>
      <c r="GS55" s="53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3"/>
      <c r="HF55" s="53"/>
      <c r="HG55" s="53"/>
      <c r="HH55" s="53"/>
      <c r="HI55" s="53"/>
      <c r="HJ55" s="53"/>
      <c r="HK55" s="53"/>
      <c r="HL55" s="53"/>
      <c r="HM55" s="53"/>
      <c r="HN55" s="53"/>
      <c r="HO55" s="53"/>
      <c r="HP55" s="53"/>
      <c r="HQ55" s="53"/>
      <c r="HR55" s="53"/>
      <c r="HS55" s="53"/>
      <c r="HT55" s="53"/>
      <c r="HU55" s="53"/>
      <c r="HV55" s="53"/>
      <c r="HW55" s="53"/>
      <c r="HX55" s="53"/>
      <c r="HY55" s="53"/>
      <c r="HZ55" s="53"/>
      <c r="IA55" s="53"/>
      <c r="IB55" s="53"/>
      <c r="IC55" s="53"/>
      <c r="ID55" s="53"/>
      <c r="IE55" s="53"/>
      <c r="IF55" s="53"/>
      <c r="IG55" s="53"/>
      <c r="IH55" s="53"/>
      <c r="II55" s="53"/>
      <c r="IJ55" s="53"/>
      <c r="IK55" s="53"/>
      <c r="IL55" s="53"/>
      <c r="IM55" s="53"/>
      <c r="IN55" s="53"/>
      <c r="IO55" s="53"/>
      <c r="IP55" s="53"/>
      <c r="IQ55" s="53"/>
      <c r="IR55" s="53"/>
      <c r="IS55" s="53"/>
      <c r="IT55" s="53"/>
      <c r="IU55" s="53"/>
      <c r="IV55" s="53"/>
      <c r="IW55" s="53"/>
      <c r="IX55" s="53"/>
      <c r="IY55" s="53"/>
    </row>
    <row r="56" spans="1:259" s="1" customFormat="1" ht="24.6" hidden="1" customHeight="1">
      <c r="A56" s="15">
        <v>48</v>
      </c>
      <c r="B56" s="101" t="s">
        <v>172</v>
      </c>
      <c r="C56" s="26" t="s">
        <v>173</v>
      </c>
      <c r="D56" s="23" t="s">
        <v>174</v>
      </c>
      <c r="E56" s="34" t="s">
        <v>124</v>
      </c>
      <c r="F56" s="19">
        <v>0.16014</v>
      </c>
      <c r="G56" s="19">
        <v>0.16014</v>
      </c>
      <c r="H56" s="20">
        <f t="shared" si="8"/>
        <v>0.144126</v>
      </c>
      <c r="I56" s="19">
        <v>0</v>
      </c>
      <c r="J56" s="19">
        <v>0</v>
      </c>
      <c r="K56" s="48" t="s">
        <v>125</v>
      </c>
      <c r="L56" s="19">
        <f t="shared" si="7"/>
        <v>0.16014</v>
      </c>
      <c r="M56" s="20">
        <f t="shared" si="2"/>
        <v>0.144126</v>
      </c>
      <c r="N56" s="20">
        <v>0.16014</v>
      </c>
      <c r="O56" s="39">
        <v>230</v>
      </c>
      <c r="P56" s="19"/>
      <c r="Q56" s="60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3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3"/>
      <c r="HF56" s="53"/>
      <c r="HG56" s="53"/>
      <c r="HH56" s="53"/>
      <c r="HI56" s="53"/>
      <c r="HJ56" s="53"/>
      <c r="HK56" s="53"/>
      <c r="HL56" s="53"/>
      <c r="HM56" s="53"/>
      <c r="HN56" s="53"/>
      <c r="HO56" s="53"/>
      <c r="HP56" s="53"/>
      <c r="HQ56" s="53"/>
      <c r="HR56" s="53"/>
      <c r="HS56" s="53"/>
      <c r="HT56" s="53"/>
      <c r="HU56" s="53"/>
      <c r="HV56" s="53"/>
      <c r="HW56" s="53"/>
      <c r="HX56" s="53"/>
      <c r="HY56" s="53"/>
      <c r="HZ56" s="53"/>
      <c r="IA56" s="53"/>
      <c r="IB56" s="53"/>
      <c r="IC56" s="53"/>
      <c r="ID56" s="53"/>
      <c r="IE56" s="53"/>
      <c r="IF56" s="53"/>
      <c r="IG56" s="53"/>
      <c r="IH56" s="53"/>
      <c r="II56" s="53"/>
      <c r="IJ56" s="53"/>
      <c r="IK56" s="53"/>
      <c r="IL56" s="53"/>
      <c r="IM56" s="53"/>
      <c r="IN56" s="53"/>
      <c r="IO56" s="53"/>
      <c r="IP56" s="53"/>
      <c r="IQ56" s="53"/>
      <c r="IR56" s="53"/>
      <c r="IS56" s="53"/>
      <c r="IT56" s="53"/>
      <c r="IU56" s="53"/>
      <c r="IV56" s="53"/>
      <c r="IW56" s="53"/>
      <c r="IX56" s="53"/>
      <c r="IY56" s="53"/>
    </row>
    <row r="57" spans="1:259" s="1" customFormat="1" ht="24.6" hidden="1" customHeight="1">
      <c r="A57" s="15">
        <v>49</v>
      </c>
      <c r="B57" s="101" t="s">
        <v>175</v>
      </c>
      <c r="C57" s="26" t="s">
        <v>176</v>
      </c>
      <c r="D57" s="23" t="s">
        <v>177</v>
      </c>
      <c r="E57" s="34" t="s">
        <v>124</v>
      </c>
      <c r="F57" s="19">
        <v>0.15044247787610601</v>
      </c>
      <c r="G57" s="19">
        <v>0.15044247787610601</v>
      </c>
      <c r="H57" s="20">
        <f t="shared" si="8"/>
        <v>0.13539823008849541</v>
      </c>
      <c r="I57" s="19">
        <v>0</v>
      </c>
      <c r="J57" s="19">
        <v>0</v>
      </c>
      <c r="K57" s="48" t="s">
        <v>125</v>
      </c>
      <c r="L57" s="19">
        <f t="shared" si="7"/>
        <v>0.15044247787610601</v>
      </c>
      <c r="M57" s="20">
        <f t="shared" si="2"/>
        <v>0.13539823008849541</v>
      </c>
      <c r="N57" s="38">
        <v>0.15037</v>
      </c>
      <c r="O57" s="39">
        <v>230</v>
      </c>
      <c r="P57" s="19"/>
      <c r="Q57" s="60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3"/>
      <c r="IP57" s="53"/>
      <c r="IQ57" s="53"/>
      <c r="IR57" s="53"/>
      <c r="IS57" s="53"/>
      <c r="IT57" s="53"/>
      <c r="IU57" s="53"/>
      <c r="IV57" s="53"/>
      <c r="IW57" s="53"/>
      <c r="IX57" s="53"/>
      <c r="IY57" s="53"/>
    </row>
    <row r="58" spans="1:259" s="1" customFormat="1" ht="24.6" customHeight="1">
      <c r="A58" s="15">
        <v>50</v>
      </c>
      <c r="B58" s="25" t="s">
        <v>178</v>
      </c>
      <c r="C58" s="26" t="s">
        <v>179</v>
      </c>
      <c r="D58" s="23" t="s">
        <v>180</v>
      </c>
      <c r="E58" s="34" t="s">
        <v>124</v>
      </c>
      <c r="F58" s="19">
        <v>8.2076923076923103E-2</v>
      </c>
      <c r="G58" s="19">
        <v>8.2076923076923103E-2</v>
      </c>
      <c r="H58" s="20">
        <f t="shared" si="8"/>
        <v>7.3869230769230798E-2</v>
      </c>
      <c r="I58" s="19">
        <v>0</v>
      </c>
      <c r="J58" s="19">
        <v>0</v>
      </c>
      <c r="K58" s="48" t="s">
        <v>125</v>
      </c>
      <c r="L58" s="19">
        <f t="shared" si="7"/>
        <v>8.2076923076923103E-2</v>
      </c>
      <c r="M58" s="20">
        <f t="shared" si="2"/>
        <v>7.3869230769230798E-2</v>
      </c>
      <c r="N58" s="51">
        <v>8.2100000000000006E-2</v>
      </c>
      <c r="O58" s="52">
        <v>210</v>
      </c>
      <c r="P58" s="19"/>
      <c r="Q58" s="60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</row>
    <row r="59" spans="1:259" s="1" customFormat="1" ht="24.6" customHeight="1">
      <c r="A59" s="15">
        <v>51</v>
      </c>
      <c r="B59" s="25" t="s">
        <v>181</v>
      </c>
      <c r="C59" s="35" t="s">
        <v>182</v>
      </c>
      <c r="D59" s="23" t="s">
        <v>183</v>
      </c>
      <c r="E59" s="34" t="s">
        <v>124</v>
      </c>
      <c r="F59" s="19">
        <v>5.7453846153846098E-2</v>
      </c>
      <c r="G59" s="19">
        <v>5.7453846153846098E-2</v>
      </c>
      <c r="H59" s="20">
        <f t="shared" si="8"/>
        <v>5.1708461538461488E-2</v>
      </c>
      <c r="I59" s="19">
        <v>0</v>
      </c>
      <c r="J59" s="19">
        <v>0</v>
      </c>
      <c r="K59" s="48" t="s">
        <v>125</v>
      </c>
      <c r="L59" s="19">
        <f t="shared" si="7"/>
        <v>5.7453846153846098E-2</v>
      </c>
      <c r="M59" s="20">
        <f t="shared" si="2"/>
        <v>5.1708461538461488E-2</v>
      </c>
      <c r="N59" s="38">
        <v>5.7500000000000002E-2</v>
      </c>
      <c r="O59" s="39">
        <v>210</v>
      </c>
      <c r="P59" s="19"/>
      <c r="Q59" s="60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3"/>
      <c r="HF59" s="53"/>
      <c r="HG59" s="53"/>
      <c r="HH59" s="53"/>
      <c r="HI59" s="53"/>
      <c r="HJ59" s="53"/>
      <c r="HK59" s="53"/>
      <c r="HL59" s="53"/>
      <c r="HM59" s="53"/>
      <c r="HN59" s="53"/>
      <c r="HO59" s="53"/>
      <c r="HP59" s="53"/>
      <c r="HQ59" s="53"/>
      <c r="HR59" s="53"/>
      <c r="HS59" s="53"/>
      <c r="HT59" s="53"/>
      <c r="HU59" s="53"/>
      <c r="HV59" s="53"/>
      <c r="HW59" s="53"/>
      <c r="HX59" s="53"/>
      <c r="HY59" s="53"/>
      <c r="HZ59" s="53"/>
      <c r="IA59" s="53"/>
      <c r="IB59" s="53"/>
      <c r="IC59" s="53"/>
      <c r="ID59" s="53"/>
      <c r="IE59" s="53"/>
      <c r="IF59" s="53"/>
      <c r="IG59" s="53"/>
      <c r="IH59" s="53"/>
      <c r="II59" s="53"/>
      <c r="IJ59" s="53"/>
      <c r="IK59" s="53"/>
      <c r="IL59" s="53"/>
      <c r="IM59" s="53"/>
      <c r="IN59" s="53"/>
      <c r="IO59" s="53"/>
      <c r="IP59" s="53"/>
      <c r="IQ59" s="53"/>
      <c r="IR59" s="53"/>
    </row>
    <row r="60" spans="1:259" s="1" customFormat="1" ht="24.6" customHeight="1">
      <c r="A60" s="15">
        <v>52</v>
      </c>
      <c r="B60" s="25" t="s">
        <v>184</v>
      </c>
      <c r="C60" s="35" t="s">
        <v>185</v>
      </c>
      <c r="D60" s="23" t="s">
        <v>186</v>
      </c>
      <c r="E60" s="34" t="s">
        <v>124</v>
      </c>
      <c r="F60" s="19">
        <v>6.5661538461538493E-2</v>
      </c>
      <c r="G60" s="19">
        <v>6.5661538461538493E-2</v>
      </c>
      <c r="H60" s="20">
        <f t="shared" si="8"/>
        <v>5.9095384615384647E-2</v>
      </c>
      <c r="I60" s="19">
        <v>0</v>
      </c>
      <c r="J60" s="19">
        <v>0</v>
      </c>
      <c r="K60" s="48" t="s">
        <v>125</v>
      </c>
      <c r="L60" s="19">
        <f t="shared" si="7"/>
        <v>6.5661538461538493E-2</v>
      </c>
      <c r="M60" s="20">
        <f t="shared" si="2"/>
        <v>5.9095384615384647E-2</v>
      </c>
      <c r="N60" s="38">
        <v>6.5699999999999995E-2</v>
      </c>
      <c r="O60" s="25">
        <v>210</v>
      </c>
      <c r="P60" s="19"/>
      <c r="Q60" s="60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  <c r="HG60" s="53"/>
      <c r="HH60" s="53"/>
      <c r="HI60" s="53"/>
      <c r="HJ60" s="53"/>
      <c r="HK60" s="53"/>
      <c r="HL60" s="53"/>
      <c r="HM60" s="53"/>
      <c r="HN60" s="53"/>
      <c r="HO60" s="53"/>
      <c r="HP60" s="53"/>
      <c r="HQ60" s="53"/>
      <c r="HR60" s="53"/>
      <c r="HS60" s="53"/>
      <c r="HT60" s="53"/>
      <c r="HU60" s="53"/>
      <c r="HV60" s="53"/>
      <c r="HW60" s="53"/>
      <c r="HX60" s="53"/>
      <c r="HY60" s="53"/>
      <c r="HZ60" s="53"/>
      <c r="IA60" s="53"/>
      <c r="IB60" s="53"/>
      <c r="IC60" s="53"/>
      <c r="ID60" s="53"/>
      <c r="IE60" s="53"/>
      <c r="IF60" s="53"/>
      <c r="IG60" s="53"/>
      <c r="IH60" s="53"/>
      <c r="II60" s="53"/>
      <c r="IJ60" s="53"/>
      <c r="IK60" s="53"/>
      <c r="IL60" s="53"/>
      <c r="IM60" s="53"/>
      <c r="IN60" s="53"/>
      <c r="IO60" s="53"/>
      <c r="IP60" s="53"/>
      <c r="IQ60" s="53"/>
      <c r="IR60" s="53"/>
    </row>
    <row r="61" spans="1:259" s="1" customFormat="1" ht="24.6" customHeight="1">
      <c r="A61" s="15">
        <v>53</v>
      </c>
      <c r="B61" s="25" t="s">
        <v>187</v>
      </c>
      <c r="C61" s="26" t="s">
        <v>188</v>
      </c>
      <c r="D61" s="23" t="s">
        <v>189</v>
      </c>
      <c r="E61" s="34" t="s">
        <v>124</v>
      </c>
      <c r="F61" s="19">
        <v>0.114907692307693</v>
      </c>
      <c r="G61" s="19">
        <v>0.114907692307693</v>
      </c>
      <c r="H61" s="20">
        <f t="shared" si="8"/>
        <v>0.1034169230769237</v>
      </c>
      <c r="I61" s="19">
        <v>0</v>
      </c>
      <c r="J61" s="19">
        <v>0</v>
      </c>
      <c r="K61" s="48" t="s">
        <v>125</v>
      </c>
      <c r="L61" s="19">
        <f t="shared" si="7"/>
        <v>0.114907692307693</v>
      </c>
      <c r="M61" s="20">
        <f t="shared" si="2"/>
        <v>0.1034169230769237</v>
      </c>
      <c r="N61" s="38">
        <v>0.1149</v>
      </c>
      <c r="O61" s="39">
        <v>210</v>
      </c>
      <c r="P61" s="19"/>
      <c r="Q61" s="60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53"/>
      <c r="GN61" s="53"/>
      <c r="GO61" s="53"/>
      <c r="GP61" s="53"/>
      <c r="GQ61" s="53"/>
      <c r="GR61" s="53"/>
      <c r="GS61" s="53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3"/>
      <c r="HF61" s="53"/>
      <c r="HG61" s="53"/>
      <c r="HH61" s="53"/>
      <c r="HI61" s="53"/>
      <c r="HJ61" s="53"/>
      <c r="HK61" s="53"/>
      <c r="HL61" s="53"/>
      <c r="HM61" s="53"/>
      <c r="HN61" s="53"/>
      <c r="HO61" s="53"/>
      <c r="HP61" s="53"/>
      <c r="HQ61" s="53"/>
      <c r="HR61" s="53"/>
      <c r="HS61" s="53"/>
      <c r="HT61" s="53"/>
      <c r="HU61" s="53"/>
      <c r="HV61" s="53"/>
      <c r="HW61" s="53"/>
      <c r="HX61" s="53"/>
      <c r="HY61" s="53"/>
      <c r="HZ61" s="53"/>
      <c r="IA61" s="53"/>
      <c r="IB61" s="53"/>
      <c r="IC61" s="53"/>
      <c r="ID61" s="53"/>
      <c r="IE61" s="53"/>
      <c r="IF61" s="53"/>
      <c r="IG61" s="53"/>
      <c r="IH61" s="53"/>
      <c r="II61" s="53"/>
      <c r="IJ61" s="53"/>
      <c r="IK61" s="53"/>
      <c r="IL61" s="53"/>
      <c r="IM61" s="53"/>
      <c r="IN61" s="53"/>
      <c r="IO61" s="53"/>
      <c r="IP61" s="53"/>
      <c r="IQ61" s="53"/>
      <c r="IR61" s="53"/>
    </row>
    <row r="62" spans="1:259" s="1" customFormat="1" ht="24.6" customHeight="1">
      <c r="A62" s="15">
        <v>54</v>
      </c>
      <c r="B62" s="25" t="s">
        <v>190</v>
      </c>
      <c r="C62" s="26" t="s">
        <v>191</v>
      </c>
      <c r="D62" s="23" t="s">
        <v>192</v>
      </c>
      <c r="E62" s="34" t="s">
        <v>124</v>
      </c>
      <c r="F62" s="19">
        <v>7.3869230769230701E-2</v>
      </c>
      <c r="G62" s="19">
        <v>7.3869230769230701E-2</v>
      </c>
      <c r="H62" s="20">
        <f t="shared" si="8"/>
        <v>6.6482307692307632E-2</v>
      </c>
      <c r="I62" s="19">
        <v>0</v>
      </c>
      <c r="J62" s="19">
        <v>0</v>
      </c>
      <c r="K62" s="48" t="s">
        <v>125</v>
      </c>
      <c r="L62" s="19">
        <f t="shared" si="7"/>
        <v>7.3869230769230701E-2</v>
      </c>
      <c r="M62" s="20">
        <f t="shared" si="2"/>
        <v>6.6482307692307632E-2</v>
      </c>
      <c r="N62" s="38">
        <v>7.3899999999999993E-2</v>
      </c>
      <c r="O62" s="39">
        <v>210</v>
      </c>
      <c r="P62" s="19"/>
      <c r="Q62" s="60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3"/>
      <c r="HF62" s="53"/>
      <c r="HG62" s="53"/>
      <c r="HH62" s="53"/>
      <c r="HI62" s="53"/>
      <c r="HJ62" s="53"/>
      <c r="HK62" s="53"/>
      <c r="HL62" s="53"/>
      <c r="HM62" s="53"/>
      <c r="HN62" s="53"/>
      <c r="HO62" s="53"/>
      <c r="HP62" s="53"/>
      <c r="HQ62" s="53"/>
      <c r="HR62" s="53"/>
      <c r="HS62" s="53"/>
      <c r="HT62" s="53"/>
      <c r="HU62" s="53"/>
      <c r="HV62" s="53"/>
      <c r="HW62" s="53"/>
      <c r="HX62" s="53"/>
      <c r="HY62" s="53"/>
      <c r="HZ62" s="53"/>
      <c r="IA62" s="53"/>
      <c r="IB62" s="53"/>
      <c r="IC62" s="53"/>
      <c r="ID62" s="53"/>
      <c r="IE62" s="53"/>
      <c r="IF62" s="53"/>
      <c r="IG62" s="53"/>
      <c r="IH62" s="53"/>
      <c r="II62" s="53"/>
      <c r="IJ62" s="53"/>
      <c r="IK62" s="53"/>
      <c r="IL62" s="53"/>
      <c r="IM62" s="53"/>
      <c r="IN62" s="53"/>
      <c r="IO62" s="53"/>
      <c r="IP62" s="53"/>
      <c r="IQ62" s="53"/>
      <c r="IR62" s="53"/>
    </row>
    <row r="63" spans="1:259" s="1" customFormat="1" ht="24.6" customHeight="1">
      <c r="A63" s="15">
        <v>55</v>
      </c>
      <c r="B63" s="25" t="s">
        <v>193</v>
      </c>
      <c r="C63" s="26" t="s">
        <v>194</v>
      </c>
      <c r="D63" s="23" t="s">
        <v>195</v>
      </c>
      <c r="E63" s="34" t="s">
        <v>124</v>
      </c>
      <c r="F63" s="19">
        <v>4.9246153846153898E-2</v>
      </c>
      <c r="G63" s="19">
        <v>4.9246153846153898E-2</v>
      </c>
      <c r="H63" s="20">
        <f t="shared" si="8"/>
        <v>4.4321538461538509E-2</v>
      </c>
      <c r="I63" s="19">
        <v>0</v>
      </c>
      <c r="J63" s="19">
        <v>0</v>
      </c>
      <c r="K63" s="48" t="s">
        <v>125</v>
      </c>
      <c r="L63" s="19">
        <f t="shared" si="7"/>
        <v>4.9246153846153898E-2</v>
      </c>
      <c r="M63" s="20">
        <f t="shared" si="2"/>
        <v>4.4321538461538509E-2</v>
      </c>
      <c r="N63" s="38">
        <v>4.9200000000000001E-2</v>
      </c>
      <c r="O63" s="39">
        <v>210</v>
      </c>
      <c r="P63" s="19"/>
      <c r="Q63" s="60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3"/>
      <c r="FF63" s="53"/>
      <c r="FG63" s="53"/>
      <c r="FH63" s="53"/>
      <c r="FI63" s="53"/>
      <c r="FJ63" s="53"/>
      <c r="FK63" s="53"/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3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53"/>
      <c r="GN63" s="53"/>
      <c r="GO63" s="53"/>
      <c r="GP63" s="53"/>
      <c r="GQ63" s="53"/>
      <c r="GR63" s="53"/>
      <c r="GS63" s="53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3"/>
      <c r="HF63" s="53"/>
      <c r="HG63" s="53"/>
      <c r="HH63" s="53"/>
      <c r="HI63" s="53"/>
      <c r="HJ63" s="53"/>
      <c r="HK63" s="53"/>
      <c r="HL63" s="53"/>
      <c r="HM63" s="53"/>
      <c r="HN63" s="53"/>
      <c r="HO63" s="53"/>
      <c r="HP63" s="53"/>
      <c r="HQ63" s="53"/>
      <c r="HR63" s="53"/>
      <c r="HS63" s="53"/>
      <c r="HT63" s="53"/>
      <c r="HU63" s="53"/>
      <c r="HV63" s="53"/>
      <c r="HW63" s="53"/>
      <c r="HX63" s="53"/>
      <c r="HY63" s="53"/>
      <c r="HZ63" s="53"/>
      <c r="IA63" s="53"/>
      <c r="IB63" s="53"/>
      <c r="IC63" s="53"/>
      <c r="ID63" s="53"/>
      <c r="IE63" s="53"/>
      <c r="IF63" s="53"/>
      <c r="IG63" s="53"/>
      <c r="IH63" s="53"/>
      <c r="II63" s="53"/>
      <c r="IJ63" s="53"/>
      <c r="IK63" s="53"/>
      <c r="IL63" s="53"/>
      <c r="IM63" s="53"/>
      <c r="IN63" s="53"/>
      <c r="IO63" s="53"/>
      <c r="IP63" s="53"/>
      <c r="IQ63" s="53"/>
      <c r="IR63" s="53"/>
    </row>
    <row r="64" spans="1:259" s="1" customFormat="1" ht="24.6" customHeight="1">
      <c r="A64" s="15">
        <v>56</v>
      </c>
      <c r="B64" s="25" t="s">
        <v>196</v>
      </c>
      <c r="C64" s="26" t="s">
        <v>197</v>
      </c>
      <c r="D64" s="23" t="s">
        <v>198</v>
      </c>
      <c r="E64" s="34" t="s">
        <v>124</v>
      </c>
      <c r="F64" s="19">
        <v>7.3869230769230701E-2</v>
      </c>
      <c r="G64" s="19">
        <v>7.3869230769230701E-2</v>
      </c>
      <c r="H64" s="20">
        <f t="shared" si="8"/>
        <v>6.6482307692307632E-2</v>
      </c>
      <c r="I64" s="19">
        <v>0</v>
      </c>
      <c r="J64" s="19">
        <v>0</v>
      </c>
      <c r="K64" s="48" t="s">
        <v>125</v>
      </c>
      <c r="L64" s="19">
        <f t="shared" si="7"/>
        <v>7.3869230769230701E-2</v>
      </c>
      <c r="M64" s="20">
        <f t="shared" si="2"/>
        <v>6.6482307692307632E-2</v>
      </c>
      <c r="N64" s="38">
        <v>7.3899999999999993E-2</v>
      </c>
      <c r="O64" s="39">
        <v>210</v>
      </c>
      <c r="P64" s="19"/>
      <c r="Q64" s="60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</row>
    <row r="65" spans="1:252" s="1" customFormat="1" ht="24.6" customHeight="1">
      <c r="A65" s="15">
        <v>57</v>
      </c>
      <c r="B65" s="25" t="s">
        <v>199</v>
      </c>
      <c r="C65" s="26" t="s">
        <v>200</v>
      </c>
      <c r="D65" s="23" t="s">
        <v>201</v>
      </c>
      <c r="E65" s="34" t="s">
        <v>124</v>
      </c>
      <c r="F65" s="19">
        <v>6.5661538461538493E-2</v>
      </c>
      <c r="G65" s="19">
        <v>6.5661538461538493E-2</v>
      </c>
      <c r="H65" s="20">
        <f t="shared" si="8"/>
        <v>5.9095384615384647E-2</v>
      </c>
      <c r="I65" s="19">
        <v>0</v>
      </c>
      <c r="J65" s="19">
        <v>0</v>
      </c>
      <c r="K65" s="48" t="s">
        <v>125</v>
      </c>
      <c r="L65" s="19">
        <f t="shared" si="7"/>
        <v>6.5661538461538493E-2</v>
      </c>
      <c r="M65" s="20">
        <f t="shared" si="2"/>
        <v>5.9095384615384647E-2</v>
      </c>
      <c r="N65" s="38">
        <v>6.5699999999999995E-2</v>
      </c>
      <c r="O65" s="39">
        <v>210</v>
      </c>
      <c r="P65" s="19"/>
      <c r="Q65" s="60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3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53"/>
      <c r="GN65" s="53"/>
      <c r="GO65" s="53"/>
      <c r="GP65" s="53"/>
      <c r="GQ65" s="53"/>
      <c r="GR65" s="53"/>
      <c r="GS65" s="53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3"/>
      <c r="HF65" s="53"/>
      <c r="HG65" s="53"/>
      <c r="HH65" s="53"/>
      <c r="HI65" s="53"/>
      <c r="HJ65" s="53"/>
      <c r="HK65" s="53"/>
      <c r="HL65" s="53"/>
      <c r="HM65" s="53"/>
      <c r="HN65" s="53"/>
      <c r="HO65" s="53"/>
      <c r="HP65" s="53"/>
      <c r="HQ65" s="53"/>
      <c r="HR65" s="53"/>
      <c r="HS65" s="53"/>
      <c r="HT65" s="53"/>
      <c r="HU65" s="53"/>
      <c r="HV65" s="53"/>
      <c r="HW65" s="53"/>
      <c r="HX65" s="53"/>
      <c r="HY65" s="53"/>
      <c r="HZ65" s="53"/>
      <c r="IA65" s="53"/>
      <c r="IB65" s="53"/>
      <c r="IC65" s="53"/>
      <c r="ID65" s="53"/>
      <c r="IE65" s="53"/>
      <c r="IF65" s="53"/>
      <c r="IG65" s="53"/>
      <c r="IH65" s="53"/>
      <c r="II65" s="53"/>
      <c r="IJ65" s="53"/>
      <c r="IK65" s="53"/>
      <c r="IL65" s="53"/>
      <c r="IM65" s="53"/>
      <c r="IN65" s="53"/>
      <c r="IO65" s="53"/>
      <c r="IP65" s="53"/>
      <c r="IQ65" s="53"/>
      <c r="IR65" s="53"/>
    </row>
    <row r="66" spans="1:252" s="1" customFormat="1" ht="24.6" customHeight="1">
      <c r="A66" s="15">
        <v>58</v>
      </c>
      <c r="B66" s="25" t="s">
        <v>202</v>
      </c>
      <c r="C66" s="26" t="s">
        <v>203</v>
      </c>
      <c r="D66" s="23" t="s">
        <v>204</v>
      </c>
      <c r="E66" s="34" t="s">
        <v>124</v>
      </c>
      <c r="F66" s="19">
        <v>0.114907692307693</v>
      </c>
      <c r="G66" s="19">
        <v>0.114907692307693</v>
      </c>
      <c r="H66" s="20">
        <f t="shared" si="8"/>
        <v>0.1034169230769237</v>
      </c>
      <c r="I66" s="19">
        <v>0</v>
      </c>
      <c r="J66" s="19">
        <v>0</v>
      </c>
      <c r="K66" s="48" t="s">
        <v>125</v>
      </c>
      <c r="L66" s="19">
        <f t="shared" si="7"/>
        <v>0.114907692307693</v>
      </c>
      <c r="M66" s="20">
        <f t="shared" si="2"/>
        <v>0.1034169230769237</v>
      </c>
      <c r="N66" s="38">
        <v>0.1149</v>
      </c>
      <c r="O66" s="39">
        <v>210</v>
      </c>
      <c r="P66" s="19"/>
      <c r="Q66" s="60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53"/>
      <c r="GN66" s="53"/>
      <c r="GO66" s="53"/>
      <c r="GP66" s="53"/>
      <c r="GQ66" s="53"/>
      <c r="GR66" s="53"/>
      <c r="GS66" s="53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3"/>
      <c r="HF66" s="53"/>
      <c r="HG66" s="53"/>
      <c r="HH66" s="53"/>
      <c r="HI66" s="53"/>
      <c r="HJ66" s="53"/>
      <c r="HK66" s="53"/>
      <c r="HL66" s="53"/>
      <c r="HM66" s="53"/>
      <c r="HN66" s="53"/>
      <c r="HO66" s="53"/>
      <c r="HP66" s="53"/>
      <c r="HQ66" s="53"/>
      <c r="HR66" s="53"/>
      <c r="HS66" s="53"/>
      <c r="HT66" s="53"/>
      <c r="HU66" s="53"/>
      <c r="HV66" s="53"/>
      <c r="HW66" s="53"/>
      <c r="HX66" s="53"/>
      <c r="HY66" s="53"/>
      <c r="HZ66" s="53"/>
      <c r="IA66" s="53"/>
      <c r="IB66" s="53"/>
      <c r="IC66" s="53"/>
      <c r="ID66" s="53"/>
      <c r="IE66" s="53"/>
      <c r="IF66" s="53"/>
      <c r="IG66" s="53"/>
      <c r="IH66" s="53"/>
      <c r="II66" s="53"/>
      <c r="IJ66" s="53"/>
      <c r="IK66" s="53"/>
      <c r="IL66" s="53"/>
      <c r="IM66" s="53"/>
      <c r="IN66" s="53"/>
      <c r="IO66" s="53"/>
      <c r="IP66" s="53"/>
      <c r="IQ66" s="53"/>
      <c r="IR66" s="53"/>
    </row>
    <row r="67" spans="1:252" s="1" customFormat="1" ht="24.6" customHeight="1">
      <c r="A67" s="15">
        <v>59</v>
      </c>
      <c r="B67" s="25" t="s">
        <v>205</v>
      </c>
      <c r="C67" s="26" t="s">
        <v>206</v>
      </c>
      <c r="D67" s="23" t="s">
        <v>207</v>
      </c>
      <c r="E67" s="34" t="s">
        <v>124</v>
      </c>
      <c r="F67" s="19">
        <v>0.37755384615384602</v>
      </c>
      <c r="G67" s="19">
        <v>0.37755384615384602</v>
      </c>
      <c r="H67" s="20">
        <f t="shared" si="8"/>
        <v>0.33979846153846144</v>
      </c>
      <c r="I67" s="19">
        <v>0</v>
      </c>
      <c r="J67" s="19">
        <v>0</v>
      </c>
      <c r="K67" s="48" t="s">
        <v>125</v>
      </c>
      <c r="L67" s="19">
        <f t="shared" si="7"/>
        <v>0.37755384615384602</v>
      </c>
      <c r="M67" s="20">
        <f t="shared" si="2"/>
        <v>0.33979846153846144</v>
      </c>
      <c r="N67" s="38">
        <v>0.37759999999999999</v>
      </c>
      <c r="O67" s="39">
        <v>210</v>
      </c>
      <c r="P67" s="19"/>
      <c r="Q67" s="60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3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53"/>
      <c r="GN67" s="53"/>
      <c r="GO67" s="53"/>
      <c r="GP67" s="53"/>
      <c r="GQ67" s="53"/>
      <c r="GR67" s="53"/>
      <c r="GS67" s="53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3"/>
      <c r="HF67" s="53"/>
      <c r="HG67" s="53"/>
      <c r="HH67" s="53"/>
      <c r="HI67" s="53"/>
      <c r="HJ67" s="53"/>
      <c r="HK67" s="53"/>
      <c r="HL67" s="53"/>
      <c r="HM67" s="53"/>
      <c r="HN67" s="53"/>
      <c r="HO67" s="53"/>
      <c r="HP67" s="53"/>
      <c r="HQ67" s="53"/>
      <c r="HR67" s="53"/>
      <c r="HS67" s="53"/>
      <c r="HT67" s="53"/>
      <c r="HU67" s="53"/>
      <c r="HV67" s="53"/>
      <c r="HW67" s="53"/>
      <c r="HX67" s="53"/>
      <c r="HY67" s="53"/>
      <c r="HZ67" s="53"/>
      <c r="IA67" s="53"/>
      <c r="IB67" s="53"/>
      <c r="IC67" s="53"/>
      <c r="ID67" s="53"/>
      <c r="IE67" s="53"/>
      <c r="IF67" s="53"/>
      <c r="IG67" s="53"/>
      <c r="IH67" s="53"/>
      <c r="II67" s="53"/>
      <c r="IJ67" s="53"/>
      <c r="IK67" s="53"/>
      <c r="IL67" s="53"/>
      <c r="IM67" s="53"/>
      <c r="IN67" s="53"/>
      <c r="IO67" s="53"/>
      <c r="IP67" s="53"/>
      <c r="IQ67" s="53"/>
      <c r="IR67" s="53"/>
    </row>
    <row r="68" spans="1:252" s="1" customFormat="1" ht="24.6" customHeight="1">
      <c r="A68" s="15">
        <v>60</v>
      </c>
      <c r="B68" s="25" t="s">
        <v>208</v>
      </c>
      <c r="C68" s="26" t="s">
        <v>209</v>
      </c>
      <c r="D68" s="23" t="s">
        <v>210</v>
      </c>
      <c r="E68" s="34" t="s">
        <v>124</v>
      </c>
      <c r="F68" s="19">
        <v>0.41859230769230799</v>
      </c>
      <c r="G68" s="19">
        <v>0.41859230769230799</v>
      </c>
      <c r="H68" s="20">
        <f t="shared" si="8"/>
        <v>0.37673307692307717</v>
      </c>
      <c r="I68" s="19">
        <v>0</v>
      </c>
      <c r="J68" s="19">
        <v>0</v>
      </c>
      <c r="K68" s="48" t="s">
        <v>125</v>
      </c>
      <c r="L68" s="19">
        <f t="shared" si="7"/>
        <v>0.41859230769230799</v>
      </c>
      <c r="M68" s="20">
        <f t="shared" si="2"/>
        <v>0.37673307692307717</v>
      </c>
      <c r="N68" s="51">
        <v>0.41860000000000003</v>
      </c>
      <c r="O68" s="52">
        <v>210</v>
      </c>
      <c r="P68" s="19"/>
      <c r="Q68" s="60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3"/>
      <c r="HF68" s="53"/>
      <c r="HG68" s="53"/>
      <c r="HH68" s="53"/>
      <c r="HI68" s="53"/>
      <c r="HJ68" s="53"/>
      <c r="HK68" s="53"/>
      <c r="HL68" s="53"/>
      <c r="HM68" s="53"/>
      <c r="HN68" s="53"/>
      <c r="HO68" s="53"/>
      <c r="HP68" s="53"/>
      <c r="HQ68" s="53"/>
      <c r="HR68" s="53"/>
      <c r="HS68" s="53"/>
      <c r="HT68" s="53"/>
      <c r="HU68" s="53"/>
      <c r="HV68" s="53"/>
      <c r="HW68" s="53"/>
      <c r="HX68" s="53"/>
      <c r="HY68" s="53"/>
      <c r="HZ68" s="53"/>
      <c r="IA68" s="53"/>
      <c r="IB68" s="53"/>
      <c r="IC68" s="53"/>
      <c r="ID68" s="53"/>
      <c r="IE68" s="53"/>
      <c r="IF68" s="53"/>
      <c r="IG68" s="53"/>
      <c r="IH68" s="53"/>
      <c r="II68" s="53"/>
      <c r="IJ68" s="53"/>
      <c r="IK68" s="53"/>
      <c r="IL68" s="53"/>
      <c r="IM68" s="53"/>
      <c r="IN68" s="53"/>
      <c r="IO68" s="53"/>
      <c r="IP68" s="53"/>
      <c r="IQ68" s="53"/>
      <c r="IR68" s="53"/>
    </row>
    <row r="69" spans="1:252" s="1" customFormat="1" ht="24.6" hidden="1" customHeight="1">
      <c r="A69" s="15">
        <v>61</v>
      </c>
      <c r="B69" s="101" t="s">
        <v>211</v>
      </c>
      <c r="C69" s="26" t="s">
        <v>212</v>
      </c>
      <c r="D69" s="23" t="s">
        <v>213</v>
      </c>
      <c r="E69" s="34" t="s">
        <v>124</v>
      </c>
      <c r="F69" s="19">
        <v>0.51708461538461603</v>
      </c>
      <c r="G69" s="19">
        <v>0.51708461538461603</v>
      </c>
      <c r="H69" s="20">
        <f t="shared" si="8"/>
        <v>0.46537615384615444</v>
      </c>
      <c r="I69" s="19">
        <v>0</v>
      </c>
      <c r="J69" s="19">
        <v>0</v>
      </c>
      <c r="K69" s="48" t="s">
        <v>125</v>
      </c>
      <c r="L69" s="19">
        <f t="shared" si="7"/>
        <v>0.51708461538461603</v>
      </c>
      <c r="M69" s="20">
        <f t="shared" si="2"/>
        <v>0.46537615384615444</v>
      </c>
      <c r="N69" s="38">
        <v>0.5171</v>
      </c>
      <c r="O69" s="39">
        <v>210</v>
      </c>
      <c r="P69" s="19"/>
      <c r="Q69" s="60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</row>
    <row r="70" spans="1:252" s="1" customFormat="1" ht="24.6" hidden="1" customHeight="1">
      <c r="A70" s="15">
        <v>62</v>
      </c>
      <c r="B70" s="101" t="s">
        <v>214</v>
      </c>
      <c r="C70" s="26" t="s">
        <v>215</v>
      </c>
      <c r="D70" s="23" t="s">
        <v>216</v>
      </c>
      <c r="E70" s="34" t="s">
        <v>124</v>
      </c>
      <c r="F70" s="19">
        <v>0.44321538461538501</v>
      </c>
      <c r="G70" s="19">
        <v>0.44321538461538501</v>
      </c>
      <c r="H70" s="20">
        <f t="shared" si="8"/>
        <v>0.39889384615384654</v>
      </c>
      <c r="I70" s="19">
        <v>0</v>
      </c>
      <c r="J70" s="19">
        <v>0</v>
      </c>
      <c r="K70" s="48" t="s">
        <v>125</v>
      </c>
      <c r="L70" s="19">
        <f t="shared" si="7"/>
        <v>0.44321538461538501</v>
      </c>
      <c r="M70" s="20">
        <f t="shared" si="2"/>
        <v>0.39889384615384654</v>
      </c>
      <c r="N70" s="38">
        <v>0.44319999999999998</v>
      </c>
      <c r="O70" s="39">
        <v>210</v>
      </c>
      <c r="P70" s="19"/>
      <c r="Q70" s="60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3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53"/>
      <c r="GN70" s="53"/>
      <c r="GO70" s="53"/>
      <c r="GP70" s="53"/>
      <c r="GQ70" s="53"/>
      <c r="GR70" s="53"/>
      <c r="GS70" s="53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3"/>
      <c r="HF70" s="53"/>
      <c r="HG70" s="53"/>
      <c r="HH70" s="53"/>
      <c r="HI70" s="53"/>
      <c r="HJ70" s="53"/>
      <c r="HK70" s="53"/>
      <c r="HL70" s="53"/>
      <c r="HM70" s="53"/>
      <c r="HN70" s="53"/>
      <c r="HO70" s="53"/>
      <c r="HP70" s="53"/>
      <c r="HQ70" s="53"/>
      <c r="HR70" s="53"/>
      <c r="HS70" s="53"/>
      <c r="HT70" s="53"/>
      <c r="HU70" s="53"/>
      <c r="HV70" s="53"/>
      <c r="HW70" s="53"/>
      <c r="HX70" s="53"/>
      <c r="HY70" s="53"/>
      <c r="HZ70" s="53"/>
      <c r="IA70" s="53"/>
      <c r="IB70" s="53"/>
      <c r="IC70" s="53"/>
      <c r="ID70" s="53"/>
      <c r="IE70" s="53"/>
      <c r="IF70" s="53"/>
      <c r="IG70" s="53"/>
      <c r="IH70" s="53"/>
      <c r="II70" s="53"/>
      <c r="IJ70" s="53"/>
      <c r="IK70" s="53"/>
      <c r="IL70" s="53"/>
      <c r="IM70" s="53"/>
      <c r="IN70" s="53"/>
      <c r="IO70" s="53"/>
      <c r="IP70" s="53"/>
      <c r="IQ70" s="53"/>
      <c r="IR70" s="53"/>
    </row>
    <row r="71" spans="1:252" s="1" customFormat="1" ht="24.6" hidden="1" customHeight="1">
      <c r="A71" s="15">
        <v>63</v>
      </c>
      <c r="B71" s="101" t="s">
        <v>217</v>
      </c>
      <c r="C71" s="26" t="s">
        <v>218</v>
      </c>
      <c r="D71" s="23" t="s">
        <v>219</v>
      </c>
      <c r="E71" s="34" t="s">
        <v>124</v>
      </c>
      <c r="F71" s="19">
        <v>0.123115384615384</v>
      </c>
      <c r="G71" s="19">
        <v>0.123115384615384</v>
      </c>
      <c r="H71" s="20">
        <f t="shared" si="8"/>
        <v>0.1108038461538456</v>
      </c>
      <c r="I71" s="19">
        <v>0</v>
      </c>
      <c r="J71" s="19">
        <v>0</v>
      </c>
      <c r="K71" s="48" t="s">
        <v>125</v>
      </c>
      <c r="L71" s="19">
        <f t="shared" si="7"/>
        <v>0.123115384615384</v>
      </c>
      <c r="M71" s="20">
        <f t="shared" si="2"/>
        <v>0.1108038461538456</v>
      </c>
      <c r="N71" s="51">
        <v>0.1231</v>
      </c>
      <c r="O71" s="52">
        <v>210</v>
      </c>
      <c r="P71" s="19"/>
      <c r="Q71" s="60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3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53"/>
      <c r="GN71" s="53"/>
      <c r="GO71" s="53"/>
      <c r="GP71" s="53"/>
      <c r="GQ71" s="53"/>
      <c r="GR71" s="53"/>
      <c r="GS71" s="53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3"/>
      <c r="HF71" s="53"/>
      <c r="HG71" s="53"/>
      <c r="HH71" s="53"/>
      <c r="HI71" s="53"/>
      <c r="HJ71" s="53"/>
      <c r="HK71" s="53"/>
      <c r="HL71" s="53"/>
      <c r="HM71" s="53"/>
      <c r="HN71" s="53"/>
      <c r="HO71" s="53"/>
      <c r="HP71" s="53"/>
      <c r="HQ71" s="53"/>
      <c r="HR71" s="53"/>
      <c r="HS71" s="53"/>
      <c r="HT71" s="53"/>
      <c r="HU71" s="53"/>
      <c r="HV71" s="53"/>
      <c r="HW71" s="53"/>
      <c r="HX71" s="53"/>
      <c r="HY71" s="53"/>
      <c r="HZ71" s="53"/>
      <c r="IA71" s="53"/>
      <c r="IB71" s="53"/>
      <c r="IC71" s="53"/>
      <c r="ID71" s="53"/>
      <c r="IE71" s="53"/>
      <c r="IF71" s="53"/>
      <c r="IG71" s="53"/>
      <c r="IH71" s="53"/>
      <c r="II71" s="53"/>
      <c r="IJ71" s="53"/>
      <c r="IK71" s="53"/>
      <c r="IL71" s="53"/>
      <c r="IM71" s="53"/>
      <c r="IN71" s="53"/>
      <c r="IO71" s="53"/>
      <c r="IP71" s="53"/>
      <c r="IQ71" s="53"/>
      <c r="IR71" s="53"/>
    </row>
    <row r="72" spans="1:252" s="1" customFormat="1" ht="24.6" hidden="1" customHeight="1">
      <c r="A72" s="15">
        <v>64</v>
      </c>
      <c r="B72" s="101" t="s">
        <v>220</v>
      </c>
      <c r="C72" s="26" t="s">
        <v>221</v>
      </c>
      <c r="D72" s="23" t="s">
        <v>222</v>
      </c>
      <c r="E72" s="34" t="s">
        <v>124</v>
      </c>
      <c r="F72" s="19">
        <v>0.27906153846153903</v>
      </c>
      <c r="G72" s="19">
        <v>0.27906153846153903</v>
      </c>
      <c r="H72" s="20">
        <f t="shared" si="8"/>
        <v>0.25115538461538511</v>
      </c>
      <c r="I72" s="19">
        <v>0</v>
      </c>
      <c r="J72" s="19">
        <v>0</v>
      </c>
      <c r="K72" s="48" t="s">
        <v>125</v>
      </c>
      <c r="L72" s="19">
        <f t="shared" si="7"/>
        <v>0.27906153846153903</v>
      </c>
      <c r="M72" s="20">
        <f t="shared" si="2"/>
        <v>0.25115538461538511</v>
      </c>
      <c r="N72" s="38">
        <v>0.27910000000000001</v>
      </c>
      <c r="O72" s="39">
        <v>210</v>
      </c>
      <c r="P72" s="19"/>
      <c r="Q72" s="60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3"/>
      <c r="FE72" s="53"/>
      <c r="FF72" s="53"/>
      <c r="FG72" s="53"/>
      <c r="FH72" s="53"/>
      <c r="FI72" s="53"/>
      <c r="FJ72" s="53"/>
      <c r="FK72" s="53"/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3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53"/>
      <c r="GN72" s="53"/>
      <c r="GO72" s="53"/>
      <c r="GP72" s="53"/>
      <c r="GQ72" s="53"/>
      <c r="GR72" s="53"/>
      <c r="GS72" s="53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3"/>
      <c r="HF72" s="53"/>
      <c r="HG72" s="53"/>
      <c r="HH72" s="53"/>
      <c r="HI72" s="53"/>
      <c r="HJ72" s="53"/>
      <c r="HK72" s="53"/>
      <c r="HL72" s="53"/>
      <c r="HM72" s="53"/>
      <c r="HN72" s="53"/>
      <c r="HO72" s="53"/>
      <c r="HP72" s="53"/>
      <c r="HQ72" s="53"/>
      <c r="HR72" s="53"/>
      <c r="HS72" s="53"/>
      <c r="HT72" s="53"/>
      <c r="HU72" s="53"/>
      <c r="HV72" s="53"/>
      <c r="HW72" s="53"/>
      <c r="HX72" s="53"/>
      <c r="HY72" s="53"/>
      <c r="HZ72" s="53"/>
      <c r="IA72" s="53"/>
      <c r="IB72" s="53"/>
      <c r="IC72" s="53"/>
      <c r="ID72" s="53"/>
      <c r="IE72" s="53"/>
      <c r="IF72" s="53"/>
      <c r="IG72" s="53"/>
      <c r="IH72" s="53"/>
      <c r="II72" s="53"/>
      <c r="IJ72" s="53"/>
      <c r="IK72" s="53"/>
      <c r="IL72" s="53"/>
      <c r="IM72" s="53"/>
      <c r="IN72" s="53"/>
      <c r="IO72" s="53"/>
      <c r="IP72" s="53"/>
      <c r="IQ72" s="53"/>
      <c r="IR72" s="53"/>
    </row>
    <row r="73" spans="1:252" s="1" customFormat="1" ht="24.6" hidden="1" customHeight="1">
      <c r="A73" s="15">
        <v>65</v>
      </c>
      <c r="B73" s="101" t="s">
        <v>223</v>
      </c>
      <c r="C73" s="26" t="s">
        <v>224</v>
      </c>
      <c r="D73" s="23" t="s">
        <v>225</v>
      </c>
      <c r="E73" s="34" t="s">
        <v>124</v>
      </c>
      <c r="F73" s="19">
        <v>0.15594615384615301</v>
      </c>
      <c r="G73" s="19">
        <v>0.15594615384615301</v>
      </c>
      <c r="H73" s="20">
        <f t="shared" si="8"/>
        <v>0.14035153846153772</v>
      </c>
      <c r="I73" s="19">
        <v>0</v>
      </c>
      <c r="J73" s="19">
        <v>0</v>
      </c>
      <c r="K73" s="48" t="s">
        <v>125</v>
      </c>
      <c r="L73" s="19">
        <f t="shared" si="7"/>
        <v>0.15594615384615301</v>
      </c>
      <c r="M73" s="20">
        <f t="shared" si="2"/>
        <v>0.14035153846153772</v>
      </c>
      <c r="N73" s="38">
        <v>0.15590000000000001</v>
      </c>
      <c r="O73" s="39">
        <v>210</v>
      </c>
      <c r="P73" s="19"/>
      <c r="Q73" s="60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3"/>
      <c r="FF73" s="53"/>
      <c r="FG73" s="53"/>
      <c r="FH73" s="53"/>
      <c r="FI73" s="53"/>
      <c r="FJ73" s="53"/>
      <c r="FK73" s="53"/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3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53"/>
      <c r="GN73" s="53"/>
      <c r="GO73" s="53"/>
      <c r="GP73" s="53"/>
      <c r="GQ73" s="53"/>
      <c r="GR73" s="53"/>
      <c r="GS73" s="53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3"/>
      <c r="HF73" s="53"/>
      <c r="HG73" s="53"/>
      <c r="HH73" s="53"/>
      <c r="HI73" s="53"/>
      <c r="HJ73" s="53"/>
      <c r="HK73" s="53"/>
      <c r="HL73" s="53"/>
      <c r="HM73" s="53"/>
      <c r="HN73" s="53"/>
      <c r="HO73" s="53"/>
      <c r="HP73" s="53"/>
      <c r="HQ73" s="53"/>
      <c r="HR73" s="53"/>
      <c r="HS73" s="53"/>
      <c r="HT73" s="53"/>
      <c r="HU73" s="53"/>
      <c r="HV73" s="53"/>
      <c r="HW73" s="53"/>
      <c r="HX73" s="53"/>
      <c r="HY73" s="53"/>
      <c r="HZ73" s="53"/>
      <c r="IA73" s="53"/>
      <c r="IB73" s="53"/>
      <c r="IC73" s="53"/>
      <c r="ID73" s="53"/>
      <c r="IE73" s="53"/>
      <c r="IF73" s="53"/>
      <c r="IG73" s="53"/>
      <c r="IH73" s="53"/>
      <c r="II73" s="53"/>
      <c r="IJ73" s="53"/>
      <c r="IK73" s="53"/>
      <c r="IL73" s="53"/>
      <c r="IM73" s="53"/>
      <c r="IN73" s="53"/>
      <c r="IO73" s="53"/>
      <c r="IP73" s="53"/>
      <c r="IQ73" s="53"/>
      <c r="IR73" s="53"/>
    </row>
    <row r="74" spans="1:252" s="1" customFormat="1" ht="24.6" customHeight="1">
      <c r="A74" s="15">
        <v>66</v>
      </c>
      <c r="B74" s="25" t="s">
        <v>226</v>
      </c>
      <c r="C74" s="26" t="s">
        <v>227</v>
      </c>
      <c r="D74" s="23" t="s">
        <v>424</v>
      </c>
      <c r="E74" s="34" t="s">
        <v>124</v>
      </c>
      <c r="F74" s="19">
        <v>0.36113846153846102</v>
      </c>
      <c r="G74" s="19">
        <v>0.36113846153846102</v>
      </c>
      <c r="H74" s="20">
        <f t="shared" si="8"/>
        <v>0.32502461538461491</v>
      </c>
      <c r="I74" s="19">
        <v>0</v>
      </c>
      <c r="J74" s="19">
        <v>0</v>
      </c>
      <c r="K74" s="48" t="s">
        <v>125</v>
      </c>
      <c r="L74" s="19">
        <f t="shared" si="7"/>
        <v>0.36113846153846102</v>
      </c>
      <c r="M74" s="20">
        <f t="shared" ref="M74:M105" si="9">H74+J74</f>
        <v>0.32502461538461491</v>
      </c>
      <c r="N74" s="38">
        <v>0.36109999999999998</v>
      </c>
      <c r="O74" s="39">
        <v>210</v>
      </c>
      <c r="P74" s="19"/>
      <c r="Q74" s="60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3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53"/>
      <c r="GN74" s="53"/>
      <c r="GO74" s="53"/>
      <c r="GP74" s="53"/>
      <c r="GQ74" s="53"/>
      <c r="GR74" s="53"/>
      <c r="GS74" s="53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3"/>
      <c r="HF74" s="53"/>
      <c r="HG74" s="53"/>
      <c r="HH74" s="53"/>
      <c r="HI74" s="53"/>
      <c r="HJ74" s="53"/>
      <c r="HK74" s="53"/>
      <c r="HL74" s="53"/>
      <c r="HM74" s="53"/>
      <c r="HN74" s="53"/>
      <c r="HO74" s="53"/>
      <c r="HP74" s="53"/>
      <c r="HQ74" s="53"/>
      <c r="HR74" s="53"/>
      <c r="HS74" s="53"/>
      <c r="HT74" s="53"/>
      <c r="HU74" s="53"/>
      <c r="HV74" s="53"/>
      <c r="HW74" s="53"/>
      <c r="HX74" s="53"/>
      <c r="HY74" s="53"/>
      <c r="HZ74" s="53"/>
      <c r="IA74" s="53"/>
      <c r="IB74" s="53"/>
      <c r="IC74" s="53"/>
      <c r="ID74" s="53"/>
      <c r="IE74" s="53"/>
      <c r="IF74" s="53"/>
      <c r="IG74" s="53"/>
      <c r="IH74" s="53"/>
      <c r="II74" s="53"/>
      <c r="IJ74" s="53"/>
      <c r="IK74" s="53"/>
      <c r="IL74" s="53"/>
      <c r="IM74" s="53"/>
      <c r="IN74" s="53"/>
      <c r="IO74" s="53"/>
      <c r="IP74" s="53"/>
      <c r="IQ74" s="53"/>
      <c r="IR74" s="53"/>
    </row>
    <row r="75" spans="1:252" s="1" customFormat="1" ht="24.6" hidden="1" customHeight="1">
      <c r="A75" s="15">
        <v>67</v>
      </c>
      <c r="B75" s="101" t="s">
        <v>228</v>
      </c>
      <c r="C75" s="26" t="s">
        <v>229</v>
      </c>
      <c r="D75" s="23" t="s">
        <v>230</v>
      </c>
      <c r="E75" s="34" t="s">
        <v>124</v>
      </c>
      <c r="F75" s="19">
        <v>1.2721923076923001</v>
      </c>
      <c r="G75" s="19">
        <v>1.2721923076923001</v>
      </c>
      <c r="H75" s="20">
        <f t="shared" si="8"/>
        <v>1.1449730769230702</v>
      </c>
      <c r="I75" s="19">
        <v>0</v>
      </c>
      <c r="J75" s="19">
        <v>0</v>
      </c>
      <c r="K75" s="48" t="s">
        <v>125</v>
      </c>
      <c r="L75" s="19">
        <f t="shared" si="7"/>
        <v>1.2721923076923001</v>
      </c>
      <c r="M75" s="20">
        <f t="shared" si="9"/>
        <v>1.1449730769230702</v>
      </c>
      <c r="N75" s="38">
        <v>1.2721899999999999</v>
      </c>
      <c r="O75" s="39">
        <v>230</v>
      </c>
      <c r="P75" s="19"/>
      <c r="Q75" s="60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53"/>
      <c r="GN75" s="53"/>
      <c r="GO75" s="53"/>
      <c r="GP75" s="53"/>
      <c r="GQ75" s="53"/>
      <c r="GR75" s="53"/>
      <c r="GS75" s="53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3"/>
      <c r="HF75" s="53"/>
      <c r="HG75" s="53"/>
      <c r="HH75" s="53"/>
      <c r="HI75" s="53"/>
      <c r="HJ75" s="53"/>
      <c r="HK75" s="53"/>
      <c r="HL75" s="53"/>
      <c r="HM75" s="53"/>
      <c r="HN75" s="53"/>
      <c r="HO75" s="53"/>
      <c r="HP75" s="53"/>
      <c r="HQ75" s="53"/>
      <c r="HR75" s="53"/>
      <c r="HS75" s="53"/>
      <c r="HT75" s="53"/>
      <c r="HU75" s="53"/>
      <c r="HV75" s="53"/>
      <c r="HW75" s="53"/>
      <c r="HX75" s="53"/>
      <c r="HY75" s="53"/>
      <c r="HZ75" s="53"/>
      <c r="IA75" s="53"/>
      <c r="IB75" s="53"/>
      <c r="IC75" s="53"/>
      <c r="ID75" s="53"/>
      <c r="IE75" s="53"/>
      <c r="IF75" s="53"/>
      <c r="IG75" s="53"/>
      <c r="IH75" s="53"/>
      <c r="II75" s="53"/>
      <c r="IJ75" s="53"/>
      <c r="IK75" s="53"/>
      <c r="IL75" s="53"/>
      <c r="IM75" s="53"/>
      <c r="IN75" s="53"/>
      <c r="IO75" s="53"/>
      <c r="IP75" s="53"/>
      <c r="IQ75" s="53"/>
      <c r="IR75" s="53"/>
    </row>
    <row r="76" spans="1:252" s="1" customFormat="1" ht="24.6" customHeight="1">
      <c r="A76" s="15">
        <v>68</v>
      </c>
      <c r="B76" s="25" t="s">
        <v>231</v>
      </c>
      <c r="C76" s="26" t="s">
        <v>498</v>
      </c>
      <c r="D76" s="23" t="s">
        <v>232</v>
      </c>
      <c r="E76" s="34" t="s">
        <v>124</v>
      </c>
      <c r="F76" s="19">
        <v>1.6169153846153801</v>
      </c>
      <c r="G76" s="19">
        <v>1.6169153846153801</v>
      </c>
      <c r="H76" s="20">
        <f t="shared" si="8"/>
        <v>1.455223846153842</v>
      </c>
      <c r="I76" s="19">
        <v>0</v>
      </c>
      <c r="J76" s="19">
        <v>0</v>
      </c>
      <c r="K76" s="48" t="s">
        <v>125</v>
      </c>
      <c r="L76" s="19">
        <f t="shared" si="7"/>
        <v>1.6169153846153801</v>
      </c>
      <c r="M76" s="20">
        <f t="shared" si="9"/>
        <v>1.455223846153842</v>
      </c>
      <c r="N76" s="38">
        <v>1.6169199999999999</v>
      </c>
      <c r="O76" s="39">
        <v>230</v>
      </c>
      <c r="P76" s="19"/>
      <c r="Q76" s="60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3"/>
      <c r="FF76" s="53"/>
      <c r="FG76" s="53"/>
      <c r="FH76" s="53"/>
      <c r="FI76" s="53"/>
      <c r="FJ76" s="53"/>
      <c r="FK76" s="53"/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3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53"/>
      <c r="GN76" s="53"/>
      <c r="GO76" s="53"/>
      <c r="GP76" s="53"/>
      <c r="GQ76" s="53"/>
      <c r="GR76" s="53"/>
      <c r="GS76" s="53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3"/>
      <c r="HF76" s="53"/>
      <c r="HG76" s="53"/>
      <c r="HH76" s="53"/>
      <c r="HI76" s="53"/>
      <c r="HJ76" s="53"/>
      <c r="HK76" s="53"/>
      <c r="HL76" s="53"/>
      <c r="HM76" s="53"/>
      <c r="HN76" s="53"/>
      <c r="HO76" s="53"/>
      <c r="HP76" s="53"/>
      <c r="HQ76" s="53"/>
      <c r="HR76" s="53"/>
      <c r="HS76" s="53"/>
      <c r="HT76" s="53"/>
      <c r="HU76" s="53"/>
      <c r="HV76" s="53"/>
      <c r="HW76" s="53"/>
      <c r="HX76" s="53"/>
      <c r="HY76" s="53"/>
      <c r="HZ76" s="53"/>
      <c r="IA76" s="53"/>
      <c r="IB76" s="53"/>
      <c r="IC76" s="53"/>
      <c r="ID76" s="53"/>
      <c r="IE76" s="53"/>
      <c r="IF76" s="53"/>
      <c r="IG76" s="53"/>
      <c r="IH76" s="53"/>
      <c r="II76" s="53"/>
      <c r="IJ76" s="53"/>
      <c r="IK76" s="53"/>
      <c r="IL76" s="53"/>
      <c r="IM76" s="53"/>
      <c r="IN76" s="53"/>
      <c r="IO76" s="53"/>
      <c r="IP76" s="53"/>
      <c r="IQ76" s="53"/>
      <c r="IR76" s="53"/>
    </row>
    <row r="77" spans="1:252" s="1" customFormat="1" ht="24.6" customHeight="1">
      <c r="A77" s="15">
        <v>69</v>
      </c>
      <c r="B77" s="25" t="s">
        <v>233</v>
      </c>
      <c r="C77" s="26" t="s">
        <v>234</v>
      </c>
      <c r="D77" s="23" t="s">
        <v>235</v>
      </c>
      <c r="E77" s="34" t="s">
        <v>124</v>
      </c>
      <c r="F77" s="19">
        <v>6.5661538461538493E-2</v>
      </c>
      <c r="G77" s="19">
        <v>6.5661538461538493E-2</v>
      </c>
      <c r="H77" s="20">
        <f t="shared" si="8"/>
        <v>5.9095384615384647E-2</v>
      </c>
      <c r="I77" s="19">
        <v>0</v>
      </c>
      <c r="J77" s="19">
        <v>0</v>
      </c>
      <c r="K77" s="48" t="s">
        <v>125</v>
      </c>
      <c r="L77" s="19">
        <f t="shared" si="7"/>
        <v>6.5661538461538493E-2</v>
      </c>
      <c r="M77" s="20">
        <f t="shared" si="9"/>
        <v>5.9095384615384647E-2</v>
      </c>
      <c r="N77" s="38">
        <v>6.5659999999999996E-2</v>
      </c>
      <c r="O77" s="39">
        <v>230</v>
      </c>
      <c r="P77" s="19"/>
      <c r="Q77" s="60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3"/>
      <c r="FF77" s="53"/>
      <c r="FG77" s="53"/>
      <c r="FH77" s="53"/>
      <c r="FI77" s="53"/>
      <c r="FJ77" s="53"/>
      <c r="FK77" s="53"/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3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53"/>
      <c r="GN77" s="53"/>
      <c r="GO77" s="53"/>
      <c r="GP77" s="53"/>
      <c r="GQ77" s="53"/>
      <c r="GR77" s="53"/>
      <c r="GS77" s="53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3"/>
      <c r="HF77" s="53"/>
      <c r="HG77" s="53"/>
      <c r="HH77" s="53"/>
      <c r="HI77" s="53"/>
      <c r="HJ77" s="53"/>
      <c r="HK77" s="53"/>
      <c r="HL77" s="53"/>
      <c r="HM77" s="53"/>
      <c r="HN77" s="53"/>
      <c r="HO77" s="53"/>
      <c r="HP77" s="53"/>
      <c r="HQ77" s="53"/>
      <c r="HR77" s="53"/>
      <c r="HS77" s="53"/>
      <c r="HT77" s="53"/>
      <c r="HU77" s="53"/>
      <c r="HV77" s="53"/>
      <c r="HW77" s="53"/>
      <c r="HX77" s="53"/>
      <c r="HY77" s="53"/>
      <c r="HZ77" s="53"/>
      <c r="IA77" s="53"/>
      <c r="IB77" s="53"/>
      <c r="IC77" s="53"/>
      <c r="ID77" s="53"/>
      <c r="IE77" s="53"/>
      <c r="IF77" s="53"/>
      <c r="IG77" s="53"/>
      <c r="IH77" s="53"/>
      <c r="II77" s="53"/>
      <c r="IJ77" s="53"/>
      <c r="IK77" s="53"/>
      <c r="IL77" s="53"/>
      <c r="IM77" s="53"/>
      <c r="IN77" s="53"/>
      <c r="IO77" s="53"/>
      <c r="IP77" s="53"/>
      <c r="IQ77" s="53"/>
      <c r="IR77" s="53"/>
    </row>
    <row r="78" spans="1:252" s="1" customFormat="1" ht="24.6" hidden="1" customHeight="1">
      <c r="A78" s="15">
        <v>70</v>
      </c>
      <c r="B78" s="101" t="s">
        <v>236</v>
      </c>
      <c r="C78" s="26" t="s">
        <v>237</v>
      </c>
      <c r="D78" s="23" t="s">
        <v>238</v>
      </c>
      <c r="E78" s="34" t="s">
        <v>124</v>
      </c>
      <c r="F78" s="19">
        <v>0.37755384615384602</v>
      </c>
      <c r="G78" s="19">
        <v>0.37755384615384602</v>
      </c>
      <c r="H78" s="20">
        <f t="shared" si="8"/>
        <v>0.33979846153846144</v>
      </c>
      <c r="I78" s="19">
        <v>0</v>
      </c>
      <c r="J78" s="19">
        <v>0</v>
      </c>
      <c r="K78" s="48" t="s">
        <v>125</v>
      </c>
      <c r="L78" s="19">
        <f t="shared" si="7"/>
        <v>0.37755384615384602</v>
      </c>
      <c r="M78" s="20">
        <f t="shared" si="9"/>
        <v>0.33979846153846144</v>
      </c>
      <c r="N78" s="38">
        <v>0.37755</v>
      </c>
      <c r="O78" s="39">
        <v>230</v>
      </c>
      <c r="P78" s="19"/>
      <c r="Q78" s="60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3"/>
      <c r="FE78" s="53"/>
      <c r="FF78" s="53"/>
      <c r="FG78" s="53"/>
      <c r="FH78" s="53"/>
      <c r="FI78" s="53"/>
      <c r="FJ78" s="53"/>
      <c r="FK78" s="53"/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3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53"/>
      <c r="GN78" s="53"/>
      <c r="GO78" s="53"/>
      <c r="GP78" s="53"/>
      <c r="GQ78" s="53"/>
      <c r="GR78" s="53"/>
      <c r="GS78" s="53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3"/>
      <c r="HF78" s="53"/>
      <c r="HG78" s="53"/>
      <c r="HH78" s="53"/>
      <c r="HI78" s="53"/>
      <c r="HJ78" s="53"/>
      <c r="HK78" s="53"/>
      <c r="HL78" s="53"/>
      <c r="HM78" s="53"/>
      <c r="HN78" s="53"/>
      <c r="HO78" s="53"/>
      <c r="HP78" s="53"/>
      <c r="HQ78" s="53"/>
      <c r="HR78" s="53"/>
      <c r="HS78" s="53"/>
      <c r="HT78" s="53"/>
      <c r="HU78" s="53"/>
      <c r="HV78" s="53"/>
      <c r="HW78" s="53"/>
      <c r="HX78" s="53"/>
      <c r="HY78" s="53"/>
      <c r="HZ78" s="53"/>
      <c r="IA78" s="53"/>
      <c r="IB78" s="53"/>
      <c r="IC78" s="53"/>
      <c r="ID78" s="53"/>
      <c r="IE78" s="53"/>
      <c r="IF78" s="53"/>
      <c r="IG78" s="53"/>
      <c r="IH78" s="53"/>
      <c r="II78" s="53"/>
      <c r="IJ78" s="53"/>
      <c r="IK78" s="53"/>
      <c r="IL78" s="53"/>
      <c r="IM78" s="53"/>
      <c r="IN78" s="53"/>
      <c r="IO78" s="53"/>
      <c r="IP78" s="53"/>
      <c r="IQ78" s="53"/>
      <c r="IR78" s="53"/>
    </row>
    <row r="79" spans="1:252" s="1" customFormat="1" ht="24.6" hidden="1" customHeight="1">
      <c r="A79" s="15">
        <v>71</v>
      </c>
      <c r="B79" s="101" t="s">
        <v>239</v>
      </c>
      <c r="C79" s="26" t="s">
        <v>240</v>
      </c>
      <c r="D79" s="23" t="s">
        <v>241</v>
      </c>
      <c r="E79" s="34" t="s">
        <v>124</v>
      </c>
      <c r="F79" s="19">
        <v>0.18877692307692301</v>
      </c>
      <c r="G79" s="19">
        <v>0.18877692307692301</v>
      </c>
      <c r="H79" s="20">
        <f t="shared" si="8"/>
        <v>0.16989923076923072</v>
      </c>
      <c r="I79" s="19">
        <v>0</v>
      </c>
      <c r="J79" s="19">
        <v>0</v>
      </c>
      <c r="K79" s="48" t="s">
        <v>125</v>
      </c>
      <c r="L79" s="19">
        <f t="shared" si="7"/>
        <v>0.18877692307692301</v>
      </c>
      <c r="M79" s="20">
        <f t="shared" si="9"/>
        <v>0.16989923076923072</v>
      </c>
      <c r="N79" s="38">
        <v>0.18878</v>
      </c>
      <c r="O79" s="39">
        <v>230</v>
      </c>
      <c r="P79" s="19"/>
      <c r="Q79" s="60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3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53"/>
      <c r="GN79" s="53"/>
      <c r="GO79" s="53"/>
      <c r="GP79" s="53"/>
      <c r="GQ79" s="53"/>
      <c r="GR79" s="53"/>
      <c r="GS79" s="53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3"/>
      <c r="HF79" s="53"/>
      <c r="HG79" s="53"/>
      <c r="HH79" s="53"/>
      <c r="HI79" s="53"/>
      <c r="HJ79" s="53"/>
      <c r="HK79" s="53"/>
      <c r="HL79" s="53"/>
      <c r="HM79" s="53"/>
      <c r="HN79" s="53"/>
      <c r="HO79" s="53"/>
      <c r="HP79" s="53"/>
      <c r="HQ79" s="53"/>
      <c r="HR79" s="53"/>
      <c r="HS79" s="53"/>
      <c r="HT79" s="53"/>
      <c r="HU79" s="53"/>
      <c r="HV79" s="53"/>
      <c r="HW79" s="53"/>
      <c r="HX79" s="53"/>
      <c r="HY79" s="53"/>
      <c r="HZ79" s="53"/>
      <c r="IA79" s="53"/>
      <c r="IB79" s="53"/>
      <c r="IC79" s="53"/>
      <c r="ID79" s="53"/>
      <c r="IE79" s="53"/>
      <c r="IF79" s="53"/>
      <c r="IG79" s="53"/>
      <c r="IH79" s="53"/>
      <c r="II79" s="53"/>
      <c r="IJ79" s="53"/>
      <c r="IK79" s="53"/>
      <c r="IL79" s="53"/>
      <c r="IM79" s="53"/>
      <c r="IN79" s="53"/>
      <c r="IO79" s="53"/>
      <c r="IP79" s="53"/>
      <c r="IQ79" s="53"/>
      <c r="IR79" s="53"/>
    </row>
    <row r="80" spans="1:252" s="1" customFormat="1" ht="24.6" hidden="1" customHeight="1">
      <c r="A80" s="15">
        <v>72</v>
      </c>
      <c r="B80" s="101" t="s">
        <v>242</v>
      </c>
      <c r="C80" s="26" t="s">
        <v>243</v>
      </c>
      <c r="D80" s="23" t="s">
        <v>244</v>
      </c>
      <c r="E80" s="34" t="s">
        <v>124</v>
      </c>
      <c r="F80" s="19">
        <v>0.75510769230769204</v>
      </c>
      <c r="G80" s="19">
        <v>0.75510769230769204</v>
      </c>
      <c r="H80" s="20">
        <f>VLOOKUP(B80,[1]汇总表!$B:$F,5,0)</f>
        <v>1.0862940480000001</v>
      </c>
      <c r="I80" s="19">
        <v>0</v>
      </c>
      <c r="J80" s="19">
        <v>0</v>
      </c>
      <c r="K80" s="48" t="s">
        <v>125</v>
      </c>
      <c r="L80" s="19">
        <f t="shared" si="7"/>
        <v>0.75510769230769204</v>
      </c>
      <c r="M80" s="20">
        <f t="shared" si="9"/>
        <v>1.0862940480000001</v>
      </c>
      <c r="N80" s="38">
        <v>0.75510999999999995</v>
      </c>
      <c r="O80" s="39">
        <v>230</v>
      </c>
      <c r="P80" s="19"/>
      <c r="Q80" s="60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3"/>
      <c r="FF80" s="53"/>
      <c r="FG80" s="53"/>
      <c r="FH80" s="53"/>
      <c r="FI80" s="53"/>
      <c r="FJ80" s="53"/>
      <c r="FK80" s="53"/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3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53"/>
      <c r="GN80" s="53"/>
      <c r="GO80" s="53"/>
      <c r="GP80" s="53"/>
      <c r="GQ80" s="53"/>
      <c r="GR80" s="53"/>
      <c r="GS80" s="53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3"/>
      <c r="HF80" s="53"/>
      <c r="HG80" s="53"/>
      <c r="HH80" s="53"/>
      <c r="HI80" s="53"/>
      <c r="HJ80" s="53"/>
      <c r="HK80" s="53"/>
      <c r="HL80" s="53"/>
      <c r="HM80" s="53"/>
      <c r="HN80" s="53"/>
      <c r="HO80" s="53"/>
      <c r="HP80" s="53"/>
      <c r="HQ80" s="53"/>
      <c r="HR80" s="53"/>
      <c r="HS80" s="53"/>
      <c r="HT80" s="53"/>
      <c r="HU80" s="53"/>
      <c r="HV80" s="53"/>
      <c r="HW80" s="53"/>
      <c r="HX80" s="53"/>
      <c r="HY80" s="53"/>
      <c r="HZ80" s="53"/>
      <c r="IA80" s="53"/>
      <c r="IB80" s="53"/>
      <c r="IC80" s="53"/>
      <c r="ID80" s="53"/>
      <c r="IE80" s="53"/>
      <c r="IF80" s="53"/>
      <c r="IG80" s="53"/>
      <c r="IH80" s="53"/>
      <c r="II80" s="53"/>
      <c r="IJ80" s="53"/>
      <c r="IK80" s="53"/>
      <c r="IL80" s="53"/>
      <c r="IM80" s="53"/>
      <c r="IN80" s="53"/>
      <c r="IO80" s="53"/>
      <c r="IP80" s="53"/>
      <c r="IQ80" s="53"/>
      <c r="IR80" s="53"/>
    </row>
    <row r="81" spans="1:252" s="1" customFormat="1" ht="24.6" hidden="1" customHeight="1">
      <c r="A81" s="15">
        <v>73</v>
      </c>
      <c r="B81" s="101" t="s">
        <v>245</v>
      </c>
      <c r="C81" s="26" t="s">
        <v>246</v>
      </c>
      <c r="D81" s="23" t="s">
        <v>247</v>
      </c>
      <c r="E81" s="34" t="s">
        <v>124</v>
      </c>
      <c r="F81" s="19">
        <v>0.114907692307693</v>
      </c>
      <c r="G81" s="19">
        <v>0.114907692307693</v>
      </c>
      <c r="H81" s="20">
        <f t="shared" ref="H81:H105" si="10">G81*0.9</f>
        <v>0.1034169230769237</v>
      </c>
      <c r="I81" s="19">
        <v>0</v>
      </c>
      <c r="J81" s="19">
        <v>0</v>
      </c>
      <c r="K81" s="48" t="s">
        <v>125</v>
      </c>
      <c r="L81" s="19">
        <f t="shared" si="7"/>
        <v>0.114907692307693</v>
      </c>
      <c r="M81" s="20">
        <f t="shared" si="9"/>
        <v>0.1034169230769237</v>
      </c>
      <c r="N81" s="38">
        <v>0.11491</v>
      </c>
      <c r="O81" s="39">
        <v>230</v>
      </c>
      <c r="P81" s="19"/>
      <c r="Q81" s="60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3"/>
      <c r="EO81" s="53"/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  <c r="FB81" s="53"/>
      <c r="FC81" s="53"/>
      <c r="FD81" s="53"/>
      <c r="FE81" s="53"/>
      <c r="FF81" s="53"/>
      <c r="FG81" s="53"/>
      <c r="FH81" s="53"/>
      <c r="FI81" s="53"/>
      <c r="FJ81" s="53"/>
      <c r="FK81" s="53"/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3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53"/>
      <c r="GN81" s="53"/>
      <c r="GO81" s="53"/>
      <c r="GP81" s="53"/>
      <c r="GQ81" s="53"/>
      <c r="GR81" s="53"/>
      <c r="GS81" s="53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3"/>
      <c r="HF81" s="53"/>
      <c r="HG81" s="53"/>
      <c r="HH81" s="53"/>
      <c r="HI81" s="53"/>
      <c r="HJ81" s="53"/>
      <c r="HK81" s="53"/>
      <c r="HL81" s="53"/>
      <c r="HM81" s="53"/>
      <c r="HN81" s="53"/>
      <c r="HO81" s="53"/>
      <c r="HP81" s="53"/>
      <c r="HQ81" s="53"/>
      <c r="HR81" s="53"/>
      <c r="HS81" s="53"/>
      <c r="HT81" s="53"/>
      <c r="HU81" s="53"/>
      <c r="HV81" s="53"/>
      <c r="HW81" s="53"/>
      <c r="HX81" s="53"/>
      <c r="HY81" s="53"/>
      <c r="HZ81" s="53"/>
      <c r="IA81" s="53"/>
      <c r="IB81" s="53"/>
      <c r="IC81" s="53"/>
      <c r="ID81" s="53"/>
      <c r="IE81" s="53"/>
      <c r="IF81" s="53"/>
      <c r="IG81" s="53"/>
      <c r="IH81" s="53"/>
      <c r="II81" s="53"/>
      <c r="IJ81" s="53"/>
      <c r="IK81" s="53"/>
      <c r="IL81" s="53"/>
      <c r="IM81" s="53"/>
      <c r="IN81" s="53"/>
      <c r="IO81" s="53"/>
      <c r="IP81" s="53"/>
      <c r="IQ81" s="53"/>
      <c r="IR81" s="53"/>
    </row>
    <row r="82" spans="1:252" s="1" customFormat="1" ht="24.6" customHeight="1">
      <c r="A82" s="15">
        <v>74</v>
      </c>
      <c r="B82" s="25" t="s">
        <v>248</v>
      </c>
      <c r="C82" s="26" t="s">
        <v>249</v>
      </c>
      <c r="D82" s="23" t="s">
        <v>250</v>
      </c>
      <c r="E82" s="34" t="s">
        <v>124</v>
      </c>
      <c r="F82" s="19">
        <v>7.3869230769230701E-2</v>
      </c>
      <c r="G82" s="19">
        <v>7.3869230769230701E-2</v>
      </c>
      <c r="H82" s="20">
        <f t="shared" si="10"/>
        <v>6.6482307692307632E-2</v>
      </c>
      <c r="I82" s="19">
        <v>0</v>
      </c>
      <c r="J82" s="19">
        <v>0</v>
      </c>
      <c r="K82" s="48" t="s">
        <v>125</v>
      </c>
      <c r="L82" s="19">
        <f t="shared" si="7"/>
        <v>7.3869230769230701E-2</v>
      </c>
      <c r="M82" s="20">
        <f t="shared" si="9"/>
        <v>6.6482307692307632E-2</v>
      </c>
      <c r="N82" s="38">
        <v>7.3870000000000005E-2</v>
      </c>
      <c r="O82" s="39">
        <v>230</v>
      </c>
      <c r="P82" s="19"/>
      <c r="Q82" s="60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3"/>
      <c r="FF82" s="53"/>
      <c r="FG82" s="53"/>
      <c r="FH82" s="53"/>
      <c r="FI82" s="53"/>
      <c r="FJ82" s="53"/>
      <c r="FK82" s="53"/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  <c r="HG82" s="53"/>
      <c r="HH82" s="53"/>
      <c r="HI82" s="53"/>
      <c r="HJ82" s="53"/>
      <c r="HK82" s="53"/>
      <c r="HL82" s="53"/>
      <c r="HM82" s="53"/>
      <c r="HN82" s="53"/>
      <c r="HO82" s="53"/>
      <c r="HP82" s="53"/>
      <c r="HQ82" s="53"/>
      <c r="HR82" s="53"/>
      <c r="HS82" s="53"/>
      <c r="HT82" s="53"/>
      <c r="HU82" s="53"/>
      <c r="HV82" s="53"/>
      <c r="HW82" s="53"/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</row>
    <row r="83" spans="1:252" s="1" customFormat="1" ht="24.6" hidden="1" customHeight="1">
      <c r="A83" s="15">
        <v>75</v>
      </c>
      <c r="B83" s="101" t="s">
        <v>251</v>
      </c>
      <c r="C83" s="26" t="s">
        <v>252</v>
      </c>
      <c r="D83" s="23" t="s">
        <v>253</v>
      </c>
      <c r="E83" s="34" t="s">
        <v>124</v>
      </c>
      <c r="F83" s="19">
        <v>9.8492307692308101E-2</v>
      </c>
      <c r="G83" s="19">
        <v>9.8492307692308101E-2</v>
      </c>
      <c r="H83" s="20">
        <f t="shared" si="10"/>
        <v>8.8643076923077296E-2</v>
      </c>
      <c r="I83" s="19">
        <v>0</v>
      </c>
      <c r="J83" s="19">
        <v>0</v>
      </c>
      <c r="K83" s="48" t="s">
        <v>125</v>
      </c>
      <c r="L83" s="19">
        <f t="shared" si="7"/>
        <v>9.8492307692308101E-2</v>
      </c>
      <c r="M83" s="20">
        <f t="shared" si="9"/>
        <v>8.8643076923077296E-2</v>
      </c>
      <c r="N83" s="38">
        <v>9.8489999999999994E-2</v>
      </c>
      <c r="O83" s="39">
        <v>230</v>
      </c>
      <c r="P83" s="19"/>
      <c r="Q83" s="60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3"/>
      <c r="CE83" s="53"/>
      <c r="CF83" s="53"/>
      <c r="CG83" s="53"/>
      <c r="CH83" s="53"/>
      <c r="CI83" s="53"/>
      <c r="CJ83" s="53"/>
      <c r="CK83" s="53"/>
      <c r="CL83" s="53"/>
      <c r="CM83" s="53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3"/>
      <c r="EO83" s="53"/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3"/>
      <c r="FF83" s="53"/>
      <c r="FG83" s="53"/>
      <c r="FH83" s="53"/>
      <c r="FI83" s="53"/>
      <c r="FJ83" s="53"/>
      <c r="FK83" s="53"/>
      <c r="FL83" s="53"/>
      <c r="FM83" s="53"/>
      <c r="FN83" s="53"/>
      <c r="FO83" s="53"/>
      <c r="FP83" s="53"/>
      <c r="FQ83" s="53"/>
      <c r="FR83" s="53"/>
      <c r="FS83" s="53"/>
      <c r="FT83" s="53"/>
      <c r="FU83" s="53"/>
      <c r="FV83" s="53"/>
      <c r="FW83" s="53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3"/>
      <c r="GN83" s="53"/>
      <c r="GO83" s="53"/>
      <c r="GP83" s="53"/>
      <c r="GQ83" s="53"/>
      <c r="GR83" s="53"/>
      <c r="GS83" s="53"/>
      <c r="GT83" s="53"/>
      <c r="GU83" s="53"/>
      <c r="GV83" s="53"/>
      <c r="GW83" s="53"/>
      <c r="GX83" s="53"/>
      <c r="GY83" s="53"/>
      <c r="GZ83" s="53"/>
      <c r="HA83" s="53"/>
      <c r="HB83" s="53"/>
      <c r="HC83" s="53"/>
      <c r="HD83" s="53"/>
      <c r="HE83" s="53"/>
      <c r="HF83" s="53"/>
      <c r="HG83" s="53"/>
      <c r="HH83" s="53"/>
      <c r="HI83" s="53"/>
      <c r="HJ83" s="53"/>
      <c r="HK83" s="53"/>
      <c r="HL83" s="53"/>
      <c r="HM83" s="53"/>
      <c r="HN83" s="53"/>
      <c r="HO83" s="53"/>
      <c r="HP83" s="53"/>
      <c r="HQ83" s="53"/>
      <c r="HR83" s="53"/>
      <c r="HS83" s="53"/>
      <c r="HT83" s="53"/>
      <c r="HU83" s="53"/>
      <c r="HV83" s="53"/>
      <c r="HW83" s="53"/>
      <c r="HX83" s="53"/>
      <c r="HY83" s="53"/>
      <c r="HZ83" s="53"/>
      <c r="IA83" s="53"/>
      <c r="IB83" s="53"/>
      <c r="IC83" s="53"/>
      <c r="ID83" s="53"/>
      <c r="IE83" s="53"/>
      <c r="IF83" s="53"/>
      <c r="IG83" s="53"/>
      <c r="IH83" s="53"/>
      <c r="II83" s="53"/>
      <c r="IJ83" s="53"/>
      <c r="IK83" s="53"/>
      <c r="IL83" s="53"/>
      <c r="IM83" s="53"/>
      <c r="IN83" s="53"/>
      <c r="IO83" s="53"/>
      <c r="IP83" s="53"/>
      <c r="IQ83" s="53"/>
      <c r="IR83" s="53"/>
    </row>
    <row r="84" spans="1:252" s="1" customFormat="1" ht="24.6" hidden="1" customHeight="1">
      <c r="A84" s="15">
        <v>76</v>
      </c>
      <c r="B84" s="101" t="s">
        <v>254</v>
      </c>
      <c r="C84" s="26" t="s">
        <v>255</v>
      </c>
      <c r="D84" s="23" t="s">
        <v>256</v>
      </c>
      <c r="E84" s="34" t="s">
        <v>124</v>
      </c>
      <c r="F84" s="19">
        <v>0.123115384615384</v>
      </c>
      <c r="G84" s="19">
        <v>0.123115384615384</v>
      </c>
      <c r="H84" s="20">
        <f t="shared" si="10"/>
        <v>0.1108038461538456</v>
      </c>
      <c r="I84" s="19">
        <v>0</v>
      </c>
      <c r="J84" s="19">
        <v>0</v>
      </c>
      <c r="K84" s="48" t="s">
        <v>125</v>
      </c>
      <c r="L84" s="19">
        <f t="shared" si="7"/>
        <v>0.123115384615384</v>
      </c>
      <c r="M84" s="20">
        <f t="shared" si="9"/>
        <v>0.1108038461538456</v>
      </c>
      <c r="N84" s="38">
        <v>0.12311999999999999</v>
      </c>
      <c r="O84" s="39">
        <v>230</v>
      </c>
      <c r="P84" s="19"/>
      <c r="Q84" s="60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3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  <c r="GR84" s="53"/>
      <c r="GS84" s="53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3"/>
      <c r="HF84" s="53"/>
      <c r="HG84" s="53"/>
      <c r="HH84" s="53"/>
      <c r="HI84" s="53"/>
      <c r="HJ84" s="53"/>
      <c r="HK84" s="53"/>
      <c r="HL84" s="53"/>
      <c r="HM84" s="53"/>
      <c r="HN84" s="53"/>
      <c r="HO84" s="53"/>
      <c r="HP84" s="53"/>
      <c r="HQ84" s="53"/>
      <c r="HR84" s="53"/>
      <c r="HS84" s="53"/>
      <c r="HT84" s="53"/>
      <c r="HU84" s="53"/>
      <c r="HV84" s="53"/>
      <c r="HW84" s="53"/>
      <c r="HX84" s="53"/>
      <c r="HY84" s="53"/>
      <c r="HZ84" s="53"/>
      <c r="IA84" s="53"/>
      <c r="IB84" s="53"/>
      <c r="IC84" s="53"/>
      <c r="ID84" s="53"/>
      <c r="IE84" s="53"/>
      <c r="IF84" s="53"/>
      <c r="IG84" s="53"/>
      <c r="IH84" s="53"/>
      <c r="II84" s="53"/>
      <c r="IJ84" s="53"/>
      <c r="IK84" s="53"/>
      <c r="IL84" s="53"/>
      <c r="IM84" s="53"/>
      <c r="IN84" s="53"/>
      <c r="IO84" s="53"/>
      <c r="IP84" s="53"/>
      <c r="IQ84" s="53"/>
      <c r="IR84" s="53"/>
    </row>
    <row r="85" spans="1:252" s="1" customFormat="1" ht="24.6" hidden="1" customHeight="1">
      <c r="A85" s="15">
        <v>77</v>
      </c>
      <c r="B85" s="101" t="s">
        <v>257</v>
      </c>
      <c r="C85" s="26" t="s">
        <v>258</v>
      </c>
      <c r="D85" s="23" t="s">
        <v>259</v>
      </c>
      <c r="E85" s="34" t="s">
        <v>124</v>
      </c>
      <c r="F85" s="19">
        <v>0.14773846153846201</v>
      </c>
      <c r="G85" s="19">
        <v>0.14773846153846201</v>
      </c>
      <c r="H85" s="20">
        <f t="shared" si="10"/>
        <v>0.13296461538461582</v>
      </c>
      <c r="I85" s="19">
        <v>0</v>
      </c>
      <c r="J85" s="19">
        <v>0</v>
      </c>
      <c r="K85" s="48" t="s">
        <v>125</v>
      </c>
      <c r="L85" s="19">
        <f t="shared" si="7"/>
        <v>0.14773846153846201</v>
      </c>
      <c r="M85" s="20">
        <f t="shared" si="9"/>
        <v>0.13296461538461582</v>
      </c>
      <c r="N85" s="38">
        <v>0.14774000000000001</v>
      </c>
      <c r="O85" s="39">
        <v>230</v>
      </c>
      <c r="P85" s="19"/>
      <c r="Q85" s="60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53"/>
      <c r="FZ85" s="53"/>
      <c r="GA85" s="53"/>
      <c r="GB85" s="53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  <c r="GR85" s="53"/>
      <c r="GS85" s="53"/>
      <c r="GT85" s="53"/>
      <c r="GU85" s="53"/>
      <c r="GV85" s="53"/>
      <c r="GW85" s="53"/>
      <c r="GX85" s="53"/>
      <c r="GY85" s="53"/>
      <c r="GZ85" s="53"/>
      <c r="HA85" s="53"/>
      <c r="HB85" s="53"/>
      <c r="HC85" s="53"/>
      <c r="HD85" s="53"/>
      <c r="HE85" s="53"/>
      <c r="HF85" s="53"/>
      <c r="HG85" s="53"/>
      <c r="HH85" s="53"/>
      <c r="HI85" s="53"/>
      <c r="HJ85" s="53"/>
      <c r="HK85" s="53"/>
      <c r="HL85" s="53"/>
      <c r="HM85" s="53"/>
      <c r="HN85" s="53"/>
      <c r="HO85" s="53"/>
      <c r="HP85" s="53"/>
      <c r="HQ85" s="53"/>
      <c r="HR85" s="53"/>
      <c r="HS85" s="53"/>
      <c r="HT85" s="53"/>
      <c r="HU85" s="53"/>
      <c r="HV85" s="53"/>
      <c r="HW85" s="53"/>
      <c r="HX85" s="53"/>
      <c r="HY85" s="53"/>
      <c r="HZ85" s="53"/>
      <c r="IA85" s="53"/>
      <c r="IB85" s="53"/>
      <c r="IC85" s="53"/>
      <c r="ID85" s="53"/>
      <c r="IE85" s="53"/>
      <c r="IF85" s="53"/>
      <c r="IG85" s="53"/>
      <c r="IH85" s="53"/>
      <c r="II85" s="53"/>
      <c r="IJ85" s="53"/>
      <c r="IK85" s="53"/>
      <c r="IL85" s="53"/>
      <c r="IM85" s="53"/>
      <c r="IN85" s="53"/>
      <c r="IO85" s="53"/>
      <c r="IP85" s="53"/>
      <c r="IQ85" s="53"/>
      <c r="IR85" s="53"/>
    </row>
    <row r="86" spans="1:252" s="1" customFormat="1" ht="24.6" hidden="1" customHeight="1">
      <c r="A86" s="15">
        <v>78</v>
      </c>
      <c r="B86" s="101" t="s">
        <v>260</v>
      </c>
      <c r="C86" s="26" t="s">
        <v>261</v>
      </c>
      <c r="D86" s="23" t="s">
        <v>262</v>
      </c>
      <c r="E86" s="34" t="s">
        <v>124</v>
      </c>
      <c r="F86" s="19">
        <v>0.14773846153846201</v>
      </c>
      <c r="G86" s="19">
        <v>0.14773846153846201</v>
      </c>
      <c r="H86" s="20">
        <f t="shared" si="10"/>
        <v>0.13296461538461582</v>
      </c>
      <c r="I86" s="19">
        <v>0</v>
      </c>
      <c r="J86" s="19">
        <v>0</v>
      </c>
      <c r="K86" s="48" t="s">
        <v>125</v>
      </c>
      <c r="L86" s="19">
        <f t="shared" si="7"/>
        <v>0.14773846153846201</v>
      </c>
      <c r="M86" s="20">
        <f t="shared" si="9"/>
        <v>0.13296461538461582</v>
      </c>
      <c r="N86" s="38">
        <v>0.14774000000000001</v>
      </c>
      <c r="O86" s="39">
        <v>230</v>
      </c>
      <c r="P86" s="19"/>
      <c r="Q86" s="60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3"/>
      <c r="CJ86" s="53"/>
      <c r="CK86" s="53"/>
      <c r="CL86" s="53"/>
      <c r="CM86" s="53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  <c r="EB86" s="53"/>
      <c r="EC86" s="53"/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3"/>
      <c r="EO86" s="53"/>
      <c r="EP86" s="53"/>
      <c r="EQ86" s="53"/>
      <c r="ER86" s="53"/>
      <c r="ES86" s="53"/>
      <c r="ET86" s="53"/>
      <c r="EU86" s="53"/>
      <c r="EV86" s="53"/>
      <c r="EW86" s="53"/>
      <c r="EX86" s="53"/>
      <c r="EY86" s="53"/>
      <c r="EZ86" s="53"/>
      <c r="FA86" s="53"/>
      <c r="FB86" s="53"/>
      <c r="FC86" s="53"/>
      <c r="FD86" s="53"/>
      <c r="FE86" s="53"/>
      <c r="FF86" s="53"/>
      <c r="FG86" s="53"/>
      <c r="FH86" s="53"/>
      <c r="FI86" s="53"/>
      <c r="FJ86" s="53"/>
      <c r="FK86" s="53"/>
      <c r="FL86" s="53"/>
      <c r="FM86" s="53"/>
      <c r="FN86" s="53"/>
      <c r="FO86" s="53"/>
      <c r="FP86" s="53"/>
      <c r="FQ86" s="53"/>
      <c r="FR86" s="53"/>
      <c r="FS86" s="53"/>
      <c r="FT86" s="53"/>
      <c r="FU86" s="53"/>
      <c r="FV86" s="53"/>
      <c r="FW86" s="53"/>
      <c r="FX86" s="53"/>
      <c r="FY86" s="53"/>
      <c r="FZ86" s="53"/>
      <c r="GA86" s="53"/>
      <c r="GB86" s="53"/>
      <c r="GC86" s="53"/>
      <c r="GD86" s="53"/>
      <c r="GE86" s="53"/>
      <c r="GF86" s="53"/>
      <c r="GG86" s="53"/>
      <c r="GH86" s="53"/>
      <c r="GI86" s="53"/>
      <c r="GJ86" s="53"/>
      <c r="GK86" s="53"/>
      <c r="GL86" s="53"/>
      <c r="GM86" s="53"/>
      <c r="GN86" s="53"/>
      <c r="GO86" s="53"/>
      <c r="GP86" s="53"/>
      <c r="GQ86" s="53"/>
      <c r="GR86" s="53"/>
      <c r="GS86" s="53"/>
      <c r="GT86" s="53"/>
      <c r="GU86" s="53"/>
      <c r="GV86" s="53"/>
      <c r="GW86" s="53"/>
      <c r="GX86" s="53"/>
      <c r="GY86" s="53"/>
      <c r="GZ86" s="53"/>
      <c r="HA86" s="53"/>
      <c r="HB86" s="53"/>
      <c r="HC86" s="53"/>
      <c r="HD86" s="53"/>
      <c r="HE86" s="53"/>
      <c r="HF86" s="53"/>
      <c r="HG86" s="53"/>
      <c r="HH86" s="53"/>
      <c r="HI86" s="53"/>
      <c r="HJ86" s="53"/>
      <c r="HK86" s="53"/>
      <c r="HL86" s="53"/>
      <c r="HM86" s="53"/>
      <c r="HN86" s="53"/>
      <c r="HO86" s="53"/>
      <c r="HP86" s="53"/>
      <c r="HQ86" s="53"/>
      <c r="HR86" s="53"/>
      <c r="HS86" s="53"/>
      <c r="HT86" s="53"/>
      <c r="HU86" s="53"/>
      <c r="HV86" s="53"/>
      <c r="HW86" s="53"/>
      <c r="HX86" s="53"/>
      <c r="HY86" s="53"/>
      <c r="HZ86" s="53"/>
      <c r="IA86" s="53"/>
      <c r="IB86" s="53"/>
      <c r="IC86" s="53"/>
      <c r="ID86" s="53"/>
      <c r="IE86" s="53"/>
      <c r="IF86" s="53"/>
      <c r="IG86" s="53"/>
      <c r="IH86" s="53"/>
      <c r="II86" s="53"/>
      <c r="IJ86" s="53"/>
      <c r="IK86" s="53"/>
      <c r="IL86" s="53"/>
      <c r="IM86" s="53"/>
      <c r="IN86" s="53"/>
      <c r="IO86" s="53"/>
      <c r="IP86" s="53"/>
      <c r="IQ86" s="53"/>
      <c r="IR86" s="53"/>
    </row>
    <row r="87" spans="1:252" s="1" customFormat="1" ht="24.6" hidden="1" customHeight="1">
      <c r="A87" s="15">
        <v>79</v>
      </c>
      <c r="B87" s="101" t="s">
        <v>263</v>
      </c>
      <c r="C87" s="26" t="s">
        <v>264</v>
      </c>
      <c r="D87" s="23" t="s">
        <v>265</v>
      </c>
      <c r="E87" s="34" t="s">
        <v>124</v>
      </c>
      <c r="F87" s="19">
        <v>0.13953076923076899</v>
      </c>
      <c r="G87" s="19">
        <v>0.13953076923076899</v>
      </c>
      <c r="H87" s="20">
        <f t="shared" si="10"/>
        <v>0.12557769230769208</v>
      </c>
      <c r="I87" s="19">
        <v>0</v>
      </c>
      <c r="J87" s="19">
        <v>0</v>
      </c>
      <c r="K87" s="48" t="s">
        <v>125</v>
      </c>
      <c r="L87" s="19">
        <f t="shared" si="7"/>
        <v>0.13953076923076899</v>
      </c>
      <c r="M87" s="20">
        <f t="shared" si="9"/>
        <v>0.12557769230769208</v>
      </c>
      <c r="N87" s="51">
        <v>0.13952999999999999</v>
      </c>
      <c r="O87" s="52">
        <v>230</v>
      </c>
      <c r="P87" s="19"/>
      <c r="Q87" s="60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3"/>
      <c r="CE87" s="53"/>
      <c r="CF87" s="53"/>
      <c r="CG87" s="53"/>
      <c r="CH87" s="53"/>
      <c r="CI87" s="53"/>
      <c r="CJ87" s="53"/>
      <c r="CK87" s="53"/>
      <c r="CL87" s="53"/>
      <c r="CM87" s="53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3"/>
      <c r="EO87" s="53"/>
      <c r="EP87" s="53"/>
      <c r="EQ87" s="53"/>
      <c r="ER87" s="53"/>
      <c r="ES87" s="53"/>
      <c r="ET87" s="53"/>
      <c r="EU87" s="53"/>
      <c r="EV87" s="53"/>
      <c r="EW87" s="53"/>
      <c r="EX87" s="53"/>
      <c r="EY87" s="53"/>
      <c r="EZ87" s="53"/>
      <c r="FA87" s="53"/>
      <c r="FB87" s="53"/>
      <c r="FC87" s="53"/>
      <c r="FD87" s="53"/>
      <c r="FE87" s="53"/>
      <c r="FF87" s="53"/>
      <c r="FG87" s="53"/>
      <c r="FH87" s="53"/>
      <c r="FI87" s="53"/>
      <c r="FJ87" s="53"/>
      <c r="FK87" s="53"/>
      <c r="FL87" s="53"/>
      <c r="FM87" s="53"/>
      <c r="FN87" s="53"/>
      <c r="FO87" s="53"/>
      <c r="FP87" s="53"/>
      <c r="FQ87" s="53"/>
      <c r="FR87" s="53"/>
      <c r="FS87" s="53"/>
      <c r="FT87" s="53"/>
      <c r="FU87" s="53"/>
      <c r="FV87" s="53"/>
      <c r="FW87" s="53"/>
      <c r="FX87" s="53"/>
      <c r="FY87" s="53"/>
      <c r="FZ87" s="53"/>
      <c r="GA87" s="53"/>
      <c r="GB87" s="53"/>
      <c r="GC87" s="53"/>
      <c r="GD87" s="53"/>
      <c r="GE87" s="53"/>
      <c r="GF87" s="53"/>
      <c r="GG87" s="53"/>
      <c r="GH87" s="53"/>
      <c r="GI87" s="53"/>
      <c r="GJ87" s="53"/>
      <c r="GK87" s="53"/>
      <c r="GL87" s="53"/>
      <c r="GM87" s="53"/>
      <c r="GN87" s="53"/>
      <c r="GO87" s="53"/>
      <c r="GP87" s="53"/>
      <c r="GQ87" s="53"/>
      <c r="GR87" s="53"/>
      <c r="GS87" s="53"/>
      <c r="GT87" s="53"/>
      <c r="GU87" s="53"/>
      <c r="GV87" s="53"/>
      <c r="GW87" s="53"/>
      <c r="GX87" s="53"/>
      <c r="GY87" s="53"/>
      <c r="GZ87" s="53"/>
      <c r="HA87" s="53"/>
      <c r="HB87" s="53"/>
      <c r="HC87" s="53"/>
      <c r="HD87" s="53"/>
      <c r="HE87" s="53"/>
      <c r="HF87" s="53"/>
      <c r="HG87" s="53"/>
      <c r="HH87" s="53"/>
      <c r="HI87" s="53"/>
      <c r="HJ87" s="53"/>
      <c r="HK87" s="53"/>
      <c r="HL87" s="53"/>
      <c r="HM87" s="53"/>
      <c r="HN87" s="53"/>
      <c r="HO87" s="53"/>
      <c r="HP87" s="53"/>
      <c r="HQ87" s="53"/>
      <c r="HR87" s="53"/>
      <c r="HS87" s="53"/>
      <c r="HT87" s="53"/>
      <c r="HU87" s="53"/>
      <c r="HV87" s="53"/>
      <c r="HW87" s="53"/>
      <c r="HX87" s="53"/>
      <c r="HY87" s="53"/>
      <c r="HZ87" s="53"/>
      <c r="IA87" s="53"/>
      <c r="IB87" s="53"/>
      <c r="IC87" s="53"/>
      <c r="ID87" s="53"/>
      <c r="IE87" s="53"/>
      <c r="IF87" s="53"/>
      <c r="IG87" s="53"/>
      <c r="IH87" s="53"/>
      <c r="II87" s="53"/>
      <c r="IJ87" s="53"/>
      <c r="IK87" s="53"/>
      <c r="IL87" s="53"/>
      <c r="IM87" s="53"/>
      <c r="IN87" s="53"/>
      <c r="IO87" s="53"/>
      <c r="IP87" s="53"/>
      <c r="IQ87" s="53"/>
      <c r="IR87" s="53"/>
    </row>
    <row r="88" spans="1:252" s="1" customFormat="1" ht="24.6" hidden="1" customHeight="1">
      <c r="A88" s="15">
        <v>80</v>
      </c>
      <c r="B88" s="101" t="s">
        <v>266</v>
      </c>
      <c r="C88" s="26" t="s">
        <v>267</v>
      </c>
      <c r="D88" s="23" t="s">
        <v>268</v>
      </c>
      <c r="E88" s="34" t="s">
        <v>124</v>
      </c>
      <c r="F88" s="19">
        <v>0.14773846153846201</v>
      </c>
      <c r="G88" s="19">
        <v>0.14773846153846201</v>
      </c>
      <c r="H88" s="20">
        <f t="shared" si="10"/>
        <v>0.13296461538461582</v>
      </c>
      <c r="I88" s="19">
        <v>0</v>
      </c>
      <c r="J88" s="19">
        <v>0</v>
      </c>
      <c r="K88" s="48" t="s">
        <v>125</v>
      </c>
      <c r="L88" s="19">
        <f t="shared" si="7"/>
        <v>0.14773846153846201</v>
      </c>
      <c r="M88" s="20">
        <f t="shared" si="9"/>
        <v>0.13296461538461582</v>
      </c>
      <c r="N88" s="38">
        <v>0.14774000000000001</v>
      </c>
      <c r="O88" s="39">
        <v>230</v>
      </c>
      <c r="P88" s="19"/>
      <c r="Q88" s="60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3"/>
      <c r="CE88" s="53"/>
      <c r="CF88" s="53"/>
      <c r="CG88" s="53"/>
      <c r="CH88" s="53"/>
      <c r="CI88" s="53"/>
      <c r="CJ88" s="53"/>
      <c r="CK88" s="53"/>
      <c r="CL88" s="53"/>
      <c r="CM88" s="53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3"/>
      <c r="EO88" s="53"/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3"/>
      <c r="FE88" s="53"/>
      <c r="FF88" s="53"/>
      <c r="FG88" s="53"/>
      <c r="FH88" s="53"/>
      <c r="FI88" s="53"/>
      <c r="FJ88" s="53"/>
      <c r="FK88" s="53"/>
      <c r="FL88" s="53"/>
      <c r="FM88" s="53"/>
      <c r="FN88" s="53"/>
      <c r="FO88" s="53"/>
      <c r="FP88" s="53"/>
      <c r="FQ88" s="53"/>
      <c r="FR88" s="53"/>
      <c r="FS88" s="53"/>
      <c r="FT88" s="53"/>
      <c r="FU88" s="53"/>
      <c r="FV88" s="53"/>
      <c r="FW88" s="53"/>
      <c r="FX88" s="53"/>
      <c r="FY88" s="53"/>
      <c r="FZ88" s="53"/>
      <c r="GA88" s="53"/>
      <c r="GB88" s="53"/>
      <c r="GC88" s="53"/>
      <c r="GD88" s="53"/>
      <c r="GE88" s="53"/>
      <c r="GF88" s="53"/>
      <c r="GG88" s="53"/>
      <c r="GH88" s="53"/>
      <c r="GI88" s="53"/>
      <c r="GJ88" s="53"/>
      <c r="GK88" s="53"/>
      <c r="GL88" s="53"/>
      <c r="GM88" s="53"/>
      <c r="GN88" s="53"/>
      <c r="GO88" s="53"/>
      <c r="GP88" s="53"/>
      <c r="GQ88" s="53"/>
      <c r="GR88" s="53"/>
      <c r="GS88" s="53"/>
      <c r="GT88" s="53"/>
      <c r="GU88" s="53"/>
      <c r="GV88" s="53"/>
      <c r="GW88" s="53"/>
      <c r="GX88" s="53"/>
      <c r="GY88" s="53"/>
      <c r="GZ88" s="53"/>
      <c r="HA88" s="53"/>
      <c r="HB88" s="53"/>
      <c r="HC88" s="53"/>
      <c r="HD88" s="53"/>
      <c r="HE88" s="53"/>
      <c r="HF88" s="53"/>
      <c r="HG88" s="53"/>
      <c r="HH88" s="53"/>
      <c r="HI88" s="53"/>
      <c r="HJ88" s="53"/>
      <c r="HK88" s="53"/>
      <c r="HL88" s="53"/>
      <c r="HM88" s="53"/>
      <c r="HN88" s="53"/>
      <c r="HO88" s="53"/>
      <c r="HP88" s="53"/>
      <c r="HQ88" s="53"/>
      <c r="HR88" s="53"/>
      <c r="HS88" s="53"/>
      <c r="HT88" s="53"/>
      <c r="HU88" s="53"/>
      <c r="HV88" s="53"/>
      <c r="HW88" s="53"/>
      <c r="HX88" s="53"/>
      <c r="HY88" s="53"/>
      <c r="HZ88" s="53"/>
      <c r="IA88" s="53"/>
      <c r="IB88" s="53"/>
      <c r="IC88" s="53"/>
      <c r="ID88" s="53"/>
      <c r="IE88" s="53"/>
      <c r="IF88" s="53"/>
      <c r="IG88" s="53"/>
      <c r="IH88" s="53"/>
      <c r="II88" s="53"/>
      <c r="IJ88" s="53"/>
      <c r="IK88" s="53"/>
      <c r="IL88" s="53"/>
      <c r="IM88" s="53"/>
      <c r="IN88" s="53"/>
      <c r="IO88" s="53"/>
      <c r="IP88" s="53"/>
      <c r="IQ88" s="53"/>
      <c r="IR88" s="53"/>
    </row>
    <row r="89" spans="1:252" s="1" customFormat="1" ht="24.6" hidden="1" customHeight="1">
      <c r="A89" s="15">
        <v>81</v>
      </c>
      <c r="B89" s="101" t="s">
        <v>269</v>
      </c>
      <c r="C89" s="26" t="s">
        <v>270</v>
      </c>
      <c r="D89" s="23" t="s">
        <v>271</v>
      </c>
      <c r="E89" s="34" t="s">
        <v>124</v>
      </c>
      <c r="F89" s="19">
        <v>9.8492307692308101E-2</v>
      </c>
      <c r="G89" s="19">
        <v>9.8492307692308101E-2</v>
      </c>
      <c r="H89" s="20">
        <f t="shared" si="10"/>
        <v>8.8643076923077296E-2</v>
      </c>
      <c r="I89" s="19">
        <v>0</v>
      </c>
      <c r="J89" s="19">
        <v>0</v>
      </c>
      <c r="K89" s="48" t="s">
        <v>125</v>
      </c>
      <c r="L89" s="19">
        <f t="shared" si="7"/>
        <v>9.8492307692308101E-2</v>
      </c>
      <c r="M89" s="20">
        <f t="shared" si="9"/>
        <v>8.8643076923077296E-2</v>
      </c>
      <c r="N89" s="38">
        <v>9.8489999999999994E-2</v>
      </c>
      <c r="O89" s="39">
        <v>230</v>
      </c>
      <c r="P89" s="19"/>
      <c r="Q89" s="60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3"/>
      <c r="EO89" s="53"/>
      <c r="EP89" s="53"/>
      <c r="EQ89" s="53"/>
      <c r="ER89" s="53"/>
      <c r="ES89" s="53"/>
      <c r="ET89" s="53"/>
      <c r="EU89" s="53"/>
      <c r="EV89" s="53"/>
      <c r="EW89" s="53"/>
      <c r="EX89" s="53"/>
      <c r="EY89" s="53"/>
      <c r="EZ89" s="53"/>
      <c r="FA89" s="53"/>
      <c r="FB89" s="53"/>
      <c r="FC89" s="53"/>
      <c r="FD89" s="53"/>
      <c r="FE89" s="53"/>
      <c r="FF89" s="53"/>
      <c r="FG89" s="53"/>
      <c r="FH89" s="53"/>
      <c r="FI89" s="53"/>
      <c r="FJ89" s="53"/>
      <c r="FK89" s="53"/>
      <c r="FL89" s="53"/>
      <c r="FM89" s="53"/>
      <c r="FN89" s="53"/>
      <c r="FO89" s="53"/>
      <c r="FP89" s="53"/>
      <c r="FQ89" s="53"/>
      <c r="FR89" s="53"/>
      <c r="FS89" s="53"/>
      <c r="FT89" s="53"/>
      <c r="FU89" s="53"/>
      <c r="FV89" s="53"/>
      <c r="FW89" s="53"/>
      <c r="FX89" s="53"/>
      <c r="FY89" s="53"/>
      <c r="FZ89" s="53"/>
      <c r="GA89" s="53"/>
      <c r="GB89" s="53"/>
      <c r="GC89" s="53"/>
      <c r="GD89" s="53"/>
      <c r="GE89" s="53"/>
      <c r="GF89" s="53"/>
      <c r="GG89" s="53"/>
      <c r="GH89" s="53"/>
      <c r="GI89" s="53"/>
      <c r="GJ89" s="53"/>
      <c r="GK89" s="53"/>
      <c r="GL89" s="53"/>
      <c r="GM89" s="53"/>
      <c r="GN89" s="53"/>
      <c r="GO89" s="53"/>
      <c r="GP89" s="53"/>
      <c r="GQ89" s="53"/>
      <c r="GR89" s="53"/>
      <c r="GS89" s="53"/>
      <c r="GT89" s="53"/>
      <c r="GU89" s="53"/>
      <c r="GV89" s="53"/>
      <c r="GW89" s="53"/>
      <c r="GX89" s="53"/>
      <c r="GY89" s="53"/>
      <c r="GZ89" s="53"/>
      <c r="HA89" s="53"/>
      <c r="HB89" s="53"/>
      <c r="HC89" s="53"/>
      <c r="HD89" s="53"/>
      <c r="HE89" s="53"/>
      <c r="HF89" s="53"/>
      <c r="HG89" s="53"/>
      <c r="HH89" s="53"/>
      <c r="HI89" s="53"/>
      <c r="HJ89" s="53"/>
      <c r="HK89" s="53"/>
      <c r="HL89" s="53"/>
      <c r="HM89" s="53"/>
      <c r="HN89" s="53"/>
      <c r="HO89" s="53"/>
      <c r="HP89" s="53"/>
      <c r="HQ89" s="53"/>
      <c r="HR89" s="53"/>
      <c r="HS89" s="53"/>
      <c r="HT89" s="53"/>
      <c r="HU89" s="53"/>
      <c r="HV89" s="53"/>
      <c r="HW89" s="53"/>
      <c r="HX89" s="53"/>
      <c r="HY89" s="53"/>
      <c r="HZ89" s="53"/>
      <c r="IA89" s="53"/>
      <c r="IB89" s="53"/>
      <c r="IC89" s="53"/>
      <c r="ID89" s="53"/>
      <c r="IE89" s="53"/>
      <c r="IF89" s="53"/>
      <c r="IG89" s="53"/>
      <c r="IH89" s="53"/>
      <c r="II89" s="53"/>
      <c r="IJ89" s="53"/>
      <c r="IK89" s="53"/>
      <c r="IL89" s="53"/>
      <c r="IM89" s="53"/>
      <c r="IN89" s="53"/>
      <c r="IO89" s="53"/>
      <c r="IP89" s="53"/>
      <c r="IQ89" s="53"/>
      <c r="IR89" s="53"/>
    </row>
    <row r="90" spans="1:252" s="1" customFormat="1" ht="24.6" hidden="1" customHeight="1">
      <c r="A90" s="15">
        <v>82</v>
      </c>
      <c r="B90" s="101" t="s">
        <v>272</v>
      </c>
      <c r="C90" s="26" t="s">
        <v>273</v>
      </c>
      <c r="D90" s="23" t="s">
        <v>274</v>
      </c>
      <c r="E90" s="34" t="s">
        <v>124</v>
      </c>
      <c r="F90" s="19">
        <v>0.114907692307693</v>
      </c>
      <c r="G90" s="19">
        <v>0.114907692307693</v>
      </c>
      <c r="H90" s="20">
        <f t="shared" si="10"/>
        <v>0.1034169230769237</v>
      </c>
      <c r="I90" s="19">
        <v>0</v>
      </c>
      <c r="J90" s="19">
        <v>0</v>
      </c>
      <c r="K90" s="48" t="s">
        <v>125</v>
      </c>
      <c r="L90" s="19">
        <f t="shared" si="7"/>
        <v>0.114907692307693</v>
      </c>
      <c r="M90" s="20">
        <f t="shared" si="9"/>
        <v>0.1034169230769237</v>
      </c>
      <c r="N90" s="38">
        <v>0.11491</v>
      </c>
      <c r="O90" s="39">
        <v>230</v>
      </c>
      <c r="P90" s="19"/>
      <c r="Q90" s="60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/>
      <c r="FJ90" s="53"/>
      <c r="FK90" s="53"/>
      <c r="FL90" s="53"/>
      <c r="FM90" s="53"/>
      <c r="FN90" s="53"/>
      <c r="FO90" s="53"/>
      <c r="FP90" s="53"/>
      <c r="FQ90" s="53"/>
      <c r="FR90" s="53"/>
      <c r="FS90" s="53"/>
      <c r="FT90" s="53"/>
      <c r="FU90" s="53"/>
      <c r="FV90" s="53"/>
      <c r="FW90" s="53"/>
      <c r="FX90" s="53"/>
      <c r="FY90" s="53"/>
      <c r="FZ90" s="53"/>
      <c r="GA90" s="53"/>
      <c r="GB90" s="53"/>
      <c r="GC90" s="53"/>
      <c r="GD90" s="53"/>
      <c r="GE90" s="53"/>
      <c r="GF90" s="53"/>
      <c r="GG90" s="53"/>
      <c r="GH90" s="53"/>
      <c r="GI90" s="53"/>
      <c r="GJ90" s="53"/>
      <c r="GK90" s="53"/>
      <c r="GL90" s="53"/>
      <c r="GM90" s="53"/>
      <c r="GN90" s="53"/>
      <c r="GO90" s="53"/>
      <c r="GP90" s="53"/>
      <c r="GQ90" s="53"/>
      <c r="GR90" s="53"/>
      <c r="GS90" s="53"/>
      <c r="GT90" s="53"/>
      <c r="GU90" s="53"/>
      <c r="GV90" s="53"/>
      <c r="GW90" s="53"/>
      <c r="GX90" s="53"/>
      <c r="GY90" s="53"/>
      <c r="GZ90" s="53"/>
      <c r="HA90" s="53"/>
      <c r="HB90" s="53"/>
      <c r="HC90" s="53"/>
      <c r="HD90" s="53"/>
      <c r="HE90" s="53"/>
      <c r="HF90" s="53"/>
      <c r="HG90" s="53"/>
      <c r="HH90" s="53"/>
      <c r="HI90" s="53"/>
      <c r="HJ90" s="53"/>
      <c r="HK90" s="53"/>
      <c r="HL90" s="53"/>
      <c r="HM90" s="53"/>
      <c r="HN90" s="53"/>
      <c r="HO90" s="53"/>
      <c r="HP90" s="53"/>
      <c r="HQ90" s="53"/>
      <c r="HR90" s="53"/>
      <c r="HS90" s="53"/>
      <c r="HT90" s="53"/>
      <c r="HU90" s="53"/>
      <c r="HV90" s="53"/>
      <c r="HW90" s="53"/>
      <c r="HX90" s="53"/>
      <c r="HY90" s="53"/>
      <c r="HZ90" s="53"/>
      <c r="IA90" s="53"/>
      <c r="IB90" s="53"/>
      <c r="IC90" s="53"/>
      <c r="ID90" s="53"/>
      <c r="IE90" s="53"/>
      <c r="IF90" s="53"/>
      <c r="IG90" s="53"/>
      <c r="IH90" s="53"/>
      <c r="II90" s="53"/>
      <c r="IJ90" s="53"/>
      <c r="IK90" s="53"/>
      <c r="IL90" s="53"/>
      <c r="IM90" s="53"/>
      <c r="IN90" s="53"/>
      <c r="IO90" s="53"/>
      <c r="IP90" s="53"/>
      <c r="IQ90" s="53"/>
      <c r="IR90" s="53"/>
    </row>
    <row r="91" spans="1:252" s="1" customFormat="1" ht="24.6" hidden="1" customHeight="1">
      <c r="A91" s="15">
        <v>83</v>
      </c>
      <c r="B91" s="101" t="s">
        <v>275</v>
      </c>
      <c r="C91" s="26" t="s">
        <v>276</v>
      </c>
      <c r="D91" s="23" t="s">
        <v>277</v>
      </c>
      <c r="E91" s="34" t="s">
        <v>124</v>
      </c>
      <c r="F91" s="19">
        <v>0.44319999999999998</v>
      </c>
      <c r="G91" s="19">
        <v>0.44319999999999998</v>
      </c>
      <c r="H91" s="20">
        <f t="shared" si="10"/>
        <v>0.39888000000000001</v>
      </c>
      <c r="I91" s="19">
        <v>0</v>
      </c>
      <c r="J91" s="19">
        <v>0</v>
      </c>
      <c r="K91" s="48" t="s">
        <v>125</v>
      </c>
      <c r="L91" s="19">
        <f t="shared" si="7"/>
        <v>0.44319999999999998</v>
      </c>
      <c r="M91" s="20">
        <f t="shared" si="9"/>
        <v>0.39888000000000001</v>
      </c>
      <c r="N91" s="38">
        <v>0.44322</v>
      </c>
      <c r="O91" s="39">
        <v>230</v>
      </c>
      <c r="P91" s="19"/>
      <c r="Q91" s="60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  <c r="CI91" s="53"/>
      <c r="CJ91" s="53"/>
      <c r="CK91" s="53"/>
      <c r="CL91" s="53"/>
      <c r="CM91" s="53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3"/>
      <c r="EO91" s="53"/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  <c r="FB91" s="53"/>
      <c r="FC91" s="53"/>
      <c r="FD91" s="53"/>
      <c r="FE91" s="53"/>
      <c r="FF91" s="53"/>
      <c r="FG91" s="53"/>
      <c r="FH91" s="53"/>
      <c r="FI91" s="53"/>
      <c r="FJ91" s="53"/>
      <c r="FK91" s="53"/>
      <c r="FL91" s="53"/>
      <c r="FM91" s="53"/>
      <c r="FN91" s="53"/>
      <c r="FO91" s="53"/>
      <c r="FP91" s="53"/>
      <c r="FQ91" s="53"/>
      <c r="FR91" s="53"/>
      <c r="FS91" s="53"/>
      <c r="FT91" s="53"/>
      <c r="FU91" s="53"/>
      <c r="FV91" s="53"/>
      <c r="FW91" s="53"/>
      <c r="FX91" s="53"/>
      <c r="FY91" s="53"/>
      <c r="FZ91" s="53"/>
      <c r="GA91" s="53"/>
      <c r="GB91" s="53"/>
      <c r="GC91" s="53"/>
      <c r="GD91" s="53"/>
      <c r="GE91" s="53"/>
      <c r="GF91" s="53"/>
      <c r="GG91" s="53"/>
      <c r="GH91" s="53"/>
      <c r="GI91" s="53"/>
      <c r="GJ91" s="53"/>
      <c r="GK91" s="53"/>
      <c r="GL91" s="53"/>
      <c r="GM91" s="53"/>
      <c r="GN91" s="53"/>
      <c r="GO91" s="53"/>
      <c r="GP91" s="53"/>
      <c r="GQ91" s="53"/>
      <c r="GR91" s="53"/>
      <c r="GS91" s="53"/>
      <c r="GT91" s="53"/>
      <c r="GU91" s="53"/>
      <c r="GV91" s="53"/>
      <c r="GW91" s="53"/>
      <c r="GX91" s="53"/>
      <c r="GY91" s="53"/>
      <c r="GZ91" s="53"/>
      <c r="HA91" s="53"/>
      <c r="HB91" s="53"/>
      <c r="HC91" s="53"/>
      <c r="HD91" s="53"/>
      <c r="HE91" s="53"/>
      <c r="HF91" s="53"/>
      <c r="HG91" s="53"/>
      <c r="HH91" s="53"/>
      <c r="HI91" s="53"/>
      <c r="HJ91" s="53"/>
      <c r="HK91" s="53"/>
      <c r="HL91" s="53"/>
      <c r="HM91" s="53"/>
      <c r="HN91" s="53"/>
      <c r="HO91" s="53"/>
      <c r="HP91" s="53"/>
      <c r="HQ91" s="53"/>
      <c r="HR91" s="53"/>
      <c r="HS91" s="53"/>
      <c r="HT91" s="53"/>
      <c r="HU91" s="53"/>
      <c r="HV91" s="53"/>
      <c r="HW91" s="53"/>
      <c r="HX91" s="53"/>
      <c r="HY91" s="53"/>
      <c r="HZ91" s="53"/>
      <c r="IA91" s="53"/>
      <c r="IB91" s="53"/>
      <c r="IC91" s="53"/>
      <c r="ID91" s="53"/>
      <c r="IE91" s="53"/>
      <c r="IF91" s="53"/>
      <c r="IG91" s="53"/>
      <c r="IH91" s="53"/>
      <c r="II91" s="53"/>
      <c r="IJ91" s="53"/>
      <c r="IK91" s="53"/>
      <c r="IL91" s="53"/>
      <c r="IM91" s="53"/>
      <c r="IN91" s="53"/>
      <c r="IO91" s="53"/>
      <c r="IP91" s="53"/>
      <c r="IQ91" s="53"/>
      <c r="IR91" s="53"/>
    </row>
    <row r="92" spans="1:252" s="1" customFormat="1" ht="24.6" hidden="1" customHeight="1">
      <c r="A92" s="15">
        <v>84</v>
      </c>
      <c r="B92" s="101" t="s">
        <v>278</v>
      </c>
      <c r="C92" s="26" t="s">
        <v>279</v>
      </c>
      <c r="D92" s="23" t="s">
        <v>280</v>
      </c>
      <c r="E92" s="34" t="s">
        <v>124</v>
      </c>
      <c r="F92" s="19">
        <v>2.7837999999999998</v>
      </c>
      <c r="G92" s="19">
        <v>2.7837999999999998</v>
      </c>
      <c r="H92" s="20">
        <f t="shared" si="10"/>
        <v>2.50542</v>
      </c>
      <c r="I92" s="19">
        <v>0</v>
      </c>
      <c r="J92" s="19">
        <v>0</v>
      </c>
      <c r="K92" s="48" t="s">
        <v>125</v>
      </c>
      <c r="L92" s="19">
        <f t="shared" si="7"/>
        <v>2.7837999999999998</v>
      </c>
      <c r="M92" s="20">
        <f t="shared" si="9"/>
        <v>2.50542</v>
      </c>
      <c r="N92" s="38">
        <v>2.7838500000000002</v>
      </c>
      <c r="O92" s="39">
        <v>230</v>
      </c>
      <c r="P92" s="19"/>
      <c r="Q92" s="60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3"/>
      <c r="FF92" s="53"/>
      <c r="FG92" s="53"/>
      <c r="FH92" s="53"/>
      <c r="FI92" s="53"/>
      <c r="FJ92" s="53"/>
      <c r="FK92" s="53"/>
      <c r="FL92" s="53"/>
      <c r="FM92" s="53"/>
      <c r="FN92" s="53"/>
      <c r="FO92" s="53"/>
      <c r="FP92" s="53"/>
      <c r="FQ92" s="53"/>
      <c r="FR92" s="53"/>
      <c r="FS92" s="53"/>
      <c r="FT92" s="53"/>
      <c r="FU92" s="53"/>
      <c r="FV92" s="53"/>
      <c r="FW92" s="53"/>
      <c r="FX92" s="53"/>
      <c r="FY92" s="53"/>
      <c r="FZ92" s="53"/>
      <c r="GA92" s="53"/>
      <c r="GB92" s="53"/>
      <c r="GC92" s="53"/>
      <c r="GD92" s="53"/>
      <c r="GE92" s="53"/>
      <c r="GF92" s="53"/>
      <c r="GG92" s="53"/>
      <c r="GH92" s="53"/>
      <c r="GI92" s="53"/>
      <c r="GJ92" s="53"/>
      <c r="GK92" s="53"/>
      <c r="GL92" s="53"/>
      <c r="GM92" s="53"/>
      <c r="GN92" s="53"/>
      <c r="GO92" s="53"/>
      <c r="GP92" s="53"/>
      <c r="GQ92" s="53"/>
      <c r="GR92" s="53"/>
      <c r="GS92" s="53"/>
      <c r="GT92" s="53"/>
      <c r="GU92" s="53"/>
      <c r="GV92" s="53"/>
      <c r="GW92" s="53"/>
      <c r="GX92" s="53"/>
      <c r="GY92" s="53"/>
      <c r="GZ92" s="53"/>
      <c r="HA92" s="53"/>
      <c r="HB92" s="53"/>
      <c r="HC92" s="53"/>
      <c r="HD92" s="53"/>
      <c r="HE92" s="53"/>
      <c r="HF92" s="53"/>
      <c r="HG92" s="53"/>
      <c r="HH92" s="53"/>
      <c r="HI92" s="53"/>
      <c r="HJ92" s="53"/>
      <c r="HK92" s="53"/>
      <c r="HL92" s="53"/>
      <c r="HM92" s="53"/>
      <c r="HN92" s="53"/>
      <c r="HO92" s="53"/>
      <c r="HP92" s="53"/>
      <c r="HQ92" s="53"/>
      <c r="HR92" s="53"/>
      <c r="HS92" s="53"/>
      <c r="HT92" s="53"/>
      <c r="HU92" s="53"/>
      <c r="HV92" s="53"/>
      <c r="HW92" s="53"/>
      <c r="HX92" s="53"/>
      <c r="HY92" s="53"/>
      <c r="HZ92" s="53"/>
      <c r="IA92" s="53"/>
      <c r="IB92" s="53"/>
      <c r="IC92" s="53"/>
      <c r="ID92" s="53"/>
      <c r="IE92" s="53"/>
      <c r="IF92" s="53"/>
      <c r="IG92" s="53"/>
      <c r="IH92" s="53"/>
      <c r="II92" s="53"/>
      <c r="IJ92" s="53"/>
      <c r="IK92" s="53"/>
      <c r="IL92" s="53"/>
      <c r="IM92" s="53"/>
      <c r="IN92" s="53"/>
      <c r="IO92" s="53"/>
      <c r="IP92" s="53"/>
      <c r="IQ92" s="53"/>
      <c r="IR92" s="53"/>
    </row>
    <row r="93" spans="1:252" s="1" customFormat="1" ht="24.6" hidden="1" customHeight="1">
      <c r="A93" s="15">
        <v>85</v>
      </c>
      <c r="B93" s="101" t="s">
        <v>281</v>
      </c>
      <c r="C93" s="26" t="s">
        <v>282</v>
      </c>
      <c r="D93" s="23" t="s">
        <v>283</v>
      </c>
      <c r="E93" s="34" t="s">
        <v>124</v>
      </c>
      <c r="F93" s="19">
        <v>2.7838500000000002</v>
      </c>
      <c r="G93" s="19">
        <v>2.7838500000000002</v>
      </c>
      <c r="H93" s="20">
        <f t="shared" si="10"/>
        <v>2.5054650000000001</v>
      </c>
      <c r="I93" s="19">
        <v>0</v>
      </c>
      <c r="J93" s="19">
        <v>0</v>
      </c>
      <c r="K93" s="48" t="s">
        <v>125</v>
      </c>
      <c r="L93" s="19">
        <f t="shared" si="7"/>
        <v>2.7838500000000002</v>
      </c>
      <c r="M93" s="20">
        <f t="shared" si="9"/>
        <v>2.5054650000000001</v>
      </c>
      <c r="N93" s="20">
        <v>2.7838500000000002</v>
      </c>
      <c r="O93" s="39">
        <v>230</v>
      </c>
      <c r="P93" s="19"/>
      <c r="Q93" s="60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  <c r="HQ93" s="53"/>
      <c r="HR93" s="53"/>
      <c r="HS93" s="53"/>
      <c r="HT93" s="53"/>
      <c r="HU93" s="53"/>
      <c r="HV93" s="53"/>
      <c r="HW93" s="53"/>
      <c r="HX93" s="53"/>
      <c r="HY93" s="53"/>
      <c r="HZ93" s="53"/>
      <c r="IA93" s="53"/>
      <c r="IB93" s="53"/>
      <c r="IC93" s="53"/>
      <c r="ID93" s="53"/>
      <c r="IE93" s="53"/>
      <c r="IF93" s="53"/>
      <c r="IG93" s="53"/>
      <c r="IH93" s="53"/>
      <c r="II93" s="53"/>
      <c r="IJ93" s="53"/>
      <c r="IK93" s="53"/>
      <c r="IL93" s="53"/>
      <c r="IM93" s="53"/>
      <c r="IN93" s="53"/>
      <c r="IO93" s="53"/>
      <c r="IP93" s="53"/>
      <c r="IQ93" s="53"/>
      <c r="IR93" s="53"/>
    </row>
    <row r="94" spans="1:252" s="1" customFormat="1" ht="24.6" hidden="1" customHeight="1">
      <c r="A94" s="15">
        <v>86</v>
      </c>
      <c r="B94" s="101" t="s">
        <v>284</v>
      </c>
      <c r="C94" s="26" t="s">
        <v>285</v>
      </c>
      <c r="D94" s="23" t="s">
        <v>286</v>
      </c>
      <c r="E94" s="34" t="s">
        <v>124</v>
      </c>
      <c r="F94" s="19">
        <v>0.14773846153846201</v>
      </c>
      <c r="G94" s="19">
        <v>0.14773846153846201</v>
      </c>
      <c r="H94" s="20">
        <f t="shared" si="10"/>
        <v>0.13296461538461582</v>
      </c>
      <c r="I94" s="19">
        <v>0</v>
      </c>
      <c r="J94" s="19">
        <v>0</v>
      </c>
      <c r="K94" s="48" t="s">
        <v>125</v>
      </c>
      <c r="L94" s="19">
        <f t="shared" si="7"/>
        <v>0.14773846153846201</v>
      </c>
      <c r="M94" s="20">
        <f t="shared" si="9"/>
        <v>0.13296461538461582</v>
      </c>
      <c r="N94" s="51">
        <v>0.14774000000000001</v>
      </c>
      <c r="O94" s="52">
        <v>230</v>
      </c>
      <c r="P94" s="19"/>
      <c r="Q94" s="60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3"/>
      <c r="FE94" s="53"/>
      <c r="FF94" s="53"/>
      <c r="FG94" s="53"/>
      <c r="FH94" s="53"/>
      <c r="FI94" s="53"/>
      <c r="FJ94" s="53"/>
      <c r="FK94" s="53"/>
      <c r="FL94" s="53"/>
      <c r="FM94" s="53"/>
      <c r="FN94" s="53"/>
      <c r="FO94" s="53"/>
      <c r="FP94" s="53"/>
      <c r="FQ94" s="53"/>
      <c r="FR94" s="53"/>
      <c r="FS94" s="53"/>
      <c r="FT94" s="53"/>
      <c r="FU94" s="53"/>
      <c r="FV94" s="53"/>
      <c r="FW94" s="53"/>
      <c r="FX94" s="53"/>
      <c r="FY94" s="53"/>
      <c r="FZ94" s="53"/>
      <c r="GA94" s="53"/>
      <c r="GB94" s="53"/>
      <c r="GC94" s="53"/>
      <c r="GD94" s="53"/>
      <c r="GE94" s="53"/>
      <c r="GF94" s="53"/>
      <c r="GG94" s="53"/>
      <c r="GH94" s="53"/>
      <c r="GI94" s="53"/>
      <c r="GJ94" s="53"/>
      <c r="GK94" s="53"/>
      <c r="GL94" s="53"/>
      <c r="GM94" s="53"/>
      <c r="GN94" s="53"/>
      <c r="GO94" s="53"/>
      <c r="GP94" s="53"/>
      <c r="GQ94" s="53"/>
      <c r="GR94" s="53"/>
      <c r="GS94" s="53"/>
      <c r="GT94" s="53"/>
      <c r="GU94" s="53"/>
      <c r="GV94" s="53"/>
      <c r="GW94" s="53"/>
      <c r="GX94" s="53"/>
      <c r="GY94" s="53"/>
      <c r="GZ94" s="53"/>
      <c r="HA94" s="53"/>
      <c r="HB94" s="53"/>
      <c r="HC94" s="53"/>
      <c r="HD94" s="53"/>
      <c r="HE94" s="53"/>
      <c r="HF94" s="53"/>
      <c r="HG94" s="53"/>
      <c r="HH94" s="53"/>
      <c r="HI94" s="53"/>
      <c r="HJ94" s="53"/>
      <c r="HK94" s="53"/>
      <c r="HL94" s="53"/>
      <c r="HM94" s="53"/>
      <c r="HN94" s="53"/>
      <c r="HO94" s="53"/>
      <c r="HP94" s="53"/>
      <c r="HQ94" s="53"/>
      <c r="HR94" s="53"/>
      <c r="HS94" s="53"/>
      <c r="HT94" s="53"/>
      <c r="HU94" s="53"/>
      <c r="HV94" s="53"/>
      <c r="HW94" s="53"/>
      <c r="HX94" s="53"/>
      <c r="HY94" s="53"/>
      <c r="HZ94" s="53"/>
      <c r="IA94" s="53"/>
      <c r="IB94" s="53"/>
      <c r="IC94" s="53"/>
      <c r="ID94" s="53"/>
      <c r="IE94" s="53"/>
      <c r="IF94" s="53"/>
      <c r="IG94" s="53"/>
      <c r="IH94" s="53"/>
      <c r="II94" s="53"/>
      <c r="IJ94" s="53"/>
      <c r="IK94" s="53"/>
      <c r="IL94" s="53"/>
      <c r="IM94" s="53"/>
      <c r="IN94" s="53"/>
      <c r="IO94" s="53"/>
      <c r="IP94" s="53"/>
      <c r="IQ94" s="53"/>
      <c r="IR94" s="53"/>
    </row>
    <row r="95" spans="1:252" s="1" customFormat="1" ht="24.6" hidden="1" customHeight="1">
      <c r="A95" s="15">
        <v>87</v>
      </c>
      <c r="B95" s="101" t="s">
        <v>287</v>
      </c>
      <c r="C95" s="26" t="s">
        <v>288</v>
      </c>
      <c r="D95" s="23" t="s">
        <v>289</v>
      </c>
      <c r="E95" s="34" t="s">
        <v>124</v>
      </c>
      <c r="F95" s="19">
        <v>0.238023076923077</v>
      </c>
      <c r="G95" s="19">
        <v>0.238023076923077</v>
      </c>
      <c r="H95" s="20">
        <f t="shared" si="10"/>
        <v>0.2142207692307693</v>
      </c>
      <c r="I95" s="19">
        <v>0</v>
      </c>
      <c r="J95" s="19">
        <v>0</v>
      </c>
      <c r="K95" s="48" t="s">
        <v>125</v>
      </c>
      <c r="L95" s="19">
        <f t="shared" si="7"/>
        <v>0.238023076923077</v>
      </c>
      <c r="M95" s="20">
        <f t="shared" si="9"/>
        <v>0.2142207692307693</v>
      </c>
      <c r="N95" s="38" t="s">
        <v>97</v>
      </c>
      <c r="O95" s="38" t="s">
        <v>97</v>
      </c>
      <c r="P95" s="19"/>
      <c r="Q95" s="60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3"/>
      <c r="BW95" s="53"/>
      <c r="BX95" s="53"/>
      <c r="BY95" s="53"/>
      <c r="BZ95" s="53"/>
      <c r="CA95" s="53"/>
      <c r="CB95" s="53"/>
      <c r="CC95" s="53"/>
      <c r="CD95" s="53"/>
      <c r="CE95" s="53"/>
      <c r="CF95" s="53"/>
      <c r="CG95" s="53"/>
      <c r="CH95" s="53"/>
      <c r="CI95" s="53"/>
      <c r="CJ95" s="53"/>
      <c r="CK95" s="53"/>
      <c r="CL95" s="53"/>
      <c r="CM95" s="53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  <c r="EE95" s="53"/>
      <c r="EF95" s="53"/>
      <c r="EG95" s="53"/>
      <c r="EH95" s="53"/>
      <c r="EI95" s="53"/>
      <c r="EJ95" s="53"/>
      <c r="EK95" s="53"/>
      <c r="EL95" s="53"/>
      <c r="EM95" s="53"/>
      <c r="EN95" s="53"/>
      <c r="EO95" s="53"/>
      <c r="EP95" s="53"/>
      <c r="EQ95" s="53"/>
      <c r="ER95" s="53"/>
      <c r="ES95" s="53"/>
      <c r="ET95" s="53"/>
      <c r="EU95" s="53"/>
      <c r="EV95" s="53"/>
      <c r="EW95" s="53"/>
      <c r="EX95" s="53"/>
      <c r="EY95" s="53"/>
      <c r="EZ95" s="53"/>
      <c r="FA95" s="53"/>
      <c r="FB95" s="53"/>
      <c r="FC95" s="53"/>
      <c r="FD95" s="53"/>
      <c r="FE95" s="53"/>
      <c r="FF95" s="53"/>
      <c r="FG95" s="53"/>
      <c r="FH95" s="53"/>
      <c r="FI95" s="53"/>
      <c r="FJ95" s="53"/>
      <c r="FK95" s="53"/>
      <c r="FL95" s="53"/>
      <c r="FM95" s="53"/>
      <c r="FN95" s="53"/>
      <c r="FO95" s="53"/>
      <c r="FP95" s="53"/>
      <c r="FQ95" s="53"/>
      <c r="FR95" s="53"/>
      <c r="FS95" s="53"/>
      <c r="FT95" s="53"/>
      <c r="FU95" s="53"/>
      <c r="FV95" s="53"/>
      <c r="FW95" s="53"/>
      <c r="FX95" s="53"/>
      <c r="FY95" s="53"/>
      <c r="FZ95" s="53"/>
      <c r="GA95" s="53"/>
      <c r="GB95" s="53"/>
      <c r="GC95" s="53"/>
      <c r="GD95" s="53"/>
      <c r="GE95" s="53"/>
      <c r="GF95" s="53"/>
      <c r="GG95" s="53"/>
      <c r="GH95" s="53"/>
      <c r="GI95" s="53"/>
      <c r="GJ95" s="53"/>
      <c r="GK95" s="53"/>
      <c r="GL95" s="53"/>
      <c r="GM95" s="53"/>
      <c r="GN95" s="53"/>
      <c r="GO95" s="53"/>
      <c r="GP95" s="53"/>
      <c r="GQ95" s="53"/>
      <c r="GR95" s="53"/>
      <c r="GS95" s="53"/>
      <c r="GT95" s="53"/>
      <c r="GU95" s="53"/>
      <c r="GV95" s="53"/>
      <c r="GW95" s="53"/>
      <c r="GX95" s="53"/>
      <c r="GY95" s="53"/>
      <c r="GZ95" s="53"/>
      <c r="HA95" s="53"/>
      <c r="HB95" s="53"/>
      <c r="HC95" s="53"/>
      <c r="HD95" s="53"/>
      <c r="HE95" s="53"/>
      <c r="HF95" s="53"/>
      <c r="HG95" s="53"/>
      <c r="HH95" s="53"/>
      <c r="HI95" s="53"/>
      <c r="HJ95" s="53"/>
      <c r="HK95" s="53"/>
      <c r="HL95" s="53"/>
      <c r="HM95" s="53"/>
      <c r="HN95" s="53"/>
      <c r="HO95" s="53"/>
      <c r="HP95" s="53"/>
      <c r="HQ95" s="53"/>
      <c r="HR95" s="53"/>
      <c r="HS95" s="53"/>
      <c r="HT95" s="53"/>
      <c r="HU95" s="53"/>
      <c r="HV95" s="53"/>
      <c r="HW95" s="53"/>
      <c r="HX95" s="53"/>
      <c r="HY95" s="53"/>
      <c r="HZ95" s="53"/>
      <c r="IA95" s="53"/>
      <c r="IB95" s="53"/>
      <c r="IC95" s="53"/>
      <c r="ID95" s="53"/>
      <c r="IE95" s="53"/>
      <c r="IF95" s="53"/>
      <c r="IG95" s="53"/>
      <c r="IH95" s="53"/>
      <c r="II95" s="53"/>
      <c r="IJ95" s="53"/>
      <c r="IK95" s="53"/>
      <c r="IL95" s="53"/>
      <c r="IM95" s="53"/>
      <c r="IN95" s="53"/>
      <c r="IO95" s="53"/>
      <c r="IP95" s="53"/>
      <c r="IQ95" s="53"/>
      <c r="IR95" s="53"/>
    </row>
    <row r="96" spans="1:252" s="1" customFormat="1" ht="24.6" hidden="1" customHeight="1">
      <c r="A96" s="15">
        <v>88</v>
      </c>
      <c r="B96" s="101" t="s">
        <v>290</v>
      </c>
      <c r="C96" s="26" t="s">
        <v>291</v>
      </c>
      <c r="D96" s="23" t="s">
        <v>292</v>
      </c>
      <c r="E96" s="34" t="s">
        <v>124</v>
      </c>
      <c r="F96" s="19">
        <v>0.16415384615384601</v>
      </c>
      <c r="G96" s="19">
        <v>0.16415384615384601</v>
      </c>
      <c r="H96" s="20">
        <f t="shared" si="10"/>
        <v>0.1477384615384614</v>
      </c>
      <c r="I96" s="19">
        <v>0</v>
      </c>
      <c r="J96" s="19">
        <v>0</v>
      </c>
      <c r="K96" s="48" t="s">
        <v>125</v>
      </c>
      <c r="L96" s="19">
        <f t="shared" si="7"/>
        <v>0.16415384615384601</v>
      </c>
      <c r="M96" s="20">
        <f t="shared" si="9"/>
        <v>0.1477384615384614</v>
      </c>
      <c r="N96" s="38">
        <v>0.16414999999999999</v>
      </c>
      <c r="O96" s="39">
        <v>230</v>
      </c>
      <c r="P96" s="19"/>
      <c r="Q96" s="60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53"/>
      <c r="CI96" s="53"/>
      <c r="CJ96" s="53"/>
      <c r="CK96" s="53"/>
      <c r="CL96" s="53"/>
      <c r="CM96" s="53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  <c r="EE96" s="53"/>
      <c r="EF96" s="53"/>
      <c r="EG96" s="53"/>
      <c r="EH96" s="53"/>
      <c r="EI96" s="53"/>
      <c r="EJ96" s="53"/>
      <c r="EK96" s="53"/>
      <c r="EL96" s="53"/>
      <c r="EM96" s="53"/>
      <c r="EN96" s="53"/>
      <c r="EO96" s="53"/>
      <c r="EP96" s="53"/>
      <c r="EQ96" s="53"/>
      <c r="ER96" s="53"/>
      <c r="ES96" s="53"/>
      <c r="ET96" s="53"/>
      <c r="EU96" s="53"/>
      <c r="EV96" s="53"/>
      <c r="EW96" s="53"/>
      <c r="EX96" s="53"/>
      <c r="EY96" s="53"/>
      <c r="EZ96" s="53"/>
      <c r="FA96" s="53"/>
      <c r="FB96" s="53"/>
      <c r="FC96" s="53"/>
      <c r="FD96" s="53"/>
      <c r="FE96" s="53"/>
      <c r="FF96" s="53"/>
      <c r="FG96" s="53"/>
      <c r="FH96" s="53"/>
      <c r="FI96" s="53"/>
      <c r="FJ96" s="53"/>
      <c r="FK96" s="53"/>
      <c r="FL96" s="53"/>
      <c r="FM96" s="53"/>
      <c r="FN96" s="53"/>
      <c r="FO96" s="53"/>
      <c r="FP96" s="53"/>
      <c r="FQ96" s="53"/>
      <c r="FR96" s="53"/>
      <c r="FS96" s="53"/>
      <c r="FT96" s="53"/>
      <c r="FU96" s="53"/>
      <c r="FV96" s="53"/>
      <c r="FW96" s="53"/>
      <c r="FX96" s="53"/>
      <c r="FY96" s="53"/>
      <c r="FZ96" s="53"/>
      <c r="GA96" s="53"/>
      <c r="GB96" s="53"/>
      <c r="GC96" s="53"/>
      <c r="GD96" s="53"/>
      <c r="GE96" s="53"/>
      <c r="GF96" s="53"/>
      <c r="GG96" s="53"/>
      <c r="GH96" s="53"/>
      <c r="GI96" s="53"/>
      <c r="GJ96" s="53"/>
      <c r="GK96" s="53"/>
      <c r="GL96" s="53"/>
      <c r="GM96" s="53"/>
      <c r="GN96" s="53"/>
      <c r="GO96" s="53"/>
      <c r="GP96" s="53"/>
      <c r="GQ96" s="53"/>
      <c r="GR96" s="53"/>
      <c r="GS96" s="53"/>
      <c r="GT96" s="53"/>
      <c r="GU96" s="53"/>
      <c r="GV96" s="53"/>
      <c r="GW96" s="53"/>
      <c r="GX96" s="53"/>
      <c r="GY96" s="53"/>
      <c r="GZ96" s="53"/>
      <c r="HA96" s="53"/>
      <c r="HB96" s="53"/>
      <c r="HC96" s="53"/>
      <c r="HD96" s="53"/>
      <c r="HE96" s="53"/>
      <c r="HF96" s="53"/>
      <c r="HG96" s="53"/>
      <c r="HH96" s="53"/>
      <c r="HI96" s="53"/>
      <c r="HJ96" s="53"/>
      <c r="HK96" s="53"/>
      <c r="HL96" s="53"/>
      <c r="HM96" s="53"/>
      <c r="HN96" s="53"/>
      <c r="HO96" s="53"/>
      <c r="HP96" s="53"/>
      <c r="HQ96" s="53"/>
      <c r="HR96" s="53"/>
      <c r="HS96" s="53"/>
      <c r="HT96" s="53"/>
      <c r="HU96" s="53"/>
      <c r="HV96" s="53"/>
      <c r="HW96" s="53"/>
      <c r="HX96" s="53"/>
      <c r="HY96" s="53"/>
      <c r="HZ96" s="53"/>
      <c r="IA96" s="53"/>
      <c r="IB96" s="53"/>
      <c r="IC96" s="53"/>
      <c r="ID96" s="53"/>
      <c r="IE96" s="53"/>
      <c r="IF96" s="53"/>
      <c r="IG96" s="53"/>
      <c r="IH96" s="53"/>
      <c r="II96" s="53"/>
      <c r="IJ96" s="53"/>
      <c r="IK96" s="53"/>
      <c r="IL96" s="53"/>
      <c r="IM96" s="53"/>
      <c r="IN96" s="53"/>
      <c r="IO96" s="53"/>
      <c r="IP96" s="53"/>
      <c r="IQ96" s="53"/>
      <c r="IR96" s="53"/>
    </row>
    <row r="97" spans="1:259" s="1" customFormat="1" ht="24.6" hidden="1" customHeight="1">
      <c r="A97" s="15">
        <v>89</v>
      </c>
      <c r="B97" s="101" t="s">
        <v>293</v>
      </c>
      <c r="C97" s="26" t="s">
        <v>294</v>
      </c>
      <c r="D97" s="23" t="s">
        <v>295</v>
      </c>
      <c r="E97" s="34" t="s">
        <v>124</v>
      </c>
      <c r="F97" s="19">
        <v>0.248353448275862</v>
      </c>
      <c r="G97" s="19">
        <v>0.248353448275862</v>
      </c>
      <c r="H97" s="20">
        <f t="shared" si="10"/>
        <v>0.2235181034482758</v>
      </c>
      <c r="I97" s="19">
        <v>0</v>
      </c>
      <c r="J97" s="19">
        <v>0</v>
      </c>
      <c r="K97" s="48" t="s">
        <v>125</v>
      </c>
      <c r="L97" s="19">
        <f t="shared" si="7"/>
        <v>0.248353448275862</v>
      </c>
      <c r="M97" s="20">
        <f t="shared" si="9"/>
        <v>0.2235181034482758</v>
      </c>
      <c r="N97" s="38">
        <v>0.24834999999999999</v>
      </c>
      <c r="O97" s="39">
        <v>230</v>
      </c>
      <c r="P97" s="19"/>
      <c r="Q97" s="60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  <c r="CJ97" s="53"/>
      <c r="CK97" s="53"/>
      <c r="CL97" s="53"/>
      <c r="CM97" s="53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3"/>
      <c r="DE97" s="53"/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  <c r="EC97" s="53"/>
      <c r="ED97" s="53"/>
      <c r="EE97" s="53"/>
      <c r="EF97" s="53"/>
      <c r="EG97" s="53"/>
      <c r="EH97" s="53"/>
      <c r="EI97" s="53"/>
      <c r="EJ97" s="53"/>
      <c r="EK97" s="53"/>
      <c r="EL97" s="53"/>
      <c r="EM97" s="53"/>
      <c r="EN97" s="53"/>
      <c r="EO97" s="53"/>
      <c r="EP97" s="53"/>
      <c r="EQ97" s="53"/>
      <c r="ER97" s="53"/>
      <c r="ES97" s="53"/>
      <c r="ET97" s="53"/>
      <c r="EU97" s="53"/>
      <c r="EV97" s="53"/>
      <c r="EW97" s="53"/>
      <c r="EX97" s="53"/>
      <c r="EY97" s="53"/>
      <c r="EZ97" s="53"/>
      <c r="FA97" s="53"/>
      <c r="FB97" s="53"/>
      <c r="FC97" s="53"/>
      <c r="FD97" s="53"/>
      <c r="FE97" s="53"/>
      <c r="FF97" s="53"/>
      <c r="FG97" s="53"/>
      <c r="FH97" s="53"/>
      <c r="FI97" s="53"/>
      <c r="FJ97" s="53"/>
      <c r="FK97" s="53"/>
      <c r="FL97" s="53"/>
      <c r="FM97" s="53"/>
      <c r="FN97" s="53"/>
      <c r="FO97" s="53"/>
      <c r="FP97" s="53"/>
      <c r="FQ97" s="53"/>
      <c r="FR97" s="53"/>
      <c r="FS97" s="53"/>
      <c r="FT97" s="53"/>
      <c r="FU97" s="53"/>
      <c r="FV97" s="53"/>
      <c r="FW97" s="53"/>
      <c r="FX97" s="53"/>
      <c r="FY97" s="53"/>
      <c r="FZ97" s="53"/>
      <c r="GA97" s="53"/>
      <c r="GB97" s="53"/>
      <c r="GC97" s="53"/>
      <c r="GD97" s="53"/>
      <c r="GE97" s="53"/>
      <c r="GF97" s="53"/>
      <c r="GG97" s="53"/>
      <c r="GH97" s="53"/>
      <c r="GI97" s="53"/>
      <c r="GJ97" s="53"/>
      <c r="GK97" s="53"/>
      <c r="GL97" s="53"/>
      <c r="GM97" s="53"/>
      <c r="GN97" s="53"/>
      <c r="GO97" s="53"/>
      <c r="GP97" s="53"/>
      <c r="GQ97" s="53"/>
      <c r="GR97" s="53"/>
      <c r="GS97" s="53"/>
      <c r="GT97" s="53"/>
      <c r="GU97" s="53"/>
      <c r="GV97" s="53"/>
      <c r="GW97" s="53"/>
      <c r="GX97" s="53"/>
      <c r="GY97" s="53"/>
      <c r="GZ97" s="53"/>
      <c r="HA97" s="53"/>
      <c r="HB97" s="53"/>
      <c r="HC97" s="53"/>
      <c r="HD97" s="53"/>
      <c r="HE97" s="53"/>
      <c r="HF97" s="53"/>
      <c r="HG97" s="53"/>
      <c r="HH97" s="53"/>
      <c r="HI97" s="53"/>
      <c r="HJ97" s="53"/>
      <c r="HK97" s="53"/>
      <c r="HL97" s="53"/>
      <c r="HM97" s="53"/>
      <c r="HN97" s="53"/>
      <c r="HO97" s="53"/>
      <c r="HP97" s="53"/>
      <c r="HQ97" s="53"/>
      <c r="HR97" s="53"/>
      <c r="HS97" s="53"/>
      <c r="HT97" s="53"/>
      <c r="HU97" s="53"/>
      <c r="HV97" s="53"/>
      <c r="HW97" s="53"/>
      <c r="HX97" s="53"/>
      <c r="HY97" s="53"/>
      <c r="HZ97" s="53"/>
      <c r="IA97" s="53"/>
      <c r="IB97" s="53"/>
      <c r="IC97" s="53"/>
      <c r="ID97" s="53"/>
      <c r="IE97" s="53"/>
      <c r="IF97" s="53"/>
      <c r="IG97" s="53"/>
      <c r="IH97" s="53"/>
      <c r="II97" s="53"/>
      <c r="IJ97" s="53"/>
      <c r="IK97" s="53"/>
      <c r="IL97" s="53"/>
      <c r="IM97" s="53"/>
      <c r="IN97" s="53"/>
      <c r="IO97" s="53"/>
      <c r="IP97" s="53"/>
      <c r="IQ97" s="53"/>
      <c r="IR97" s="53"/>
    </row>
    <row r="98" spans="1:259" s="1" customFormat="1" ht="24.6" hidden="1" customHeight="1">
      <c r="A98" s="15">
        <v>90</v>
      </c>
      <c r="B98" s="101" t="s">
        <v>296</v>
      </c>
      <c r="C98" s="26" t="s">
        <v>297</v>
      </c>
      <c r="D98" s="23" t="s">
        <v>298</v>
      </c>
      <c r="E98" s="34" t="s">
        <v>124</v>
      </c>
      <c r="F98" s="19">
        <v>0.19868275862068999</v>
      </c>
      <c r="G98" s="19">
        <v>0.19868275862068999</v>
      </c>
      <c r="H98" s="20">
        <f t="shared" si="10"/>
        <v>0.178814482758621</v>
      </c>
      <c r="I98" s="19">
        <v>0</v>
      </c>
      <c r="J98" s="19">
        <v>0</v>
      </c>
      <c r="K98" s="48" t="s">
        <v>125</v>
      </c>
      <c r="L98" s="19">
        <f t="shared" si="7"/>
        <v>0.19868275862068999</v>
      </c>
      <c r="M98" s="20">
        <f t="shared" si="9"/>
        <v>0.178814482758621</v>
      </c>
      <c r="N98" s="51">
        <v>0.19868</v>
      </c>
      <c r="O98" s="52">
        <v>230</v>
      </c>
      <c r="P98" s="19"/>
      <c r="Q98" s="60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3"/>
      <c r="DE98" s="53"/>
      <c r="DF98" s="53"/>
      <c r="DG98" s="53"/>
      <c r="DH98" s="53"/>
      <c r="DI98" s="53"/>
      <c r="DJ98" s="53"/>
      <c r="DK98" s="53"/>
      <c r="DL98" s="53"/>
      <c r="DM98" s="53"/>
      <c r="DN98" s="53"/>
      <c r="DO98" s="53"/>
      <c r="DP98" s="53"/>
      <c r="DQ98" s="53"/>
      <c r="DR98" s="53"/>
      <c r="DS98" s="53"/>
      <c r="DT98" s="53"/>
      <c r="DU98" s="53"/>
      <c r="DV98" s="53"/>
      <c r="DW98" s="53"/>
      <c r="DX98" s="53"/>
      <c r="DY98" s="53"/>
      <c r="DZ98" s="53"/>
      <c r="EA98" s="53"/>
      <c r="EB98" s="53"/>
      <c r="EC98" s="53"/>
      <c r="ED98" s="53"/>
      <c r="EE98" s="53"/>
      <c r="EF98" s="53"/>
      <c r="EG98" s="53"/>
      <c r="EH98" s="53"/>
      <c r="EI98" s="53"/>
      <c r="EJ98" s="53"/>
      <c r="EK98" s="53"/>
      <c r="EL98" s="53"/>
      <c r="EM98" s="53"/>
      <c r="EN98" s="53"/>
      <c r="EO98" s="53"/>
      <c r="EP98" s="53"/>
      <c r="EQ98" s="53"/>
      <c r="ER98" s="53"/>
      <c r="ES98" s="53"/>
      <c r="ET98" s="53"/>
      <c r="EU98" s="53"/>
      <c r="EV98" s="53"/>
      <c r="EW98" s="53"/>
      <c r="EX98" s="53"/>
      <c r="EY98" s="53"/>
      <c r="EZ98" s="53"/>
      <c r="FA98" s="53"/>
      <c r="FB98" s="53"/>
      <c r="FC98" s="53"/>
      <c r="FD98" s="53"/>
      <c r="FE98" s="53"/>
      <c r="FF98" s="53"/>
      <c r="FG98" s="53"/>
      <c r="FH98" s="53"/>
      <c r="FI98" s="53"/>
      <c r="FJ98" s="53"/>
      <c r="FK98" s="53"/>
      <c r="FL98" s="53"/>
      <c r="FM98" s="53"/>
      <c r="FN98" s="53"/>
      <c r="FO98" s="53"/>
      <c r="FP98" s="53"/>
      <c r="FQ98" s="53"/>
      <c r="FR98" s="53"/>
      <c r="FS98" s="53"/>
      <c r="FT98" s="53"/>
      <c r="FU98" s="53"/>
      <c r="FV98" s="53"/>
      <c r="FW98" s="53"/>
      <c r="FX98" s="53"/>
      <c r="FY98" s="53"/>
      <c r="FZ98" s="53"/>
      <c r="GA98" s="53"/>
      <c r="GB98" s="53"/>
      <c r="GC98" s="53"/>
      <c r="GD98" s="53"/>
      <c r="GE98" s="53"/>
      <c r="GF98" s="53"/>
      <c r="GG98" s="53"/>
      <c r="GH98" s="53"/>
      <c r="GI98" s="53"/>
      <c r="GJ98" s="53"/>
      <c r="GK98" s="53"/>
      <c r="GL98" s="53"/>
      <c r="GM98" s="53"/>
      <c r="GN98" s="53"/>
      <c r="GO98" s="53"/>
      <c r="GP98" s="53"/>
      <c r="GQ98" s="53"/>
      <c r="GR98" s="53"/>
      <c r="GS98" s="53"/>
      <c r="GT98" s="53"/>
      <c r="GU98" s="53"/>
      <c r="GV98" s="53"/>
      <c r="GW98" s="53"/>
      <c r="GX98" s="53"/>
      <c r="GY98" s="53"/>
      <c r="GZ98" s="53"/>
      <c r="HA98" s="53"/>
      <c r="HB98" s="53"/>
      <c r="HC98" s="53"/>
      <c r="HD98" s="53"/>
      <c r="HE98" s="53"/>
      <c r="HF98" s="53"/>
      <c r="HG98" s="53"/>
      <c r="HH98" s="53"/>
      <c r="HI98" s="53"/>
      <c r="HJ98" s="53"/>
      <c r="HK98" s="53"/>
      <c r="HL98" s="53"/>
      <c r="HM98" s="53"/>
      <c r="HN98" s="53"/>
      <c r="HO98" s="53"/>
      <c r="HP98" s="53"/>
      <c r="HQ98" s="53"/>
      <c r="HR98" s="53"/>
      <c r="HS98" s="53"/>
      <c r="HT98" s="53"/>
      <c r="HU98" s="53"/>
      <c r="HV98" s="53"/>
      <c r="HW98" s="53"/>
      <c r="HX98" s="53"/>
      <c r="HY98" s="53"/>
      <c r="HZ98" s="53"/>
      <c r="IA98" s="53"/>
      <c r="IB98" s="53"/>
      <c r="IC98" s="53"/>
      <c r="ID98" s="53"/>
      <c r="IE98" s="53"/>
      <c r="IF98" s="53"/>
      <c r="IG98" s="53"/>
      <c r="IH98" s="53"/>
      <c r="II98" s="53"/>
      <c r="IJ98" s="53"/>
      <c r="IK98" s="53"/>
      <c r="IL98" s="53"/>
      <c r="IM98" s="53"/>
      <c r="IN98" s="53"/>
      <c r="IO98" s="53"/>
      <c r="IP98" s="53"/>
      <c r="IQ98" s="53"/>
      <c r="IR98" s="53"/>
    </row>
    <row r="99" spans="1:259" s="1" customFormat="1" ht="24.6" hidden="1" customHeight="1">
      <c r="A99" s="15">
        <v>91</v>
      </c>
      <c r="B99" s="101" t="s">
        <v>299</v>
      </c>
      <c r="C99" s="26" t="s">
        <v>300</v>
      </c>
      <c r="D99" s="23" t="s">
        <v>301</v>
      </c>
      <c r="E99" s="34" t="s">
        <v>124</v>
      </c>
      <c r="F99" s="19">
        <v>0.182125862068965</v>
      </c>
      <c r="G99" s="19">
        <v>0.182125862068965</v>
      </c>
      <c r="H99" s="20">
        <f t="shared" si="10"/>
        <v>0.1639132758620685</v>
      </c>
      <c r="I99" s="19">
        <v>0</v>
      </c>
      <c r="J99" s="19">
        <v>0</v>
      </c>
      <c r="K99" s="48" t="s">
        <v>125</v>
      </c>
      <c r="L99" s="19">
        <f t="shared" si="7"/>
        <v>0.182125862068965</v>
      </c>
      <c r="M99" s="20">
        <f t="shared" si="9"/>
        <v>0.1639132758620685</v>
      </c>
      <c r="N99" s="38">
        <v>0.18212999999999999</v>
      </c>
      <c r="O99" s="39">
        <v>230</v>
      </c>
      <c r="P99" s="19"/>
      <c r="Q99" s="60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3"/>
      <c r="CE99" s="53"/>
      <c r="CF99" s="53"/>
      <c r="CG99" s="53"/>
      <c r="CH99" s="53"/>
      <c r="CI99" s="53"/>
      <c r="CJ99" s="53"/>
      <c r="CK99" s="53"/>
      <c r="CL99" s="53"/>
      <c r="CM99" s="53"/>
      <c r="CN99" s="53"/>
      <c r="CO99" s="53"/>
      <c r="CP99" s="53"/>
      <c r="CQ99" s="53"/>
      <c r="CR99" s="53"/>
      <c r="CS99" s="53"/>
      <c r="CT99" s="53"/>
      <c r="CU99" s="53"/>
      <c r="CV99" s="53"/>
      <c r="CW99" s="53"/>
      <c r="CX99" s="53"/>
      <c r="CY99" s="53"/>
      <c r="CZ99" s="53"/>
      <c r="DA99" s="53"/>
      <c r="DB99" s="53"/>
      <c r="DC99" s="53"/>
      <c r="DD99" s="53"/>
      <c r="DE99" s="53"/>
      <c r="DF99" s="53"/>
      <c r="DG99" s="53"/>
      <c r="DH99" s="53"/>
      <c r="DI99" s="53"/>
      <c r="DJ99" s="53"/>
      <c r="DK99" s="53"/>
      <c r="DL99" s="53"/>
      <c r="DM99" s="53"/>
      <c r="DN99" s="53"/>
      <c r="DO99" s="53"/>
      <c r="DP99" s="53"/>
      <c r="DQ99" s="53"/>
      <c r="DR99" s="53"/>
      <c r="DS99" s="53"/>
      <c r="DT99" s="53"/>
      <c r="DU99" s="53"/>
      <c r="DV99" s="53"/>
      <c r="DW99" s="53"/>
      <c r="DX99" s="53"/>
      <c r="DY99" s="53"/>
      <c r="DZ99" s="53"/>
      <c r="EA99" s="53"/>
      <c r="EB99" s="53"/>
      <c r="EC99" s="53"/>
      <c r="ED99" s="53"/>
      <c r="EE99" s="53"/>
      <c r="EF99" s="53"/>
      <c r="EG99" s="53"/>
      <c r="EH99" s="53"/>
      <c r="EI99" s="53"/>
      <c r="EJ99" s="53"/>
      <c r="EK99" s="53"/>
      <c r="EL99" s="53"/>
      <c r="EM99" s="53"/>
      <c r="EN99" s="53"/>
      <c r="EO99" s="53"/>
      <c r="EP99" s="53"/>
      <c r="EQ99" s="53"/>
      <c r="ER99" s="53"/>
      <c r="ES99" s="53"/>
      <c r="ET99" s="53"/>
      <c r="EU99" s="53"/>
      <c r="EV99" s="53"/>
      <c r="EW99" s="53"/>
      <c r="EX99" s="53"/>
      <c r="EY99" s="53"/>
      <c r="EZ99" s="53"/>
      <c r="FA99" s="53"/>
      <c r="FB99" s="53"/>
      <c r="FC99" s="53"/>
      <c r="FD99" s="53"/>
      <c r="FE99" s="53"/>
      <c r="FF99" s="53"/>
      <c r="FG99" s="53"/>
      <c r="FH99" s="53"/>
      <c r="FI99" s="53"/>
      <c r="FJ99" s="53"/>
      <c r="FK99" s="53"/>
      <c r="FL99" s="53"/>
      <c r="FM99" s="53"/>
      <c r="FN99" s="53"/>
      <c r="FO99" s="53"/>
      <c r="FP99" s="53"/>
      <c r="FQ99" s="53"/>
      <c r="FR99" s="53"/>
      <c r="FS99" s="53"/>
      <c r="FT99" s="53"/>
      <c r="FU99" s="53"/>
      <c r="FV99" s="53"/>
      <c r="FW99" s="53"/>
      <c r="FX99" s="53"/>
      <c r="FY99" s="53"/>
      <c r="FZ99" s="53"/>
      <c r="GA99" s="53"/>
      <c r="GB99" s="53"/>
      <c r="GC99" s="53"/>
      <c r="GD99" s="53"/>
      <c r="GE99" s="53"/>
      <c r="GF99" s="53"/>
      <c r="GG99" s="53"/>
      <c r="GH99" s="53"/>
      <c r="GI99" s="53"/>
      <c r="GJ99" s="53"/>
      <c r="GK99" s="53"/>
      <c r="GL99" s="53"/>
      <c r="GM99" s="53"/>
      <c r="GN99" s="53"/>
      <c r="GO99" s="53"/>
      <c r="GP99" s="53"/>
      <c r="GQ99" s="53"/>
      <c r="GR99" s="53"/>
      <c r="GS99" s="53"/>
      <c r="GT99" s="53"/>
      <c r="GU99" s="53"/>
      <c r="GV99" s="53"/>
      <c r="GW99" s="53"/>
      <c r="GX99" s="53"/>
      <c r="GY99" s="53"/>
      <c r="GZ99" s="53"/>
      <c r="HA99" s="53"/>
      <c r="HB99" s="53"/>
      <c r="HC99" s="53"/>
      <c r="HD99" s="53"/>
      <c r="HE99" s="53"/>
      <c r="HF99" s="53"/>
      <c r="HG99" s="53"/>
      <c r="HH99" s="53"/>
      <c r="HI99" s="53"/>
      <c r="HJ99" s="53"/>
      <c r="HK99" s="53"/>
      <c r="HL99" s="53"/>
      <c r="HM99" s="53"/>
      <c r="HN99" s="53"/>
      <c r="HO99" s="53"/>
      <c r="HP99" s="53"/>
      <c r="HQ99" s="53"/>
      <c r="HR99" s="53"/>
      <c r="HS99" s="53"/>
      <c r="HT99" s="53"/>
      <c r="HU99" s="53"/>
      <c r="HV99" s="53"/>
      <c r="HW99" s="53"/>
      <c r="HX99" s="53"/>
      <c r="HY99" s="53"/>
      <c r="HZ99" s="53"/>
      <c r="IA99" s="53"/>
      <c r="IB99" s="53"/>
      <c r="IC99" s="53"/>
      <c r="ID99" s="53"/>
      <c r="IE99" s="53"/>
      <c r="IF99" s="53"/>
      <c r="IG99" s="53"/>
      <c r="IH99" s="53"/>
      <c r="II99" s="53"/>
      <c r="IJ99" s="53"/>
      <c r="IK99" s="53"/>
      <c r="IL99" s="53"/>
      <c r="IM99" s="53"/>
      <c r="IN99" s="53"/>
      <c r="IO99" s="53"/>
      <c r="IP99" s="53"/>
      <c r="IQ99" s="53"/>
      <c r="IR99" s="53"/>
    </row>
    <row r="100" spans="1:259" s="1" customFormat="1" ht="24.6" hidden="1" customHeight="1">
      <c r="A100" s="15">
        <v>92</v>
      </c>
      <c r="B100" s="101" t="s">
        <v>302</v>
      </c>
      <c r="C100" s="26" t="s">
        <v>303</v>
      </c>
      <c r="D100" s="23" t="s">
        <v>304</v>
      </c>
      <c r="E100" s="34" t="s">
        <v>124</v>
      </c>
      <c r="F100" s="19">
        <v>1.44872844827586</v>
      </c>
      <c r="G100" s="19">
        <v>1.44872844827586</v>
      </c>
      <c r="H100" s="20">
        <f t="shared" si="10"/>
        <v>1.303855603448274</v>
      </c>
      <c r="I100" s="19">
        <v>0</v>
      </c>
      <c r="J100" s="19">
        <v>0</v>
      </c>
      <c r="K100" s="48" t="s">
        <v>125</v>
      </c>
      <c r="L100" s="19">
        <f t="shared" si="7"/>
        <v>1.44872844827586</v>
      </c>
      <c r="M100" s="20">
        <f t="shared" si="9"/>
        <v>1.303855603448274</v>
      </c>
      <c r="N100" s="38">
        <v>1.4487300000000001</v>
      </c>
      <c r="O100" s="39">
        <v>230</v>
      </c>
      <c r="P100" s="19"/>
      <c r="Q100" s="60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3"/>
      <c r="BW100" s="53"/>
      <c r="BX100" s="53"/>
      <c r="BY100" s="53"/>
      <c r="BZ100" s="53"/>
      <c r="CA100" s="53"/>
      <c r="CB100" s="53"/>
      <c r="CC100" s="53"/>
      <c r="CD100" s="53"/>
      <c r="CE100" s="53"/>
      <c r="CF100" s="53"/>
      <c r="CG100" s="53"/>
      <c r="CH100" s="53"/>
      <c r="CI100" s="53"/>
      <c r="CJ100" s="53"/>
      <c r="CK100" s="53"/>
      <c r="CL100" s="53"/>
      <c r="CM100" s="53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  <c r="DB100" s="53"/>
      <c r="DC100" s="53"/>
      <c r="DD100" s="53"/>
      <c r="DE100" s="53"/>
      <c r="DF100" s="53"/>
      <c r="DG100" s="53"/>
      <c r="DH100" s="53"/>
      <c r="DI100" s="53"/>
      <c r="DJ100" s="53"/>
      <c r="DK100" s="53"/>
      <c r="DL100" s="53"/>
      <c r="DM100" s="53"/>
      <c r="DN100" s="53"/>
      <c r="DO100" s="53"/>
      <c r="DP100" s="53"/>
      <c r="DQ100" s="53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  <c r="EB100" s="53"/>
      <c r="EC100" s="53"/>
      <c r="ED100" s="53"/>
      <c r="EE100" s="53"/>
      <c r="EF100" s="53"/>
      <c r="EG100" s="53"/>
      <c r="EH100" s="53"/>
      <c r="EI100" s="53"/>
      <c r="EJ100" s="53"/>
      <c r="EK100" s="53"/>
      <c r="EL100" s="53"/>
      <c r="EM100" s="53"/>
      <c r="EN100" s="53"/>
      <c r="EO100" s="53"/>
      <c r="EP100" s="53"/>
      <c r="EQ100" s="53"/>
      <c r="ER100" s="53"/>
      <c r="ES100" s="53"/>
      <c r="ET100" s="53"/>
      <c r="EU100" s="53"/>
      <c r="EV100" s="53"/>
      <c r="EW100" s="53"/>
      <c r="EX100" s="53"/>
      <c r="EY100" s="53"/>
      <c r="EZ100" s="53"/>
      <c r="FA100" s="53"/>
      <c r="FB100" s="53"/>
      <c r="FC100" s="53"/>
      <c r="FD100" s="53"/>
      <c r="FE100" s="53"/>
      <c r="FF100" s="53"/>
      <c r="FG100" s="53"/>
      <c r="FH100" s="53"/>
      <c r="FI100" s="53"/>
      <c r="FJ100" s="53"/>
      <c r="FK100" s="53"/>
      <c r="FL100" s="53"/>
      <c r="FM100" s="53"/>
      <c r="FN100" s="53"/>
      <c r="FO100" s="53"/>
      <c r="FP100" s="53"/>
      <c r="FQ100" s="53"/>
      <c r="FR100" s="53"/>
      <c r="FS100" s="53"/>
      <c r="FT100" s="53"/>
      <c r="FU100" s="53"/>
      <c r="FV100" s="53"/>
      <c r="FW100" s="53"/>
      <c r="FX100" s="53"/>
      <c r="FY100" s="53"/>
      <c r="FZ100" s="53"/>
      <c r="GA100" s="53"/>
      <c r="GB100" s="53"/>
      <c r="GC100" s="53"/>
      <c r="GD100" s="53"/>
      <c r="GE100" s="53"/>
      <c r="GF100" s="53"/>
      <c r="GG100" s="53"/>
      <c r="GH100" s="53"/>
      <c r="GI100" s="53"/>
      <c r="GJ100" s="53"/>
      <c r="GK100" s="53"/>
      <c r="GL100" s="53"/>
      <c r="GM100" s="53"/>
      <c r="GN100" s="53"/>
      <c r="GO100" s="53"/>
      <c r="GP100" s="53"/>
      <c r="GQ100" s="53"/>
      <c r="GR100" s="53"/>
      <c r="GS100" s="53"/>
      <c r="GT100" s="53"/>
      <c r="GU100" s="53"/>
      <c r="GV100" s="53"/>
      <c r="GW100" s="53"/>
      <c r="GX100" s="53"/>
      <c r="GY100" s="53"/>
      <c r="GZ100" s="53"/>
      <c r="HA100" s="53"/>
      <c r="HB100" s="53"/>
      <c r="HC100" s="53"/>
      <c r="HD100" s="53"/>
      <c r="HE100" s="53"/>
      <c r="HF100" s="53"/>
      <c r="HG100" s="53"/>
      <c r="HH100" s="53"/>
      <c r="HI100" s="53"/>
      <c r="HJ100" s="53"/>
      <c r="HK100" s="53"/>
      <c r="HL100" s="53"/>
      <c r="HM100" s="53"/>
      <c r="HN100" s="53"/>
      <c r="HO100" s="53"/>
      <c r="HP100" s="53"/>
      <c r="HQ100" s="53"/>
      <c r="HR100" s="53"/>
      <c r="HS100" s="53"/>
      <c r="HT100" s="53"/>
      <c r="HU100" s="53"/>
      <c r="HV100" s="53"/>
      <c r="HW100" s="53"/>
      <c r="HX100" s="53"/>
      <c r="HY100" s="53"/>
      <c r="HZ100" s="53"/>
      <c r="IA100" s="53"/>
      <c r="IB100" s="53"/>
      <c r="IC100" s="53"/>
      <c r="ID100" s="53"/>
      <c r="IE100" s="53"/>
      <c r="IF100" s="53"/>
      <c r="IG100" s="53"/>
      <c r="IH100" s="53"/>
      <c r="II100" s="53"/>
      <c r="IJ100" s="53"/>
      <c r="IK100" s="53"/>
      <c r="IL100" s="53"/>
      <c r="IM100" s="53"/>
      <c r="IN100" s="53"/>
      <c r="IO100" s="53"/>
      <c r="IP100" s="53"/>
      <c r="IQ100" s="53"/>
      <c r="IR100" s="53"/>
    </row>
    <row r="101" spans="1:259" s="1" customFormat="1" ht="24.6" hidden="1" customHeight="1">
      <c r="A101" s="15">
        <v>93</v>
      </c>
      <c r="B101" s="101" t="s">
        <v>305</v>
      </c>
      <c r="C101" s="26" t="s">
        <v>306</v>
      </c>
      <c r="D101" s="23" t="s">
        <v>307</v>
      </c>
      <c r="E101" s="34" t="s">
        <v>124</v>
      </c>
      <c r="F101" s="19">
        <v>0.13953076923076899</v>
      </c>
      <c r="G101" s="19">
        <v>0.13953076923076899</v>
      </c>
      <c r="H101" s="20">
        <f t="shared" si="10"/>
        <v>0.12557769230769208</v>
      </c>
      <c r="I101" s="19">
        <v>0</v>
      </c>
      <c r="J101" s="19">
        <v>0</v>
      </c>
      <c r="K101" s="48" t="s">
        <v>125</v>
      </c>
      <c r="L101" s="19">
        <f t="shared" si="7"/>
        <v>0.13953076923076899</v>
      </c>
      <c r="M101" s="20">
        <f t="shared" si="9"/>
        <v>0.12557769230769208</v>
      </c>
      <c r="N101" s="38">
        <v>0.13952999999999999</v>
      </c>
      <c r="O101" s="39">
        <v>230</v>
      </c>
      <c r="P101" s="19"/>
      <c r="Q101" s="60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  <c r="BV101" s="53"/>
      <c r="BW101" s="53"/>
      <c r="BX101" s="53"/>
      <c r="BY101" s="53"/>
      <c r="BZ101" s="53"/>
      <c r="CA101" s="53"/>
      <c r="CB101" s="53"/>
      <c r="CC101" s="53"/>
      <c r="CD101" s="53"/>
      <c r="CE101" s="53"/>
      <c r="CF101" s="53"/>
      <c r="CG101" s="53"/>
      <c r="CH101" s="53"/>
      <c r="CI101" s="53"/>
      <c r="CJ101" s="53"/>
      <c r="CK101" s="53"/>
      <c r="CL101" s="53"/>
      <c r="CM101" s="53"/>
      <c r="CN101" s="53"/>
      <c r="CO101" s="53"/>
      <c r="CP101" s="53"/>
      <c r="CQ101" s="53"/>
      <c r="CR101" s="53"/>
      <c r="CS101" s="53"/>
      <c r="CT101" s="53"/>
      <c r="CU101" s="53"/>
      <c r="CV101" s="53"/>
      <c r="CW101" s="53"/>
      <c r="CX101" s="53"/>
      <c r="CY101" s="53"/>
      <c r="CZ101" s="53"/>
      <c r="DA101" s="53"/>
      <c r="DB101" s="53"/>
      <c r="DC101" s="53"/>
      <c r="DD101" s="53"/>
      <c r="DE101" s="53"/>
      <c r="DF101" s="53"/>
      <c r="DG101" s="53"/>
      <c r="DH101" s="53"/>
      <c r="DI101" s="53"/>
      <c r="DJ101" s="53"/>
      <c r="DK101" s="53"/>
      <c r="DL101" s="53"/>
      <c r="DM101" s="53"/>
      <c r="DN101" s="53"/>
      <c r="DO101" s="53"/>
      <c r="DP101" s="53"/>
      <c r="DQ101" s="53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  <c r="EB101" s="53"/>
      <c r="EC101" s="53"/>
      <c r="ED101" s="53"/>
      <c r="EE101" s="53"/>
      <c r="EF101" s="53"/>
      <c r="EG101" s="53"/>
      <c r="EH101" s="53"/>
      <c r="EI101" s="53"/>
      <c r="EJ101" s="53"/>
      <c r="EK101" s="53"/>
      <c r="EL101" s="53"/>
      <c r="EM101" s="53"/>
      <c r="EN101" s="53"/>
      <c r="EO101" s="53"/>
      <c r="EP101" s="53"/>
      <c r="EQ101" s="53"/>
      <c r="ER101" s="53"/>
      <c r="ES101" s="53"/>
      <c r="ET101" s="53"/>
      <c r="EU101" s="53"/>
      <c r="EV101" s="53"/>
      <c r="EW101" s="53"/>
      <c r="EX101" s="53"/>
      <c r="EY101" s="53"/>
      <c r="EZ101" s="53"/>
      <c r="FA101" s="53"/>
      <c r="FB101" s="53"/>
      <c r="FC101" s="53"/>
      <c r="FD101" s="53"/>
      <c r="FE101" s="53"/>
      <c r="FF101" s="53"/>
      <c r="FG101" s="53"/>
      <c r="FH101" s="53"/>
      <c r="FI101" s="53"/>
      <c r="FJ101" s="53"/>
      <c r="FK101" s="53"/>
      <c r="FL101" s="53"/>
      <c r="FM101" s="53"/>
      <c r="FN101" s="53"/>
      <c r="FO101" s="53"/>
      <c r="FP101" s="53"/>
      <c r="FQ101" s="53"/>
      <c r="FR101" s="53"/>
      <c r="FS101" s="53"/>
      <c r="FT101" s="53"/>
      <c r="FU101" s="53"/>
      <c r="FV101" s="53"/>
      <c r="FW101" s="53"/>
      <c r="FX101" s="53"/>
      <c r="FY101" s="53"/>
      <c r="FZ101" s="53"/>
      <c r="GA101" s="53"/>
      <c r="GB101" s="53"/>
      <c r="GC101" s="53"/>
      <c r="GD101" s="53"/>
      <c r="GE101" s="53"/>
      <c r="GF101" s="53"/>
      <c r="GG101" s="53"/>
      <c r="GH101" s="53"/>
      <c r="GI101" s="53"/>
      <c r="GJ101" s="53"/>
      <c r="GK101" s="53"/>
      <c r="GL101" s="53"/>
      <c r="GM101" s="53"/>
      <c r="GN101" s="53"/>
      <c r="GO101" s="53"/>
      <c r="GP101" s="53"/>
      <c r="GQ101" s="53"/>
      <c r="GR101" s="53"/>
      <c r="GS101" s="53"/>
      <c r="GT101" s="53"/>
      <c r="GU101" s="53"/>
      <c r="GV101" s="53"/>
      <c r="GW101" s="53"/>
      <c r="GX101" s="53"/>
      <c r="GY101" s="53"/>
      <c r="GZ101" s="53"/>
      <c r="HA101" s="53"/>
      <c r="HB101" s="53"/>
      <c r="HC101" s="53"/>
      <c r="HD101" s="53"/>
      <c r="HE101" s="53"/>
      <c r="HF101" s="53"/>
      <c r="HG101" s="53"/>
      <c r="HH101" s="53"/>
      <c r="HI101" s="53"/>
      <c r="HJ101" s="53"/>
      <c r="HK101" s="53"/>
      <c r="HL101" s="53"/>
      <c r="HM101" s="53"/>
      <c r="HN101" s="53"/>
      <c r="HO101" s="53"/>
      <c r="HP101" s="53"/>
      <c r="HQ101" s="53"/>
      <c r="HR101" s="53"/>
      <c r="HS101" s="53"/>
      <c r="HT101" s="53"/>
      <c r="HU101" s="53"/>
      <c r="HV101" s="53"/>
      <c r="HW101" s="53"/>
      <c r="HX101" s="53"/>
      <c r="HY101" s="53"/>
      <c r="HZ101" s="53"/>
      <c r="IA101" s="53"/>
      <c r="IB101" s="53"/>
      <c r="IC101" s="53"/>
      <c r="ID101" s="53"/>
      <c r="IE101" s="53"/>
      <c r="IF101" s="53"/>
      <c r="IG101" s="53"/>
      <c r="IH101" s="53"/>
      <c r="II101" s="53"/>
      <c r="IJ101" s="53"/>
      <c r="IK101" s="53"/>
      <c r="IL101" s="53"/>
      <c r="IM101" s="53"/>
      <c r="IN101" s="53"/>
      <c r="IO101" s="53"/>
      <c r="IP101" s="53"/>
      <c r="IQ101" s="53"/>
      <c r="IR101" s="53"/>
    </row>
    <row r="102" spans="1:259" s="1" customFormat="1" ht="24.6" hidden="1" customHeight="1">
      <c r="A102" s="15">
        <v>94</v>
      </c>
      <c r="B102" s="101" t="s">
        <v>521</v>
      </c>
      <c r="C102" s="26" t="s">
        <v>308</v>
      </c>
      <c r="D102" s="23" t="s">
        <v>309</v>
      </c>
      <c r="E102" s="18" t="s">
        <v>25</v>
      </c>
      <c r="F102" s="19">
        <v>2.2770000000000001</v>
      </c>
      <c r="G102" s="61">
        <v>2.2770000000000001</v>
      </c>
      <c r="H102" s="20">
        <f t="shared" si="10"/>
        <v>2.0493000000000001</v>
      </c>
      <c r="I102" s="19">
        <v>0</v>
      </c>
      <c r="J102" s="19">
        <v>0</v>
      </c>
      <c r="K102" s="48" t="s">
        <v>125</v>
      </c>
      <c r="L102" s="19">
        <f t="shared" si="7"/>
        <v>2.2770000000000001</v>
      </c>
      <c r="M102" s="20">
        <f t="shared" si="9"/>
        <v>2.0493000000000001</v>
      </c>
      <c r="N102" s="38"/>
      <c r="O102" s="39"/>
      <c r="P102" s="19"/>
      <c r="Q102" s="81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3"/>
      <c r="BY102" s="53"/>
      <c r="BZ102" s="53"/>
      <c r="CA102" s="53"/>
      <c r="CB102" s="53"/>
      <c r="CC102" s="53"/>
      <c r="CD102" s="53"/>
      <c r="CE102" s="53"/>
      <c r="CF102" s="53"/>
      <c r="CG102" s="53"/>
      <c r="CH102" s="53"/>
      <c r="CI102" s="53"/>
      <c r="CJ102" s="53"/>
      <c r="CK102" s="53"/>
      <c r="CL102" s="53"/>
      <c r="CM102" s="53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53"/>
      <c r="DB102" s="53"/>
      <c r="DC102" s="53"/>
      <c r="DD102" s="53"/>
      <c r="DE102" s="53"/>
      <c r="DF102" s="53"/>
      <c r="DG102" s="53"/>
      <c r="DH102" s="53"/>
      <c r="DI102" s="53"/>
      <c r="DJ102" s="53"/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  <c r="EE102" s="53"/>
      <c r="EF102" s="53"/>
      <c r="EG102" s="53"/>
      <c r="EH102" s="53"/>
      <c r="EI102" s="53"/>
      <c r="EJ102" s="53"/>
      <c r="EK102" s="53"/>
      <c r="EL102" s="53"/>
      <c r="EM102" s="53"/>
      <c r="EN102" s="53"/>
      <c r="EO102" s="53"/>
      <c r="EP102" s="53"/>
      <c r="EQ102" s="53"/>
      <c r="ER102" s="53"/>
      <c r="ES102" s="53"/>
      <c r="ET102" s="53"/>
      <c r="EU102" s="53"/>
      <c r="EV102" s="53"/>
      <c r="EW102" s="53"/>
      <c r="EX102" s="53"/>
      <c r="EY102" s="53"/>
      <c r="EZ102" s="53"/>
      <c r="FA102" s="53"/>
      <c r="FB102" s="53"/>
      <c r="FC102" s="53"/>
      <c r="FD102" s="53"/>
      <c r="FE102" s="53"/>
      <c r="FF102" s="53"/>
      <c r="FG102" s="53"/>
      <c r="FH102" s="53"/>
      <c r="FI102" s="53"/>
      <c r="FJ102" s="53"/>
      <c r="FK102" s="53"/>
      <c r="FL102" s="53"/>
      <c r="FM102" s="53"/>
      <c r="FN102" s="53"/>
      <c r="FO102" s="53"/>
      <c r="FP102" s="53"/>
      <c r="FQ102" s="53"/>
      <c r="FR102" s="53"/>
      <c r="FS102" s="53"/>
      <c r="FT102" s="53"/>
      <c r="FU102" s="53"/>
      <c r="FV102" s="53"/>
      <c r="FW102" s="53"/>
      <c r="FX102" s="53"/>
      <c r="FY102" s="53"/>
      <c r="FZ102" s="53"/>
      <c r="GA102" s="53"/>
      <c r="GB102" s="53"/>
      <c r="GC102" s="53"/>
      <c r="GD102" s="53"/>
      <c r="GE102" s="53"/>
      <c r="GF102" s="53"/>
      <c r="GG102" s="53"/>
      <c r="GH102" s="53"/>
      <c r="GI102" s="53"/>
      <c r="GJ102" s="53"/>
      <c r="GK102" s="53"/>
      <c r="GL102" s="53"/>
      <c r="GM102" s="53"/>
      <c r="GN102" s="53"/>
      <c r="GO102" s="53"/>
      <c r="GP102" s="53"/>
      <c r="GQ102" s="53"/>
      <c r="GR102" s="53"/>
      <c r="GS102" s="53"/>
      <c r="GT102" s="53"/>
      <c r="GU102" s="53"/>
      <c r="GV102" s="53"/>
      <c r="GW102" s="53"/>
      <c r="GX102" s="53"/>
      <c r="GY102" s="53"/>
      <c r="GZ102" s="53"/>
      <c r="HA102" s="53"/>
      <c r="HB102" s="53"/>
      <c r="HC102" s="53"/>
      <c r="HD102" s="53"/>
      <c r="HE102" s="53"/>
      <c r="HF102" s="53"/>
      <c r="HG102" s="53"/>
      <c r="HH102" s="53"/>
      <c r="HI102" s="53"/>
      <c r="HJ102" s="53"/>
      <c r="HK102" s="53"/>
      <c r="HL102" s="53"/>
      <c r="HM102" s="53"/>
      <c r="HN102" s="53"/>
      <c r="HO102" s="53"/>
      <c r="HP102" s="53"/>
      <c r="HQ102" s="53"/>
      <c r="HR102" s="53"/>
      <c r="HS102" s="53"/>
      <c r="HT102" s="53"/>
      <c r="HU102" s="53"/>
      <c r="HV102" s="53"/>
      <c r="HW102" s="53"/>
      <c r="HX102" s="53"/>
      <c r="HY102" s="53"/>
      <c r="HZ102" s="53"/>
      <c r="IA102" s="53"/>
      <c r="IB102" s="53"/>
      <c r="IC102" s="53"/>
      <c r="ID102" s="53"/>
      <c r="IE102" s="53"/>
      <c r="IF102" s="53"/>
      <c r="IG102" s="53"/>
      <c r="IH102" s="53"/>
      <c r="II102" s="53"/>
      <c r="IJ102" s="53"/>
      <c r="IK102" s="53"/>
      <c r="IL102" s="53"/>
      <c r="IM102" s="53"/>
      <c r="IN102" s="53"/>
      <c r="IO102" s="53"/>
      <c r="IP102" s="53"/>
      <c r="IQ102" s="53"/>
      <c r="IR102" s="53"/>
      <c r="IS102" s="53"/>
      <c r="IT102" s="53"/>
      <c r="IU102" s="53"/>
      <c r="IV102" s="53"/>
      <c r="IW102" s="53"/>
      <c r="IX102" s="53"/>
      <c r="IY102" s="53"/>
    </row>
    <row r="103" spans="1:259" s="1" customFormat="1" ht="24.6" hidden="1" customHeight="1">
      <c r="A103" s="15">
        <v>95</v>
      </c>
      <c r="B103" s="101" t="s">
        <v>310</v>
      </c>
      <c r="C103" s="26" t="s">
        <v>311</v>
      </c>
      <c r="D103" s="23" t="s">
        <v>312</v>
      </c>
      <c r="E103" s="18" t="s">
        <v>25</v>
      </c>
      <c r="F103" s="19">
        <v>1.792</v>
      </c>
      <c r="G103" s="61">
        <v>1.792</v>
      </c>
      <c r="H103" s="20">
        <f t="shared" si="10"/>
        <v>1.6128</v>
      </c>
      <c r="I103" s="19">
        <v>0</v>
      </c>
      <c r="J103" s="19">
        <v>0</v>
      </c>
      <c r="K103" s="48" t="s">
        <v>125</v>
      </c>
      <c r="L103" s="19">
        <f t="shared" ref="L103:L105" si="11">G103+J103</f>
        <v>1.792</v>
      </c>
      <c r="M103" s="20">
        <f t="shared" si="9"/>
        <v>1.6128</v>
      </c>
      <c r="N103" s="38">
        <v>1.792</v>
      </c>
      <c r="O103" s="39">
        <v>230</v>
      </c>
      <c r="P103" s="19"/>
      <c r="Q103" s="81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  <c r="BZ103" s="53"/>
      <c r="CA103" s="53"/>
      <c r="CB103" s="53"/>
      <c r="CC103" s="53"/>
      <c r="CD103" s="53"/>
      <c r="CE103" s="53"/>
      <c r="CF103" s="53"/>
      <c r="CG103" s="53"/>
      <c r="CH103" s="53"/>
      <c r="CI103" s="53"/>
      <c r="CJ103" s="53"/>
      <c r="CK103" s="53"/>
      <c r="CL103" s="53"/>
      <c r="CM103" s="53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  <c r="EE103" s="53"/>
      <c r="EF103" s="53"/>
      <c r="EG103" s="53"/>
      <c r="EH103" s="53"/>
      <c r="EI103" s="53"/>
      <c r="EJ103" s="53"/>
      <c r="EK103" s="53"/>
      <c r="EL103" s="53"/>
      <c r="EM103" s="53"/>
      <c r="EN103" s="53"/>
      <c r="EO103" s="53"/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  <c r="FB103" s="53"/>
      <c r="FC103" s="53"/>
      <c r="FD103" s="53"/>
      <c r="FE103" s="53"/>
      <c r="FF103" s="53"/>
      <c r="FG103" s="53"/>
      <c r="FH103" s="53"/>
      <c r="FI103" s="53"/>
      <c r="FJ103" s="53"/>
      <c r="FK103" s="53"/>
      <c r="FL103" s="53"/>
      <c r="FM103" s="53"/>
      <c r="FN103" s="53"/>
      <c r="FO103" s="53"/>
      <c r="FP103" s="53"/>
      <c r="FQ103" s="53"/>
      <c r="FR103" s="53"/>
      <c r="FS103" s="53"/>
      <c r="FT103" s="53"/>
      <c r="FU103" s="53"/>
      <c r="FV103" s="53"/>
      <c r="FW103" s="53"/>
      <c r="FX103" s="53"/>
      <c r="FY103" s="53"/>
      <c r="FZ103" s="53"/>
      <c r="GA103" s="53"/>
      <c r="GB103" s="53"/>
      <c r="GC103" s="53"/>
      <c r="GD103" s="53"/>
      <c r="GE103" s="53"/>
      <c r="GF103" s="53"/>
      <c r="GG103" s="53"/>
      <c r="GH103" s="53"/>
      <c r="GI103" s="53"/>
      <c r="GJ103" s="53"/>
      <c r="GK103" s="53"/>
      <c r="GL103" s="53"/>
      <c r="GM103" s="53"/>
      <c r="GN103" s="53"/>
      <c r="GO103" s="53"/>
      <c r="GP103" s="53"/>
      <c r="GQ103" s="53"/>
      <c r="GR103" s="53"/>
      <c r="GS103" s="53"/>
      <c r="GT103" s="53"/>
      <c r="GU103" s="53"/>
      <c r="GV103" s="53"/>
      <c r="GW103" s="53"/>
      <c r="GX103" s="53"/>
      <c r="GY103" s="53"/>
      <c r="GZ103" s="53"/>
      <c r="HA103" s="53"/>
      <c r="HB103" s="53"/>
      <c r="HC103" s="53"/>
      <c r="HD103" s="53"/>
      <c r="HE103" s="53"/>
      <c r="HF103" s="53"/>
      <c r="HG103" s="53"/>
      <c r="HH103" s="53"/>
      <c r="HI103" s="53"/>
      <c r="HJ103" s="53"/>
      <c r="HK103" s="53"/>
      <c r="HL103" s="53"/>
      <c r="HM103" s="53"/>
      <c r="HN103" s="53"/>
      <c r="HO103" s="53"/>
      <c r="HP103" s="53"/>
      <c r="HQ103" s="53"/>
      <c r="HR103" s="53"/>
      <c r="HS103" s="53"/>
      <c r="HT103" s="53"/>
      <c r="HU103" s="53"/>
      <c r="HV103" s="53"/>
      <c r="HW103" s="53"/>
      <c r="HX103" s="53"/>
      <c r="HY103" s="53"/>
      <c r="HZ103" s="53"/>
      <c r="IA103" s="53"/>
      <c r="IB103" s="53"/>
      <c r="IC103" s="53"/>
      <c r="ID103" s="53"/>
      <c r="IE103" s="53"/>
      <c r="IF103" s="53"/>
      <c r="IG103" s="53"/>
      <c r="IH103" s="53"/>
      <c r="II103" s="53"/>
      <c r="IJ103" s="53"/>
      <c r="IK103" s="53"/>
      <c r="IL103" s="53"/>
      <c r="IM103" s="53"/>
      <c r="IN103" s="53"/>
      <c r="IO103" s="53"/>
      <c r="IP103" s="53"/>
      <c r="IQ103" s="53"/>
      <c r="IR103" s="53"/>
      <c r="IS103" s="53"/>
      <c r="IT103" s="53"/>
      <c r="IU103" s="53"/>
      <c r="IV103" s="53"/>
      <c r="IW103" s="53"/>
      <c r="IX103" s="53"/>
      <c r="IY103" s="53"/>
    </row>
    <row r="104" spans="1:259" s="1" customFormat="1" ht="24.6" customHeight="1">
      <c r="A104" s="15">
        <v>96</v>
      </c>
      <c r="B104" s="17" t="s">
        <v>313</v>
      </c>
      <c r="C104" s="62" t="s">
        <v>314</v>
      </c>
      <c r="D104" s="23" t="s">
        <v>315</v>
      </c>
      <c r="E104" s="18" t="s">
        <v>25</v>
      </c>
      <c r="F104" s="19">
        <v>1.792</v>
      </c>
      <c r="G104" s="61">
        <v>1.792</v>
      </c>
      <c r="H104" s="20">
        <f t="shared" si="10"/>
        <v>1.6128</v>
      </c>
      <c r="I104" s="19">
        <v>0</v>
      </c>
      <c r="J104" s="19">
        <v>0</v>
      </c>
      <c r="K104" s="48" t="s">
        <v>125</v>
      </c>
      <c r="L104" s="19">
        <f t="shared" si="11"/>
        <v>1.792</v>
      </c>
      <c r="M104" s="20">
        <f t="shared" si="9"/>
        <v>1.6128</v>
      </c>
      <c r="N104" s="38">
        <v>1.792</v>
      </c>
      <c r="O104" s="39">
        <v>230</v>
      </c>
      <c r="P104" s="19"/>
      <c r="Q104" s="81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  <c r="CA104" s="53"/>
      <c r="CB104" s="53"/>
      <c r="CC104" s="53"/>
      <c r="CD104" s="53"/>
      <c r="CE104" s="53"/>
      <c r="CF104" s="53"/>
      <c r="CG104" s="53"/>
      <c r="CH104" s="53"/>
      <c r="CI104" s="53"/>
      <c r="CJ104" s="53"/>
      <c r="CK104" s="53"/>
      <c r="CL104" s="53"/>
      <c r="CM104" s="53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3"/>
      <c r="EO104" s="53"/>
      <c r="EP104" s="53"/>
      <c r="EQ104" s="53"/>
      <c r="ER104" s="53"/>
      <c r="ES104" s="53"/>
      <c r="ET104" s="53"/>
      <c r="EU104" s="53"/>
      <c r="EV104" s="53"/>
      <c r="EW104" s="53"/>
      <c r="EX104" s="53"/>
      <c r="EY104" s="53"/>
      <c r="EZ104" s="53"/>
      <c r="FA104" s="53"/>
      <c r="FB104" s="53"/>
      <c r="FC104" s="53"/>
      <c r="FD104" s="53"/>
      <c r="FE104" s="53"/>
      <c r="FF104" s="53"/>
      <c r="FG104" s="53"/>
      <c r="FH104" s="53"/>
      <c r="FI104" s="53"/>
      <c r="FJ104" s="53"/>
      <c r="FK104" s="53"/>
      <c r="FL104" s="53"/>
      <c r="FM104" s="53"/>
      <c r="FN104" s="53"/>
      <c r="FO104" s="53"/>
      <c r="FP104" s="53"/>
      <c r="FQ104" s="53"/>
      <c r="FR104" s="53"/>
      <c r="FS104" s="53"/>
      <c r="FT104" s="53"/>
      <c r="FU104" s="53"/>
      <c r="FV104" s="53"/>
      <c r="FW104" s="53"/>
      <c r="FX104" s="53"/>
      <c r="FY104" s="53"/>
      <c r="FZ104" s="53"/>
      <c r="GA104" s="53"/>
      <c r="GB104" s="53"/>
      <c r="GC104" s="53"/>
      <c r="GD104" s="53"/>
      <c r="GE104" s="53"/>
      <c r="GF104" s="53"/>
      <c r="GG104" s="53"/>
      <c r="GH104" s="53"/>
      <c r="GI104" s="53"/>
      <c r="GJ104" s="53"/>
      <c r="GK104" s="53"/>
      <c r="GL104" s="53"/>
      <c r="GM104" s="53"/>
      <c r="GN104" s="53"/>
      <c r="GO104" s="53"/>
      <c r="GP104" s="53"/>
      <c r="GQ104" s="53"/>
      <c r="GR104" s="53"/>
      <c r="GS104" s="53"/>
      <c r="GT104" s="53"/>
      <c r="GU104" s="53"/>
      <c r="GV104" s="53"/>
      <c r="GW104" s="53"/>
      <c r="GX104" s="53"/>
      <c r="GY104" s="53"/>
      <c r="GZ104" s="53"/>
      <c r="HA104" s="53"/>
      <c r="HB104" s="53"/>
      <c r="HC104" s="53"/>
      <c r="HD104" s="53"/>
      <c r="HE104" s="53"/>
      <c r="HF104" s="53"/>
      <c r="HG104" s="53"/>
      <c r="HH104" s="53"/>
      <c r="HI104" s="53"/>
      <c r="HJ104" s="53"/>
      <c r="HK104" s="53"/>
      <c r="HL104" s="53"/>
      <c r="HM104" s="53"/>
      <c r="HN104" s="53"/>
      <c r="HO104" s="53"/>
      <c r="HP104" s="53"/>
      <c r="HQ104" s="53"/>
      <c r="HR104" s="53"/>
      <c r="HS104" s="53"/>
      <c r="HT104" s="53"/>
      <c r="HU104" s="53"/>
      <c r="HV104" s="53"/>
      <c r="HW104" s="53"/>
      <c r="HX104" s="53"/>
      <c r="HY104" s="53"/>
      <c r="HZ104" s="53"/>
      <c r="IA104" s="53"/>
      <c r="IB104" s="53"/>
      <c r="IC104" s="53"/>
      <c r="ID104" s="53"/>
      <c r="IE104" s="53"/>
      <c r="IF104" s="53"/>
      <c r="IG104" s="53"/>
      <c r="IH104" s="53"/>
      <c r="II104" s="53"/>
      <c r="IJ104" s="53"/>
      <c r="IK104" s="53"/>
      <c r="IL104" s="53"/>
      <c r="IM104" s="53"/>
      <c r="IN104" s="53"/>
      <c r="IO104" s="53"/>
      <c r="IP104" s="53"/>
      <c r="IQ104" s="53"/>
      <c r="IR104" s="53"/>
      <c r="IS104" s="53"/>
      <c r="IT104" s="53"/>
      <c r="IU104" s="53"/>
      <c r="IV104" s="53"/>
      <c r="IW104" s="53"/>
      <c r="IX104" s="53"/>
      <c r="IY104" s="53"/>
    </row>
    <row r="105" spans="1:259" s="1" customFormat="1" ht="24.6" hidden="1" customHeight="1">
      <c r="A105" s="15">
        <v>97</v>
      </c>
      <c r="B105" s="161" t="s">
        <v>316</v>
      </c>
      <c r="C105" s="35" t="s">
        <v>317</v>
      </c>
      <c r="D105" s="23" t="s">
        <v>318</v>
      </c>
      <c r="E105" s="18" t="s">
        <v>25</v>
      </c>
      <c r="F105" s="19">
        <v>1.3620000000000001</v>
      </c>
      <c r="G105" s="63">
        <v>1.3620000000000001</v>
      </c>
      <c r="H105" s="20">
        <f t="shared" si="10"/>
        <v>1.2258000000000002</v>
      </c>
      <c r="I105" s="19">
        <v>0</v>
      </c>
      <c r="J105" s="19">
        <v>0</v>
      </c>
      <c r="K105" s="48" t="s">
        <v>125</v>
      </c>
      <c r="L105" s="19">
        <f t="shared" si="11"/>
        <v>1.3620000000000001</v>
      </c>
      <c r="M105" s="20">
        <f t="shared" si="9"/>
        <v>1.2258000000000002</v>
      </c>
      <c r="N105" s="17">
        <v>1.3620000000000001</v>
      </c>
      <c r="O105" s="75" t="s">
        <v>319</v>
      </c>
      <c r="P105" s="19"/>
      <c r="Q105" s="81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3"/>
      <c r="CE105" s="53"/>
      <c r="CF105" s="53"/>
      <c r="CG105" s="53"/>
      <c r="CH105" s="53"/>
      <c r="CI105" s="53"/>
      <c r="CJ105" s="53"/>
      <c r="CK105" s="53"/>
      <c r="CL105" s="53"/>
      <c r="CM105" s="53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  <c r="DB105" s="53"/>
      <c r="DC105" s="53"/>
      <c r="DD105" s="53"/>
      <c r="DE105" s="53"/>
      <c r="DF105" s="53"/>
      <c r="DG105" s="53"/>
      <c r="DH105" s="53"/>
      <c r="DI105" s="53"/>
      <c r="DJ105" s="53"/>
      <c r="DK105" s="53"/>
      <c r="DL105" s="53"/>
      <c r="DM105" s="53"/>
      <c r="DN105" s="53"/>
      <c r="DO105" s="53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53"/>
      <c r="ED105" s="53"/>
      <c r="EE105" s="53"/>
      <c r="EF105" s="53"/>
      <c r="EG105" s="53"/>
      <c r="EH105" s="53"/>
      <c r="EI105" s="53"/>
      <c r="EJ105" s="53"/>
      <c r="EK105" s="53"/>
      <c r="EL105" s="53"/>
      <c r="EM105" s="53"/>
      <c r="EN105" s="53"/>
      <c r="EO105" s="53"/>
      <c r="EP105" s="53"/>
      <c r="EQ105" s="53"/>
      <c r="ER105" s="53"/>
      <c r="ES105" s="53"/>
      <c r="ET105" s="53"/>
      <c r="EU105" s="53"/>
      <c r="EV105" s="53"/>
      <c r="EW105" s="53"/>
      <c r="EX105" s="53"/>
      <c r="EY105" s="53"/>
      <c r="EZ105" s="53"/>
      <c r="FA105" s="53"/>
      <c r="FB105" s="53"/>
      <c r="FC105" s="53"/>
      <c r="FD105" s="53"/>
      <c r="FE105" s="53"/>
      <c r="FF105" s="53"/>
      <c r="FG105" s="53"/>
      <c r="FH105" s="53"/>
      <c r="FI105" s="53"/>
      <c r="FJ105" s="53"/>
      <c r="FK105" s="53"/>
      <c r="FL105" s="53"/>
      <c r="FM105" s="53"/>
      <c r="FN105" s="53"/>
      <c r="FO105" s="53"/>
      <c r="FP105" s="53"/>
      <c r="FQ105" s="53"/>
      <c r="FR105" s="53"/>
      <c r="FS105" s="53"/>
      <c r="FT105" s="53"/>
      <c r="FU105" s="53"/>
      <c r="FV105" s="53"/>
      <c r="FW105" s="53"/>
      <c r="FX105" s="53"/>
      <c r="FY105" s="53"/>
      <c r="FZ105" s="53"/>
      <c r="GA105" s="53"/>
      <c r="GB105" s="53"/>
      <c r="GC105" s="53"/>
      <c r="GD105" s="53"/>
      <c r="GE105" s="53"/>
      <c r="GF105" s="53"/>
      <c r="GG105" s="53"/>
      <c r="GH105" s="53"/>
      <c r="GI105" s="53"/>
      <c r="GJ105" s="53"/>
      <c r="GK105" s="53"/>
      <c r="GL105" s="53"/>
      <c r="GM105" s="53"/>
      <c r="GN105" s="53"/>
      <c r="GO105" s="53"/>
      <c r="GP105" s="53"/>
      <c r="GQ105" s="53"/>
      <c r="GR105" s="53"/>
      <c r="GS105" s="53"/>
      <c r="GT105" s="53"/>
      <c r="GU105" s="53"/>
      <c r="GV105" s="53"/>
      <c r="GW105" s="53"/>
      <c r="GX105" s="53"/>
      <c r="GY105" s="53"/>
      <c r="GZ105" s="53"/>
      <c r="HA105" s="53"/>
      <c r="HB105" s="53"/>
      <c r="HC105" s="53"/>
      <c r="HD105" s="53"/>
      <c r="HE105" s="53"/>
      <c r="HF105" s="53"/>
      <c r="HG105" s="53"/>
      <c r="HH105" s="53"/>
      <c r="HI105" s="53"/>
      <c r="HJ105" s="53"/>
      <c r="HK105" s="53"/>
      <c r="HL105" s="53"/>
      <c r="HM105" s="53"/>
      <c r="HN105" s="53"/>
      <c r="HO105" s="53"/>
      <c r="HP105" s="53"/>
      <c r="HQ105" s="53"/>
      <c r="HR105" s="53"/>
      <c r="HS105" s="53"/>
      <c r="HT105" s="53"/>
      <c r="HU105" s="53"/>
      <c r="HV105" s="53"/>
      <c r="HW105" s="53"/>
      <c r="HX105" s="53"/>
      <c r="HY105" s="53"/>
      <c r="HZ105" s="53"/>
      <c r="IA105" s="53"/>
      <c r="IB105" s="53"/>
      <c r="IC105" s="53"/>
      <c r="ID105" s="53"/>
      <c r="IE105" s="53"/>
      <c r="IF105" s="53"/>
      <c r="IG105" s="53"/>
      <c r="IH105" s="53"/>
      <c r="II105" s="53"/>
      <c r="IJ105" s="53"/>
      <c r="IK105" s="53"/>
      <c r="IL105" s="53"/>
      <c r="IM105" s="53"/>
      <c r="IN105" s="53"/>
      <c r="IO105" s="53"/>
      <c r="IP105" s="53"/>
      <c r="IQ105" s="53"/>
      <c r="IR105" s="53"/>
      <c r="IS105" s="53"/>
      <c r="IT105" s="53"/>
      <c r="IU105" s="53"/>
      <c r="IV105" s="53"/>
      <c r="IW105" s="53"/>
      <c r="IX105" s="53"/>
      <c r="IY105" s="53"/>
    </row>
    <row r="106" spans="1:259" s="2" customFormat="1" ht="20.45" customHeight="1">
      <c r="A106" s="201" t="s">
        <v>320</v>
      </c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2"/>
      <c r="O106" s="202"/>
      <c r="P106" s="201"/>
      <c r="Q106" s="64"/>
      <c r="S106" s="82"/>
      <c r="V106" s="83"/>
    </row>
    <row r="107" spans="1:259" s="2" customFormat="1" ht="21" customHeight="1">
      <c r="A107" s="196" t="s">
        <v>321</v>
      </c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7"/>
      <c r="O107" s="197"/>
      <c r="P107" s="196"/>
      <c r="Q107" s="64"/>
      <c r="S107" s="82"/>
    </row>
    <row r="108" spans="1:259" s="2" customFormat="1" ht="21" customHeight="1">
      <c r="A108" s="196" t="s">
        <v>322</v>
      </c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7"/>
      <c r="O108" s="197"/>
      <c r="P108" s="196"/>
      <c r="Q108" s="64"/>
      <c r="S108" s="82"/>
    </row>
    <row r="109" spans="1:259" s="2" customFormat="1" ht="21" customHeight="1">
      <c r="A109" s="196" t="s">
        <v>323</v>
      </c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7"/>
      <c r="O109" s="197"/>
      <c r="P109" s="196"/>
      <c r="Q109" s="64"/>
      <c r="S109" s="82"/>
    </row>
    <row r="110" spans="1:259" s="2" customFormat="1" ht="21" customHeight="1">
      <c r="A110" s="196" t="s">
        <v>324</v>
      </c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7"/>
      <c r="O110" s="197"/>
      <c r="P110" s="196"/>
      <c r="Q110" s="64"/>
      <c r="S110" s="82"/>
    </row>
    <row r="111" spans="1:259" s="2" customFormat="1" ht="22.9" customHeight="1">
      <c r="A111" s="196" t="s">
        <v>325</v>
      </c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7"/>
      <c r="O111" s="197"/>
      <c r="P111" s="196"/>
      <c r="Q111" s="64"/>
      <c r="S111" s="82"/>
    </row>
    <row r="112" spans="1:259" s="3" customFormat="1">
      <c r="A112" s="65"/>
      <c r="B112" s="66"/>
      <c r="C112" s="65"/>
      <c r="D112" s="65"/>
      <c r="E112" s="65"/>
      <c r="F112" s="67"/>
      <c r="G112" s="67"/>
      <c r="H112" s="67"/>
      <c r="I112" s="67"/>
      <c r="J112" s="67"/>
      <c r="K112" s="67"/>
      <c r="L112" s="67"/>
      <c r="M112" s="67"/>
      <c r="N112" s="76"/>
      <c r="O112" s="76"/>
      <c r="P112" s="77"/>
      <c r="Q112" s="77"/>
      <c r="S112" s="84"/>
    </row>
    <row r="113" spans="1:19" s="3" customFormat="1" ht="19.149999999999999" customHeight="1">
      <c r="A113" s="68" t="s">
        <v>326</v>
      </c>
      <c r="B113" s="69"/>
      <c r="C113" s="70"/>
      <c r="D113" s="71"/>
      <c r="E113" s="70"/>
      <c r="F113" s="72"/>
      <c r="G113" s="72"/>
      <c r="H113" s="72"/>
      <c r="I113" s="71" t="s">
        <v>327</v>
      </c>
      <c r="J113" s="72"/>
      <c r="K113" s="72"/>
      <c r="L113" s="72"/>
      <c r="M113" s="72"/>
      <c r="N113" s="78"/>
      <c r="O113" s="78"/>
      <c r="P113" s="79"/>
      <c r="Q113" s="79"/>
      <c r="S113" s="84"/>
    </row>
    <row r="114" spans="1:19" s="3" customFormat="1" ht="19.149999999999999" customHeight="1">
      <c r="A114" s="68"/>
      <c r="B114" s="69"/>
      <c r="C114" s="70"/>
      <c r="D114" s="73"/>
      <c r="E114" s="70"/>
      <c r="F114" s="72"/>
      <c r="G114" s="72"/>
      <c r="H114" s="72"/>
      <c r="I114" s="73"/>
      <c r="J114" s="72"/>
      <c r="K114" s="72"/>
      <c r="L114" s="72"/>
      <c r="M114" s="72"/>
      <c r="N114" s="78"/>
      <c r="O114" s="78"/>
      <c r="P114" s="79"/>
      <c r="Q114" s="79"/>
      <c r="S114" s="84"/>
    </row>
    <row r="115" spans="1:19" s="2" customFormat="1" ht="19.149999999999999" customHeight="1">
      <c r="A115" s="68" t="s">
        <v>328</v>
      </c>
      <c r="B115" s="69"/>
      <c r="C115" s="70"/>
      <c r="D115" s="68"/>
      <c r="E115" s="70"/>
      <c r="F115" s="72"/>
      <c r="G115" s="72"/>
      <c r="H115" s="72"/>
      <c r="I115" s="68" t="s">
        <v>328</v>
      </c>
      <c r="N115" s="80"/>
      <c r="O115" s="80"/>
      <c r="S115" s="82"/>
    </row>
    <row r="116" spans="1:19" s="3" customFormat="1" ht="19.149999999999999" customHeight="1">
      <c r="A116" s="68"/>
      <c r="B116" s="69"/>
      <c r="C116" s="70"/>
      <c r="D116" s="73"/>
      <c r="E116" s="70"/>
      <c r="F116" s="72"/>
      <c r="G116" s="72"/>
      <c r="H116" s="72"/>
      <c r="I116" s="73"/>
      <c r="J116" s="72"/>
      <c r="K116" s="72"/>
      <c r="L116" s="72"/>
      <c r="M116" s="72"/>
      <c r="N116" s="78"/>
      <c r="O116" s="78"/>
      <c r="P116" s="79"/>
      <c r="Q116" s="79"/>
      <c r="S116" s="84"/>
    </row>
    <row r="117" spans="1:19" s="3" customFormat="1" ht="19.149999999999999" customHeight="1">
      <c r="A117" s="68" t="s">
        <v>329</v>
      </c>
      <c r="B117" s="68"/>
      <c r="C117" s="65"/>
      <c r="D117" s="68"/>
      <c r="E117" s="65"/>
      <c r="F117" s="72"/>
      <c r="G117" s="72"/>
      <c r="H117" s="72"/>
      <c r="I117" s="68" t="s">
        <v>329</v>
      </c>
      <c r="J117" s="72"/>
      <c r="K117" s="72"/>
      <c r="L117" s="72"/>
      <c r="M117" s="72"/>
      <c r="N117" s="78"/>
      <c r="O117" s="78"/>
      <c r="P117" s="79"/>
      <c r="Q117" s="79"/>
      <c r="S117" s="84"/>
    </row>
    <row r="118" spans="1:19">
      <c r="B118" s="74"/>
    </row>
    <row r="119" spans="1:19">
      <c r="B119" s="74"/>
    </row>
    <row r="120" spans="1:19">
      <c r="B120" s="74"/>
    </row>
    <row r="121" spans="1:19">
      <c r="B121" s="74"/>
    </row>
    <row r="122" spans="1:19">
      <c r="B122" s="74"/>
    </row>
    <row r="123" spans="1:19">
      <c r="B123" s="74"/>
    </row>
    <row r="124" spans="1:19">
      <c r="B124" s="74"/>
    </row>
    <row r="125" spans="1:19">
      <c r="B125" s="74"/>
    </row>
    <row r="126" spans="1:19">
      <c r="B126" s="74"/>
    </row>
    <row r="127" spans="1:19">
      <c r="B127" s="74"/>
    </row>
    <row r="128" spans="1:19">
      <c r="B128" s="74"/>
    </row>
    <row r="129" spans="2:2">
      <c r="B129" s="74"/>
    </row>
    <row r="130" spans="2:2">
      <c r="B130" s="74"/>
    </row>
    <row r="131" spans="2:2">
      <c r="B131" s="74"/>
    </row>
    <row r="132" spans="2:2">
      <c r="B132" s="74"/>
    </row>
    <row r="133" spans="2:2">
      <c r="B133" s="74"/>
    </row>
    <row r="134" spans="2:2">
      <c r="B134" s="74"/>
    </row>
    <row r="135" spans="2:2">
      <c r="B135" s="74"/>
    </row>
    <row r="136" spans="2:2">
      <c r="B136" s="74"/>
    </row>
    <row r="137" spans="2:2">
      <c r="B137" s="74"/>
    </row>
    <row r="138" spans="2:2">
      <c r="B138" s="74"/>
    </row>
    <row r="139" spans="2:2">
      <c r="B139" s="74"/>
    </row>
  </sheetData>
  <autoFilter ref="A8:JD117" xr:uid="{00000000-0009-0000-0000-000000000000}">
    <filterColumn colId="1">
      <colorFilter dxfId="99"/>
    </filterColumn>
  </autoFilter>
  <mergeCells count="26">
    <mergeCell ref="A1:P1"/>
    <mergeCell ref="A2:P2"/>
    <mergeCell ref="A3:P3"/>
    <mergeCell ref="A4:P4"/>
    <mergeCell ref="A5:P5"/>
    <mergeCell ref="A6:P6"/>
    <mergeCell ref="F7:H7"/>
    <mergeCell ref="I7:K7"/>
    <mergeCell ref="L7:M7"/>
    <mergeCell ref="A106:P106"/>
    <mergeCell ref="A7:A8"/>
    <mergeCell ref="B7:B8"/>
    <mergeCell ref="C7:C8"/>
    <mergeCell ref="D7:D8"/>
    <mergeCell ref="E7:E8"/>
    <mergeCell ref="I15:I16"/>
    <mergeCell ref="I17:I18"/>
    <mergeCell ref="I29:I30"/>
    <mergeCell ref="N7:N8"/>
    <mergeCell ref="O7:O8"/>
    <mergeCell ref="P7:P8"/>
    <mergeCell ref="A107:P107"/>
    <mergeCell ref="A108:P108"/>
    <mergeCell ref="A109:P109"/>
    <mergeCell ref="A110:P110"/>
    <mergeCell ref="A111:P111"/>
  </mergeCells>
  <phoneticPr fontId="14" type="noConversion"/>
  <conditionalFormatting sqref="B1:B105 B118:B1048576">
    <cfRule type="duplicateValues" dxfId="98" priority="69"/>
  </conditionalFormatting>
  <conditionalFormatting sqref="B9:B24">
    <cfRule type="duplicateValues" dxfId="97" priority="73"/>
    <cfRule type="duplicateValues" dxfId="96" priority="81"/>
  </conditionalFormatting>
  <conditionalFormatting sqref="B9:B29 B31:B38">
    <cfRule type="duplicateValues" dxfId="95" priority="89"/>
    <cfRule type="duplicateValues" dxfId="94" priority="90"/>
  </conditionalFormatting>
  <conditionalFormatting sqref="B25:B28">
    <cfRule type="duplicateValues" dxfId="93" priority="75"/>
    <cfRule type="duplicateValues" dxfId="92" priority="76"/>
    <cfRule type="duplicateValues" dxfId="91" priority="77"/>
  </conditionalFormatting>
  <conditionalFormatting sqref="B25:B29 B31:B38">
    <cfRule type="duplicateValues" dxfId="90" priority="86"/>
    <cfRule type="duplicateValues" dxfId="89" priority="87"/>
    <cfRule type="duplicateValues" dxfId="88" priority="88"/>
  </conditionalFormatting>
  <conditionalFormatting sqref="B29 B31:B32 B34:B38">
    <cfRule type="duplicateValues" dxfId="87" priority="82"/>
    <cfRule type="duplicateValues" dxfId="86" priority="83"/>
    <cfRule type="duplicateValues" dxfId="85" priority="84"/>
    <cfRule type="duplicateValues" dxfId="84" priority="85"/>
  </conditionalFormatting>
  <conditionalFormatting sqref="B30">
    <cfRule type="duplicateValues" dxfId="83" priority="72"/>
  </conditionalFormatting>
  <conditionalFormatting sqref="B33">
    <cfRule type="duplicateValues" dxfId="82" priority="74"/>
  </conditionalFormatting>
  <conditionalFormatting sqref="B39:B101">
    <cfRule type="duplicateValues" dxfId="81" priority="93"/>
    <cfRule type="duplicateValues" dxfId="80" priority="94"/>
    <cfRule type="duplicateValues" dxfId="79" priority="95"/>
  </conditionalFormatting>
  <conditionalFormatting sqref="B102:B105">
    <cfRule type="duplicateValues" dxfId="78" priority="91"/>
  </conditionalFormatting>
  <conditionalFormatting sqref="B104">
    <cfRule type="duplicateValues" dxfId="77" priority="71"/>
  </conditionalFormatting>
  <conditionalFormatting sqref="B105">
    <cfRule type="duplicateValues" dxfId="76" priority="70"/>
  </conditionalFormatting>
  <conditionalFormatting sqref="B106:B117">
    <cfRule type="duplicateValues" dxfId="75" priority="65"/>
  </conditionalFormatting>
  <conditionalFormatting sqref="B115">
    <cfRule type="duplicateValues" dxfId="74" priority="67"/>
  </conditionalFormatting>
  <conditionalFormatting sqref="B118:B1048576 B1:B8">
    <cfRule type="duplicateValues" dxfId="73" priority="79"/>
  </conditionalFormatting>
  <conditionalFormatting sqref="B118:B1048576 B1:B101">
    <cfRule type="duplicateValues" dxfId="72" priority="92"/>
  </conditionalFormatting>
  <conditionalFormatting sqref="B118:B1048576">
    <cfRule type="duplicateValues" dxfId="71" priority="78"/>
  </conditionalFormatting>
  <conditionalFormatting sqref="D2">
    <cfRule type="duplicateValues" dxfId="70" priority="80"/>
  </conditionalFormatting>
  <conditionalFormatting sqref="D116:D117 D112:D114">
    <cfRule type="duplicateValues" dxfId="69" priority="68"/>
  </conditionalFormatting>
  <conditionalFormatting sqref="I116:I117 I113:I114">
    <cfRule type="duplicateValues" dxfId="68" priority="66"/>
  </conditionalFormatting>
  <conditionalFormatting sqref="N28:O28">
    <cfRule type="duplicateValues" dxfId="67" priority="55"/>
    <cfRule type="duplicateValues" dxfId="66" priority="56"/>
    <cfRule type="duplicateValues" dxfId="65" priority="57"/>
    <cfRule type="duplicateValues" dxfId="64" priority="58"/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64"/>
  </conditionalFormatting>
  <conditionalFormatting sqref="N36:O36">
    <cfRule type="duplicateValues" dxfId="57" priority="44"/>
    <cfRule type="duplicateValues" dxfId="56" priority="45"/>
    <cfRule type="duplicateValues" dxfId="55" priority="46"/>
    <cfRule type="duplicateValues" dxfId="54" priority="47"/>
    <cfRule type="duplicateValues" dxfId="53" priority="48"/>
    <cfRule type="duplicateValues" dxfId="52" priority="49"/>
    <cfRule type="duplicateValues" dxfId="51" priority="50"/>
    <cfRule type="duplicateValues" dxfId="50" priority="51"/>
    <cfRule type="duplicateValues" dxfId="49" priority="52"/>
    <cfRule type="duplicateValues" dxfId="48" priority="53"/>
    <cfRule type="duplicateValues" dxfId="47" priority="54"/>
  </conditionalFormatting>
  <conditionalFormatting sqref="N47:O47">
    <cfRule type="duplicateValues" dxfId="46" priority="39"/>
    <cfRule type="duplicateValues" dxfId="45" priority="40"/>
    <cfRule type="duplicateValues" dxfId="44" priority="41"/>
    <cfRule type="duplicateValues" dxfId="43" priority="42"/>
    <cfRule type="duplicateValues" dxfId="42" priority="43"/>
  </conditionalFormatting>
  <conditionalFormatting sqref="N58:O58">
    <cfRule type="duplicateValues" dxfId="41" priority="34"/>
    <cfRule type="duplicateValues" dxfId="40" priority="35"/>
    <cfRule type="duplicateValues" dxfId="39" priority="36"/>
    <cfRule type="duplicateValues" dxfId="38" priority="37"/>
    <cfRule type="duplicateValues" dxfId="37" priority="38"/>
  </conditionalFormatting>
  <conditionalFormatting sqref="N68:O68">
    <cfRule type="duplicateValues" dxfId="36" priority="29"/>
    <cfRule type="duplicateValues" dxfId="35" priority="30"/>
    <cfRule type="duplicateValues" dxfId="34" priority="31"/>
    <cfRule type="duplicateValues" dxfId="33" priority="32"/>
    <cfRule type="duplicateValues" dxfId="32" priority="33"/>
  </conditionalFormatting>
  <conditionalFormatting sqref="N71:O71"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</conditionalFormatting>
  <conditionalFormatting sqref="N87:O87">
    <cfRule type="duplicateValues" dxfId="26" priority="19"/>
    <cfRule type="duplicateValues" dxfId="25" priority="20"/>
    <cfRule type="duplicateValues" dxfId="24" priority="21"/>
    <cfRule type="duplicateValues" dxfId="23" priority="22"/>
    <cfRule type="duplicateValues" dxfId="22" priority="23"/>
  </conditionalFormatting>
  <conditionalFormatting sqref="N94:O94">
    <cfRule type="duplicateValues" dxfId="21" priority="14"/>
    <cfRule type="duplicateValues" dxfId="20" priority="15"/>
    <cfRule type="duplicateValues" dxfId="19" priority="16"/>
    <cfRule type="duplicateValues" dxfId="18" priority="17"/>
    <cfRule type="duplicateValues" dxfId="17" priority="18"/>
  </conditionalFormatting>
  <conditionalFormatting sqref="N98:O98"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</conditionalFormatting>
  <conditionalFormatting sqref="N105:O105">
    <cfRule type="duplicateValues" dxfId="11" priority="6"/>
    <cfRule type="duplicateValues" dxfId="10" priority="7"/>
    <cfRule type="duplicateValues" dxfId="9" priority="8"/>
  </conditionalFormatting>
  <conditionalFormatting sqref="O60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</conditionalFormatting>
  <printOptions horizontalCentered="1"/>
  <pageMargins left="0.196850393700787" right="0.196850393700787" top="0.43307086614173201" bottom="0.39370078740157499" header="0.35433070866141703" footer="0.15748031496063"/>
  <pageSetup paperSize="9" scale="68" orientation="landscape" horizontalDpi="200" verticalDpi="300" r:id="rId1"/>
  <headerFooter>
    <oddFooter>&amp;C第 &amp;P 页，共 &amp;N 页</oddFooter>
  </headerFooter>
  <rowBreaks count="3" manualBreakCount="3">
    <brk id="27" max="15" man="1"/>
    <brk id="56" max="15" man="1"/>
    <brk id="8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37"/>
  <sheetViews>
    <sheetView workbookViewId="0">
      <pane xSplit="6" ySplit="3" topLeftCell="G4" activePane="bottomRight" state="frozen"/>
      <selection pane="topRight" activeCell="E1" sqref="E1"/>
      <selection pane="bottomLeft" activeCell="A4" sqref="A4"/>
      <selection pane="bottomRight" activeCell="M8" sqref="M8:M10"/>
    </sheetView>
  </sheetViews>
  <sheetFormatPr defaultColWidth="9" defaultRowHeight="14.25"/>
  <cols>
    <col min="1" max="1" width="3.5" style="94" bestFit="1" customWidth="1"/>
    <col min="2" max="2" width="11.875" bestFit="1" customWidth="1"/>
    <col min="3" max="3" width="17.25" style="163" bestFit="1" customWidth="1"/>
    <col min="4" max="4" width="13.125" customWidth="1"/>
    <col min="5" max="5" width="5.25" style="94" bestFit="1" customWidth="1"/>
    <col min="6" max="6" width="5.875" style="94" bestFit="1" customWidth="1"/>
    <col min="7" max="9" width="6.625" bestFit="1" customWidth="1"/>
    <col min="10" max="10" width="5.25" bestFit="1" customWidth="1"/>
    <col min="11" max="11" width="5.25" style="94" bestFit="1" customWidth="1"/>
    <col min="12" max="12" width="6.375" bestFit="1" customWidth="1"/>
    <col min="13" max="13" width="6.375" style="94" bestFit="1" customWidth="1"/>
    <col min="14" max="14" width="6.375" bestFit="1" customWidth="1"/>
    <col min="15" max="15" width="7.125" style="175" bestFit="1" customWidth="1"/>
    <col min="16" max="16" width="7.125" style="94" bestFit="1" customWidth="1"/>
    <col min="17" max="17" width="6.5" style="94" bestFit="1" customWidth="1"/>
    <col min="18" max="18" width="7.125" style="94" bestFit="1" customWidth="1"/>
    <col min="19" max="19" width="7.125" style="170" bestFit="1" customWidth="1"/>
    <col min="20" max="20" width="7.125" style="94" bestFit="1" customWidth="1"/>
    <col min="21" max="21" width="5.25" bestFit="1" customWidth="1"/>
    <col min="22" max="22" width="5.25" style="94" bestFit="1" customWidth="1"/>
    <col min="23" max="23" width="8.875" customWidth="1"/>
    <col min="24" max="24" width="9" style="106"/>
    <col min="25" max="25" width="9" style="165"/>
  </cols>
  <sheetData>
    <row r="1" spans="1:25" ht="22.5" customHeight="1">
      <c r="A1" s="284" t="s">
        <v>359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</row>
    <row r="2" spans="1:25" ht="14.25" customHeight="1">
      <c r="A2" s="87" t="s">
        <v>335</v>
      </c>
      <c r="B2" s="286" t="s">
        <v>336</v>
      </c>
      <c r="C2" s="288" t="s">
        <v>337</v>
      </c>
      <c r="D2" s="285" t="s">
        <v>403</v>
      </c>
      <c r="E2" s="285"/>
      <c r="F2" s="290" t="s">
        <v>345</v>
      </c>
      <c r="G2" s="292" t="s">
        <v>338</v>
      </c>
      <c r="H2" s="292"/>
      <c r="I2" s="292"/>
      <c r="J2" s="282" t="s">
        <v>339</v>
      </c>
      <c r="K2" s="282"/>
      <c r="L2" s="281" t="s">
        <v>340</v>
      </c>
      <c r="M2" s="281"/>
      <c r="N2" s="281"/>
      <c r="O2" s="282" t="s">
        <v>341</v>
      </c>
      <c r="P2" s="282" t="s">
        <v>342</v>
      </c>
      <c r="Q2" s="282"/>
      <c r="R2" s="282"/>
      <c r="S2" s="282"/>
      <c r="T2" s="282"/>
      <c r="U2" s="282"/>
      <c r="V2" s="282" t="s">
        <v>343</v>
      </c>
      <c r="W2" s="283" t="s">
        <v>362</v>
      </c>
      <c r="X2" s="283"/>
      <c r="Y2" s="218" t="s">
        <v>522</v>
      </c>
    </row>
    <row r="3" spans="1:25">
      <c r="A3" s="88" t="s">
        <v>344</v>
      </c>
      <c r="B3" s="287"/>
      <c r="C3" s="289"/>
      <c r="D3" s="110" t="s">
        <v>404</v>
      </c>
      <c r="E3" s="127" t="s">
        <v>405</v>
      </c>
      <c r="F3" s="291"/>
      <c r="G3" s="89" t="s">
        <v>346</v>
      </c>
      <c r="H3" s="89" t="s">
        <v>347</v>
      </c>
      <c r="I3" s="89" t="s">
        <v>348</v>
      </c>
      <c r="J3" s="90" t="s">
        <v>349</v>
      </c>
      <c r="K3" s="153" t="s">
        <v>350</v>
      </c>
      <c r="L3" s="91" t="s">
        <v>351</v>
      </c>
      <c r="M3" s="152" t="s">
        <v>352</v>
      </c>
      <c r="N3" s="91" t="s">
        <v>350</v>
      </c>
      <c r="O3" s="282"/>
      <c r="P3" s="90" t="s">
        <v>353</v>
      </c>
      <c r="Q3" s="125" t="s">
        <v>354</v>
      </c>
      <c r="R3" s="125" t="s">
        <v>355</v>
      </c>
      <c r="S3" s="125" t="s">
        <v>356</v>
      </c>
      <c r="T3" s="126" t="s">
        <v>357</v>
      </c>
      <c r="U3" s="93" t="s">
        <v>358</v>
      </c>
      <c r="V3" s="282"/>
      <c r="W3" s="92" t="s">
        <v>360</v>
      </c>
      <c r="X3" s="105" t="s">
        <v>361</v>
      </c>
      <c r="Y3" s="218"/>
    </row>
    <row r="4" spans="1:25" s="132" customFormat="1">
      <c r="A4" s="304">
        <v>1</v>
      </c>
      <c r="B4" s="304" t="s">
        <v>22</v>
      </c>
      <c r="C4" s="304" t="s">
        <v>23</v>
      </c>
      <c r="D4" s="304"/>
      <c r="E4" s="304"/>
      <c r="F4" s="244" t="s">
        <v>445</v>
      </c>
      <c r="G4" s="279">
        <v>52</v>
      </c>
      <c r="H4" s="279">
        <v>23</v>
      </c>
      <c r="I4" s="279">
        <v>2</v>
      </c>
      <c r="J4" s="299">
        <v>4.5999999999999996</v>
      </c>
      <c r="K4" s="299">
        <v>2.5</v>
      </c>
      <c r="L4" s="301">
        <f>G4*H4*I4*0.00000785</f>
        <v>1.8777199999999997E-2</v>
      </c>
      <c r="M4" s="301">
        <v>6.0000000000000001E-3</v>
      </c>
      <c r="N4" s="301">
        <f>L4-M4</f>
        <v>1.2777199999999997E-2</v>
      </c>
      <c r="O4" s="247">
        <f>J4*L4-K4*N4</f>
        <v>5.4432119999999994E-2</v>
      </c>
      <c r="P4" s="131" t="s">
        <v>364</v>
      </c>
      <c r="Q4" s="141" t="s">
        <v>365</v>
      </c>
      <c r="R4" s="141">
        <v>1</v>
      </c>
      <c r="S4" s="137">
        <v>0.03</v>
      </c>
      <c r="T4" s="141">
        <v>1</v>
      </c>
      <c r="U4" s="137">
        <f t="shared" ref="U4:U42" si="0">R4*S4/T4</f>
        <v>0.03</v>
      </c>
      <c r="V4" s="299">
        <v>1.1200000000000001</v>
      </c>
      <c r="W4" s="236">
        <f>(O4+SUM(U4:U5))*V4</f>
        <v>0.12816397440000002</v>
      </c>
      <c r="X4" s="280">
        <v>0.14219999999999999</v>
      </c>
      <c r="Y4" s="218">
        <f>1-W4/X4</f>
        <v>9.8706227848101125E-2</v>
      </c>
    </row>
    <row r="5" spans="1:25" s="132" customFormat="1">
      <c r="A5" s="305"/>
      <c r="B5" s="305"/>
      <c r="C5" s="305"/>
      <c r="D5" s="305"/>
      <c r="E5" s="305"/>
      <c r="F5" s="303"/>
      <c r="G5" s="306"/>
      <c r="H5" s="306"/>
      <c r="I5" s="306"/>
      <c r="J5" s="300"/>
      <c r="K5" s="300"/>
      <c r="L5" s="302"/>
      <c r="M5" s="302"/>
      <c r="N5" s="302"/>
      <c r="O5" s="248"/>
      <c r="P5" s="131" t="s">
        <v>368</v>
      </c>
      <c r="Q5" s="141" t="s">
        <v>365</v>
      </c>
      <c r="R5" s="141">
        <v>1</v>
      </c>
      <c r="S5" s="137">
        <v>0.03</v>
      </c>
      <c r="T5" s="141">
        <v>1</v>
      </c>
      <c r="U5" s="137">
        <f t="shared" si="0"/>
        <v>0.03</v>
      </c>
      <c r="V5" s="300"/>
      <c r="W5" s="236"/>
      <c r="X5" s="280"/>
      <c r="Y5" s="218"/>
    </row>
    <row r="6" spans="1:25">
      <c r="A6" s="304">
        <v>2</v>
      </c>
      <c r="B6" s="304" t="s">
        <v>27</v>
      </c>
      <c r="C6" s="304" t="s">
        <v>28</v>
      </c>
      <c r="D6" s="304"/>
      <c r="E6" s="304"/>
      <c r="F6" s="244" t="s">
        <v>445</v>
      </c>
      <c r="G6" s="279">
        <v>86</v>
      </c>
      <c r="H6" s="279">
        <v>48</v>
      </c>
      <c r="I6" s="279">
        <v>2</v>
      </c>
      <c r="J6" s="299">
        <v>4.5999999999999996</v>
      </c>
      <c r="K6" s="299">
        <v>2.5</v>
      </c>
      <c r="L6" s="301">
        <f>G6*H6*I6*0.00000785</f>
        <v>6.4809599999999995E-2</v>
      </c>
      <c r="M6" s="301">
        <v>3.7999999999999999E-2</v>
      </c>
      <c r="N6" s="301">
        <f>L6-M6</f>
        <v>2.6809599999999996E-2</v>
      </c>
      <c r="O6" s="247">
        <f>J6*L6-K6*N6</f>
        <v>0.23110016</v>
      </c>
      <c r="P6" s="131" t="s">
        <v>364</v>
      </c>
      <c r="Q6" s="141" t="s">
        <v>383</v>
      </c>
      <c r="R6" s="141">
        <v>1</v>
      </c>
      <c r="S6" s="137">
        <v>0.05</v>
      </c>
      <c r="T6" s="141">
        <v>1</v>
      </c>
      <c r="U6" s="137">
        <f t="shared" si="0"/>
        <v>0.05</v>
      </c>
      <c r="V6" s="299">
        <v>1.1200000000000001</v>
      </c>
      <c r="W6" s="236">
        <f>(O6+SUM(U6:U7))*V6</f>
        <v>0.34843217920000003</v>
      </c>
      <c r="X6" s="280">
        <v>0.41830000000000001</v>
      </c>
      <c r="Y6" s="218">
        <f>1-W6/X6</f>
        <v>0.16702802008128137</v>
      </c>
    </row>
    <row r="7" spans="1:25">
      <c r="A7" s="305"/>
      <c r="B7" s="305"/>
      <c r="C7" s="305"/>
      <c r="D7" s="305"/>
      <c r="E7" s="305"/>
      <c r="F7" s="303"/>
      <c r="G7" s="306"/>
      <c r="H7" s="306"/>
      <c r="I7" s="306"/>
      <c r="J7" s="300"/>
      <c r="K7" s="300"/>
      <c r="L7" s="302"/>
      <c r="M7" s="302"/>
      <c r="N7" s="302"/>
      <c r="O7" s="248"/>
      <c r="P7" s="131" t="s">
        <v>368</v>
      </c>
      <c r="Q7" s="141" t="s">
        <v>365</v>
      </c>
      <c r="R7" s="141">
        <v>1</v>
      </c>
      <c r="S7" s="137">
        <v>0.03</v>
      </c>
      <c r="T7" s="141">
        <v>1</v>
      </c>
      <c r="U7" s="137">
        <f t="shared" si="0"/>
        <v>0.03</v>
      </c>
      <c r="V7" s="300"/>
      <c r="W7" s="236"/>
      <c r="X7" s="280"/>
      <c r="Y7" s="218"/>
    </row>
    <row r="8" spans="1:25">
      <c r="A8" s="233">
        <v>3</v>
      </c>
      <c r="B8" s="233" t="s">
        <v>30</v>
      </c>
      <c r="C8" s="242" t="s">
        <v>31</v>
      </c>
      <c r="D8" s="242"/>
      <c r="E8" s="242"/>
      <c r="F8" s="242" t="s">
        <v>458</v>
      </c>
      <c r="G8" s="233">
        <v>57</v>
      </c>
      <c r="H8" s="233">
        <v>24</v>
      </c>
      <c r="I8" s="233">
        <v>2</v>
      </c>
      <c r="J8" s="229">
        <v>4.5999999999999996</v>
      </c>
      <c r="K8" s="229">
        <v>2.5</v>
      </c>
      <c r="L8" s="245">
        <f>G8*H8*I8*0.00000785</f>
        <v>2.1477599999999999E-2</v>
      </c>
      <c r="M8" s="245">
        <v>1.0999999999999999E-2</v>
      </c>
      <c r="N8" s="245">
        <f>L8-M8</f>
        <v>1.04776E-2</v>
      </c>
      <c r="O8" s="247">
        <f>J8*L8-K8*N8</f>
        <v>7.2602959999999994E-2</v>
      </c>
      <c r="P8" s="96" t="s">
        <v>364</v>
      </c>
      <c r="Q8" s="141" t="s">
        <v>415</v>
      </c>
      <c r="R8" s="122">
        <v>1</v>
      </c>
      <c r="S8" s="97">
        <v>0.03</v>
      </c>
      <c r="T8" s="122">
        <v>1</v>
      </c>
      <c r="U8" s="97">
        <f t="shared" si="0"/>
        <v>0.03</v>
      </c>
      <c r="V8" s="229">
        <v>1.1200000000000001</v>
      </c>
      <c r="W8" s="232">
        <f>(O8+SUM(U8:U10))*V8</f>
        <v>0.18211531520000002</v>
      </c>
      <c r="X8" s="250">
        <v>0.20030000000000001</v>
      </c>
      <c r="Y8" s="214">
        <f>1-W8/X8</f>
        <v>9.0787243135296958E-2</v>
      </c>
    </row>
    <row r="9" spans="1:25">
      <c r="A9" s="234"/>
      <c r="B9" s="234"/>
      <c r="C9" s="255"/>
      <c r="D9" s="255"/>
      <c r="E9" s="255"/>
      <c r="F9" s="255"/>
      <c r="G9" s="234"/>
      <c r="H9" s="234"/>
      <c r="I9" s="234"/>
      <c r="J9" s="230"/>
      <c r="K9" s="230"/>
      <c r="L9" s="253"/>
      <c r="M9" s="253"/>
      <c r="N9" s="253"/>
      <c r="O9" s="254"/>
      <c r="P9" s="96" t="s">
        <v>368</v>
      </c>
      <c r="Q9" s="141" t="s">
        <v>415</v>
      </c>
      <c r="R9" s="122">
        <v>1</v>
      </c>
      <c r="S9" s="97">
        <v>0.03</v>
      </c>
      <c r="T9" s="122">
        <v>1</v>
      </c>
      <c r="U9" s="97">
        <f t="shared" si="0"/>
        <v>0.03</v>
      </c>
      <c r="V9" s="230"/>
      <c r="W9" s="232"/>
      <c r="X9" s="251"/>
      <c r="Y9" s="215"/>
    </row>
    <row r="10" spans="1:25">
      <c r="A10" s="235"/>
      <c r="B10" s="235"/>
      <c r="C10" s="243"/>
      <c r="D10" s="243"/>
      <c r="E10" s="243"/>
      <c r="F10" s="243"/>
      <c r="G10" s="235"/>
      <c r="H10" s="235"/>
      <c r="I10" s="235"/>
      <c r="J10" s="231"/>
      <c r="K10" s="231"/>
      <c r="L10" s="246"/>
      <c r="M10" s="246"/>
      <c r="N10" s="246"/>
      <c r="O10" s="248"/>
      <c r="P10" s="96" t="s">
        <v>459</v>
      </c>
      <c r="Q10" s="141" t="s">
        <v>416</v>
      </c>
      <c r="R10" s="122">
        <v>1</v>
      </c>
      <c r="S10" s="97">
        <v>0.03</v>
      </c>
      <c r="T10" s="122">
        <v>1</v>
      </c>
      <c r="U10" s="97">
        <f t="shared" si="0"/>
        <v>0.03</v>
      </c>
      <c r="V10" s="231"/>
      <c r="W10" s="232"/>
      <c r="X10" s="252"/>
      <c r="Y10" s="216"/>
    </row>
    <row r="11" spans="1:25">
      <c r="A11" s="304">
        <v>4</v>
      </c>
      <c r="B11" s="304" t="s">
        <v>33</v>
      </c>
      <c r="C11" s="304" t="s">
        <v>34</v>
      </c>
      <c r="D11" s="304"/>
      <c r="E11" s="304"/>
      <c r="F11" s="244" t="s">
        <v>445</v>
      </c>
      <c r="G11" s="279">
        <f>51+4</f>
        <v>55</v>
      </c>
      <c r="H11" s="279">
        <v>23</v>
      </c>
      <c r="I11" s="279">
        <v>2</v>
      </c>
      <c r="J11" s="299">
        <v>4.5999999999999996</v>
      </c>
      <c r="K11" s="299">
        <v>2.5</v>
      </c>
      <c r="L11" s="301">
        <f>G11*H11*I11*0.00000785</f>
        <v>1.98605E-2</v>
      </c>
      <c r="M11" s="301">
        <v>8.9999999999999993E-3</v>
      </c>
      <c r="N11" s="301">
        <f>L11-M11</f>
        <v>1.08605E-2</v>
      </c>
      <c r="O11" s="247">
        <f>J11*L11-K11*N11</f>
        <v>6.4207049999999988E-2</v>
      </c>
      <c r="P11" s="131" t="s">
        <v>364</v>
      </c>
      <c r="Q11" s="141" t="s">
        <v>415</v>
      </c>
      <c r="R11" s="141">
        <v>1</v>
      </c>
      <c r="S11" s="137">
        <v>0.03</v>
      </c>
      <c r="T11" s="141">
        <v>1</v>
      </c>
      <c r="U11" s="137">
        <f t="shared" si="0"/>
        <v>0.03</v>
      </c>
      <c r="V11" s="299">
        <v>1.1200000000000001</v>
      </c>
      <c r="W11" s="236">
        <f>(O11+SUM(U11:U12))*V11</f>
        <v>0.13911189599999998</v>
      </c>
      <c r="X11" s="280">
        <v>0.15629999999999999</v>
      </c>
      <c r="Y11" s="218">
        <f>1-W11/X11</f>
        <v>0.10996867562380042</v>
      </c>
    </row>
    <row r="12" spans="1:25">
      <c r="A12" s="305"/>
      <c r="B12" s="305"/>
      <c r="C12" s="305"/>
      <c r="D12" s="305"/>
      <c r="E12" s="305"/>
      <c r="F12" s="303"/>
      <c r="G12" s="306"/>
      <c r="H12" s="306"/>
      <c r="I12" s="306"/>
      <c r="J12" s="300"/>
      <c r="K12" s="300"/>
      <c r="L12" s="302"/>
      <c r="M12" s="302"/>
      <c r="N12" s="302"/>
      <c r="O12" s="248"/>
      <c r="P12" s="131" t="s">
        <v>368</v>
      </c>
      <c r="Q12" s="141" t="s">
        <v>416</v>
      </c>
      <c r="R12" s="141">
        <v>1</v>
      </c>
      <c r="S12" s="137">
        <v>0.03</v>
      </c>
      <c r="T12" s="141">
        <v>1</v>
      </c>
      <c r="U12" s="137">
        <f t="shared" si="0"/>
        <v>0.03</v>
      </c>
      <c r="V12" s="300"/>
      <c r="W12" s="236"/>
      <c r="X12" s="280"/>
      <c r="Y12" s="218"/>
    </row>
    <row r="13" spans="1:25">
      <c r="A13" s="233">
        <v>5</v>
      </c>
      <c r="B13" s="233" t="s">
        <v>36</v>
      </c>
      <c r="C13" s="242" t="s">
        <v>37</v>
      </c>
      <c r="D13" s="242"/>
      <c r="E13" s="242"/>
      <c r="F13" s="242" t="s">
        <v>458</v>
      </c>
      <c r="G13" s="233">
        <f>72+4</f>
        <v>76</v>
      </c>
      <c r="H13" s="233">
        <v>43</v>
      </c>
      <c r="I13" s="233">
        <v>2</v>
      </c>
      <c r="J13" s="229">
        <v>4.5999999999999996</v>
      </c>
      <c r="K13" s="229">
        <v>2.5</v>
      </c>
      <c r="L13" s="245">
        <f>G13*H13*I13*0.00000785</f>
        <v>5.1307599999999995E-2</v>
      </c>
      <c r="M13" s="245">
        <v>2.7E-2</v>
      </c>
      <c r="N13" s="245">
        <f>L13-M13</f>
        <v>2.4307599999999995E-2</v>
      </c>
      <c r="O13" s="247">
        <f>J13*L13-K13*N13</f>
        <v>0.17524595999999998</v>
      </c>
      <c r="P13" s="96" t="s">
        <v>364</v>
      </c>
      <c r="Q13" s="141" t="s">
        <v>365</v>
      </c>
      <c r="R13" s="122">
        <v>1</v>
      </c>
      <c r="S13" s="97">
        <v>0.03</v>
      </c>
      <c r="T13" s="122">
        <v>1</v>
      </c>
      <c r="U13" s="97">
        <f t="shared" si="0"/>
        <v>0.03</v>
      </c>
      <c r="V13" s="229">
        <v>1.1200000000000001</v>
      </c>
      <c r="W13" s="232">
        <f>(O13+SUM(U13:U15))*V13</f>
        <v>0.29707547520000005</v>
      </c>
      <c r="X13" s="250">
        <v>0.3483</v>
      </c>
      <c r="Y13" s="214">
        <f>1-W13/X13</f>
        <v>0.14707012575366052</v>
      </c>
    </row>
    <row r="14" spans="1:25">
      <c r="A14" s="234"/>
      <c r="B14" s="234"/>
      <c r="C14" s="255"/>
      <c r="D14" s="255"/>
      <c r="E14" s="255"/>
      <c r="F14" s="255"/>
      <c r="G14" s="234"/>
      <c r="H14" s="234"/>
      <c r="I14" s="234"/>
      <c r="J14" s="230"/>
      <c r="K14" s="230"/>
      <c r="L14" s="253"/>
      <c r="M14" s="253"/>
      <c r="N14" s="253"/>
      <c r="O14" s="254"/>
      <c r="P14" s="96" t="s">
        <v>369</v>
      </c>
      <c r="Q14" s="141" t="s">
        <v>367</v>
      </c>
      <c r="R14" s="122">
        <v>1</v>
      </c>
      <c r="S14" s="97">
        <v>0.03</v>
      </c>
      <c r="T14" s="122">
        <v>1</v>
      </c>
      <c r="U14" s="97">
        <f t="shared" si="0"/>
        <v>0.03</v>
      </c>
      <c r="V14" s="230"/>
      <c r="W14" s="232"/>
      <c r="X14" s="251"/>
      <c r="Y14" s="215"/>
    </row>
    <row r="15" spans="1:25">
      <c r="A15" s="235"/>
      <c r="B15" s="235"/>
      <c r="C15" s="243"/>
      <c r="D15" s="243"/>
      <c r="E15" s="243"/>
      <c r="F15" s="243"/>
      <c r="G15" s="235"/>
      <c r="H15" s="235"/>
      <c r="I15" s="235"/>
      <c r="J15" s="231"/>
      <c r="K15" s="231"/>
      <c r="L15" s="246"/>
      <c r="M15" s="246"/>
      <c r="N15" s="246"/>
      <c r="O15" s="248"/>
      <c r="P15" s="96" t="s">
        <v>368</v>
      </c>
      <c r="Q15" s="141" t="s">
        <v>367</v>
      </c>
      <c r="R15" s="122">
        <v>1</v>
      </c>
      <c r="S15" s="97">
        <v>0.03</v>
      </c>
      <c r="T15" s="122">
        <v>1</v>
      </c>
      <c r="U15" s="97">
        <f t="shared" si="0"/>
        <v>0.03</v>
      </c>
      <c r="V15" s="231"/>
      <c r="W15" s="232"/>
      <c r="X15" s="252"/>
      <c r="Y15" s="216"/>
    </row>
    <row r="16" spans="1:25">
      <c r="A16" s="309">
        <v>6</v>
      </c>
      <c r="B16" s="309" t="s">
        <v>39</v>
      </c>
      <c r="C16" s="310" t="s">
        <v>40</v>
      </c>
      <c r="D16" s="310" t="s">
        <v>461</v>
      </c>
      <c r="E16" s="310">
        <v>1</v>
      </c>
      <c r="F16" s="310" t="s">
        <v>458</v>
      </c>
      <c r="G16" s="309">
        <f>139+12</f>
        <v>151</v>
      </c>
      <c r="H16" s="309">
        <f>197+12</f>
        <v>209</v>
      </c>
      <c r="I16" s="309">
        <v>3</v>
      </c>
      <c r="J16" s="229">
        <v>4.5999999999999996</v>
      </c>
      <c r="K16" s="229">
        <v>2.5</v>
      </c>
      <c r="L16" s="307">
        <f>G16*H16*I16*0.00000785</f>
        <v>0.74321444999999997</v>
      </c>
      <c r="M16" s="307">
        <f>0.406-0.015</f>
        <v>0.39100000000000001</v>
      </c>
      <c r="N16" s="307">
        <f>L16-M16</f>
        <v>0.35221444999999996</v>
      </c>
      <c r="O16" s="308">
        <f>(J16*L16-K16*N16)*E16</f>
        <v>2.5382503449999998</v>
      </c>
      <c r="P16" s="96" t="s">
        <v>364</v>
      </c>
      <c r="Q16" s="141" t="s">
        <v>463</v>
      </c>
      <c r="R16" s="122">
        <v>1</v>
      </c>
      <c r="S16" s="97">
        <v>0.1</v>
      </c>
      <c r="T16" s="122">
        <v>1</v>
      </c>
      <c r="U16" s="97">
        <f t="shared" si="0"/>
        <v>0.1</v>
      </c>
      <c r="V16" s="311">
        <v>1.1200000000000001</v>
      </c>
      <c r="W16" s="314">
        <f>(O16+SUM(U16:U20))*V16+(O19+U21)*1.03</f>
        <v>3.7229403864000004</v>
      </c>
      <c r="X16" s="311">
        <v>4.4241999999999999</v>
      </c>
      <c r="Y16" s="225">
        <f>1-W16/X16</f>
        <v>0.15850540518059753</v>
      </c>
    </row>
    <row r="17" spans="1:25">
      <c r="A17" s="309"/>
      <c r="B17" s="309"/>
      <c r="C17" s="310"/>
      <c r="D17" s="310"/>
      <c r="E17" s="310"/>
      <c r="F17" s="310"/>
      <c r="G17" s="309"/>
      <c r="H17" s="309"/>
      <c r="I17" s="309"/>
      <c r="J17" s="230"/>
      <c r="K17" s="230"/>
      <c r="L17" s="307"/>
      <c r="M17" s="307"/>
      <c r="N17" s="307"/>
      <c r="O17" s="308"/>
      <c r="P17" s="96" t="s">
        <v>368</v>
      </c>
      <c r="Q17" s="141" t="s">
        <v>464</v>
      </c>
      <c r="R17" s="122">
        <v>1</v>
      </c>
      <c r="S17" s="97">
        <v>7.0000000000000007E-2</v>
      </c>
      <c r="T17" s="122">
        <v>1</v>
      </c>
      <c r="U17" s="97">
        <f t="shared" si="0"/>
        <v>7.0000000000000007E-2</v>
      </c>
      <c r="V17" s="312"/>
      <c r="W17" s="315"/>
      <c r="X17" s="312"/>
      <c r="Y17" s="226"/>
    </row>
    <row r="18" spans="1:25">
      <c r="A18" s="309"/>
      <c r="B18" s="309"/>
      <c r="C18" s="310"/>
      <c r="D18" s="310"/>
      <c r="E18" s="310"/>
      <c r="F18" s="310"/>
      <c r="G18" s="309"/>
      <c r="H18" s="309"/>
      <c r="I18" s="309"/>
      <c r="J18" s="231"/>
      <c r="K18" s="231"/>
      <c r="L18" s="307"/>
      <c r="M18" s="307"/>
      <c r="N18" s="307"/>
      <c r="O18" s="308"/>
      <c r="P18" s="96" t="s">
        <v>366</v>
      </c>
      <c r="Q18" s="141" t="s">
        <v>383</v>
      </c>
      <c r="R18" s="122">
        <v>1</v>
      </c>
      <c r="S18" s="97">
        <v>0.05</v>
      </c>
      <c r="T18" s="122">
        <v>1</v>
      </c>
      <c r="U18" s="97">
        <f t="shared" si="0"/>
        <v>0.05</v>
      </c>
      <c r="V18" s="312"/>
      <c r="W18" s="315"/>
      <c r="X18" s="312"/>
      <c r="Y18" s="226"/>
    </row>
    <row r="19" spans="1:25">
      <c r="A19" s="309"/>
      <c r="B19" s="309"/>
      <c r="C19" s="310"/>
      <c r="D19" s="310" t="s">
        <v>460</v>
      </c>
      <c r="E19" s="310">
        <v>1</v>
      </c>
      <c r="F19" s="310"/>
      <c r="G19" s="309"/>
      <c r="H19" s="309"/>
      <c r="I19" s="309"/>
      <c r="J19" s="317">
        <v>0.4</v>
      </c>
      <c r="K19" s="317"/>
      <c r="L19" s="307"/>
      <c r="M19" s="307"/>
      <c r="N19" s="307"/>
      <c r="O19" s="308">
        <f>E19*J19</f>
        <v>0.4</v>
      </c>
      <c r="P19" s="96" t="s">
        <v>366</v>
      </c>
      <c r="Q19" s="141" t="s">
        <v>365</v>
      </c>
      <c r="R19" s="122">
        <v>1</v>
      </c>
      <c r="S19" s="97">
        <v>0.03</v>
      </c>
      <c r="T19" s="122">
        <v>1</v>
      </c>
      <c r="U19" s="97">
        <f t="shared" si="0"/>
        <v>0.03</v>
      </c>
      <c r="V19" s="312"/>
      <c r="W19" s="315"/>
      <c r="X19" s="312"/>
      <c r="Y19" s="226"/>
    </row>
    <row r="20" spans="1:25">
      <c r="A20" s="309"/>
      <c r="B20" s="309"/>
      <c r="C20" s="310"/>
      <c r="D20" s="310"/>
      <c r="E20" s="310"/>
      <c r="F20" s="310"/>
      <c r="G20" s="309"/>
      <c r="H20" s="309"/>
      <c r="I20" s="309"/>
      <c r="J20" s="317"/>
      <c r="K20" s="317"/>
      <c r="L20" s="307"/>
      <c r="M20" s="307"/>
      <c r="N20" s="307"/>
      <c r="O20" s="308"/>
      <c r="P20" s="96" t="s">
        <v>366</v>
      </c>
      <c r="Q20" s="141" t="s">
        <v>367</v>
      </c>
      <c r="R20" s="122">
        <v>1</v>
      </c>
      <c r="S20" s="97">
        <v>0.03</v>
      </c>
      <c r="T20" s="122">
        <v>1</v>
      </c>
      <c r="U20" s="97">
        <f t="shared" si="0"/>
        <v>0.03</v>
      </c>
      <c r="V20" s="312"/>
      <c r="W20" s="315"/>
      <c r="X20" s="312"/>
      <c r="Y20" s="226"/>
    </row>
    <row r="21" spans="1:25">
      <c r="A21" s="309"/>
      <c r="B21" s="309"/>
      <c r="C21" s="310"/>
      <c r="D21" s="310"/>
      <c r="E21" s="310"/>
      <c r="F21" s="310"/>
      <c r="G21" s="309"/>
      <c r="H21" s="309"/>
      <c r="I21" s="309"/>
      <c r="J21" s="317"/>
      <c r="K21" s="317"/>
      <c r="L21" s="307"/>
      <c r="M21" s="307"/>
      <c r="N21" s="307"/>
      <c r="O21" s="308"/>
      <c r="P21" s="96" t="s">
        <v>462</v>
      </c>
      <c r="Q21" s="141"/>
      <c r="R21" s="122">
        <v>1</v>
      </c>
      <c r="S21" s="97">
        <v>0.15</v>
      </c>
      <c r="T21" s="122">
        <v>1</v>
      </c>
      <c r="U21" s="97">
        <f t="shared" si="0"/>
        <v>0.15</v>
      </c>
      <c r="V21" s="313"/>
      <c r="W21" s="316"/>
      <c r="X21" s="313"/>
      <c r="Y21" s="227"/>
    </row>
    <row r="22" spans="1:25">
      <c r="A22" s="233">
        <v>7</v>
      </c>
      <c r="B22" s="233" t="s">
        <v>44</v>
      </c>
      <c r="C22" s="242" t="s">
        <v>45</v>
      </c>
      <c r="D22" s="242"/>
      <c r="E22" s="242"/>
      <c r="F22" s="242" t="s">
        <v>465</v>
      </c>
      <c r="G22" s="233">
        <f>125+5</f>
        <v>130</v>
      </c>
      <c r="H22" s="233">
        <f>65+5</f>
        <v>70</v>
      </c>
      <c r="I22" s="233">
        <v>2.5</v>
      </c>
      <c r="J22" s="229">
        <v>5.15</v>
      </c>
      <c r="K22" s="229">
        <v>2.5</v>
      </c>
      <c r="L22" s="245">
        <f>G22*H22*I22*0.00000785</f>
        <v>0.17858749999999998</v>
      </c>
      <c r="M22" s="245">
        <v>8.6999999999999994E-2</v>
      </c>
      <c r="N22" s="245">
        <f>L22-M22</f>
        <v>9.1587499999999988E-2</v>
      </c>
      <c r="O22" s="247">
        <f>J22*L22-K22*N22</f>
        <v>0.69075687500000005</v>
      </c>
      <c r="P22" s="96" t="s">
        <v>364</v>
      </c>
      <c r="Q22" s="141" t="s">
        <v>464</v>
      </c>
      <c r="R22" s="122">
        <v>1</v>
      </c>
      <c r="S22" s="97">
        <v>7.0000000000000007E-2</v>
      </c>
      <c r="T22" s="122">
        <v>1</v>
      </c>
      <c r="U22" s="97">
        <f t="shared" si="0"/>
        <v>7.0000000000000007E-2</v>
      </c>
      <c r="V22" s="229">
        <v>1.1200000000000001</v>
      </c>
      <c r="W22" s="232">
        <f>(O22+SUM(U22:U24))*V22</f>
        <v>0.96404770000000017</v>
      </c>
      <c r="X22" s="250">
        <v>1.0730999999999999</v>
      </c>
      <c r="Y22" s="214">
        <f>1-W22/X22</f>
        <v>0.10162361382909302</v>
      </c>
    </row>
    <row r="23" spans="1:25">
      <c r="A23" s="234"/>
      <c r="B23" s="234"/>
      <c r="C23" s="255"/>
      <c r="D23" s="255"/>
      <c r="E23" s="255"/>
      <c r="F23" s="255"/>
      <c r="G23" s="234"/>
      <c r="H23" s="234"/>
      <c r="I23" s="234"/>
      <c r="J23" s="230"/>
      <c r="K23" s="230"/>
      <c r="L23" s="253"/>
      <c r="M23" s="253"/>
      <c r="N23" s="253"/>
      <c r="O23" s="254"/>
      <c r="P23" s="96" t="s">
        <v>368</v>
      </c>
      <c r="Q23" s="141" t="s">
        <v>383</v>
      </c>
      <c r="R23" s="122">
        <v>1</v>
      </c>
      <c r="S23" s="97">
        <v>0.05</v>
      </c>
      <c r="T23" s="122">
        <v>1</v>
      </c>
      <c r="U23" s="97">
        <f t="shared" si="0"/>
        <v>0.05</v>
      </c>
      <c r="V23" s="230"/>
      <c r="W23" s="232"/>
      <c r="X23" s="251"/>
      <c r="Y23" s="215"/>
    </row>
    <row r="24" spans="1:25">
      <c r="A24" s="235"/>
      <c r="B24" s="235"/>
      <c r="C24" s="243"/>
      <c r="D24" s="243"/>
      <c r="E24" s="243"/>
      <c r="F24" s="243"/>
      <c r="G24" s="235"/>
      <c r="H24" s="235"/>
      <c r="I24" s="235"/>
      <c r="J24" s="231"/>
      <c r="K24" s="231"/>
      <c r="L24" s="246"/>
      <c r="M24" s="246"/>
      <c r="N24" s="246"/>
      <c r="O24" s="248"/>
      <c r="P24" s="96" t="s">
        <v>366</v>
      </c>
      <c r="Q24" s="141" t="s">
        <v>383</v>
      </c>
      <c r="R24" s="122">
        <v>1</v>
      </c>
      <c r="S24" s="97">
        <v>0.05</v>
      </c>
      <c r="T24" s="122">
        <v>1</v>
      </c>
      <c r="U24" s="97">
        <f t="shared" si="0"/>
        <v>0.05</v>
      </c>
      <c r="V24" s="231"/>
      <c r="W24" s="232"/>
      <c r="X24" s="252"/>
      <c r="Y24" s="216"/>
    </row>
    <row r="25" spans="1:25">
      <c r="A25" s="233">
        <v>8</v>
      </c>
      <c r="B25" s="279" t="s">
        <v>467</v>
      </c>
      <c r="C25" s="244" t="s">
        <v>466</v>
      </c>
      <c r="D25" s="242"/>
      <c r="E25" s="242"/>
      <c r="F25" s="242" t="s">
        <v>465</v>
      </c>
      <c r="G25" s="233">
        <f>125+5</f>
        <v>130</v>
      </c>
      <c r="H25" s="233">
        <f>65+5</f>
        <v>70</v>
      </c>
      <c r="I25" s="233">
        <v>2.5</v>
      </c>
      <c r="J25" s="229">
        <v>5.15</v>
      </c>
      <c r="K25" s="229">
        <v>2.5</v>
      </c>
      <c r="L25" s="245">
        <f>G25*H25*I25*0.00000785</f>
        <v>0.17858749999999998</v>
      </c>
      <c r="M25" s="245">
        <v>8.6999999999999994E-2</v>
      </c>
      <c r="N25" s="245">
        <f>L25-M25</f>
        <v>9.1587499999999988E-2</v>
      </c>
      <c r="O25" s="247">
        <f>J25*L25-K25*N25</f>
        <v>0.69075687500000005</v>
      </c>
      <c r="P25" s="96" t="s">
        <v>364</v>
      </c>
      <c r="Q25" s="141" t="s">
        <v>464</v>
      </c>
      <c r="R25" s="122">
        <v>1</v>
      </c>
      <c r="S25" s="97">
        <v>7.0000000000000007E-2</v>
      </c>
      <c r="T25" s="122">
        <v>1</v>
      </c>
      <c r="U25" s="97">
        <f t="shared" si="0"/>
        <v>7.0000000000000007E-2</v>
      </c>
      <c r="V25" s="229">
        <v>1.1200000000000001</v>
      </c>
      <c r="W25" s="232">
        <f>(O25+SUM(U25:U27))*V25</f>
        <v>0.96404770000000017</v>
      </c>
      <c r="X25" s="250">
        <v>1.0730999999999999</v>
      </c>
      <c r="Y25" s="214">
        <f>1-W25/X25</f>
        <v>0.10162361382909302</v>
      </c>
    </row>
    <row r="26" spans="1:25">
      <c r="A26" s="234"/>
      <c r="B26" s="234"/>
      <c r="C26" s="255"/>
      <c r="D26" s="255"/>
      <c r="E26" s="255"/>
      <c r="F26" s="255"/>
      <c r="G26" s="234"/>
      <c r="H26" s="234"/>
      <c r="I26" s="234"/>
      <c r="J26" s="230"/>
      <c r="K26" s="230"/>
      <c r="L26" s="253"/>
      <c r="M26" s="253"/>
      <c r="N26" s="253"/>
      <c r="O26" s="254"/>
      <c r="P26" s="96" t="s">
        <v>368</v>
      </c>
      <c r="Q26" s="141" t="s">
        <v>383</v>
      </c>
      <c r="R26" s="122">
        <v>1</v>
      </c>
      <c r="S26" s="97">
        <v>0.05</v>
      </c>
      <c r="T26" s="122">
        <v>1</v>
      </c>
      <c r="U26" s="97">
        <f t="shared" si="0"/>
        <v>0.05</v>
      </c>
      <c r="V26" s="230"/>
      <c r="W26" s="232"/>
      <c r="X26" s="251"/>
      <c r="Y26" s="215"/>
    </row>
    <row r="27" spans="1:25">
      <c r="A27" s="235"/>
      <c r="B27" s="235"/>
      <c r="C27" s="243"/>
      <c r="D27" s="243"/>
      <c r="E27" s="243"/>
      <c r="F27" s="243"/>
      <c r="G27" s="235"/>
      <c r="H27" s="235"/>
      <c r="I27" s="235"/>
      <c r="J27" s="231"/>
      <c r="K27" s="231"/>
      <c r="L27" s="246"/>
      <c r="M27" s="246"/>
      <c r="N27" s="246"/>
      <c r="O27" s="248"/>
      <c r="P27" s="96" t="s">
        <v>366</v>
      </c>
      <c r="Q27" s="141" t="s">
        <v>383</v>
      </c>
      <c r="R27" s="122">
        <v>1</v>
      </c>
      <c r="S27" s="97">
        <v>0.05</v>
      </c>
      <c r="T27" s="122">
        <v>1</v>
      </c>
      <c r="U27" s="97">
        <f t="shared" si="0"/>
        <v>0.05</v>
      </c>
      <c r="V27" s="231"/>
      <c r="W27" s="232"/>
      <c r="X27" s="252"/>
      <c r="Y27" s="216"/>
    </row>
    <row r="28" spans="1:25">
      <c r="A28" s="233">
        <v>9</v>
      </c>
      <c r="B28" s="279" t="s">
        <v>468</v>
      </c>
      <c r="C28" s="244" t="s">
        <v>469</v>
      </c>
      <c r="D28" s="242"/>
      <c r="E28" s="242"/>
      <c r="F28" s="242" t="s">
        <v>465</v>
      </c>
      <c r="G28" s="233">
        <v>89</v>
      </c>
      <c r="H28" s="233">
        <f>125+2.5*2</f>
        <v>130</v>
      </c>
      <c r="I28" s="233">
        <v>2.5</v>
      </c>
      <c r="J28" s="229">
        <v>5.15</v>
      </c>
      <c r="K28" s="229">
        <v>2.5</v>
      </c>
      <c r="L28" s="245">
        <f>G28*H28*I28*0.00000785</f>
        <v>0.22706124999999999</v>
      </c>
      <c r="M28" s="245">
        <v>8.6999999999999994E-2</v>
      </c>
      <c r="N28" s="245">
        <f>L28-M28</f>
        <v>0.14006125</v>
      </c>
      <c r="O28" s="247">
        <f>J28*L28-K28*N28</f>
        <v>0.81921231249999993</v>
      </c>
      <c r="P28" s="96" t="s">
        <v>364</v>
      </c>
      <c r="Q28" s="141" t="s">
        <v>464</v>
      </c>
      <c r="R28" s="122">
        <v>1</v>
      </c>
      <c r="S28" s="97">
        <v>7.0000000000000007E-2</v>
      </c>
      <c r="T28" s="122">
        <v>1</v>
      </c>
      <c r="U28" s="97">
        <f t="shared" si="0"/>
        <v>7.0000000000000007E-2</v>
      </c>
      <c r="V28" s="229">
        <v>1.1200000000000001</v>
      </c>
      <c r="W28" s="232">
        <f>(O28+SUM(U28:U30))*V28</f>
        <v>1.0855177900000001</v>
      </c>
      <c r="X28" s="250">
        <v>1.2089000000000001</v>
      </c>
      <c r="Y28" s="214">
        <f>1-W28/X28</f>
        <v>0.10206155182397214</v>
      </c>
    </row>
    <row r="29" spans="1:25">
      <c r="A29" s="234"/>
      <c r="B29" s="234"/>
      <c r="C29" s="255"/>
      <c r="D29" s="255"/>
      <c r="E29" s="255"/>
      <c r="F29" s="255"/>
      <c r="G29" s="234"/>
      <c r="H29" s="234"/>
      <c r="I29" s="234"/>
      <c r="J29" s="230"/>
      <c r="K29" s="230"/>
      <c r="L29" s="253"/>
      <c r="M29" s="253"/>
      <c r="N29" s="253"/>
      <c r="O29" s="254"/>
      <c r="P29" s="96" t="s">
        <v>368</v>
      </c>
      <c r="Q29" s="141" t="s">
        <v>383</v>
      </c>
      <c r="R29" s="122">
        <v>1</v>
      </c>
      <c r="S29" s="97">
        <v>0.05</v>
      </c>
      <c r="T29" s="122">
        <v>1</v>
      </c>
      <c r="U29" s="97">
        <f t="shared" si="0"/>
        <v>0.05</v>
      </c>
      <c r="V29" s="230"/>
      <c r="W29" s="232"/>
      <c r="X29" s="251"/>
      <c r="Y29" s="215"/>
    </row>
    <row r="30" spans="1:25">
      <c r="A30" s="235"/>
      <c r="B30" s="235"/>
      <c r="C30" s="243"/>
      <c r="D30" s="243"/>
      <c r="E30" s="243"/>
      <c r="F30" s="243"/>
      <c r="G30" s="235"/>
      <c r="H30" s="235"/>
      <c r="I30" s="235"/>
      <c r="J30" s="231"/>
      <c r="K30" s="231"/>
      <c r="L30" s="246"/>
      <c r="M30" s="246"/>
      <c r="N30" s="246"/>
      <c r="O30" s="248"/>
      <c r="P30" s="96" t="s">
        <v>366</v>
      </c>
      <c r="Q30" s="141" t="s">
        <v>365</v>
      </c>
      <c r="R30" s="122">
        <v>1</v>
      </c>
      <c r="S30" s="97">
        <v>0.03</v>
      </c>
      <c r="T30" s="122">
        <v>1</v>
      </c>
      <c r="U30" s="97">
        <f t="shared" si="0"/>
        <v>0.03</v>
      </c>
      <c r="V30" s="231"/>
      <c r="W30" s="232"/>
      <c r="X30" s="252"/>
      <c r="Y30" s="216"/>
    </row>
    <row r="31" spans="1:25">
      <c r="A31" s="233">
        <v>10</v>
      </c>
      <c r="B31" s="279" t="s">
        <v>470</v>
      </c>
      <c r="C31" s="244" t="s">
        <v>471</v>
      </c>
      <c r="D31" s="242"/>
      <c r="E31" s="242"/>
      <c r="F31" s="242" t="s">
        <v>465</v>
      </c>
      <c r="G31" s="233">
        <v>89</v>
      </c>
      <c r="H31" s="233">
        <f>125+2.5*2</f>
        <v>130</v>
      </c>
      <c r="I31" s="233">
        <v>2.5</v>
      </c>
      <c r="J31" s="229">
        <v>5.15</v>
      </c>
      <c r="K31" s="229">
        <v>2.5</v>
      </c>
      <c r="L31" s="245">
        <f>G31*H31*I31*0.00000785</f>
        <v>0.22706124999999999</v>
      </c>
      <c r="M31" s="245">
        <v>8.6999999999999994E-2</v>
      </c>
      <c r="N31" s="245">
        <f>L31-M31</f>
        <v>0.14006125</v>
      </c>
      <c r="O31" s="247">
        <f>J31*L31-K31*N31</f>
        <v>0.81921231249999993</v>
      </c>
      <c r="P31" s="96" t="s">
        <v>364</v>
      </c>
      <c r="Q31" s="141" t="s">
        <v>464</v>
      </c>
      <c r="R31" s="122">
        <v>1</v>
      </c>
      <c r="S31" s="97">
        <v>7.0000000000000007E-2</v>
      </c>
      <c r="T31" s="122">
        <v>1</v>
      </c>
      <c r="U31" s="97">
        <f t="shared" si="0"/>
        <v>7.0000000000000007E-2</v>
      </c>
      <c r="V31" s="229">
        <v>1.1200000000000001</v>
      </c>
      <c r="W31" s="232">
        <f>(O31+SUM(U31:U33))*V31</f>
        <v>1.0855177900000001</v>
      </c>
      <c r="X31" s="250">
        <v>1.2089000000000001</v>
      </c>
      <c r="Y31" s="214">
        <f>1-W31/X31</f>
        <v>0.10206155182397214</v>
      </c>
    </row>
    <row r="32" spans="1:25">
      <c r="A32" s="234"/>
      <c r="B32" s="234"/>
      <c r="C32" s="255"/>
      <c r="D32" s="255"/>
      <c r="E32" s="255"/>
      <c r="F32" s="255"/>
      <c r="G32" s="234"/>
      <c r="H32" s="234"/>
      <c r="I32" s="234"/>
      <c r="J32" s="230"/>
      <c r="K32" s="230"/>
      <c r="L32" s="253"/>
      <c r="M32" s="253"/>
      <c r="N32" s="253"/>
      <c r="O32" s="254"/>
      <c r="P32" s="96" t="s">
        <v>368</v>
      </c>
      <c r="Q32" s="141" t="s">
        <v>383</v>
      </c>
      <c r="R32" s="122">
        <v>1</v>
      </c>
      <c r="S32" s="97">
        <v>0.05</v>
      </c>
      <c r="T32" s="122">
        <v>1</v>
      </c>
      <c r="U32" s="97">
        <f t="shared" si="0"/>
        <v>0.05</v>
      </c>
      <c r="V32" s="230"/>
      <c r="W32" s="232"/>
      <c r="X32" s="251"/>
      <c r="Y32" s="215"/>
    </row>
    <row r="33" spans="1:25">
      <c r="A33" s="235"/>
      <c r="B33" s="235"/>
      <c r="C33" s="243"/>
      <c r="D33" s="243"/>
      <c r="E33" s="243"/>
      <c r="F33" s="243"/>
      <c r="G33" s="235"/>
      <c r="H33" s="235"/>
      <c r="I33" s="235"/>
      <c r="J33" s="231"/>
      <c r="K33" s="231"/>
      <c r="L33" s="246"/>
      <c r="M33" s="246"/>
      <c r="N33" s="246"/>
      <c r="O33" s="248"/>
      <c r="P33" s="96" t="s">
        <v>366</v>
      </c>
      <c r="Q33" s="141" t="s">
        <v>365</v>
      </c>
      <c r="R33" s="122">
        <v>1</v>
      </c>
      <c r="S33" s="97">
        <v>0.03</v>
      </c>
      <c r="T33" s="122">
        <v>1</v>
      </c>
      <c r="U33" s="97">
        <f t="shared" si="0"/>
        <v>0.03</v>
      </c>
      <c r="V33" s="231"/>
      <c r="W33" s="232"/>
      <c r="X33" s="252"/>
      <c r="Y33" s="216"/>
    </row>
    <row r="34" spans="1:25">
      <c r="A34" s="233">
        <v>11</v>
      </c>
      <c r="B34" s="233" t="s">
        <v>472</v>
      </c>
      <c r="C34" s="242" t="s">
        <v>57</v>
      </c>
      <c r="D34" s="249" t="s">
        <v>473</v>
      </c>
      <c r="E34" s="249">
        <v>1</v>
      </c>
      <c r="F34" s="241" t="s">
        <v>476</v>
      </c>
      <c r="G34" s="240">
        <v>370</v>
      </c>
      <c r="H34" s="240">
        <v>92</v>
      </c>
      <c r="I34" s="240">
        <v>1.6</v>
      </c>
      <c r="J34" s="232">
        <v>5.15</v>
      </c>
      <c r="K34" s="232">
        <v>2.5</v>
      </c>
      <c r="L34" s="238">
        <f>G34*H34*I34*0.00000785</f>
        <v>0.42754239999999999</v>
      </c>
      <c r="M34" s="238">
        <v>0.307</v>
      </c>
      <c r="N34" s="238">
        <f>L34-M34</f>
        <v>0.12054239999999999</v>
      </c>
      <c r="O34" s="239">
        <f>(J34*L34-K34*N34)*E34</f>
        <v>1.9004873600000003</v>
      </c>
      <c r="P34" s="96" t="s">
        <v>364</v>
      </c>
      <c r="Q34" s="141" t="s">
        <v>382</v>
      </c>
      <c r="R34" s="122">
        <v>1</v>
      </c>
      <c r="S34" s="97">
        <v>0.08</v>
      </c>
      <c r="T34" s="122">
        <v>1</v>
      </c>
      <c r="U34" s="97">
        <f t="shared" si="0"/>
        <v>0.08</v>
      </c>
      <c r="V34" s="233">
        <v>1.1200000000000001</v>
      </c>
      <c r="W34" s="229">
        <f>(SUM(O34:O43)+SUM(U34:U42))*V34+U43*1.03</f>
        <v>4.2306656480000004</v>
      </c>
      <c r="X34" s="233">
        <v>4.7282999999999999</v>
      </c>
      <c r="Y34" s="228">
        <f>1-W34/X34</f>
        <v>0.1052459344796226</v>
      </c>
    </row>
    <row r="35" spans="1:25">
      <c r="A35" s="234"/>
      <c r="B35" s="234"/>
      <c r="C35" s="255"/>
      <c r="D35" s="249"/>
      <c r="E35" s="249"/>
      <c r="F35" s="241"/>
      <c r="G35" s="240"/>
      <c r="H35" s="240"/>
      <c r="I35" s="240"/>
      <c r="J35" s="232"/>
      <c r="K35" s="232"/>
      <c r="L35" s="238"/>
      <c r="M35" s="238"/>
      <c r="N35" s="238"/>
      <c r="O35" s="239"/>
      <c r="P35" s="96" t="s">
        <v>368</v>
      </c>
      <c r="Q35" s="141" t="s">
        <v>464</v>
      </c>
      <c r="R35" s="122">
        <v>1</v>
      </c>
      <c r="S35" s="97">
        <v>7.0000000000000007E-2</v>
      </c>
      <c r="T35" s="122">
        <v>1</v>
      </c>
      <c r="U35" s="97">
        <f t="shared" si="0"/>
        <v>7.0000000000000007E-2</v>
      </c>
      <c r="V35" s="234"/>
      <c r="W35" s="230"/>
      <c r="X35" s="234"/>
      <c r="Y35" s="215"/>
    </row>
    <row r="36" spans="1:25">
      <c r="A36" s="234"/>
      <c r="B36" s="234"/>
      <c r="C36" s="255"/>
      <c r="D36" s="249"/>
      <c r="E36" s="249"/>
      <c r="F36" s="241"/>
      <c r="G36" s="240"/>
      <c r="H36" s="240"/>
      <c r="I36" s="240"/>
      <c r="J36" s="232"/>
      <c r="K36" s="232"/>
      <c r="L36" s="238"/>
      <c r="M36" s="238"/>
      <c r="N36" s="238"/>
      <c r="O36" s="239"/>
      <c r="P36" s="96" t="s">
        <v>366</v>
      </c>
      <c r="Q36" s="141" t="s">
        <v>464</v>
      </c>
      <c r="R36" s="122">
        <v>1</v>
      </c>
      <c r="S36" s="97">
        <v>7.0000000000000007E-2</v>
      </c>
      <c r="T36" s="122">
        <v>1</v>
      </c>
      <c r="U36" s="97">
        <f t="shared" si="0"/>
        <v>7.0000000000000007E-2</v>
      </c>
      <c r="V36" s="234"/>
      <c r="W36" s="230"/>
      <c r="X36" s="234"/>
      <c r="Y36" s="215"/>
    </row>
    <row r="37" spans="1:25">
      <c r="A37" s="234"/>
      <c r="B37" s="234"/>
      <c r="C37" s="255"/>
      <c r="D37" s="249"/>
      <c r="E37" s="249"/>
      <c r="F37" s="241"/>
      <c r="G37" s="240"/>
      <c r="H37" s="240"/>
      <c r="I37" s="240"/>
      <c r="J37" s="232"/>
      <c r="K37" s="232"/>
      <c r="L37" s="238"/>
      <c r="M37" s="238"/>
      <c r="N37" s="238"/>
      <c r="O37" s="239"/>
      <c r="P37" s="96" t="s">
        <v>477</v>
      </c>
      <c r="Q37" s="141" t="s">
        <v>383</v>
      </c>
      <c r="R37" s="122">
        <v>1</v>
      </c>
      <c r="S37" s="97">
        <v>0.05</v>
      </c>
      <c r="T37" s="122">
        <v>1</v>
      </c>
      <c r="U37" s="97">
        <f t="shared" si="0"/>
        <v>0.05</v>
      </c>
      <c r="V37" s="234"/>
      <c r="W37" s="230"/>
      <c r="X37" s="234"/>
      <c r="Y37" s="215"/>
    </row>
    <row r="38" spans="1:25">
      <c r="A38" s="234"/>
      <c r="B38" s="234"/>
      <c r="C38" s="255"/>
      <c r="D38" s="319" t="s">
        <v>474</v>
      </c>
      <c r="E38" s="319">
        <v>2</v>
      </c>
      <c r="F38" s="249" t="s">
        <v>445</v>
      </c>
      <c r="G38" s="280">
        <f>20+4</f>
        <v>24</v>
      </c>
      <c r="H38" s="280">
        <f>45+4</f>
        <v>49</v>
      </c>
      <c r="I38" s="280">
        <v>2</v>
      </c>
      <c r="J38" s="236">
        <v>4.5999999999999996</v>
      </c>
      <c r="K38" s="236">
        <v>2.5</v>
      </c>
      <c r="L38" s="318">
        <f>G38*H38*I38*0.00000785</f>
        <v>1.8463199999999999E-2</v>
      </c>
      <c r="M38" s="318">
        <v>1.2E-2</v>
      </c>
      <c r="N38" s="318">
        <f t="shared" ref="N38" si="1">L38-M38</f>
        <v>6.4631999999999988E-3</v>
      </c>
      <c r="O38" s="239">
        <f>(J38*L38-K38*N38)*E38</f>
        <v>0.13754543999999996</v>
      </c>
      <c r="P38" s="96" t="s">
        <v>364</v>
      </c>
      <c r="Q38" s="141" t="s">
        <v>365</v>
      </c>
      <c r="R38" s="122">
        <v>1</v>
      </c>
      <c r="S38" s="97">
        <v>0.03</v>
      </c>
      <c r="T38" s="122">
        <v>1</v>
      </c>
      <c r="U38" s="97">
        <f t="shared" si="0"/>
        <v>0.03</v>
      </c>
      <c r="V38" s="234"/>
      <c r="W38" s="230"/>
      <c r="X38" s="234"/>
      <c r="Y38" s="215"/>
    </row>
    <row r="39" spans="1:25">
      <c r="A39" s="234"/>
      <c r="B39" s="234"/>
      <c r="C39" s="255"/>
      <c r="D39" s="319"/>
      <c r="E39" s="319"/>
      <c r="F39" s="249"/>
      <c r="G39" s="280"/>
      <c r="H39" s="280"/>
      <c r="I39" s="280"/>
      <c r="J39" s="236"/>
      <c r="K39" s="236"/>
      <c r="L39" s="318"/>
      <c r="M39" s="318"/>
      <c r="N39" s="318"/>
      <c r="O39" s="239"/>
      <c r="P39" s="96" t="s">
        <v>368</v>
      </c>
      <c r="Q39" s="141" t="s">
        <v>367</v>
      </c>
      <c r="R39" s="122">
        <v>1</v>
      </c>
      <c r="S39" s="97">
        <v>0.03</v>
      </c>
      <c r="T39" s="122">
        <v>1</v>
      </c>
      <c r="U39" s="97">
        <f t="shared" si="0"/>
        <v>0.03</v>
      </c>
      <c r="V39" s="234"/>
      <c r="W39" s="230"/>
      <c r="X39" s="234"/>
      <c r="Y39" s="215"/>
    </row>
    <row r="40" spans="1:25">
      <c r="A40" s="234"/>
      <c r="B40" s="234"/>
      <c r="C40" s="255"/>
      <c r="D40" s="249" t="s">
        <v>475</v>
      </c>
      <c r="E40" s="249">
        <v>2</v>
      </c>
      <c r="F40" s="241" t="s">
        <v>476</v>
      </c>
      <c r="G40" s="240">
        <v>65</v>
      </c>
      <c r="H40" s="240">
        <f>20+30+20+4</f>
        <v>74</v>
      </c>
      <c r="I40" s="240">
        <v>2</v>
      </c>
      <c r="J40" s="232">
        <v>5.15</v>
      </c>
      <c r="K40" s="232">
        <v>2.5</v>
      </c>
      <c r="L40" s="238">
        <f>G40*H40*I40*0.00000785</f>
        <v>7.5517000000000001E-2</v>
      </c>
      <c r="M40" s="238">
        <v>2.9000000000000001E-2</v>
      </c>
      <c r="N40" s="238">
        <f t="shared" ref="N40" si="2">L40-M40</f>
        <v>4.6517000000000003E-2</v>
      </c>
      <c r="O40" s="239">
        <f>(J40*L40-K40*N40)*E40</f>
        <v>0.54524010000000001</v>
      </c>
      <c r="P40" s="96" t="s">
        <v>364</v>
      </c>
      <c r="Q40" s="141" t="s">
        <v>383</v>
      </c>
      <c r="R40" s="122">
        <v>1</v>
      </c>
      <c r="S40" s="97">
        <v>0.05</v>
      </c>
      <c r="T40" s="122">
        <v>1</v>
      </c>
      <c r="U40" s="97">
        <f t="shared" si="0"/>
        <v>0.05</v>
      </c>
      <c r="V40" s="234"/>
      <c r="W40" s="230"/>
      <c r="X40" s="234"/>
      <c r="Y40" s="215"/>
    </row>
    <row r="41" spans="1:25">
      <c r="A41" s="234"/>
      <c r="B41" s="234"/>
      <c r="C41" s="255"/>
      <c r="D41" s="249"/>
      <c r="E41" s="249"/>
      <c r="F41" s="241"/>
      <c r="G41" s="240"/>
      <c r="H41" s="240"/>
      <c r="I41" s="240"/>
      <c r="J41" s="232"/>
      <c r="K41" s="232"/>
      <c r="L41" s="238"/>
      <c r="M41" s="238"/>
      <c r="N41" s="238"/>
      <c r="O41" s="239"/>
      <c r="P41" s="96" t="s">
        <v>478</v>
      </c>
      <c r="Q41" s="141" t="s">
        <v>365</v>
      </c>
      <c r="R41" s="122">
        <v>1</v>
      </c>
      <c r="S41" s="97">
        <v>0.03</v>
      </c>
      <c r="T41" s="122">
        <v>1</v>
      </c>
      <c r="U41" s="97">
        <f t="shared" si="0"/>
        <v>0.03</v>
      </c>
      <c r="V41" s="234"/>
      <c r="W41" s="230"/>
      <c r="X41" s="234"/>
      <c r="Y41" s="215"/>
    </row>
    <row r="42" spans="1:25">
      <c r="A42" s="234"/>
      <c r="B42" s="234"/>
      <c r="C42" s="255"/>
      <c r="D42" s="249"/>
      <c r="E42" s="249"/>
      <c r="F42" s="241"/>
      <c r="G42" s="240"/>
      <c r="H42" s="240"/>
      <c r="I42" s="240"/>
      <c r="J42" s="232"/>
      <c r="K42" s="232"/>
      <c r="L42" s="238"/>
      <c r="M42" s="238"/>
      <c r="N42" s="238"/>
      <c r="O42" s="239"/>
      <c r="P42" s="96" t="s">
        <v>479</v>
      </c>
      <c r="Q42" s="141" t="s">
        <v>367</v>
      </c>
      <c r="R42" s="122">
        <v>1</v>
      </c>
      <c r="S42" s="97">
        <v>0.03</v>
      </c>
      <c r="T42" s="122">
        <v>1</v>
      </c>
      <c r="U42" s="97">
        <f t="shared" si="0"/>
        <v>0.03</v>
      </c>
      <c r="V42" s="234"/>
      <c r="W42" s="230"/>
      <c r="X42" s="234"/>
      <c r="Y42" s="215"/>
    </row>
    <row r="43" spans="1:25">
      <c r="A43" s="235"/>
      <c r="B43" s="235"/>
      <c r="C43" s="243"/>
      <c r="D43" s="249"/>
      <c r="E43" s="249"/>
      <c r="F43" s="241"/>
      <c r="G43" s="240"/>
      <c r="H43" s="240"/>
      <c r="I43" s="240"/>
      <c r="J43" s="232"/>
      <c r="K43" s="232"/>
      <c r="L43" s="238"/>
      <c r="M43" s="238"/>
      <c r="N43" s="238"/>
      <c r="O43" s="239"/>
      <c r="P43" s="96" t="s">
        <v>462</v>
      </c>
      <c r="Q43" s="141"/>
      <c r="R43" s="122">
        <f>4*2+4*1.5</f>
        <v>14</v>
      </c>
      <c r="S43" s="97">
        <v>0.05</v>
      </c>
      <c r="T43" s="122">
        <v>1</v>
      </c>
      <c r="U43" s="97">
        <v>0.82</v>
      </c>
      <c r="V43" s="235"/>
      <c r="W43" s="231"/>
      <c r="X43" s="235"/>
      <c r="Y43" s="216"/>
    </row>
    <row r="44" spans="1:25" ht="14.25" customHeight="1">
      <c r="A44" s="233">
        <v>12</v>
      </c>
      <c r="B44" s="233" t="s">
        <v>480</v>
      </c>
      <c r="C44" s="242" t="s">
        <v>473</v>
      </c>
      <c r="D44" s="242"/>
      <c r="E44" s="242"/>
      <c r="F44" s="242" t="s">
        <v>476</v>
      </c>
      <c r="G44" s="233">
        <v>370</v>
      </c>
      <c r="H44" s="233">
        <v>92</v>
      </c>
      <c r="I44" s="233">
        <v>1.6</v>
      </c>
      <c r="J44" s="229">
        <v>5.15</v>
      </c>
      <c r="K44" s="229">
        <v>2.5</v>
      </c>
      <c r="L44" s="245">
        <f>G44*H44*I44*0.00000785</f>
        <v>0.42754239999999999</v>
      </c>
      <c r="M44" s="245">
        <v>0.307</v>
      </c>
      <c r="N44" s="245">
        <f>L44-M44</f>
        <v>0.12054239999999999</v>
      </c>
      <c r="O44" s="247">
        <f>J44*L44-K44*N44</f>
        <v>1.9004873600000003</v>
      </c>
      <c r="P44" s="96" t="s">
        <v>364</v>
      </c>
      <c r="Q44" s="122" t="s">
        <v>382</v>
      </c>
      <c r="R44" s="122">
        <v>1</v>
      </c>
      <c r="S44" s="97">
        <v>0.08</v>
      </c>
      <c r="T44" s="122">
        <v>1</v>
      </c>
      <c r="U44" s="97">
        <f t="shared" ref="U44:U56" si="3">R44*S44/T44</f>
        <v>0.08</v>
      </c>
      <c r="V44" s="229">
        <v>1.1200000000000001</v>
      </c>
      <c r="W44" s="232">
        <f>(O44+SUM(U44:U47))*V44</f>
        <v>2.4309458432000004</v>
      </c>
      <c r="X44" s="222">
        <v>2.9605000000000001</v>
      </c>
      <c r="Y44" s="217">
        <f>1-W44/X44</f>
        <v>0.17887321628103348</v>
      </c>
    </row>
    <row r="45" spans="1:25">
      <c r="A45" s="234"/>
      <c r="B45" s="234"/>
      <c r="C45" s="255"/>
      <c r="D45" s="255"/>
      <c r="E45" s="255"/>
      <c r="F45" s="255"/>
      <c r="G45" s="234"/>
      <c r="H45" s="234"/>
      <c r="I45" s="234"/>
      <c r="J45" s="230"/>
      <c r="K45" s="230"/>
      <c r="L45" s="253"/>
      <c r="M45" s="253"/>
      <c r="N45" s="253"/>
      <c r="O45" s="254"/>
      <c r="P45" s="96" t="s">
        <v>368</v>
      </c>
      <c r="Q45" s="122" t="s">
        <v>464</v>
      </c>
      <c r="R45" s="122">
        <v>1</v>
      </c>
      <c r="S45" s="97">
        <v>7.0000000000000007E-2</v>
      </c>
      <c r="T45" s="122">
        <v>1</v>
      </c>
      <c r="U45" s="97">
        <f t="shared" si="3"/>
        <v>7.0000000000000007E-2</v>
      </c>
      <c r="V45" s="230"/>
      <c r="W45" s="232"/>
      <c r="X45" s="222"/>
      <c r="Y45" s="217"/>
    </row>
    <row r="46" spans="1:25">
      <c r="A46" s="234"/>
      <c r="B46" s="234"/>
      <c r="C46" s="255"/>
      <c r="D46" s="255"/>
      <c r="E46" s="255"/>
      <c r="F46" s="255"/>
      <c r="G46" s="234"/>
      <c r="H46" s="234"/>
      <c r="I46" s="234"/>
      <c r="J46" s="230"/>
      <c r="K46" s="230"/>
      <c r="L46" s="253"/>
      <c r="M46" s="253"/>
      <c r="N46" s="253"/>
      <c r="O46" s="254"/>
      <c r="P46" s="96" t="s">
        <v>366</v>
      </c>
      <c r="Q46" s="122" t="s">
        <v>464</v>
      </c>
      <c r="R46" s="122">
        <v>1</v>
      </c>
      <c r="S46" s="97">
        <v>7.0000000000000007E-2</v>
      </c>
      <c r="T46" s="122">
        <v>1</v>
      </c>
      <c r="U46" s="97">
        <f t="shared" si="3"/>
        <v>7.0000000000000007E-2</v>
      </c>
      <c r="V46" s="230"/>
      <c r="W46" s="232"/>
      <c r="X46" s="222"/>
      <c r="Y46" s="217"/>
    </row>
    <row r="47" spans="1:25">
      <c r="A47" s="235"/>
      <c r="B47" s="235"/>
      <c r="C47" s="243"/>
      <c r="D47" s="243"/>
      <c r="E47" s="243"/>
      <c r="F47" s="243"/>
      <c r="G47" s="235"/>
      <c r="H47" s="235"/>
      <c r="I47" s="235"/>
      <c r="J47" s="231"/>
      <c r="K47" s="231"/>
      <c r="L47" s="246"/>
      <c r="M47" s="246"/>
      <c r="N47" s="246"/>
      <c r="O47" s="248"/>
      <c r="P47" s="96" t="s">
        <v>477</v>
      </c>
      <c r="Q47" s="122" t="s">
        <v>383</v>
      </c>
      <c r="R47" s="122">
        <v>1</v>
      </c>
      <c r="S47" s="97">
        <v>0.05</v>
      </c>
      <c r="T47" s="122">
        <v>1</v>
      </c>
      <c r="U47" s="97">
        <f t="shared" si="3"/>
        <v>0.05</v>
      </c>
      <c r="V47" s="231"/>
      <c r="W47" s="232"/>
      <c r="X47" s="222"/>
      <c r="Y47" s="217"/>
    </row>
    <row r="48" spans="1:25">
      <c r="A48" s="304">
        <v>13</v>
      </c>
      <c r="B48" s="304" t="s">
        <v>64</v>
      </c>
      <c r="C48" s="304" t="s">
        <v>65</v>
      </c>
      <c r="D48" s="304"/>
      <c r="E48" s="304"/>
      <c r="F48" s="244" t="s">
        <v>476</v>
      </c>
      <c r="G48" s="279">
        <v>38</v>
      </c>
      <c r="H48" s="279">
        <v>33</v>
      </c>
      <c r="I48" s="279">
        <v>2.5</v>
      </c>
      <c r="J48" s="299">
        <v>5.15</v>
      </c>
      <c r="K48" s="299">
        <v>2.5</v>
      </c>
      <c r="L48" s="301">
        <f>G48*H48*I48*0.00000785</f>
        <v>2.460975E-2</v>
      </c>
      <c r="M48" s="301">
        <v>1.0999999999999999E-2</v>
      </c>
      <c r="N48" s="301">
        <f>L48-M48</f>
        <v>1.360975E-2</v>
      </c>
      <c r="O48" s="247">
        <f>J48*L48-K48*N48</f>
        <v>9.2715837500000009E-2</v>
      </c>
      <c r="P48" s="131" t="s">
        <v>364</v>
      </c>
      <c r="Q48" s="141" t="s">
        <v>365</v>
      </c>
      <c r="R48" s="141">
        <v>1</v>
      </c>
      <c r="S48" s="137">
        <v>0.03</v>
      </c>
      <c r="T48" s="141">
        <v>1</v>
      </c>
      <c r="U48" s="137">
        <f t="shared" si="3"/>
        <v>0.03</v>
      </c>
      <c r="V48" s="299">
        <v>1.1200000000000001</v>
      </c>
      <c r="W48" s="236">
        <f>(O48+SUM(U48:U49))*V48</f>
        <v>0.17104173800000003</v>
      </c>
      <c r="X48" s="280">
        <v>0.18310000000000001</v>
      </c>
      <c r="Y48" s="218">
        <f>1-W48/X48</f>
        <v>6.5856155106499115E-2</v>
      </c>
    </row>
    <row r="49" spans="1:29">
      <c r="A49" s="305"/>
      <c r="B49" s="305"/>
      <c r="C49" s="305"/>
      <c r="D49" s="305"/>
      <c r="E49" s="305"/>
      <c r="F49" s="303"/>
      <c r="G49" s="306"/>
      <c r="H49" s="306"/>
      <c r="I49" s="306"/>
      <c r="J49" s="300"/>
      <c r="K49" s="300"/>
      <c r="L49" s="302"/>
      <c r="M49" s="302"/>
      <c r="N49" s="302"/>
      <c r="O49" s="248"/>
      <c r="P49" s="131" t="s">
        <v>368</v>
      </c>
      <c r="Q49" s="141" t="s">
        <v>367</v>
      </c>
      <c r="R49" s="141">
        <v>1</v>
      </c>
      <c r="S49" s="137">
        <v>0.03</v>
      </c>
      <c r="T49" s="141">
        <v>1</v>
      </c>
      <c r="U49" s="137">
        <f t="shared" si="3"/>
        <v>0.03</v>
      </c>
      <c r="V49" s="300"/>
      <c r="W49" s="236"/>
      <c r="X49" s="280"/>
      <c r="Y49" s="218"/>
    </row>
    <row r="50" spans="1:29">
      <c r="A50" s="304">
        <v>14</v>
      </c>
      <c r="B50" s="304" t="s">
        <v>67</v>
      </c>
      <c r="C50" s="304" t="s">
        <v>68</v>
      </c>
      <c r="D50" s="304"/>
      <c r="E50" s="304"/>
      <c r="F50" s="244" t="s">
        <v>445</v>
      </c>
      <c r="G50" s="279">
        <v>55</v>
      </c>
      <c r="H50" s="279">
        <v>24</v>
      </c>
      <c r="I50" s="279">
        <v>2</v>
      </c>
      <c r="J50" s="299">
        <v>4.5999999999999996</v>
      </c>
      <c r="K50" s="299">
        <v>2.5</v>
      </c>
      <c r="L50" s="301">
        <f>G50*H50*I50*0.00000785</f>
        <v>2.0723999999999999E-2</v>
      </c>
      <c r="M50" s="301">
        <v>1.2E-2</v>
      </c>
      <c r="N50" s="301">
        <f>L50-M50</f>
        <v>8.7239999999999991E-3</v>
      </c>
      <c r="O50" s="247">
        <f>J50*L50-K50*N50</f>
        <v>7.35204E-2</v>
      </c>
      <c r="P50" s="131" t="s">
        <v>364</v>
      </c>
      <c r="Q50" s="141" t="s">
        <v>365</v>
      </c>
      <c r="R50" s="141">
        <v>1</v>
      </c>
      <c r="S50" s="137">
        <v>0.03</v>
      </c>
      <c r="T50" s="141">
        <v>1</v>
      </c>
      <c r="U50" s="137">
        <f t="shared" si="3"/>
        <v>0.03</v>
      </c>
      <c r="V50" s="299">
        <v>1.1200000000000001</v>
      </c>
      <c r="W50" s="236">
        <f>(O50+SUM(U50:U51))*V50</f>
        <v>0.14954284800000001</v>
      </c>
      <c r="X50" s="280">
        <v>0.16980000000000001</v>
      </c>
      <c r="Y50" s="218">
        <f>1-W50/X50</f>
        <v>0.11930007067137804</v>
      </c>
    </row>
    <row r="51" spans="1:29">
      <c r="A51" s="305"/>
      <c r="B51" s="305"/>
      <c r="C51" s="305"/>
      <c r="D51" s="305"/>
      <c r="E51" s="305"/>
      <c r="F51" s="303"/>
      <c r="G51" s="306"/>
      <c r="H51" s="306"/>
      <c r="I51" s="306"/>
      <c r="J51" s="300"/>
      <c r="K51" s="300"/>
      <c r="L51" s="302"/>
      <c r="M51" s="302"/>
      <c r="N51" s="302"/>
      <c r="O51" s="248"/>
      <c r="P51" s="131" t="s">
        <v>368</v>
      </c>
      <c r="Q51" s="141" t="s">
        <v>365</v>
      </c>
      <c r="R51" s="141">
        <v>1</v>
      </c>
      <c r="S51" s="137">
        <v>0.03</v>
      </c>
      <c r="T51" s="141">
        <v>1</v>
      </c>
      <c r="U51" s="137">
        <f t="shared" si="3"/>
        <v>0.03</v>
      </c>
      <c r="V51" s="300"/>
      <c r="W51" s="236"/>
      <c r="X51" s="280"/>
      <c r="Y51" s="218"/>
    </row>
    <row r="52" spans="1:29">
      <c r="A52" s="304">
        <v>15</v>
      </c>
      <c r="B52" s="304" t="s">
        <v>70</v>
      </c>
      <c r="C52" s="304" t="s">
        <v>71</v>
      </c>
      <c r="D52" s="304"/>
      <c r="E52" s="304"/>
      <c r="F52" s="244" t="s">
        <v>445</v>
      </c>
      <c r="G52" s="279">
        <v>71</v>
      </c>
      <c r="H52" s="279">
        <v>23</v>
      </c>
      <c r="I52" s="279">
        <v>2</v>
      </c>
      <c r="J52" s="299">
        <v>4.5999999999999996</v>
      </c>
      <c r="K52" s="299">
        <v>2.5</v>
      </c>
      <c r="L52" s="301">
        <f>G52*H52*I52*0.00000785</f>
        <v>2.5638099999999997E-2</v>
      </c>
      <c r="M52" s="301">
        <v>1.4E-2</v>
      </c>
      <c r="N52" s="301">
        <f>L52-M52</f>
        <v>1.1638099999999997E-2</v>
      </c>
      <c r="O52" s="247">
        <f>J52*L52-K52*N52</f>
        <v>8.8840009999999983E-2</v>
      </c>
      <c r="P52" s="131" t="s">
        <v>364</v>
      </c>
      <c r="Q52" s="141" t="s">
        <v>365</v>
      </c>
      <c r="R52" s="141">
        <v>1</v>
      </c>
      <c r="S52" s="137">
        <v>0.03</v>
      </c>
      <c r="T52" s="141">
        <v>1</v>
      </c>
      <c r="U52" s="137">
        <f t="shared" si="3"/>
        <v>0.03</v>
      </c>
      <c r="V52" s="299">
        <v>1.1200000000000001</v>
      </c>
      <c r="W52" s="236">
        <f>(O52+SUM(U52:U53))*V52</f>
        <v>0.16670081119999997</v>
      </c>
      <c r="X52" s="280">
        <v>0.19189999999999999</v>
      </c>
      <c r="Y52" s="218">
        <f>1-W52/X52</f>
        <v>0.13131416779572702</v>
      </c>
    </row>
    <row r="53" spans="1:29">
      <c r="A53" s="305"/>
      <c r="B53" s="305"/>
      <c r="C53" s="305"/>
      <c r="D53" s="305"/>
      <c r="E53" s="305"/>
      <c r="F53" s="303"/>
      <c r="G53" s="306"/>
      <c r="H53" s="306"/>
      <c r="I53" s="306"/>
      <c r="J53" s="300"/>
      <c r="K53" s="300"/>
      <c r="L53" s="302"/>
      <c r="M53" s="302"/>
      <c r="N53" s="302"/>
      <c r="O53" s="248"/>
      <c r="P53" s="131" t="s">
        <v>368</v>
      </c>
      <c r="Q53" s="141" t="s">
        <v>365</v>
      </c>
      <c r="R53" s="141">
        <v>1</v>
      </c>
      <c r="S53" s="137">
        <v>0.03</v>
      </c>
      <c r="T53" s="141">
        <v>1</v>
      </c>
      <c r="U53" s="137">
        <f t="shared" si="3"/>
        <v>0.03</v>
      </c>
      <c r="V53" s="300"/>
      <c r="W53" s="236"/>
      <c r="X53" s="280"/>
      <c r="Y53" s="218"/>
    </row>
    <row r="54" spans="1:29">
      <c r="A54" s="304">
        <v>16</v>
      </c>
      <c r="B54" s="304" t="s">
        <v>73</v>
      </c>
      <c r="C54" s="304" t="s">
        <v>74</v>
      </c>
      <c r="D54" s="304"/>
      <c r="E54" s="304"/>
      <c r="F54" s="244" t="s">
        <v>445</v>
      </c>
      <c r="G54" s="279">
        <v>66</v>
      </c>
      <c r="H54" s="279">
        <v>31</v>
      </c>
      <c r="I54" s="279">
        <v>2</v>
      </c>
      <c r="J54" s="299">
        <v>4.5999999999999996</v>
      </c>
      <c r="K54" s="299">
        <v>2.5</v>
      </c>
      <c r="L54" s="301">
        <f>G54*H54*I54*0.00000785</f>
        <v>3.2122199999999997E-2</v>
      </c>
      <c r="M54" s="301">
        <v>1.9E-2</v>
      </c>
      <c r="N54" s="301">
        <f>L54-M54</f>
        <v>1.3122199999999997E-2</v>
      </c>
      <c r="O54" s="247">
        <f>J54*L54-K54*N54</f>
        <v>0.11495661999999998</v>
      </c>
      <c r="P54" s="131" t="s">
        <v>364</v>
      </c>
      <c r="Q54" s="141" t="s">
        <v>400</v>
      </c>
      <c r="R54" s="141">
        <v>1</v>
      </c>
      <c r="S54" s="137">
        <v>0.03</v>
      </c>
      <c r="T54" s="141">
        <v>1</v>
      </c>
      <c r="U54" s="137">
        <f t="shared" si="3"/>
        <v>0.03</v>
      </c>
      <c r="V54" s="299">
        <v>1.1200000000000001</v>
      </c>
      <c r="W54" s="236">
        <f>(O54+SUM(U54:U55))*V54</f>
        <v>0.1959514144</v>
      </c>
      <c r="X54" s="280">
        <v>0.22950000000000001</v>
      </c>
      <c r="Y54" s="218">
        <f>1-W54/X54</f>
        <v>0.1461812008714598</v>
      </c>
    </row>
    <row r="55" spans="1:29">
      <c r="A55" s="305"/>
      <c r="B55" s="305"/>
      <c r="C55" s="305"/>
      <c r="D55" s="305"/>
      <c r="E55" s="305"/>
      <c r="F55" s="303"/>
      <c r="G55" s="306"/>
      <c r="H55" s="306"/>
      <c r="I55" s="306"/>
      <c r="J55" s="300"/>
      <c r="K55" s="300"/>
      <c r="L55" s="302"/>
      <c r="M55" s="302"/>
      <c r="N55" s="302"/>
      <c r="O55" s="248"/>
      <c r="P55" s="131" t="s">
        <v>368</v>
      </c>
      <c r="Q55" s="141" t="s">
        <v>400</v>
      </c>
      <c r="R55" s="141">
        <v>1</v>
      </c>
      <c r="S55" s="137">
        <v>0.03</v>
      </c>
      <c r="T55" s="141">
        <v>1</v>
      </c>
      <c r="U55" s="137">
        <f t="shared" si="3"/>
        <v>0.03</v>
      </c>
      <c r="V55" s="300"/>
      <c r="W55" s="236"/>
      <c r="X55" s="280"/>
      <c r="Y55" s="218"/>
    </row>
    <row r="56" spans="1:29" ht="14.25" customHeight="1">
      <c r="A56" s="242">
        <v>18</v>
      </c>
      <c r="B56" s="242" t="s">
        <v>79</v>
      </c>
      <c r="C56" s="242" t="s">
        <v>80</v>
      </c>
      <c r="D56" s="242"/>
      <c r="E56" s="242"/>
      <c r="F56" s="242">
        <v>440</v>
      </c>
      <c r="G56" s="242">
        <v>247</v>
      </c>
      <c r="H56" s="242">
        <v>70</v>
      </c>
      <c r="I56" s="242">
        <v>3</v>
      </c>
      <c r="J56" s="296">
        <v>4.5999999999999996</v>
      </c>
      <c r="K56" s="296">
        <v>2.5</v>
      </c>
      <c r="L56" s="242">
        <v>0.40699999999999997</v>
      </c>
      <c r="M56" s="242">
        <v>0.311</v>
      </c>
      <c r="N56" s="242">
        <f>L56-M56</f>
        <v>9.5999999999999974E-2</v>
      </c>
      <c r="O56" s="247">
        <f>J56*L56-K56*N56</f>
        <v>1.6321999999999997</v>
      </c>
      <c r="P56" s="98" t="s">
        <v>395</v>
      </c>
      <c r="Q56" s="121" t="s">
        <v>396</v>
      </c>
      <c r="R56" s="122">
        <v>1</v>
      </c>
      <c r="S56" s="97">
        <v>0.08</v>
      </c>
      <c r="T56" s="122">
        <v>1</v>
      </c>
      <c r="U56" s="97">
        <f t="shared" si="3"/>
        <v>0.08</v>
      </c>
      <c r="V56" s="293">
        <v>1.1200000000000001</v>
      </c>
      <c r="W56" s="232">
        <f>(O56+SUM(U56:U59))*V56</f>
        <v>2.0632639999999998</v>
      </c>
      <c r="X56" s="222">
        <v>2.5644999999999998</v>
      </c>
      <c r="Y56" s="217">
        <f>1-W56/X56</f>
        <v>0.19545174497952822</v>
      </c>
      <c r="AC56" s="106"/>
    </row>
    <row r="57" spans="1:29">
      <c r="A57" s="255"/>
      <c r="B57" s="255"/>
      <c r="C57" s="255"/>
      <c r="D57" s="255"/>
      <c r="E57" s="255"/>
      <c r="F57" s="255"/>
      <c r="G57" s="255"/>
      <c r="H57" s="255"/>
      <c r="I57" s="255"/>
      <c r="J57" s="297"/>
      <c r="K57" s="297"/>
      <c r="L57" s="255"/>
      <c r="M57" s="255"/>
      <c r="N57" s="255"/>
      <c r="O57" s="254"/>
      <c r="P57" s="98" t="s">
        <v>397</v>
      </c>
      <c r="Q57" s="121" t="s">
        <v>398</v>
      </c>
      <c r="R57" s="122">
        <v>1</v>
      </c>
      <c r="S57" s="97">
        <v>0.05</v>
      </c>
      <c r="T57" s="122">
        <v>1</v>
      </c>
      <c r="U57" s="97">
        <f t="shared" ref="U57:U59" si="4">R57*S57/T57</f>
        <v>0.05</v>
      </c>
      <c r="V57" s="294"/>
      <c r="W57" s="232"/>
      <c r="X57" s="222"/>
      <c r="Y57" s="217"/>
      <c r="AC57" s="106"/>
    </row>
    <row r="58" spans="1:29">
      <c r="A58" s="255"/>
      <c r="B58" s="255"/>
      <c r="C58" s="255"/>
      <c r="D58" s="255"/>
      <c r="E58" s="255"/>
      <c r="F58" s="255"/>
      <c r="G58" s="255"/>
      <c r="H58" s="255"/>
      <c r="I58" s="255"/>
      <c r="J58" s="297"/>
      <c r="K58" s="297"/>
      <c r="L58" s="255"/>
      <c r="M58" s="255"/>
      <c r="N58" s="255"/>
      <c r="O58" s="254"/>
      <c r="P58" s="98" t="s">
        <v>399</v>
      </c>
      <c r="Q58" s="121" t="s">
        <v>398</v>
      </c>
      <c r="R58" s="122">
        <v>1</v>
      </c>
      <c r="S58" s="97">
        <v>0.05</v>
      </c>
      <c r="T58" s="122">
        <v>1</v>
      </c>
      <c r="U58" s="97">
        <f t="shared" si="4"/>
        <v>0.05</v>
      </c>
      <c r="V58" s="294"/>
      <c r="W58" s="232"/>
      <c r="X58" s="222"/>
      <c r="Y58" s="217"/>
      <c r="AC58" s="106"/>
    </row>
    <row r="59" spans="1:29">
      <c r="A59" s="243"/>
      <c r="B59" s="243"/>
      <c r="C59" s="243"/>
      <c r="D59" s="243"/>
      <c r="E59" s="243"/>
      <c r="F59" s="243"/>
      <c r="G59" s="243"/>
      <c r="H59" s="243"/>
      <c r="I59" s="243"/>
      <c r="J59" s="298"/>
      <c r="K59" s="298"/>
      <c r="L59" s="243"/>
      <c r="M59" s="243"/>
      <c r="N59" s="243"/>
      <c r="O59" s="248"/>
      <c r="P59" s="98" t="s">
        <v>397</v>
      </c>
      <c r="Q59" s="121" t="s">
        <v>402</v>
      </c>
      <c r="R59" s="122">
        <v>1</v>
      </c>
      <c r="S59" s="97">
        <v>0.03</v>
      </c>
      <c r="T59" s="122">
        <v>1</v>
      </c>
      <c r="U59" s="97">
        <f t="shared" si="4"/>
        <v>0.03</v>
      </c>
      <c r="V59" s="295"/>
      <c r="W59" s="232"/>
      <c r="X59" s="222"/>
      <c r="Y59" s="217"/>
      <c r="AC59" s="106"/>
    </row>
    <row r="60" spans="1:29">
      <c r="A60" s="233">
        <v>19</v>
      </c>
      <c r="B60" s="279" t="s">
        <v>481</v>
      </c>
      <c r="C60" s="244" t="s">
        <v>482</v>
      </c>
      <c r="D60" s="242"/>
      <c r="E60" s="242"/>
      <c r="F60" s="242" t="s">
        <v>458</v>
      </c>
      <c r="G60" s="233">
        <v>60</v>
      </c>
      <c r="H60" s="233">
        <v>262</v>
      </c>
      <c r="I60" s="233">
        <v>3</v>
      </c>
      <c r="J60" s="229">
        <v>4.5999999999999996</v>
      </c>
      <c r="K60" s="229">
        <v>2.5</v>
      </c>
      <c r="L60" s="245">
        <f>G60*H60*I60*0.00000785</f>
        <v>0.37020599999999998</v>
      </c>
      <c r="M60" s="245">
        <v>0.23400000000000001</v>
      </c>
      <c r="N60" s="245">
        <f>L60-M60</f>
        <v>0.13620599999999997</v>
      </c>
      <c r="O60" s="247">
        <f>J60*L60-K60*N60</f>
        <v>1.3624325999999998</v>
      </c>
      <c r="P60" s="96" t="s">
        <v>364</v>
      </c>
      <c r="Q60" s="122" t="s">
        <v>464</v>
      </c>
      <c r="R60" s="122">
        <v>1</v>
      </c>
      <c r="S60" s="97">
        <v>7.0000000000000007E-2</v>
      </c>
      <c r="T60" s="122">
        <v>1</v>
      </c>
      <c r="U60" s="97">
        <f t="shared" ref="U60:U71" si="5">R60*S60/T60</f>
        <v>7.0000000000000007E-2</v>
      </c>
      <c r="V60" s="229">
        <v>1.1200000000000001</v>
      </c>
      <c r="W60" s="232">
        <f>(O60+SUM(U60:U62))*V60</f>
        <v>1.6939245120000002</v>
      </c>
      <c r="X60" s="250">
        <v>2.0657000000000001</v>
      </c>
      <c r="Y60" s="214">
        <f>1-W60/X60</f>
        <v>0.17997554727211107</v>
      </c>
    </row>
    <row r="61" spans="1:29">
      <c r="A61" s="234"/>
      <c r="B61" s="234"/>
      <c r="C61" s="255"/>
      <c r="D61" s="255"/>
      <c r="E61" s="255"/>
      <c r="F61" s="255"/>
      <c r="G61" s="234"/>
      <c r="H61" s="234"/>
      <c r="I61" s="234"/>
      <c r="J61" s="230"/>
      <c r="K61" s="230"/>
      <c r="L61" s="253"/>
      <c r="M61" s="253"/>
      <c r="N61" s="253"/>
      <c r="O61" s="254"/>
      <c r="P61" s="96" t="s">
        <v>368</v>
      </c>
      <c r="Q61" s="122" t="s">
        <v>383</v>
      </c>
      <c r="R61" s="122">
        <v>1</v>
      </c>
      <c r="S61" s="97">
        <v>0.05</v>
      </c>
      <c r="T61" s="122">
        <v>1</v>
      </c>
      <c r="U61" s="97">
        <f t="shared" si="5"/>
        <v>0.05</v>
      </c>
      <c r="V61" s="230"/>
      <c r="W61" s="232"/>
      <c r="X61" s="251"/>
      <c r="Y61" s="215"/>
    </row>
    <row r="62" spans="1:29">
      <c r="A62" s="235"/>
      <c r="B62" s="235"/>
      <c r="C62" s="243"/>
      <c r="D62" s="243"/>
      <c r="E62" s="243"/>
      <c r="F62" s="243"/>
      <c r="G62" s="235"/>
      <c r="H62" s="235"/>
      <c r="I62" s="235"/>
      <c r="J62" s="231"/>
      <c r="K62" s="231"/>
      <c r="L62" s="246"/>
      <c r="M62" s="246"/>
      <c r="N62" s="246"/>
      <c r="O62" s="248"/>
      <c r="P62" s="96" t="s">
        <v>366</v>
      </c>
      <c r="Q62" s="141" t="s">
        <v>365</v>
      </c>
      <c r="R62" s="122">
        <v>1</v>
      </c>
      <c r="S62" s="97">
        <v>0.03</v>
      </c>
      <c r="T62" s="122">
        <v>1</v>
      </c>
      <c r="U62" s="97">
        <f t="shared" si="5"/>
        <v>0.03</v>
      </c>
      <c r="V62" s="231"/>
      <c r="W62" s="232"/>
      <c r="X62" s="252"/>
      <c r="Y62" s="216"/>
    </row>
    <row r="63" spans="1:29">
      <c r="A63" s="233">
        <v>20</v>
      </c>
      <c r="B63" s="279" t="s">
        <v>484</v>
      </c>
      <c r="C63" s="244" t="s">
        <v>485</v>
      </c>
      <c r="D63" s="242"/>
      <c r="E63" s="242"/>
      <c r="F63" s="242" t="s">
        <v>483</v>
      </c>
      <c r="G63" s="233">
        <f>324+4</f>
        <v>328</v>
      </c>
      <c r="H63" s="233">
        <v>47</v>
      </c>
      <c r="I63" s="233">
        <v>2</v>
      </c>
      <c r="J63" s="229">
        <v>4.3</v>
      </c>
      <c r="K63" s="229">
        <v>2.5</v>
      </c>
      <c r="L63" s="245">
        <f>G63*H63*I63*0.00000785</f>
        <v>0.24203119999999997</v>
      </c>
      <c r="M63" s="245">
        <v>0.17399999999999999</v>
      </c>
      <c r="N63" s="245">
        <f>L63-M63</f>
        <v>6.8031199999999986E-2</v>
      </c>
      <c r="O63" s="247">
        <f>J63*L63-K63*N63</f>
        <v>0.87065615999999979</v>
      </c>
      <c r="P63" s="96" t="s">
        <v>364</v>
      </c>
      <c r="Q63" s="122" t="s">
        <v>464</v>
      </c>
      <c r="R63" s="122">
        <v>1</v>
      </c>
      <c r="S63" s="97">
        <v>7.0000000000000007E-2</v>
      </c>
      <c r="T63" s="122">
        <v>1</v>
      </c>
      <c r="U63" s="97">
        <f t="shared" si="5"/>
        <v>7.0000000000000007E-2</v>
      </c>
      <c r="V63" s="229">
        <v>1.1200000000000001</v>
      </c>
      <c r="W63" s="232">
        <f>(O63+SUM(U63:U65))*V63</f>
        <v>1.1431348991999997</v>
      </c>
      <c r="X63" s="250">
        <v>1.3272999999999999</v>
      </c>
      <c r="Y63" s="214">
        <f>1-W63/X63</f>
        <v>0.13875167693814527</v>
      </c>
    </row>
    <row r="64" spans="1:29">
      <c r="A64" s="234"/>
      <c r="B64" s="234"/>
      <c r="C64" s="255"/>
      <c r="D64" s="255"/>
      <c r="E64" s="255"/>
      <c r="F64" s="255"/>
      <c r="G64" s="234"/>
      <c r="H64" s="234"/>
      <c r="I64" s="234"/>
      <c r="J64" s="230"/>
      <c r="K64" s="230"/>
      <c r="L64" s="253"/>
      <c r="M64" s="253"/>
      <c r="N64" s="253"/>
      <c r="O64" s="254"/>
      <c r="P64" s="96" t="s">
        <v>368</v>
      </c>
      <c r="Q64" s="122" t="s">
        <v>383</v>
      </c>
      <c r="R64" s="122">
        <v>1</v>
      </c>
      <c r="S64" s="97">
        <v>0.05</v>
      </c>
      <c r="T64" s="122">
        <v>1</v>
      </c>
      <c r="U64" s="97">
        <f t="shared" si="5"/>
        <v>0.05</v>
      </c>
      <c r="V64" s="230"/>
      <c r="W64" s="232"/>
      <c r="X64" s="251"/>
      <c r="Y64" s="215"/>
    </row>
    <row r="65" spans="1:27">
      <c r="A65" s="235"/>
      <c r="B65" s="235"/>
      <c r="C65" s="243"/>
      <c r="D65" s="243"/>
      <c r="E65" s="243"/>
      <c r="F65" s="243"/>
      <c r="G65" s="235"/>
      <c r="H65" s="235"/>
      <c r="I65" s="235"/>
      <c r="J65" s="231"/>
      <c r="K65" s="231"/>
      <c r="L65" s="246"/>
      <c r="M65" s="246"/>
      <c r="N65" s="246"/>
      <c r="O65" s="248"/>
      <c r="P65" s="96" t="s">
        <v>366</v>
      </c>
      <c r="Q65" s="141" t="s">
        <v>365</v>
      </c>
      <c r="R65" s="122">
        <v>1</v>
      </c>
      <c r="S65" s="97">
        <v>0.03</v>
      </c>
      <c r="T65" s="122">
        <v>1</v>
      </c>
      <c r="U65" s="97">
        <f t="shared" si="5"/>
        <v>0.03</v>
      </c>
      <c r="V65" s="231"/>
      <c r="W65" s="232"/>
      <c r="X65" s="252"/>
      <c r="Y65" s="216"/>
    </row>
    <row r="66" spans="1:27">
      <c r="A66" s="233">
        <v>21</v>
      </c>
      <c r="B66" s="279" t="s">
        <v>486</v>
      </c>
      <c r="C66" s="244" t="s">
        <v>487</v>
      </c>
      <c r="D66" s="242"/>
      <c r="E66" s="242"/>
      <c r="F66" s="242" t="s">
        <v>458</v>
      </c>
      <c r="G66" s="233">
        <f>67+5</f>
        <v>72</v>
      </c>
      <c r="H66" s="233">
        <f>95+5</f>
        <v>100</v>
      </c>
      <c r="I66" s="233">
        <v>2.5</v>
      </c>
      <c r="J66" s="229">
        <v>4.5999999999999996</v>
      </c>
      <c r="K66" s="229">
        <v>2.5</v>
      </c>
      <c r="L66" s="245">
        <f>G66*H66*I66*0.00000785</f>
        <v>0.14129999999999998</v>
      </c>
      <c r="M66" s="245">
        <v>6.7000000000000004E-2</v>
      </c>
      <c r="N66" s="245">
        <f>L66-M66</f>
        <v>7.4299999999999977E-2</v>
      </c>
      <c r="O66" s="247">
        <f>J66*L66-K66*N66</f>
        <v>0.46422999999999992</v>
      </c>
      <c r="P66" s="96" t="s">
        <v>364</v>
      </c>
      <c r="Q66" s="122" t="s">
        <v>464</v>
      </c>
      <c r="R66" s="122">
        <v>1</v>
      </c>
      <c r="S66" s="97">
        <v>7.0000000000000007E-2</v>
      </c>
      <c r="T66" s="122">
        <v>1</v>
      </c>
      <c r="U66" s="97">
        <f t="shared" si="5"/>
        <v>7.0000000000000007E-2</v>
      </c>
      <c r="V66" s="229">
        <v>1.1200000000000001</v>
      </c>
      <c r="W66" s="232">
        <f>(O66+SUM(U66:U68))*V66</f>
        <v>0.66553759999999995</v>
      </c>
      <c r="X66" s="250">
        <v>0.79259999999999997</v>
      </c>
      <c r="Y66" s="214">
        <f>1-W66/X66</f>
        <v>0.16031087559929347</v>
      </c>
    </row>
    <row r="67" spans="1:27">
      <c r="A67" s="234"/>
      <c r="B67" s="234"/>
      <c r="C67" s="255"/>
      <c r="D67" s="255"/>
      <c r="E67" s="255"/>
      <c r="F67" s="255"/>
      <c r="G67" s="234"/>
      <c r="H67" s="234"/>
      <c r="I67" s="234"/>
      <c r="J67" s="230"/>
      <c r="K67" s="230"/>
      <c r="L67" s="253"/>
      <c r="M67" s="253"/>
      <c r="N67" s="253"/>
      <c r="O67" s="254"/>
      <c r="P67" s="96" t="s">
        <v>368</v>
      </c>
      <c r="Q67" s="141" t="s">
        <v>365</v>
      </c>
      <c r="R67" s="122">
        <v>1</v>
      </c>
      <c r="S67" s="97">
        <v>0.03</v>
      </c>
      <c r="T67" s="122">
        <v>1</v>
      </c>
      <c r="U67" s="97">
        <f t="shared" si="5"/>
        <v>0.03</v>
      </c>
      <c r="V67" s="230"/>
      <c r="W67" s="232"/>
      <c r="X67" s="251"/>
      <c r="Y67" s="215"/>
    </row>
    <row r="68" spans="1:27">
      <c r="A68" s="235"/>
      <c r="B68" s="235"/>
      <c r="C68" s="243"/>
      <c r="D68" s="243"/>
      <c r="E68" s="243"/>
      <c r="F68" s="243"/>
      <c r="G68" s="235"/>
      <c r="H68" s="235"/>
      <c r="I68" s="235"/>
      <c r="J68" s="231"/>
      <c r="K68" s="231"/>
      <c r="L68" s="246"/>
      <c r="M68" s="246"/>
      <c r="N68" s="246"/>
      <c r="O68" s="248"/>
      <c r="P68" s="96" t="s">
        <v>366</v>
      </c>
      <c r="Q68" s="141" t="s">
        <v>367</v>
      </c>
      <c r="R68" s="122">
        <v>1</v>
      </c>
      <c r="S68" s="97">
        <v>0.03</v>
      </c>
      <c r="T68" s="122">
        <v>1</v>
      </c>
      <c r="U68" s="97">
        <f t="shared" si="5"/>
        <v>0.03</v>
      </c>
      <c r="V68" s="231"/>
      <c r="W68" s="232"/>
      <c r="X68" s="252"/>
      <c r="Y68" s="216"/>
    </row>
    <row r="69" spans="1:27">
      <c r="A69" s="233">
        <v>22</v>
      </c>
      <c r="B69" s="279" t="s">
        <v>488</v>
      </c>
      <c r="C69" s="244" t="s">
        <v>489</v>
      </c>
      <c r="D69" s="242"/>
      <c r="E69" s="242"/>
      <c r="F69" s="242" t="s">
        <v>458</v>
      </c>
      <c r="G69" s="233">
        <f>67+5</f>
        <v>72</v>
      </c>
      <c r="H69" s="233">
        <f>95+5</f>
        <v>100</v>
      </c>
      <c r="I69" s="233">
        <v>2.5</v>
      </c>
      <c r="J69" s="229">
        <v>4.5999999999999996</v>
      </c>
      <c r="K69" s="229">
        <v>2.5</v>
      </c>
      <c r="L69" s="245">
        <f>G69*H69*I69*0.00000785</f>
        <v>0.14129999999999998</v>
      </c>
      <c r="M69" s="245">
        <v>6.7000000000000004E-2</v>
      </c>
      <c r="N69" s="245">
        <f>L69-M69</f>
        <v>7.4299999999999977E-2</v>
      </c>
      <c r="O69" s="247">
        <f>J69*L69-K69*N69</f>
        <v>0.46422999999999992</v>
      </c>
      <c r="P69" s="96" t="s">
        <v>364</v>
      </c>
      <c r="Q69" s="122" t="s">
        <v>464</v>
      </c>
      <c r="R69" s="122">
        <v>1</v>
      </c>
      <c r="S69" s="97">
        <v>7.0000000000000007E-2</v>
      </c>
      <c r="T69" s="122">
        <v>1</v>
      </c>
      <c r="U69" s="97">
        <f t="shared" si="5"/>
        <v>7.0000000000000007E-2</v>
      </c>
      <c r="V69" s="229">
        <v>1.1200000000000001</v>
      </c>
      <c r="W69" s="232">
        <f>(O69+SUM(U69:U71))*V69</f>
        <v>0.66553759999999995</v>
      </c>
      <c r="X69" s="250">
        <v>0.79259999999999997</v>
      </c>
      <c r="Y69" s="214">
        <f>1-W69/X69</f>
        <v>0.16031087559929347</v>
      </c>
    </row>
    <row r="70" spans="1:27">
      <c r="A70" s="234"/>
      <c r="B70" s="234"/>
      <c r="C70" s="255"/>
      <c r="D70" s="255"/>
      <c r="E70" s="255"/>
      <c r="F70" s="255"/>
      <c r="G70" s="234"/>
      <c r="H70" s="234"/>
      <c r="I70" s="234"/>
      <c r="J70" s="230"/>
      <c r="K70" s="230"/>
      <c r="L70" s="253"/>
      <c r="M70" s="253"/>
      <c r="N70" s="253"/>
      <c r="O70" s="254"/>
      <c r="P70" s="96" t="s">
        <v>368</v>
      </c>
      <c r="Q70" s="141" t="s">
        <v>365</v>
      </c>
      <c r="R70" s="122">
        <v>1</v>
      </c>
      <c r="S70" s="97">
        <v>0.03</v>
      </c>
      <c r="T70" s="122">
        <v>1</v>
      </c>
      <c r="U70" s="97">
        <f t="shared" si="5"/>
        <v>0.03</v>
      </c>
      <c r="V70" s="230"/>
      <c r="W70" s="232"/>
      <c r="X70" s="251"/>
      <c r="Y70" s="215"/>
    </row>
    <row r="71" spans="1:27">
      <c r="A71" s="235"/>
      <c r="B71" s="235"/>
      <c r="C71" s="243"/>
      <c r="D71" s="243"/>
      <c r="E71" s="243"/>
      <c r="F71" s="243"/>
      <c r="G71" s="235"/>
      <c r="H71" s="235"/>
      <c r="I71" s="235"/>
      <c r="J71" s="231"/>
      <c r="K71" s="231"/>
      <c r="L71" s="246"/>
      <c r="M71" s="246"/>
      <c r="N71" s="246"/>
      <c r="O71" s="248"/>
      <c r="P71" s="96" t="s">
        <v>366</v>
      </c>
      <c r="Q71" s="141" t="s">
        <v>367</v>
      </c>
      <c r="R71" s="122">
        <v>1</v>
      </c>
      <c r="S71" s="97">
        <v>0.03</v>
      </c>
      <c r="T71" s="122">
        <v>1</v>
      </c>
      <c r="U71" s="97">
        <f t="shared" si="5"/>
        <v>0.03</v>
      </c>
      <c r="V71" s="231"/>
      <c r="W71" s="232"/>
      <c r="X71" s="252"/>
      <c r="Y71" s="216"/>
    </row>
    <row r="72" spans="1:27" ht="14.25" customHeight="1">
      <c r="A72" s="304">
        <v>23</v>
      </c>
      <c r="B72" s="304" t="s">
        <v>490</v>
      </c>
      <c r="C72" s="304" t="s">
        <v>98</v>
      </c>
      <c r="D72" s="304"/>
      <c r="E72" s="304"/>
      <c r="F72" s="244" t="s">
        <v>445</v>
      </c>
      <c r="G72" s="279">
        <v>62</v>
      </c>
      <c r="H72" s="279">
        <v>16.5</v>
      </c>
      <c r="I72" s="279">
        <v>2</v>
      </c>
      <c r="J72" s="299">
        <v>4.5999999999999996</v>
      </c>
      <c r="K72" s="299">
        <v>2.5</v>
      </c>
      <c r="L72" s="301">
        <f>G72*H72*I72*0.00000785</f>
        <v>1.6061099999999998E-2</v>
      </c>
      <c r="M72" s="301">
        <v>9.7000000000000003E-3</v>
      </c>
      <c r="N72" s="301">
        <f>L72-M72</f>
        <v>6.361099999999998E-3</v>
      </c>
      <c r="O72" s="247">
        <f>J72*L72-K72*N72</f>
        <v>5.7978309999999991E-2</v>
      </c>
      <c r="P72" s="131" t="s">
        <v>364</v>
      </c>
      <c r="Q72" s="141" t="s">
        <v>491</v>
      </c>
      <c r="R72" s="141">
        <v>1</v>
      </c>
      <c r="S72" s="137">
        <v>0.03</v>
      </c>
      <c r="T72" s="141">
        <v>1</v>
      </c>
      <c r="U72" s="137">
        <f t="shared" ref="U72:U73" si="6">S72*T72</f>
        <v>0.03</v>
      </c>
      <c r="V72" s="299">
        <v>1.1200000000000001</v>
      </c>
      <c r="W72" s="236">
        <f>(O72+SUM(U72:U73))*V72</f>
        <v>0.13213570720000001</v>
      </c>
      <c r="X72" s="280">
        <v>0.1293</v>
      </c>
      <c r="Y72" s="218">
        <f>1-W72/X72</f>
        <v>-2.1931223511214348E-2</v>
      </c>
    </row>
    <row r="73" spans="1:27">
      <c r="A73" s="305"/>
      <c r="B73" s="305"/>
      <c r="C73" s="305"/>
      <c r="D73" s="305"/>
      <c r="E73" s="305"/>
      <c r="F73" s="303"/>
      <c r="G73" s="306"/>
      <c r="H73" s="306"/>
      <c r="I73" s="306"/>
      <c r="J73" s="300"/>
      <c r="K73" s="300"/>
      <c r="L73" s="302"/>
      <c r="M73" s="302"/>
      <c r="N73" s="302"/>
      <c r="O73" s="248"/>
      <c r="P73" s="131" t="s">
        <v>366</v>
      </c>
      <c r="Q73" s="141" t="s">
        <v>491</v>
      </c>
      <c r="R73" s="141">
        <v>1</v>
      </c>
      <c r="S73" s="137">
        <v>0.03</v>
      </c>
      <c r="T73" s="141">
        <v>1</v>
      </c>
      <c r="U73" s="137">
        <f t="shared" si="6"/>
        <v>0.03</v>
      </c>
      <c r="V73" s="300"/>
      <c r="W73" s="236"/>
      <c r="X73" s="280"/>
      <c r="Y73" s="218"/>
    </row>
    <row r="74" spans="1:27" s="134" customFormat="1" ht="28.5">
      <c r="A74" s="98">
        <v>24</v>
      </c>
      <c r="B74" s="117" t="s">
        <v>100</v>
      </c>
      <c r="C74" s="162" t="s">
        <v>101</v>
      </c>
      <c r="D74" s="117"/>
      <c r="E74" s="121"/>
      <c r="F74" s="128" t="s">
        <v>414</v>
      </c>
      <c r="G74" s="128">
        <v>53</v>
      </c>
      <c r="H74" s="128">
        <v>30</v>
      </c>
      <c r="I74" s="128">
        <v>2.5</v>
      </c>
      <c r="J74" s="129">
        <v>4.3</v>
      </c>
      <c r="K74" s="129">
        <v>2.5</v>
      </c>
      <c r="L74" s="130">
        <v>2.8000000000000001E-2</v>
      </c>
      <c r="M74" s="130">
        <v>2.1000000000000001E-2</v>
      </c>
      <c r="N74" s="130">
        <f t="shared" ref="N74" si="7">L74-M74</f>
        <v>6.9999999999999993E-3</v>
      </c>
      <c r="O74" s="97">
        <f t="shared" ref="O74" si="8">L74*J74-N74*K74</f>
        <v>0.10289999999999999</v>
      </c>
      <c r="P74" s="115" t="s">
        <v>440</v>
      </c>
      <c r="Q74" s="115" t="s">
        <v>437</v>
      </c>
      <c r="R74" s="144">
        <v>1</v>
      </c>
      <c r="S74" s="97">
        <v>0.03</v>
      </c>
      <c r="T74" s="141">
        <v>1</v>
      </c>
      <c r="U74" s="116">
        <f>R74*S74/T74</f>
        <v>0.03</v>
      </c>
      <c r="V74" s="121">
        <v>1.1200000000000001</v>
      </c>
      <c r="W74" s="96">
        <f>(O74+U74)*V74</f>
        <v>0.14884800000000001</v>
      </c>
      <c r="X74" s="98">
        <v>0.2089</v>
      </c>
      <c r="Y74" s="166">
        <f>1-W74/X74</f>
        <v>0.28746768788894206</v>
      </c>
      <c r="AA74" s="135"/>
    </row>
    <row r="75" spans="1:27">
      <c r="A75" s="233">
        <v>25</v>
      </c>
      <c r="B75" s="233" t="s">
        <v>103</v>
      </c>
      <c r="C75" s="242" t="s">
        <v>104</v>
      </c>
      <c r="D75" s="233"/>
      <c r="E75" s="233"/>
      <c r="F75" s="232" t="s">
        <v>363</v>
      </c>
      <c r="G75" s="222">
        <v>47</v>
      </c>
      <c r="H75" s="222">
        <v>20</v>
      </c>
      <c r="I75" s="222">
        <v>2</v>
      </c>
      <c r="J75" s="232">
        <v>4.3</v>
      </c>
      <c r="K75" s="232">
        <v>2.5</v>
      </c>
      <c r="L75" s="238">
        <v>1.4999999999999999E-2</v>
      </c>
      <c r="M75" s="238">
        <v>8.9999999999999993E-3</v>
      </c>
      <c r="N75" s="238">
        <f>L75-M75</f>
        <v>6.0000000000000001E-3</v>
      </c>
      <c r="O75" s="239">
        <f>J75*L75-K75*N75</f>
        <v>4.9500000000000002E-2</v>
      </c>
      <c r="P75" s="96" t="s">
        <v>364</v>
      </c>
      <c r="Q75" s="122" t="s">
        <v>365</v>
      </c>
      <c r="R75" s="122">
        <v>1</v>
      </c>
      <c r="S75" s="97">
        <v>0.03</v>
      </c>
      <c r="T75" s="122">
        <v>1</v>
      </c>
      <c r="U75" s="97">
        <f t="shared" ref="U75:U77" si="9">R75*S75/T75</f>
        <v>0.03</v>
      </c>
      <c r="V75" s="229">
        <v>1.1200000000000001</v>
      </c>
      <c r="W75" s="232">
        <f>(O75+SUM(U75:U77))*V75</f>
        <v>0.13384000000000001</v>
      </c>
      <c r="X75" s="222">
        <v>0.1522</v>
      </c>
      <c r="Y75" s="214">
        <f>1-W75/X75</f>
        <v>0.12063074901445459</v>
      </c>
    </row>
    <row r="76" spans="1:27">
      <c r="A76" s="234"/>
      <c r="B76" s="234"/>
      <c r="C76" s="255"/>
      <c r="D76" s="234"/>
      <c r="E76" s="234"/>
      <c r="F76" s="232"/>
      <c r="G76" s="222"/>
      <c r="H76" s="222"/>
      <c r="I76" s="222"/>
      <c r="J76" s="232"/>
      <c r="K76" s="232"/>
      <c r="L76" s="238"/>
      <c r="M76" s="238"/>
      <c r="N76" s="238"/>
      <c r="O76" s="239"/>
      <c r="P76" s="96" t="s">
        <v>366</v>
      </c>
      <c r="Q76" s="122" t="s">
        <v>370</v>
      </c>
      <c r="R76" s="122">
        <v>1</v>
      </c>
      <c r="S76" s="97">
        <v>0.02</v>
      </c>
      <c r="T76" s="122">
        <v>1</v>
      </c>
      <c r="U76" s="97">
        <f t="shared" si="9"/>
        <v>0.02</v>
      </c>
      <c r="V76" s="230"/>
      <c r="W76" s="232"/>
      <c r="X76" s="222"/>
      <c r="Y76" s="215"/>
    </row>
    <row r="77" spans="1:27">
      <c r="A77" s="235"/>
      <c r="B77" s="235"/>
      <c r="C77" s="243"/>
      <c r="D77" s="235"/>
      <c r="E77" s="235"/>
      <c r="F77" s="232"/>
      <c r="G77" s="222"/>
      <c r="H77" s="222"/>
      <c r="I77" s="222"/>
      <c r="J77" s="232"/>
      <c r="K77" s="232"/>
      <c r="L77" s="238"/>
      <c r="M77" s="238"/>
      <c r="N77" s="238"/>
      <c r="O77" s="239"/>
      <c r="P77" s="96" t="s">
        <v>368</v>
      </c>
      <c r="Q77" s="122" t="s">
        <v>370</v>
      </c>
      <c r="R77" s="122">
        <v>1</v>
      </c>
      <c r="S77" s="97">
        <v>0.02</v>
      </c>
      <c r="T77" s="122">
        <v>1</v>
      </c>
      <c r="U77" s="97">
        <f t="shared" si="9"/>
        <v>0.02</v>
      </c>
      <c r="V77" s="231"/>
      <c r="W77" s="232"/>
      <c r="X77" s="222"/>
      <c r="Y77" s="216"/>
    </row>
    <row r="78" spans="1:27">
      <c r="A78" s="233">
        <v>26</v>
      </c>
      <c r="B78" s="233" t="s">
        <v>106</v>
      </c>
      <c r="C78" s="242" t="s">
        <v>107</v>
      </c>
      <c r="D78" s="233"/>
      <c r="E78" s="233"/>
      <c r="F78" s="237" t="s">
        <v>445</v>
      </c>
      <c r="G78" s="222">
        <v>74</v>
      </c>
      <c r="H78" s="222">
        <v>65</v>
      </c>
      <c r="I78" s="222">
        <v>2</v>
      </c>
      <c r="J78" s="229">
        <v>4.5999999999999996</v>
      </c>
      <c r="K78" s="229">
        <v>2.5</v>
      </c>
      <c r="L78" s="238">
        <f>G78*H78*I78*0.00000785</f>
        <v>7.5517000000000001E-2</v>
      </c>
      <c r="M78" s="238">
        <v>1.0999999999999999E-2</v>
      </c>
      <c r="N78" s="238">
        <f>L78-M78</f>
        <v>6.4517000000000005E-2</v>
      </c>
      <c r="O78" s="239">
        <f>J78*L78-K78*N78</f>
        <v>0.18608569999999997</v>
      </c>
      <c r="P78" s="96" t="s">
        <v>364</v>
      </c>
      <c r="Q78" s="115" t="s">
        <v>437</v>
      </c>
      <c r="R78" s="122">
        <v>1</v>
      </c>
      <c r="S78" s="97">
        <v>0.03</v>
      </c>
      <c r="T78" s="122">
        <v>1</v>
      </c>
      <c r="U78" s="97">
        <f t="shared" ref="U78:U94" si="10">R78*S78/T78</f>
        <v>0.03</v>
      </c>
      <c r="V78" s="229">
        <v>1.1200000000000001</v>
      </c>
      <c r="W78" s="232">
        <f>(O78+SUM(U78:U80))*V78</f>
        <v>0.309215984</v>
      </c>
      <c r="X78" s="222">
        <v>0.36380000000000001</v>
      </c>
      <c r="Y78" s="214">
        <f>1-W78/X78</f>
        <v>0.15003852666300166</v>
      </c>
    </row>
    <row r="79" spans="1:27">
      <c r="A79" s="234"/>
      <c r="B79" s="234"/>
      <c r="C79" s="255"/>
      <c r="D79" s="234"/>
      <c r="E79" s="234"/>
      <c r="F79" s="237"/>
      <c r="G79" s="222"/>
      <c r="H79" s="222"/>
      <c r="I79" s="222"/>
      <c r="J79" s="230"/>
      <c r="K79" s="230"/>
      <c r="L79" s="238"/>
      <c r="M79" s="238"/>
      <c r="N79" s="238"/>
      <c r="O79" s="239"/>
      <c r="P79" s="96" t="s">
        <v>492</v>
      </c>
      <c r="Q79" s="122" t="s">
        <v>365</v>
      </c>
      <c r="R79" s="122">
        <v>1</v>
      </c>
      <c r="S79" s="97">
        <v>0.03</v>
      </c>
      <c r="T79" s="122">
        <v>1</v>
      </c>
      <c r="U79" s="97">
        <f t="shared" si="10"/>
        <v>0.03</v>
      </c>
      <c r="V79" s="230"/>
      <c r="W79" s="232"/>
      <c r="X79" s="222"/>
      <c r="Y79" s="215"/>
    </row>
    <row r="80" spans="1:27">
      <c r="A80" s="235"/>
      <c r="B80" s="235"/>
      <c r="C80" s="243"/>
      <c r="D80" s="235"/>
      <c r="E80" s="235"/>
      <c r="F80" s="237"/>
      <c r="G80" s="222"/>
      <c r="H80" s="222"/>
      <c r="I80" s="222"/>
      <c r="J80" s="231"/>
      <c r="K80" s="231"/>
      <c r="L80" s="238"/>
      <c r="M80" s="238"/>
      <c r="N80" s="238"/>
      <c r="O80" s="239"/>
      <c r="P80" s="96" t="s">
        <v>369</v>
      </c>
      <c r="Q80" s="141" t="s">
        <v>491</v>
      </c>
      <c r="R80" s="122">
        <v>1</v>
      </c>
      <c r="S80" s="97">
        <v>0.03</v>
      </c>
      <c r="T80" s="122">
        <v>1</v>
      </c>
      <c r="U80" s="97">
        <f t="shared" si="10"/>
        <v>0.03</v>
      </c>
      <c r="V80" s="231"/>
      <c r="W80" s="232"/>
      <c r="X80" s="222"/>
      <c r="Y80" s="216"/>
    </row>
    <row r="81" spans="1:29">
      <c r="A81" s="233">
        <v>27</v>
      </c>
      <c r="B81" s="233" t="s">
        <v>109</v>
      </c>
      <c r="C81" s="242" t="s">
        <v>110</v>
      </c>
      <c r="D81" s="233"/>
      <c r="E81" s="233"/>
      <c r="F81" s="237" t="s">
        <v>445</v>
      </c>
      <c r="G81" s="222">
        <v>74</v>
      </c>
      <c r="H81" s="222">
        <v>65</v>
      </c>
      <c r="I81" s="222">
        <v>2</v>
      </c>
      <c r="J81" s="229">
        <v>4.5999999999999996</v>
      </c>
      <c r="K81" s="229">
        <v>2.5</v>
      </c>
      <c r="L81" s="238">
        <f>G81*H81*I81*0.00000785</f>
        <v>7.5517000000000001E-2</v>
      </c>
      <c r="M81" s="238">
        <v>1.0999999999999999E-2</v>
      </c>
      <c r="N81" s="238">
        <f>L81-M81</f>
        <v>6.4517000000000005E-2</v>
      </c>
      <c r="O81" s="239">
        <f>J81*L81-K81*N81</f>
        <v>0.18608569999999997</v>
      </c>
      <c r="P81" s="96" t="s">
        <v>364</v>
      </c>
      <c r="Q81" s="115" t="s">
        <v>437</v>
      </c>
      <c r="R81" s="122">
        <v>1</v>
      </c>
      <c r="S81" s="97">
        <v>0.03</v>
      </c>
      <c r="T81" s="122">
        <v>1</v>
      </c>
      <c r="U81" s="97">
        <f t="shared" si="10"/>
        <v>0.03</v>
      </c>
      <c r="V81" s="229">
        <v>1.1200000000000001</v>
      </c>
      <c r="W81" s="232">
        <f>(O81+SUM(U81:U83))*V81</f>
        <v>0.309215984</v>
      </c>
      <c r="X81" s="222">
        <v>0.36380000000000001</v>
      </c>
      <c r="Y81" s="214">
        <f>1-W81/X81</f>
        <v>0.15003852666300166</v>
      </c>
    </row>
    <row r="82" spans="1:29">
      <c r="A82" s="234"/>
      <c r="B82" s="234"/>
      <c r="C82" s="255"/>
      <c r="D82" s="234"/>
      <c r="E82" s="234"/>
      <c r="F82" s="237"/>
      <c r="G82" s="222"/>
      <c r="H82" s="222"/>
      <c r="I82" s="222"/>
      <c r="J82" s="230"/>
      <c r="K82" s="230"/>
      <c r="L82" s="238"/>
      <c r="M82" s="238"/>
      <c r="N82" s="238"/>
      <c r="O82" s="239"/>
      <c r="P82" s="96" t="s">
        <v>492</v>
      </c>
      <c r="Q82" s="122" t="s">
        <v>365</v>
      </c>
      <c r="R82" s="122">
        <v>1</v>
      </c>
      <c r="S82" s="97">
        <v>0.03</v>
      </c>
      <c r="T82" s="122">
        <v>1</v>
      </c>
      <c r="U82" s="97">
        <f t="shared" si="10"/>
        <v>0.03</v>
      </c>
      <c r="V82" s="230"/>
      <c r="W82" s="232"/>
      <c r="X82" s="222"/>
      <c r="Y82" s="215"/>
    </row>
    <row r="83" spans="1:29">
      <c r="A83" s="235"/>
      <c r="B83" s="235"/>
      <c r="C83" s="243"/>
      <c r="D83" s="235"/>
      <c r="E83" s="235"/>
      <c r="F83" s="237"/>
      <c r="G83" s="222"/>
      <c r="H83" s="222"/>
      <c r="I83" s="222"/>
      <c r="J83" s="231"/>
      <c r="K83" s="231"/>
      <c r="L83" s="238"/>
      <c r="M83" s="238"/>
      <c r="N83" s="238"/>
      <c r="O83" s="239"/>
      <c r="P83" s="96" t="s">
        <v>369</v>
      </c>
      <c r="Q83" s="141" t="s">
        <v>491</v>
      </c>
      <c r="R83" s="122">
        <v>1</v>
      </c>
      <c r="S83" s="97">
        <v>0.03</v>
      </c>
      <c r="T83" s="122">
        <v>1</v>
      </c>
      <c r="U83" s="97">
        <f t="shared" si="10"/>
        <v>0.03</v>
      </c>
      <c r="V83" s="231"/>
      <c r="W83" s="232"/>
      <c r="X83" s="222"/>
      <c r="Y83" s="216"/>
    </row>
    <row r="84" spans="1:29">
      <c r="A84" s="233">
        <v>28</v>
      </c>
      <c r="B84" s="233" t="s">
        <v>112</v>
      </c>
      <c r="C84" s="242" t="s">
        <v>113</v>
      </c>
      <c r="D84" s="233"/>
      <c r="E84" s="233"/>
      <c r="F84" s="237" t="s">
        <v>445</v>
      </c>
      <c r="G84" s="222">
        <v>59</v>
      </c>
      <c r="H84" s="222">
        <f>45+4</f>
        <v>49</v>
      </c>
      <c r="I84" s="222">
        <v>2</v>
      </c>
      <c r="J84" s="229">
        <v>4.5999999999999996</v>
      </c>
      <c r="K84" s="229">
        <v>2.5</v>
      </c>
      <c r="L84" s="238">
        <f>G84*H84*I84*0.00000785</f>
        <v>4.5388699999999997E-2</v>
      </c>
      <c r="M84" s="238">
        <v>1.4999999999999999E-2</v>
      </c>
      <c r="N84" s="238">
        <f>L84-M84</f>
        <v>3.0388699999999998E-2</v>
      </c>
      <c r="O84" s="239">
        <f>J84*L84-K84*N84</f>
        <v>0.13281626999999996</v>
      </c>
      <c r="P84" s="96" t="s">
        <v>364</v>
      </c>
      <c r="Q84" s="115" t="s">
        <v>437</v>
      </c>
      <c r="R84" s="122">
        <v>1</v>
      </c>
      <c r="S84" s="97">
        <v>0.03</v>
      </c>
      <c r="T84" s="122">
        <v>1</v>
      </c>
      <c r="U84" s="97">
        <f t="shared" si="10"/>
        <v>0.03</v>
      </c>
      <c r="V84" s="229">
        <v>1.1200000000000001</v>
      </c>
      <c r="W84" s="232">
        <f>(O84+SUM(U84:U86))*V84</f>
        <v>0.24955422239999997</v>
      </c>
      <c r="X84" s="222">
        <v>0.28710000000000002</v>
      </c>
      <c r="Y84" s="214">
        <f>1-W84/X84</f>
        <v>0.13077595820271704</v>
      </c>
    </row>
    <row r="85" spans="1:29">
      <c r="A85" s="234"/>
      <c r="B85" s="234"/>
      <c r="C85" s="255"/>
      <c r="D85" s="234"/>
      <c r="E85" s="234"/>
      <c r="F85" s="237"/>
      <c r="G85" s="222"/>
      <c r="H85" s="222"/>
      <c r="I85" s="222"/>
      <c r="J85" s="230"/>
      <c r="K85" s="230"/>
      <c r="L85" s="238"/>
      <c r="M85" s="238"/>
      <c r="N85" s="238"/>
      <c r="O85" s="239"/>
      <c r="P85" s="96" t="s">
        <v>492</v>
      </c>
      <c r="Q85" s="122" t="s">
        <v>365</v>
      </c>
      <c r="R85" s="122">
        <v>1</v>
      </c>
      <c r="S85" s="97">
        <v>0.03</v>
      </c>
      <c r="T85" s="122">
        <v>1</v>
      </c>
      <c r="U85" s="97">
        <f t="shared" si="10"/>
        <v>0.03</v>
      </c>
      <c r="V85" s="230"/>
      <c r="W85" s="232"/>
      <c r="X85" s="222"/>
      <c r="Y85" s="215"/>
    </row>
    <row r="86" spans="1:29">
      <c r="A86" s="235"/>
      <c r="B86" s="235"/>
      <c r="C86" s="243"/>
      <c r="D86" s="235"/>
      <c r="E86" s="235"/>
      <c r="F86" s="237"/>
      <c r="G86" s="222"/>
      <c r="H86" s="222"/>
      <c r="I86" s="222"/>
      <c r="J86" s="231"/>
      <c r="K86" s="231"/>
      <c r="L86" s="238"/>
      <c r="M86" s="238"/>
      <c r="N86" s="238"/>
      <c r="O86" s="239"/>
      <c r="P86" s="96" t="s">
        <v>369</v>
      </c>
      <c r="Q86" s="141" t="s">
        <v>491</v>
      </c>
      <c r="R86" s="122">
        <v>1</v>
      </c>
      <c r="S86" s="97">
        <v>0.03</v>
      </c>
      <c r="T86" s="122">
        <v>1</v>
      </c>
      <c r="U86" s="97">
        <f t="shared" si="10"/>
        <v>0.03</v>
      </c>
      <c r="V86" s="231"/>
      <c r="W86" s="232"/>
      <c r="X86" s="222"/>
      <c r="Y86" s="216"/>
    </row>
    <row r="87" spans="1:29" ht="14.25" customHeight="1">
      <c r="A87" s="241">
        <v>29</v>
      </c>
      <c r="B87" s="241" t="s">
        <v>115</v>
      </c>
      <c r="C87" s="241" t="s">
        <v>116</v>
      </c>
      <c r="D87" s="319" t="s">
        <v>493</v>
      </c>
      <c r="E87" s="319">
        <v>1</v>
      </c>
      <c r="F87" s="249" t="s">
        <v>476</v>
      </c>
      <c r="G87" s="280">
        <f>130+5</f>
        <v>135</v>
      </c>
      <c r="H87" s="280">
        <v>39</v>
      </c>
      <c r="I87" s="280">
        <v>2.5</v>
      </c>
      <c r="J87" s="236">
        <v>5.15</v>
      </c>
      <c r="K87" s="236">
        <v>2.5</v>
      </c>
      <c r="L87" s="318">
        <f>G87*H87*I87*0.00000785</f>
        <v>0.10332562499999999</v>
      </c>
      <c r="M87" s="318">
        <f>0.054-0.005*2</f>
        <v>4.3999999999999997E-2</v>
      </c>
      <c r="N87" s="318">
        <f>L87-M87</f>
        <v>5.9325624999999993E-2</v>
      </c>
      <c r="O87" s="239">
        <f>(J87*L87-K87*N87)*E87</f>
        <v>0.38381290624999997</v>
      </c>
      <c r="P87" s="98" t="s">
        <v>395</v>
      </c>
      <c r="Q87" s="136" t="s">
        <v>495</v>
      </c>
      <c r="R87" s="122">
        <v>1</v>
      </c>
      <c r="S87" s="97">
        <v>0.05</v>
      </c>
      <c r="T87" s="122">
        <v>1</v>
      </c>
      <c r="U87" s="97">
        <f t="shared" si="10"/>
        <v>0.05</v>
      </c>
      <c r="V87" s="293">
        <v>1.1200000000000001</v>
      </c>
      <c r="W87" s="232">
        <f>(O87+SUM(U87:U89))*V87+(O89+U90)*1.03</f>
        <v>1.0643084550000002</v>
      </c>
      <c r="X87" s="222">
        <v>1.1625000000000001</v>
      </c>
      <c r="Y87" s="217">
        <f>1-W87/X87</f>
        <v>8.4465845161290298E-2</v>
      </c>
    </row>
    <row r="88" spans="1:29">
      <c r="A88" s="241"/>
      <c r="B88" s="241"/>
      <c r="C88" s="241"/>
      <c r="D88" s="319"/>
      <c r="E88" s="319"/>
      <c r="F88" s="249"/>
      <c r="G88" s="280"/>
      <c r="H88" s="280"/>
      <c r="I88" s="280"/>
      <c r="J88" s="236"/>
      <c r="K88" s="236"/>
      <c r="L88" s="318"/>
      <c r="M88" s="318"/>
      <c r="N88" s="318"/>
      <c r="O88" s="239"/>
      <c r="P88" s="98" t="s">
        <v>399</v>
      </c>
      <c r="Q88" s="136" t="s">
        <v>495</v>
      </c>
      <c r="R88" s="122">
        <v>1</v>
      </c>
      <c r="S88" s="97">
        <v>0.05</v>
      </c>
      <c r="T88" s="122">
        <v>1</v>
      </c>
      <c r="U88" s="97">
        <f t="shared" si="10"/>
        <v>0.05</v>
      </c>
      <c r="V88" s="294"/>
      <c r="W88" s="232"/>
      <c r="X88" s="222"/>
      <c r="Y88" s="217"/>
    </row>
    <row r="89" spans="1:29" ht="14.25" customHeight="1">
      <c r="A89" s="241"/>
      <c r="B89" s="241"/>
      <c r="C89" s="241"/>
      <c r="D89" s="319" t="s">
        <v>494</v>
      </c>
      <c r="E89" s="319">
        <v>2</v>
      </c>
      <c r="F89" s="249"/>
      <c r="G89" s="280"/>
      <c r="H89" s="280"/>
      <c r="I89" s="280"/>
      <c r="J89" s="236">
        <v>9.7299999999999998E-2</v>
      </c>
      <c r="K89" s="236"/>
      <c r="L89" s="318"/>
      <c r="M89" s="318">
        <v>5.0000000000000001E-3</v>
      </c>
      <c r="N89" s="318"/>
      <c r="O89" s="239">
        <f>E89*J89</f>
        <v>0.1946</v>
      </c>
      <c r="P89" s="98" t="s">
        <v>397</v>
      </c>
      <c r="Q89" s="136" t="s">
        <v>496</v>
      </c>
      <c r="R89" s="122">
        <v>1</v>
      </c>
      <c r="S89" s="97">
        <v>0.03</v>
      </c>
      <c r="T89" s="122">
        <v>1</v>
      </c>
      <c r="U89" s="97">
        <f t="shared" si="10"/>
        <v>0.03</v>
      </c>
      <c r="V89" s="294"/>
      <c r="W89" s="232"/>
      <c r="X89" s="222"/>
      <c r="Y89" s="217"/>
    </row>
    <row r="90" spans="1:29">
      <c r="A90" s="241"/>
      <c r="B90" s="241"/>
      <c r="C90" s="241"/>
      <c r="D90" s="319"/>
      <c r="E90" s="319"/>
      <c r="F90" s="249"/>
      <c r="G90" s="280"/>
      <c r="H90" s="280"/>
      <c r="I90" s="280"/>
      <c r="J90" s="236"/>
      <c r="K90" s="236"/>
      <c r="L90" s="318"/>
      <c r="M90" s="318"/>
      <c r="N90" s="318"/>
      <c r="O90" s="239"/>
      <c r="P90" s="118" t="s">
        <v>462</v>
      </c>
      <c r="Q90" s="121">
        <v>4</v>
      </c>
      <c r="R90" s="122">
        <v>1</v>
      </c>
      <c r="S90" s="97">
        <v>0.28000000000000003</v>
      </c>
      <c r="T90" s="122">
        <v>1</v>
      </c>
      <c r="U90" s="97">
        <f t="shared" si="10"/>
        <v>0.28000000000000003</v>
      </c>
      <c r="V90" s="295"/>
      <c r="W90" s="232"/>
      <c r="X90" s="222"/>
      <c r="Y90" s="217"/>
    </row>
    <row r="91" spans="1:29">
      <c r="A91" s="241">
        <v>30</v>
      </c>
      <c r="B91" s="241" t="s">
        <v>118</v>
      </c>
      <c r="C91" s="241" t="s">
        <v>119</v>
      </c>
      <c r="D91" s="319" t="s">
        <v>497</v>
      </c>
      <c r="E91" s="319">
        <v>1</v>
      </c>
      <c r="F91" s="249" t="s">
        <v>476</v>
      </c>
      <c r="G91" s="280">
        <f>130+5</f>
        <v>135</v>
      </c>
      <c r="H91" s="280">
        <v>39</v>
      </c>
      <c r="I91" s="280">
        <v>2.5</v>
      </c>
      <c r="J91" s="236">
        <v>5.15</v>
      </c>
      <c r="K91" s="236">
        <v>2.5</v>
      </c>
      <c r="L91" s="318">
        <f>G91*H91*I91*0.00000785</f>
        <v>0.10332562499999999</v>
      </c>
      <c r="M91" s="318">
        <f>0.054-0.005*2</f>
        <v>4.3999999999999997E-2</v>
      </c>
      <c r="N91" s="318">
        <f>L91-M91</f>
        <v>5.9325624999999993E-2</v>
      </c>
      <c r="O91" s="239">
        <f>(J91*L91-K91*N91)*E91</f>
        <v>0.38381290624999997</v>
      </c>
      <c r="P91" s="98" t="s">
        <v>395</v>
      </c>
      <c r="Q91" s="136" t="s">
        <v>495</v>
      </c>
      <c r="R91" s="122">
        <v>1</v>
      </c>
      <c r="S91" s="97">
        <v>0.05</v>
      </c>
      <c r="T91" s="122">
        <v>1</v>
      </c>
      <c r="U91" s="97">
        <f t="shared" si="10"/>
        <v>0.05</v>
      </c>
      <c r="V91" s="293">
        <v>1.1200000000000001</v>
      </c>
      <c r="W91" s="232">
        <f>(O91+SUM(U91:U93))*V91+(O93+U94)*1.03</f>
        <v>1.0643084550000002</v>
      </c>
      <c r="X91" s="222">
        <v>1.1625000000000001</v>
      </c>
      <c r="Y91" s="217">
        <f>1-W91/X91</f>
        <v>8.4465845161290298E-2</v>
      </c>
    </row>
    <row r="92" spans="1:29">
      <c r="A92" s="241"/>
      <c r="B92" s="241"/>
      <c r="C92" s="241"/>
      <c r="D92" s="319"/>
      <c r="E92" s="319"/>
      <c r="F92" s="249"/>
      <c r="G92" s="280"/>
      <c r="H92" s="280"/>
      <c r="I92" s="280"/>
      <c r="J92" s="236"/>
      <c r="K92" s="236"/>
      <c r="L92" s="318"/>
      <c r="M92" s="318"/>
      <c r="N92" s="318"/>
      <c r="O92" s="239"/>
      <c r="P92" s="98" t="s">
        <v>399</v>
      </c>
      <c r="Q92" s="136" t="s">
        <v>495</v>
      </c>
      <c r="R92" s="122">
        <v>1</v>
      </c>
      <c r="S92" s="97">
        <v>0.05</v>
      </c>
      <c r="T92" s="122">
        <v>1</v>
      </c>
      <c r="U92" s="97">
        <f t="shared" si="10"/>
        <v>0.05</v>
      </c>
      <c r="V92" s="294"/>
      <c r="W92" s="232"/>
      <c r="X92" s="222"/>
      <c r="Y92" s="217"/>
    </row>
    <row r="93" spans="1:29">
      <c r="A93" s="241"/>
      <c r="B93" s="241"/>
      <c r="C93" s="241"/>
      <c r="D93" s="319" t="s">
        <v>494</v>
      </c>
      <c r="E93" s="319">
        <v>2</v>
      </c>
      <c r="F93" s="249"/>
      <c r="G93" s="280"/>
      <c r="H93" s="280"/>
      <c r="I93" s="280"/>
      <c r="J93" s="236">
        <v>9.7299999999999998E-2</v>
      </c>
      <c r="K93" s="236"/>
      <c r="L93" s="318"/>
      <c r="M93" s="318">
        <v>5.0000000000000001E-3</v>
      </c>
      <c r="N93" s="318"/>
      <c r="O93" s="239">
        <f>E93*J93</f>
        <v>0.1946</v>
      </c>
      <c r="P93" s="98" t="s">
        <v>397</v>
      </c>
      <c r="Q93" s="136" t="s">
        <v>496</v>
      </c>
      <c r="R93" s="122">
        <v>1</v>
      </c>
      <c r="S93" s="97">
        <v>0.03</v>
      </c>
      <c r="T93" s="122">
        <v>1</v>
      </c>
      <c r="U93" s="97">
        <f t="shared" si="10"/>
        <v>0.03</v>
      </c>
      <c r="V93" s="294"/>
      <c r="W93" s="232"/>
      <c r="X93" s="222"/>
      <c r="Y93" s="217"/>
    </row>
    <row r="94" spans="1:29">
      <c r="A94" s="241"/>
      <c r="B94" s="241"/>
      <c r="C94" s="241"/>
      <c r="D94" s="319"/>
      <c r="E94" s="319"/>
      <c r="F94" s="249"/>
      <c r="G94" s="280"/>
      <c r="H94" s="280"/>
      <c r="I94" s="280"/>
      <c r="J94" s="236"/>
      <c r="K94" s="236"/>
      <c r="L94" s="318"/>
      <c r="M94" s="318"/>
      <c r="N94" s="318"/>
      <c r="O94" s="239"/>
      <c r="P94" s="118" t="s">
        <v>462</v>
      </c>
      <c r="Q94" s="121">
        <v>4</v>
      </c>
      <c r="R94" s="122">
        <v>1</v>
      </c>
      <c r="S94" s="97">
        <v>0.28000000000000003</v>
      </c>
      <c r="T94" s="122">
        <v>1</v>
      </c>
      <c r="U94" s="97">
        <f t="shared" si="10"/>
        <v>0.28000000000000003</v>
      </c>
      <c r="V94" s="295"/>
      <c r="W94" s="232"/>
      <c r="X94" s="222"/>
      <c r="Y94" s="217"/>
    </row>
    <row r="95" spans="1:29">
      <c r="A95" s="263">
        <v>31</v>
      </c>
      <c r="B95" s="263" t="s">
        <v>121</v>
      </c>
      <c r="C95" s="263" t="s">
        <v>122</v>
      </c>
      <c r="D95" s="263"/>
      <c r="E95" s="263"/>
      <c r="F95" s="263" t="s">
        <v>445</v>
      </c>
      <c r="G95" s="263">
        <v>205</v>
      </c>
      <c r="H95" s="263">
        <v>130</v>
      </c>
      <c r="I95" s="263">
        <v>3</v>
      </c>
      <c r="J95" s="268">
        <v>4.5999999999999996</v>
      </c>
      <c r="K95" s="268">
        <v>2.5</v>
      </c>
      <c r="L95" s="263">
        <v>0.628</v>
      </c>
      <c r="M95" s="263">
        <v>0.28100000000000003</v>
      </c>
      <c r="N95" s="263">
        <v>0.34699999999999998</v>
      </c>
      <c r="O95" s="247">
        <f>J95*L95-K95*N95</f>
        <v>2.0213000000000001</v>
      </c>
      <c r="P95" s="48" t="s">
        <v>395</v>
      </c>
      <c r="Q95" s="48" t="s">
        <v>396</v>
      </c>
      <c r="R95" s="122">
        <v>1</v>
      </c>
      <c r="S95" s="111">
        <v>0.08</v>
      </c>
      <c r="T95" s="122">
        <v>1</v>
      </c>
      <c r="U95" s="97">
        <f t="shared" ref="U95:U101" si="11">R95*S95/T95</f>
        <v>0.08</v>
      </c>
      <c r="V95" s="229">
        <v>1.1200000000000001</v>
      </c>
      <c r="W95" s="232">
        <f>(O95+SUM(U95:U97))*V95</f>
        <v>2.4990560000000004</v>
      </c>
      <c r="X95" s="224">
        <v>2.5537999999999998</v>
      </c>
      <c r="Y95" s="214">
        <f>1-W95/X95</f>
        <v>2.1436291017307374E-2</v>
      </c>
      <c r="AC95" s="106"/>
    </row>
    <row r="96" spans="1:29">
      <c r="A96" s="264"/>
      <c r="B96" s="264"/>
      <c r="C96" s="264"/>
      <c r="D96" s="264"/>
      <c r="E96" s="264"/>
      <c r="F96" s="264"/>
      <c r="G96" s="264"/>
      <c r="H96" s="264"/>
      <c r="I96" s="264"/>
      <c r="J96" s="269"/>
      <c r="K96" s="269"/>
      <c r="L96" s="264"/>
      <c r="M96" s="264"/>
      <c r="N96" s="264"/>
      <c r="O96" s="254"/>
      <c r="P96" s="48" t="s">
        <v>397</v>
      </c>
      <c r="Q96" s="48" t="s">
        <v>398</v>
      </c>
      <c r="R96" s="122">
        <v>1</v>
      </c>
      <c r="S96" s="111">
        <v>0.05</v>
      </c>
      <c r="T96" s="122">
        <v>1</v>
      </c>
      <c r="U96" s="97">
        <f t="shared" si="11"/>
        <v>0.05</v>
      </c>
      <c r="V96" s="230"/>
      <c r="W96" s="232"/>
      <c r="X96" s="224"/>
      <c r="Y96" s="215"/>
      <c r="AC96" s="106"/>
    </row>
    <row r="97" spans="1:29">
      <c r="A97" s="265"/>
      <c r="B97" s="265"/>
      <c r="C97" s="265"/>
      <c r="D97" s="265"/>
      <c r="E97" s="265"/>
      <c r="F97" s="265"/>
      <c r="G97" s="265"/>
      <c r="H97" s="265"/>
      <c r="I97" s="265"/>
      <c r="J97" s="270"/>
      <c r="K97" s="270"/>
      <c r="L97" s="265"/>
      <c r="M97" s="265"/>
      <c r="N97" s="265"/>
      <c r="O97" s="248"/>
      <c r="P97" s="48" t="s">
        <v>399</v>
      </c>
      <c r="Q97" s="48" t="s">
        <v>396</v>
      </c>
      <c r="R97" s="122">
        <v>1</v>
      </c>
      <c r="S97" s="111">
        <v>0.08</v>
      </c>
      <c r="T97" s="122">
        <v>1</v>
      </c>
      <c r="U97" s="97">
        <f t="shared" si="11"/>
        <v>0.08</v>
      </c>
      <c r="V97" s="231"/>
      <c r="W97" s="232"/>
      <c r="X97" s="224"/>
      <c r="Y97" s="216"/>
      <c r="AC97" s="106"/>
    </row>
    <row r="98" spans="1:29">
      <c r="A98" s="263">
        <v>32</v>
      </c>
      <c r="B98" s="263" t="s">
        <v>126</v>
      </c>
      <c r="C98" s="263" t="s">
        <v>127</v>
      </c>
      <c r="D98" s="263"/>
      <c r="E98" s="263"/>
      <c r="F98" s="263" t="s">
        <v>445</v>
      </c>
      <c r="G98" s="263">
        <v>158</v>
      </c>
      <c r="H98" s="263">
        <v>98</v>
      </c>
      <c r="I98" s="263">
        <v>2.5</v>
      </c>
      <c r="J98" s="268">
        <v>4.5999999999999996</v>
      </c>
      <c r="K98" s="268">
        <v>2.5</v>
      </c>
      <c r="L98" s="263">
        <v>0.30399999999999999</v>
      </c>
      <c r="M98" s="263">
        <v>8.2000000000000003E-2</v>
      </c>
      <c r="N98" s="263">
        <v>0.22199999999999998</v>
      </c>
      <c r="O98" s="276">
        <f>J98*L98-K98*N98</f>
        <v>0.84339999999999993</v>
      </c>
      <c r="P98" s="48" t="s">
        <v>395</v>
      </c>
      <c r="Q98" s="48" t="s">
        <v>398</v>
      </c>
      <c r="R98" s="122">
        <v>1</v>
      </c>
      <c r="S98" s="111">
        <v>0.05</v>
      </c>
      <c r="T98" s="122">
        <v>1</v>
      </c>
      <c r="U98" s="97">
        <f t="shared" si="11"/>
        <v>0.05</v>
      </c>
      <c r="V98" s="229">
        <v>1.1200000000000001</v>
      </c>
      <c r="W98" s="232">
        <f>(O98+SUM(U98:U101))*V98</f>
        <v>1.1238079999999999</v>
      </c>
      <c r="X98" s="224">
        <v>1.4702</v>
      </c>
      <c r="Y98" s="217">
        <f>1-W98/X98</f>
        <v>0.23560876071282821</v>
      </c>
      <c r="AC98" s="106"/>
    </row>
    <row r="99" spans="1:29">
      <c r="A99" s="264"/>
      <c r="B99" s="264"/>
      <c r="C99" s="264"/>
      <c r="D99" s="264"/>
      <c r="E99" s="264"/>
      <c r="F99" s="264"/>
      <c r="G99" s="264"/>
      <c r="H99" s="264"/>
      <c r="I99" s="264"/>
      <c r="J99" s="269"/>
      <c r="K99" s="269"/>
      <c r="L99" s="264"/>
      <c r="M99" s="264"/>
      <c r="N99" s="264"/>
      <c r="O99" s="277"/>
      <c r="P99" s="48" t="s">
        <v>397</v>
      </c>
      <c r="Q99" s="48" t="s">
        <v>400</v>
      </c>
      <c r="R99" s="122">
        <v>1</v>
      </c>
      <c r="S99" s="111">
        <v>0.03</v>
      </c>
      <c r="T99" s="122">
        <v>1</v>
      </c>
      <c r="U99" s="97">
        <f t="shared" si="11"/>
        <v>0.03</v>
      </c>
      <c r="V99" s="230"/>
      <c r="W99" s="232"/>
      <c r="X99" s="224"/>
      <c r="Y99" s="217"/>
      <c r="AC99" s="106"/>
    </row>
    <row r="100" spans="1:29">
      <c r="A100" s="264"/>
      <c r="B100" s="264"/>
      <c r="C100" s="264"/>
      <c r="D100" s="264"/>
      <c r="E100" s="264"/>
      <c r="F100" s="264"/>
      <c r="G100" s="264"/>
      <c r="H100" s="264"/>
      <c r="I100" s="264"/>
      <c r="J100" s="269"/>
      <c r="K100" s="269"/>
      <c r="L100" s="264"/>
      <c r="M100" s="264"/>
      <c r="N100" s="264"/>
      <c r="O100" s="277"/>
      <c r="P100" s="48" t="s">
        <v>399</v>
      </c>
      <c r="Q100" s="48" t="s">
        <v>398</v>
      </c>
      <c r="R100" s="122">
        <v>1</v>
      </c>
      <c r="S100" s="111">
        <v>0.05</v>
      </c>
      <c r="T100" s="122">
        <v>1</v>
      </c>
      <c r="U100" s="97">
        <f t="shared" si="11"/>
        <v>0.05</v>
      </c>
      <c r="V100" s="230"/>
      <c r="W100" s="232"/>
      <c r="X100" s="224"/>
      <c r="Y100" s="217"/>
      <c r="AC100" s="106"/>
    </row>
    <row r="101" spans="1:29">
      <c r="A101" s="265"/>
      <c r="B101" s="265"/>
      <c r="C101" s="265"/>
      <c r="D101" s="265"/>
      <c r="E101" s="265"/>
      <c r="F101" s="265"/>
      <c r="G101" s="265"/>
      <c r="H101" s="265"/>
      <c r="I101" s="265"/>
      <c r="J101" s="270"/>
      <c r="K101" s="270"/>
      <c r="L101" s="265"/>
      <c r="M101" s="265"/>
      <c r="N101" s="265"/>
      <c r="O101" s="278"/>
      <c r="P101" s="48" t="s">
        <v>401</v>
      </c>
      <c r="Q101" s="48" t="s">
        <v>402</v>
      </c>
      <c r="R101" s="122">
        <v>1</v>
      </c>
      <c r="S101" s="111">
        <v>0.03</v>
      </c>
      <c r="T101" s="122">
        <v>1</v>
      </c>
      <c r="U101" s="97">
        <f t="shared" si="11"/>
        <v>0.03</v>
      </c>
      <c r="V101" s="231"/>
      <c r="W101" s="232"/>
      <c r="X101" s="224"/>
      <c r="Y101" s="217"/>
      <c r="AC101" s="106"/>
    </row>
    <row r="102" spans="1:29">
      <c r="A102" s="263">
        <v>33</v>
      </c>
      <c r="B102" s="263" t="s">
        <v>129</v>
      </c>
      <c r="C102" s="263" t="s">
        <v>130</v>
      </c>
      <c r="D102" s="263"/>
      <c r="E102" s="263"/>
      <c r="F102" s="263" t="s">
        <v>445</v>
      </c>
      <c r="G102" s="263">
        <v>158</v>
      </c>
      <c r="H102" s="263">
        <v>98</v>
      </c>
      <c r="I102" s="263">
        <v>2.5</v>
      </c>
      <c r="J102" s="268">
        <v>4.5999999999999996</v>
      </c>
      <c r="K102" s="268">
        <v>2.5</v>
      </c>
      <c r="L102" s="263">
        <v>0.30399999999999999</v>
      </c>
      <c r="M102" s="263">
        <v>8.2000000000000003E-2</v>
      </c>
      <c r="N102" s="263">
        <v>0.22199999999999998</v>
      </c>
      <c r="O102" s="276">
        <f>J102*L102-K102*N102</f>
        <v>0.84339999999999993</v>
      </c>
      <c r="P102" s="48" t="s">
        <v>395</v>
      </c>
      <c r="Q102" s="48" t="s">
        <v>398</v>
      </c>
      <c r="R102" s="122">
        <v>1</v>
      </c>
      <c r="S102" s="111">
        <v>0.05</v>
      </c>
      <c r="T102" s="122">
        <v>1</v>
      </c>
      <c r="U102" s="97">
        <f t="shared" ref="U102:U108" si="12">R102*S102/T102</f>
        <v>0.05</v>
      </c>
      <c r="V102" s="229">
        <v>1.1200000000000001</v>
      </c>
      <c r="W102" s="232">
        <f>(O102+SUM(U102:U105))*V102</f>
        <v>1.1238079999999999</v>
      </c>
      <c r="X102" s="224">
        <v>1.4702</v>
      </c>
      <c r="Y102" s="217">
        <f>1-W102/X102</f>
        <v>0.23560876071282821</v>
      </c>
    </row>
    <row r="103" spans="1:29">
      <c r="A103" s="264"/>
      <c r="B103" s="264"/>
      <c r="C103" s="264"/>
      <c r="D103" s="264"/>
      <c r="E103" s="264"/>
      <c r="F103" s="264"/>
      <c r="G103" s="264"/>
      <c r="H103" s="264"/>
      <c r="I103" s="264"/>
      <c r="J103" s="269"/>
      <c r="K103" s="269"/>
      <c r="L103" s="264"/>
      <c r="M103" s="264"/>
      <c r="N103" s="264"/>
      <c r="O103" s="277"/>
      <c r="P103" s="48" t="s">
        <v>397</v>
      </c>
      <c r="Q103" s="48" t="s">
        <v>400</v>
      </c>
      <c r="R103" s="122">
        <v>1</v>
      </c>
      <c r="S103" s="111">
        <v>0.03</v>
      </c>
      <c r="T103" s="122">
        <v>1</v>
      </c>
      <c r="U103" s="97">
        <f t="shared" si="12"/>
        <v>0.03</v>
      </c>
      <c r="V103" s="230"/>
      <c r="W103" s="232"/>
      <c r="X103" s="224"/>
      <c r="Y103" s="217"/>
    </row>
    <row r="104" spans="1:29">
      <c r="A104" s="264"/>
      <c r="B104" s="264"/>
      <c r="C104" s="264"/>
      <c r="D104" s="264"/>
      <c r="E104" s="264"/>
      <c r="F104" s="264"/>
      <c r="G104" s="264"/>
      <c r="H104" s="264"/>
      <c r="I104" s="264"/>
      <c r="J104" s="269"/>
      <c r="K104" s="269"/>
      <c r="L104" s="264"/>
      <c r="M104" s="264"/>
      <c r="N104" s="264"/>
      <c r="O104" s="277"/>
      <c r="P104" s="48" t="s">
        <v>399</v>
      </c>
      <c r="Q104" s="48" t="s">
        <v>398</v>
      </c>
      <c r="R104" s="122">
        <v>1</v>
      </c>
      <c r="S104" s="111">
        <v>0.05</v>
      </c>
      <c r="T104" s="122">
        <v>1</v>
      </c>
      <c r="U104" s="97">
        <f t="shared" si="12"/>
        <v>0.05</v>
      </c>
      <c r="V104" s="230"/>
      <c r="W104" s="232"/>
      <c r="X104" s="224"/>
      <c r="Y104" s="217"/>
    </row>
    <row r="105" spans="1:29">
      <c r="A105" s="265"/>
      <c r="B105" s="265"/>
      <c r="C105" s="265"/>
      <c r="D105" s="265"/>
      <c r="E105" s="265"/>
      <c r="F105" s="265"/>
      <c r="G105" s="265"/>
      <c r="H105" s="265"/>
      <c r="I105" s="265"/>
      <c r="J105" s="270"/>
      <c r="K105" s="270"/>
      <c r="L105" s="265"/>
      <c r="M105" s="265"/>
      <c r="N105" s="265"/>
      <c r="O105" s="278"/>
      <c r="P105" s="48" t="s">
        <v>401</v>
      </c>
      <c r="Q105" s="48" t="s">
        <v>402</v>
      </c>
      <c r="R105" s="122">
        <v>1</v>
      </c>
      <c r="S105" s="111">
        <v>0.03</v>
      </c>
      <c r="T105" s="122">
        <v>1</v>
      </c>
      <c r="U105" s="97">
        <f t="shared" si="12"/>
        <v>0.03</v>
      </c>
      <c r="V105" s="231"/>
      <c r="W105" s="232"/>
      <c r="X105" s="224"/>
      <c r="Y105" s="217"/>
    </row>
    <row r="106" spans="1:29">
      <c r="A106" s="263">
        <v>34</v>
      </c>
      <c r="B106" s="263" t="s">
        <v>132</v>
      </c>
      <c r="C106" s="263" t="s">
        <v>133</v>
      </c>
      <c r="D106" s="263"/>
      <c r="E106" s="263"/>
      <c r="F106" s="263" t="s">
        <v>445</v>
      </c>
      <c r="G106" s="263">
        <v>281</v>
      </c>
      <c r="H106" s="263">
        <v>190</v>
      </c>
      <c r="I106" s="263">
        <v>3</v>
      </c>
      <c r="J106" s="268">
        <v>4.5999999999999996</v>
      </c>
      <c r="K106" s="268">
        <v>2.5</v>
      </c>
      <c r="L106" s="263">
        <v>1.2569999999999999</v>
      </c>
      <c r="M106" s="263">
        <v>0.39</v>
      </c>
      <c r="N106" s="263">
        <v>0.86699999999999988</v>
      </c>
      <c r="O106" s="247">
        <f>J106*L106-K106*N106</f>
        <v>3.6146999999999991</v>
      </c>
      <c r="P106" s="48" t="s">
        <v>395</v>
      </c>
      <c r="Q106" s="48" t="s">
        <v>396</v>
      </c>
      <c r="R106" s="122">
        <v>1</v>
      </c>
      <c r="S106" s="111">
        <v>0.08</v>
      </c>
      <c r="T106" s="122">
        <v>1</v>
      </c>
      <c r="U106" s="97">
        <f t="shared" si="12"/>
        <v>0.08</v>
      </c>
      <c r="V106" s="229">
        <v>1.1200000000000001</v>
      </c>
      <c r="W106" s="232">
        <f>(O106+SUM(U106:U108))*V106</f>
        <v>4.2612639999999997</v>
      </c>
      <c r="X106" s="223">
        <v>5</v>
      </c>
      <c r="Y106" s="214">
        <f>1-W106/X106</f>
        <v>0.14774720000000008</v>
      </c>
      <c r="AC106" s="106"/>
    </row>
    <row r="107" spans="1:29">
      <c r="A107" s="264"/>
      <c r="B107" s="264"/>
      <c r="C107" s="264"/>
      <c r="D107" s="264"/>
      <c r="E107" s="264"/>
      <c r="F107" s="264"/>
      <c r="G107" s="264"/>
      <c r="H107" s="264"/>
      <c r="I107" s="264"/>
      <c r="J107" s="269"/>
      <c r="K107" s="269"/>
      <c r="L107" s="264"/>
      <c r="M107" s="264"/>
      <c r="N107" s="264"/>
      <c r="O107" s="254"/>
      <c r="P107" s="48" t="s">
        <v>397</v>
      </c>
      <c r="Q107" s="48" t="s">
        <v>400</v>
      </c>
      <c r="R107" s="122">
        <v>1</v>
      </c>
      <c r="S107" s="111">
        <v>0.03</v>
      </c>
      <c r="T107" s="122">
        <v>1</v>
      </c>
      <c r="U107" s="97">
        <f t="shared" si="12"/>
        <v>0.03</v>
      </c>
      <c r="V107" s="230"/>
      <c r="W107" s="232"/>
      <c r="X107" s="223"/>
      <c r="Y107" s="215"/>
      <c r="AC107" s="106"/>
    </row>
    <row r="108" spans="1:29">
      <c r="A108" s="265"/>
      <c r="B108" s="265"/>
      <c r="C108" s="265"/>
      <c r="D108" s="265"/>
      <c r="E108" s="265"/>
      <c r="F108" s="265"/>
      <c r="G108" s="265"/>
      <c r="H108" s="265"/>
      <c r="I108" s="265"/>
      <c r="J108" s="270"/>
      <c r="K108" s="270"/>
      <c r="L108" s="265"/>
      <c r="M108" s="265"/>
      <c r="N108" s="265"/>
      <c r="O108" s="248"/>
      <c r="P108" s="48" t="s">
        <v>399</v>
      </c>
      <c r="Q108" s="48" t="s">
        <v>396</v>
      </c>
      <c r="R108" s="122">
        <v>1</v>
      </c>
      <c r="S108" s="111">
        <v>0.08</v>
      </c>
      <c r="T108" s="122">
        <v>1</v>
      </c>
      <c r="U108" s="97">
        <f t="shared" si="12"/>
        <v>0.08</v>
      </c>
      <c r="V108" s="231"/>
      <c r="W108" s="232"/>
      <c r="X108" s="223"/>
      <c r="Y108" s="216"/>
      <c r="AC108" s="106"/>
    </row>
    <row r="109" spans="1:29">
      <c r="A109" s="263">
        <v>35</v>
      </c>
      <c r="B109" s="263" t="s">
        <v>135</v>
      </c>
      <c r="C109" s="263" t="s">
        <v>136</v>
      </c>
      <c r="D109" s="263"/>
      <c r="E109" s="263"/>
      <c r="F109" s="263" t="s">
        <v>445</v>
      </c>
      <c r="G109" s="263">
        <v>281</v>
      </c>
      <c r="H109" s="263">
        <v>190</v>
      </c>
      <c r="I109" s="263">
        <v>3</v>
      </c>
      <c r="J109" s="268">
        <v>4.5999999999999996</v>
      </c>
      <c r="K109" s="268">
        <v>2.5</v>
      </c>
      <c r="L109" s="263">
        <v>1.2569999999999999</v>
      </c>
      <c r="M109" s="263">
        <v>0.39</v>
      </c>
      <c r="N109" s="263">
        <v>0.86699999999999988</v>
      </c>
      <c r="O109" s="247">
        <f>J109*L109-K109*N109</f>
        <v>3.6146999999999991</v>
      </c>
      <c r="P109" s="48" t="s">
        <v>395</v>
      </c>
      <c r="Q109" s="48" t="s">
        <v>396</v>
      </c>
      <c r="R109" s="122">
        <v>1</v>
      </c>
      <c r="S109" s="111">
        <v>0.08</v>
      </c>
      <c r="T109" s="122">
        <v>1</v>
      </c>
      <c r="U109" s="97">
        <f t="shared" ref="U109:U124" si="13">R109*S109/T109</f>
        <v>0.08</v>
      </c>
      <c r="V109" s="229">
        <v>1.1200000000000001</v>
      </c>
      <c r="W109" s="232">
        <f>(O109+SUM(U109:U111))*V109</f>
        <v>4.2612639999999997</v>
      </c>
      <c r="X109" s="223">
        <v>5</v>
      </c>
      <c r="Y109" s="214">
        <f>1-W109/X109</f>
        <v>0.14774720000000008</v>
      </c>
    </row>
    <row r="110" spans="1:29">
      <c r="A110" s="264"/>
      <c r="B110" s="264"/>
      <c r="C110" s="264"/>
      <c r="D110" s="264"/>
      <c r="E110" s="264"/>
      <c r="F110" s="264"/>
      <c r="G110" s="264"/>
      <c r="H110" s="264"/>
      <c r="I110" s="264"/>
      <c r="J110" s="269"/>
      <c r="K110" s="269"/>
      <c r="L110" s="264"/>
      <c r="M110" s="264"/>
      <c r="N110" s="264"/>
      <c r="O110" s="254"/>
      <c r="P110" s="48" t="s">
        <v>397</v>
      </c>
      <c r="Q110" s="48" t="s">
        <v>400</v>
      </c>
      <c r="R110" s="122">
        <v>1</v>
      </c>
      <c r="S110" s="111">
        <v>0.03</v>
      </c>
      <c r="T110" s="122">
        <v>1</v>
      </c>
      <c r="U110" s="97">
        <f t="shared" si="13"/>
        <v>0.03</v>
      </c>
      <c r="V110" s="230"/>
      <c r="W110" s="232"/>
      <c r="X110" s="223"/>
      <c r="Y110" s="215"/>
    </row>
    <row r="111" spans="1:29">
      <c r="A111" s="265"/>
      <c r="B111" s="265"/>
      <c r="C111" s="265"/>
      <c r="D111" s="265"/>
      <c r="E111" s="265"/>
      <c r="F111" s="265"/>
      <c r="G111" s="265"/>
      <c r="H111" s="265"/>
      <c r="I111" s="265"/>
      <c r="J111" s="270"/>
      <c r="K111" s="270"/>
      <c r="L111" s="265"/>
      <c r="M111" s="265"/>
      <c r="N111" s="265"/>
      <c r="O111" s="248"/>
      <c r="P111" s="48" t="s">
        <v>399</v>
      </c>
      <c r="Q111" s="48" t="s">
        <v>396</v>
      </c>
      <c r="R111" s="122">
        <v>1</v>
      </c>
      <c r="S111" s="111">
        <v>0.08</v>
      </c>
      <c r="T111" s="122">
        <v>1</v>
      </c>
      <c r="U111" s="97">
        <f t="shared" si="13"/>
        <v>0.08</v>
      </c>
      <c r="V111" s="231"/>
      <c r="W111" s="232"/>
      <c r="X111" s="223"/>
      <c r="Y111" s="216"/>
    </row>
    <row r="112" spans="1:29" ht="14.25" customHeight="1">
      <c r="A112" s="241">
        <v>36</v>
      </c>
      <c r="B112" s="241" t="s">
        <v>138</v>
      </c>
      <c r="C112" s="241" t="s">
        <v>139</v>
      </c>
      <c r="D112" s="112" t="s">
        <v>406</v>
      </c>
      <c r="E112" s="123">
        <v>1</v>
      </c>
      <c r="F112" s="108">
        <v>440</v>
      </c>
      <c r="G112" s="112">
        <v>247</v>
      </c>
      <c r="H112" s="112">
        <v>70</v>
      </c>
      <c r="I112" s="112">
        <v>3</v>
      </c>
      <c r="J112" s="113">
        <v>4.5999999999999996</v>
      </c>
      <c r="K112" s="160">
        <v>2.5</v>
      </c>
      <c r="L112" s="112">
        <v>0.40699999999999997</v>
      </c>
      <c r="M112" s="159">
        <v>0.311</v>
      </c>
      <c r="N112" s="112">
        <v>9.5999999999999974E-2</v>
      </c>
      <c r="O112" s="114">
        <f>J112*L112-K112*N112</f>
        <v>1.6321999999999997</v>
      </c>
      <c r="P112" s="48" t="s">
        <v>395</v>
      </c>
      <c r="Q112" s="48" t="s">
        <v>396</v>
      </c>
      <c r="R112" s="122">
        <v>1</v>
      </c>
      <c r="S112" s="111">
        <v>0.08</v>
      </c>
      <c r="T112" s="122">
        <v>1</v>
      </c>
      <c r="U112" s="97">
        <f t="shared" si="13"/>
        <v>0.08</v>
      </c>
      <c r="V112" s="272">
        <v>1.1200000000000001</v>
      </c>
      <c r="W112" s="272">
        <f>(O112+SUM(U112:U116))*V112+SUM(O113:O115)*1.03</f>
        <v>3.1598239999999995</v>
      </c>
      <c r="X112" s="257">
        <v>4.3048000000000002</v>
      </c>
      <c r="Y112" s="219">
        <f>1-W112/X112</f>
        <v>0.2659765842780154</v>
      </c>
      <c r="AC112" s="106"/>
    </row>
    <row r="113" spans="1:29">
      <c r="A113" s="241"/>
      <c r="B113" s="241"/>
      <c r="C113" s="241"/>
      <c r="D113" s="107" t="s">
        <v>407</v>
      </c>
      <c r="E113" s="48">
        <v>2</v>
      </c>
      <c r="F113" s="48"/>
      <c r="G113" s="107"/>
      <c r="H113" s="107"/>
      <c r="I113" s="107"/>
      <c r="J113" s="111">
        <v>0.34100000000000003</v>
      </c>
      <c r="K113" s="111"/>
      <c r="L113" s="107"/>
      <c r="M113" s="107"/>
      <c r="N113" s="107"/>
      <c r="O113" s="167">
        <f>E113*J113</f>
        <v>0.68200000000000005</v>
      </c>
      <c r="P113" s="48" t="s">
        <v>397</v>
      </c>
      <c r="Q113" s="48" t="s">
        <v>398</v>
      </c>
      <c r="R113" s="122">
        <v>1</v>
      </c>
      <c r="S113" s="111">
        <v>0.05</v>
      </c>
      <c r="T113" s="122">
        <v>1</v>
      </c>
      <c r="U113" s="97">
        <f t="shared" si="13"/>
        <v>0.05</v>
      </c>
      <c r="V113" s="273"/>
      <c r="W113" s="273"/>
      <c r="X113" s="275"/>
      <c r="Y113" s="220"/>
      <c r="AC113" s="106"/>
    </row>
    <row r="114" spans="1:29">
      <c r="A114" s="241"/>
      <c r="B114" s="241"/>
      <c r="C114" s="241"/>
      <c r="D114" s="107" t="s">
        <v>408</v>
      </c>
      <c r="E114" s="48">
        <v>1</v>
      </c>
      <c r="F114" s="48"/>
      <c r="G114" s="107"/>
      <c r="H114" s="107"/>
      <c r="I114" s="107"/>
      <c r="J114" s="111">
        <v>0.28000000000000003</v>
      </c>
      <c r="K114" s="111"/>
      <c r="L114" s="107"/>
      <c r="M114" s="107"/>
      <c r="N114" s="107"/>
      <c r="O114" s="167">
        <f t="shared" ref="O114:O115" si="14">E114*J114</f>
        <v>0.28000000000000003</v>
      </c>
      <c r="P114" s="48" t="s">
        <v>399</v>
      </c>
      <c r="Q114" s="48" t="s">
        <v>398</v>
      </c>
      <c r="R114" s="122">
        <v>1</v>
      </c>
      <c r="S114" s="111">
        <v>0.05</v>
      </c>
      <c r="T114" s="122">
        <v>1</v>
      </c>
      <c r="U114" s="97">
        <f t="shared" si="13"/>
        <v>0.05</v>
      </c>
      <c r="V114" s="273"/>
      <c r="W114" s="273"/>
      <c r="X114" s="275"/>
      <c r="Y114" s="220"/>
      <c r="AC114" s="106"/>
    </row>
    <row r="115" spans="1:29">
      <c r="A115" s="241"/>
      <c r="B115" s="241"/>
      <c r="C115" s="241"/>
      <c r="D115" s="107" t="s">
        <v>409</v>
      </c>
      <c r="E115" s="48">
        <v>1</v>
      </c>
      <c r="F115" s="48"/>
      <c r="G115" s="107"/>
      <c r="H115" s="107"/>
      <c r="I115" s="107"/>
      <c r="J115" s="111">
        <v>7.0000000000000007E-2</v>
      </c>
      <c r="K115" s="111"/>
      <c r="L115" s="107"/>
      <c r="M115" s="107"/>
      <c r="N115" s="107"/>
      <c r="O115" s="167">
        <f t="shared" si="14"/>
        <v>7.0000000000000007E-2</v>
      </c>
      <c r="P115" s="48" t="s">
        <v>397</v>
      </c>
      <c r="Q115" s="48" t="s">
        <v>402</v>
      </c>
      <c r="R115" s="122">
        <v>1</v>
      </c>
      <c r="S115" s="111">
        <v>0.03</v>
      </c>
      <c r="T115" s="122">
        <v>1</v>
      </c>
      <c r="U115" s="97">
        <f t="shared" si="13"/>
        <v>0.03</v>
      </c>
      <c r="V115" s="273"/>
      <c r="W115" s="273"/>
      <c r="X115" s="275"/>
      <c r="Y115" s="220"/>
      <c r="AC115" s="106"/>
    </row>
    <row r="116" spans="1:29">
      <c r="A116" s="241"/>
      <c r="B116" s="241"/>
      <c r="C116" s="241"/>
      <c r="D116" s="107"/>
      <c r="E116" s="48"/>
      <c r="F116" s="48"/>
      <c r="G116" s="107"/>
      <c r="H116" s="107"/>
      <c r="I116" s="107"/>
      <c r="J116" s="111"/>
      <c r="K116" s="111"/>
      <c r="L116" s="107"/>
      <c r="M116" s="107"/>
      <c r="N116" s="107"/>
      <c r="O116" s="167"/>
      <c r="P116" s="48" t="s">
        <v>401</v>
      </c>
      <c r="Q116" s="48" t="s">
        <v>402</v>
      </c>
      <c r="R116" s="122">
        <v>1</v>
      </c>
      <c r="S116" s="111">
        <v>0.03</v>
      </c>
      <c r="T116" s="122">
        <v>1</v>
      </c>
      <c r="U116" s="97">
        <f t="shared" si="13"/>
        <v>0.03</v>
      </c>
      <c r="V116" s="274"/>
      <c r="W116" s="274"/>
      <c r="X116" s="258"/>
      <c r="Y116" s="221"/>
      <c r="Z116" s="106"/>
    </row>
    <row r="117" spans="1:29">
      <c r="A117" s="263">
        <v>37</v>
      </c>
      <c r="B117" s="263" t="s">
        <v>141</v>
      </c>
      <c r="C117" s="263" t="s">
        <v>142</v>
      </c>
      <c r="D117" s="263"/>
      <c r="E117" s="263"/>
      <c r="F117" s="263" t="s">
        <v>410</v>
      </c>
      <c r="G117" s="263">
        <v>84</v>
      </c>
      <c r="H117" s="263">
        <v>41</v>
      </c>
      <c r="I117" s="263">
        <v>2</v>
      </c>
      <c r="J117" s="268">
        <v>4.3</v>
      </c>
      <c r="K117" s="268">
        <v>2.5</v>
      </c>
      <c r="L117" s="263">
        <v>5.5E-2</v>
      </c>
      <c r="M117" s="263">
        <v>2.5000000000000001E-2</v>
      </c>
      <c r="N117" s="263">
        <v>0.03</v>
      </c>
      <c r="O117" s="239">
        <f>J117*L117-K117*N117</f>
        <v>0.16149999999999998</v>
      </c>
      <c r="P117" s="48" t="s">
        <v>395</v>
      </c>
      <c r="Q117" s="48" t="s">
        <v>400</v>
      </c>
      <c r="R117" s="122">
        <v>1</v>
      </c>
      <c r="S117" s="111">
        <v>0.03</v>
      </c>
      <c r="T117" s="122">
        <v>1</v>
      </c>
      <c r="U117" s="97">
        <f t="shared" si="13"/>
        <v>0.03</v>
      </c>
      <c r="V117" s="229">
        <v>1.1200000000000001</v>
      </c>
      <c r="W117" s="232">
        <f>(O117+SUM(U117:U118))*V117</f>
        <v>0.24807999999999999</v>
      </c>
      <c r="X117" s="224">
        <v>0.27050000000000002</v>
      </c>
      <c r="Y117" s="218">
        <f>1-W117/X117</f>
        <v>8.2883548983364252E-2</v>
      </c>
      <c r="AC117" s="106"/>
    </row>
    <row r="118" spans="1:29">
      <c r="A118" s="265"/>
      <c r="B118" s="265"/>
      <c r="C118" s="265"/>
      <c r="D118" s="265"/>
      <c r="E118" s="265"/>
      <c r="F118" s="265"/>
      <c r="G118" s="265"/>
      <c r="H118" s="265"/>
      <c r="I118" s="265"/>
      <c r="J118" s="270"/>
      <c r="K118" s="270"/>
      <c r="L118" s="265"/>
      <c r="M118" s="265"/>
      <c r="N118" s="265"/>
      <c r="O118" s="239"/>
      <c r="P118" s="48" t="s">
        <v>399</v>
      </c>
      <c r="Q118" s="48" t="s">
        <v>402</v>
      </c>
      <c r="R118" s="122">
        <v>1</v>
      </c>
      <c r="S118" s="111">
        <v>0.03</v>
      </c>
      <c r="T118" s="122">
        <v>1</v>
      </c>
      <c r="U118" s="97">
        <f t="shared" si="13"/>
        <v>0.03</v>
      </c>
      <c r="V118" s="231"/>
      <c r="W118" s="232"/>
      <c r="X118" s="224"/>
      <c r="Y118" s="218"/>
      <c r="AC118" s="106"/>
    </row>
    <row r="119" spans="1:29">
      <c r="A119" s="263">
        <v>38</v>
      </c>
      <c r="B119" s="263" t="s">
        <v>144</v>
      </c>
      <c r="C119" s="263" t="s">
        <v>145</v>
      </c>
      <c r="D119" s="263"/>
      <c r="E119" s="263"/>
      <c r="F119" s="263" t="s">
        <v>410</v>
      </c>
      <c r="G119" s="263">
        <v>162</v>
      </c>
      <c r="H119" s="263">
        <v>107</v>
      </c>
      <c r="I119" s="263">
        <v>1</v>
      </c>
      <c r="J119" s="268">
        <v>4.3</v>
      </c>
      <c r="K119" s="268">
        <v>2.5</v>
      </c>
      <c r="L119" s="263">
        <v>0.13600000000000001</v>
      </c>
      <c r="M119" s="263">
        <v>7.5999999999999998E-2</v>
      </c>
      <c r="N119" s="263">
        <v>6.0000000000000012E-2</v>
      </c>
      <c r="O119" s="239">
        <f>J119*L119-K119*N119</f>
        <v>0.43479999999999996</v>
      </c>
      <c r="P119" s="48" t="s">
        <v>395</v>
      </c>
      <c r="Q119" s="48" t="s">
        <v>400</v>
      </c>
      <c r="R119" s="122">
        <v>1</v>
      </c>
      <c r="S119" s="111">
        <v>0.03</v>
      </c>
      <c r="T119" s="122">
        <v>1</v>
      </c>
      <c r="U119" s="97">
        <f t="shared" si="13"/>
        <v>0.03</v>
      </c>
      <c r="V119" s="229">
        <v>1.1200000000000001</v>
      </c>
      <c r="W119" s="232">
        <f>(O119+SUM(U119:U120))*V119</f>
        <v>0.554176</v>
      </c>
      <c r="X119" s="224">
        <v>0.60019999999999996</v>
      </c>
      <c r="Y119" s="218">
        <f>1-W119/X119</f>
        <v>7.6681106297900592E-2</v>
      </c>
      <c r="AC119" s="106"/>
    </row>
    <row r="120" spans="1:29">
      <c r="A120" s="265"/>
      <c r="B120" s="265"/>
      <c r="C120" s="265"/>
      <c r="D120" s="265"/>
      <c r="E120" s="265"/>
      <c r="F120" s="265"/>
      <c r="G120" s="265"/>
      <c r="H120" s="265"/>
      <c r="I120" s="265"/>
      <c r="J120" s="270"/>
      <c r="K120" s="270"/>
      <c r="L120" s="265"/>
      <c r="M120" s="265"/>
      <c r="N120" s="265"/>
      <c r="O120" s="239"/>
      <c r="P120" s="48" t="s">
        <v>399</v>
      </c>
      <c r="Q120" s="48" t="s">
        <v>400</v>
      </c>
      <c r="R120" s="122">
        <v>1</v>
      </c>
      <c r="S120" s="111">
        <v>0.03</v>
      </c>
      <c r="T120" s="122">
        <v>1</v>
      </c>
      <c r="U120" s="97">
        <f t="shared" si="13"/>
        <v>0.03</v>
      </c>
      <c r="V120" s="231"/>
      <c r="W120" s="232"/>
      <c r="X120" s="224"/>
      <c r="Y120" s="218"/>
      <c r="AC120" s="106"/>
    </row>
    <row r="121" spans="1:29">
      <c r="A121" s="263">
        <v>39</v>
      </c>
      <c r="B121" s="263" t="s">
        <v>147</v>
      </c>
      <c r="C121" s="263" t="s">
        <v>148</v>
      </c>
      <c r="D121" s="263"/>
      <c r="E121" s="263"/>
      <c r="F121" s="263" t="s">
        <v>445</v>
      </c>
      <c r="G121" s="263">
        <v>247</v>
      </c>
      <c r="H121" s="263">
        <v>90</v>
      </c>
      <c r="I121" s="263">
        <v>3</v>
      </c>
      <c r="J121" s="268">
        <v>4.5999999999999996</v>
      </c>
      <c r="K121" s="268">
        <v>2.5</v>
      </c>
      <c r="L121" s="263">
        <v>0.52300000000000002</v>
      </c>
      <c r="M121" s="263">
        <v>0.40600000000000003</v>
      </c>
      <c r="N121" s="263">
        <v>0.11699999999999999</v>
      </c>
      <c r="O121" s="247">
        <f>J121*L121-K121*N121</f>
        <v>2.1132999999999997</v>
      </c>
      <c r="P121" s="48" t="s">
        <v>395</v>
      </c>
      <c r="Q121" s="48" t="s">
        <v>396</v>
      </c>
      <c r="R121" s="122">
        <v>1</v>
      </c>
      <c r="S121" s="111">
        <v>0.08</v>
      </c>
      <c r="T121" s="122">
        <v>1</v>
      </c>
      <c r="U121" s="97">
        <f t="shared" si="13"/>
        <v>0.08</v>
      </c>
      <c r="V121" s="229">
        <v>1.1200000000000001</v>
      </c>
      <c r="W121" s="232">
        <f>(O121+SUM(U121:U123))*V121</f>
        <v>2.5684960000000001</v>
      </c>
      <c r="X121" s="224">
        <v>2.4975000000000001</v>
      </c>
      <c r="Y121" s="214">
        <f>1-W121/X121</f>
        <v>-2.8426826826826845E-2</v>
      </c>
      <c r="AC121" s="106"/>
    </row>
    <row r="122" spans="1:29">
      <c r="A122" s="264"/>
      <c r="B122" s="264"/>
      <c r="C122" s="264"/>
      <c r="D122" s="264"/>
      <c r="E122" s="264"/>
      <c r="F122" s="264"/>
      <c r="G122" s="264"/>
      <c r="H122" s="264"/>
      <c r="I122" s="264"/>
      <c r="J122" s="269"/>
      <c r="K122" s="269"/>
      <c r="L122" s="264"/>
      <c r="M122" s="264"/>
      <c r="N122" s="264"/>
      <c r="O122" s="254"/>
      <c r="P122" s="48" t="s">
        <v>397</v>
      </c>
      <c r="Q122" s="48" t="s">
        <v>398</v>
      </c>
      <c r="R122" s="122">
        <v>1</v>
      </c>
      <c r="S122" s="111">
        <v>0.05</v>
      </c>
      <c r="T122" s="122">
        <v>1</v>
      </c>
      <c r="U122" s="97">
        <f t="shared" si="13"/>
        <v>0.05</v>
      </c>
      <c r="V122" s="230"/>
      <c r="W122" s="232"/>
      <c r="X122" s="224"/>
      <c r="Y122" s="215"/>
      <c r="AC122" s="106"/>
    </row>
    <row r="123" spans="1:29">
      <c r="A123" s="265"/>
      <c r="B123" s="265"/>
      <c r="C123" s="265"/>
      <c r="D123" s="265"/>
      <c r="E123" s="265"/>
      <c r="F123" s="265"/>
      <c r="G123" s="265"/>
      <c r="H123" s="265"/>
      <c r="I123" s="265"/>
      <c r="J123" s="270"/>
      <c r="K123" s="270"/>
      <c r="L123" s="265"/>
      <c r="M123" s="265"/>
      <c r="N123" s="265"/>
      <c r="O123" s="248"/>
      <c r="P123" s="48" t="s">
        <v>399</v>
      </c>
      <c r="Q123" s="48" t="s">
        <v>398</v>
      </c>
      <c r="R123" s="122">
        <v>1</v>
      </c>
      <c r="S123" s="111">
        <v>0.05</v>
      </c>
      <c r="T123" s="122">
        <v>1</v>
      </c>
      <c r="U123" s="97">
        <f t="shared" si="13"/>
        <v>0.05</v>
      </c>
      <c r="V123" s="231"/>
      <c r="W123" s="232"/>
      <c r="X123" s="224"/>
      <c r="Y123" s="216"/>
      <c r="AC123" s="106"/>
    </row>
    <row r="124" spans="1:29">
      <c r="A124" s="263">
        <v>40</v>
      </c>
      <c r="B124" s="263" t="s">
        <v>76</v>
      </c>
      <c r="C124" s="263" t="s">
        <v>150</v>
      </c>
      <c r="D124" s="107" t="s">
        <v>411</v>
      </c>
      <c r="E124" s="48">
        <v>1</v>
      </c>
      <c r="F124" s="48"/>
      <c r="G124" s="107"/>
      <c r="H124" s="107"/>
      <c r="I124" s="107"/>
      <c r="J124" s="111">
        <f>W121</f>
        <v>2.5684960000000001</v>
      </c>
      <c r="K124" s="111"/>
      <c r="L124" s="107"/>
      <c r="M124" s="107"/>
      <c r="N124" s="107"/>
      <c r="O124" s="167">
        <f>E124*J124</f>
        <v>2.5684960000000001</v>
      </c>
      <c r="P124" s="259" t="s">
        <v>413</v>
      </c>
      <c r="Q124" s="259"/>
      <c r="R124" s="259">
        <v>4</v>
      </c>
      <c r="S124" s="261">
        <v>0.05</v>
      </c>
      <c r="T124" s="259">
        <v>1</v>
      </c>
      <c r="U124" s="261">
        <f t="shared" si="13"/>
        <v>0.2</v>
      </c>
      <c r="V124" s="229">
        <v>1.1200000000000001</v>
      </c>
      <c r="W124" s="232">
        <f>U124*V124+O124+O125*1.03</f>
        <v>3.4310960000000001</v>
      </c>
      <c r="X124" s="257">
        <v>3.9881000000000002</v>
      </c>
      <c r="Y124" s="218">
        <f>1-W124/X124</f>
        <v>0.13966650786088619</v>
      </c>
      <c r="AC124" s="106"/>
    </row>
    <row r="125" spans="1:29">
      <c r="A125" s="265"/>
      <c r="B125" s="265"/>
      <c r="C125" s="265"/>
      <c r="D125" s="107" t="s">
        <v>412</v>
      </c>
      <c r="E125" s="48">
        <v>2</v>
      </c>
      <c r="F125" s="48"/>
      <c r="G125" s="107"/>
      <c r="H125" s="107"/>
      <c r="I125" s="107"/>
      <c r="J125" s="111">
        <v>0.31</v>
      </c>
      <c r="K125" s="111"/>
      <c r="L125" s="107"/>
      <c r="M125" s="107"/>
      <c r="N125" s="107"/>
      <c r="O125" s="167">
        <f>E125*J125</f>
        <v>0.62</v>
      </c>
      <c r="P125" s="260"/>
      <c r="Q125" s="260"/>
      <c r="R125" s="260"/>
      <c r="S125" s="262"/>
      <c r="T125" s="260"/>
      <c r="U125" s="262"/>
      <c r="V125" s="231"/>
      <c r="W125" s="232"/>
      <c r="X125" s="258"/>
      <c r="Y125" s="218"/>
      <c r="AC125" s="106"/>
    </row>
    <row r="126" spans="1:29" ht="14.25" customHeight="1">
      <c r="A126" s="242">
        <v>41</v>
      </c>
      <c r="B126" s="242" t="s">
        <v>152</v>
      </c>
      <c r="C126" s="242" t="s">
        <v>153</v>
      </c>
      <c r="D126" s="266" t="s">
        <v>411</v>
      </c>
      <c r="E126" s="266">
        <v>1</v>
      </c>
      <c r="F126" s="266" t="s">
        <v>445</v>
      </c>
      <c r="G126" s="266">
        <v>247</v>
      </c>
      <c r="H126" s="266">
        <v>70</v>
      </c>
      <c r="I126" s="266">
        <v>3</v>
      </c>
      <c r="J126" s="267">
        <v>4.5999999999999996</v>
      </c>
      <c r="K126" s="267">
        <v>2.5</v>
      </c>
      <c r="L126" s="266">
        <v>0.40699999999999997</v>
      </c>
      <c r="M126" s="266">
        <v>0.311</v>
      </c>
      <c r="N126" s="266">
        <v>9.5999999999999974E-2</v>
      </c>
      <c r="O126" s="239">
        <f>J126*L126-K126*N126</f>
        <v>1.6321999999999997</v>
      </c>
      <c r="P126" s="48" t="s">
        <v>395</v>
      </c>
      <c r="Q126" s="48" t="s">
        <v>396</v>
      </c>
      <c r="R126" s="122">
        <v>1</v>
      </c>
      <c r="S126" s="111">
        <v>0.08</v>
      </c>
      <c r="T126" s="122">
        <v>1</v>
      </c>
      <c r="U126" s="97">
        <f t="shared" ref="U126:U142" si="15">R126*S126/T126</f>
        <v>0.08</v>
      </c>
      <c r="V126" s="233">
        <v>1.1200000000000001</v>
      </c>
      <c r="W126" s="229">
        <f>(O126+SUM(U126:U130))*V126+O128*1.03</f>
        <v>2.9258639999999998</v>
      </c>
      <c r="X126" s="233">
        <v>3.7639999999999998</v>
      </c>
      <c r="Y126" s="219">
        <f>1-W126/X126</f>
        <v>0.22267162592986189</v>
      </c>
      <c r="AA126" s="106"/>
    </row>
    <row r="127" spans="1:29">
      <c r="A127" s="255"/>
      <c r="B127" s="255"/>
      <c r="C127" s="255"/>
      <c r="D127" s="266"/>
      <c r="E127" s="266"/>
      <c r="F127" s="266"/>
      <c r="G127" s="266"/>
      <c r="H127" s="266"/>
      <c r="I127" s="266"/>
      <c r="J127" s="267"/>
      <c r="K127" s="267"/>
      <c r="L127" s="266"/>
      <c r="M127" s="266"/>
      <c r="N127" s="266"/>
      <c r="O127" s="239"/>
      <c r="P127" s="48" t="s">
        <v>397</v>
      </c>
      <c r="Q127" s="48" t="s">
        <v>398</v>
      </c>
      <c r="R127" s="122">
        <v>1</v>
      </c>
      <c r="S127" s="111">
        <v>0.05</v>
      </c>
      <c r="T127" s="122">
        <v>1</v>
      </c>
      <c r="U127" s="97">
        <f t="shared" si="15"/>
        <v>0.05</v>
      </c>
      <c r="V127" s="234"/>
      <c r="W127" s="230"/>
      <c r="X127" s="234"/>
      <c r="Y127" s="220"/>
      <c r="AA127" s="106"/>
    </row>
    <row r="128" spans="1:29">
      <c r="A128" s="255"/>
      <c r="B128" s="255"/>
      <c r="C128" s="255"/>
      <c r="D128" s="266" t="s">
        <v>412</v>
      </c>
      <c r="E128" s="266">
        <v>2</v>
      </c>
      <c r="F128" s="266"/>
      <c r="G128" s="266"/>
      <c r="H128" s="266"/>
      <c r="I128" s="266"/>
      <c r="J128" s="267">
        <v>0.31</v>
      </c>
      <c r="K128" s="267"/>
      <c r="L128" s="266"/>
      <c r="M128" s="266"/>
      <c r="N128" s="266"/>
      <c r="O128" s="271">
        <f>E128*J128</f>
        <v>0.62</v>
      </c>
      <c r="P128" s="48" t="s">
        <v>399</v>
      </c>
      <c r="Q128" s="48" t="s">
        <v>398</v>
      </c>
      <c r="R128" s="122">
        <v>1</v>
      </c>
      <c r="S128" s="111">
        <v>0.05</v>
      </c>
      <c r="T128" s="122">
        <v>1</v>
      </c>
      <c r="U128" s="97">
        <f t="shared" si="15"/>
        <v>0.05</v>
      </c>
      <c r="V128" s="234"/>
      <c r="W128" s="230"/>
      <c r="X128" s="234"/>
      <c r="Y128" s="220"/>
      <c r="AA128" s="106"/>
    </row>
    <row r="129" spans="1:29">
      <c r="A129" s="255"/>
      <c r="B129" s="255"/>
      <c r="C129" s="255"/>
      <c r="D129" s="266"/>
      <c r="E129" s="266"/>
      <c r="F129" s="266"/>
      <c r="G129" s="266"/>
      <c r="H129" s="266"/>
      <c r="I129" s="266"/>
      <c r="J129" s="267"/>
      <c r="K129" s="267"/>
      <c r="L129" s="266"/>
      <c r="M129" s="266"/>
      <c r="N129" s="266"/>
      <c r="O129" s="271"/>
      <c r="P129" s="48" t="s">
        <v>397</v>
      </c>
      <c r="Q129" s="48" t="s">
        <v>402</v>
      </c>
      <c r="R129" s="122">
        <v>1</v>
      </c>
      <c r="S129" s="111">
        <v>0.03</v>
      </c>
      <c r="T129" s="122">
        <v>1</v>
      </c>
      <c r="U129" s="97">
        <f t="shared" si="15"/>
        <v>0.03</v>
      </c>
      <c r="V129" s="234"/>
      <c r="W129" s="230"/>
      <c r="X129" s="234"/>
      <c r="Y129" s="220"/>
      <c r="AA129" s="106"/>
    </row>
    <row r="130" spans="1:29">
      <c r="A130" s="243"/>
      <c r="B130" s="243"/>
      <c r="C130" s="243"/>
      <c r="D130" s="99"/>
      <c r="E130" s="100"/>
      <c r="F130" s="100"/>
      <c r="G130" s="99"/>
      <c r="H130" s="99"/>
      <c r="I130" s="99"/>
      <c r="J130" s="99"/>
      <c r="K130" s="99"/>
      <c r="L130" s="99"/>
      <c r="M130" s="99"/>
      <c r="N130" s="99"/>
      <c r="O130" s="174"/>
      <c r="P130" s="95" t="s">
        <v>413</v>
      </c>
      <c r="Q130" s="100"/>
      <c r="R130" s="122">
        <v>4</v>
      </c>
      <c r="S130" s="168">
        <v>0.05</v>
      </c>
      <c r="T130" s="122">
        <v>1</v>
      </c>
      <c r="U130" s="97">
        <f t="shared" si="15"/>
        <v>0.2</v>
      </c>
      <c r="V130" s="235"/>
      <c r="W130" s="231"/>
      <c r="X130" s="235"/>
      <c r="Y130" s="221"/>
    </row>
    <row r="131" spans="1:29">
      <c r="A131" s="263">
        <v>42</v>
      </c>
      <c r="B131" s="263" t="s">
        <v>155</v>
      </c>
      <c r="C131" s="263" t="s">
        <v>156</v>
      </c>
      <c r="D131" s="263"/>
      <c r="E131" s="263"/>
      <c r="F131" s="263" t="s">
        <v>445</v>
      </c>
      <c r="G131" s="263">
        <v>266</v>
      </c>
      <c r="H131" s="263">
        <v>68</v>
      </c>
      <c r="I131" s="263">
        <v>3</v>
      </c>
      <c r="J131" s="268">
        <v>4.5999999999999996</v>
      </c>
      <c r="K131" s="268">
        <v>2.5</v>
      </c>
      <c r="L131" s="263">
        <v>0.42599999999999999</v>
      </c>
      <c r="M131" s="263">
        <v>0.32300000000000001</v>
      </c>
      <c r="N131" s="263">
        <v>0.10299999999999998</v>
      </c>
      <c r="O131" s="247">
        <f>J131*L131-K131*N131</f>
        <v>1.7020999999999997</v>
      </c>
      <c r="P131" s="48" t="s">
        <v>395</v>
      </c>
      <c r="Q131" s="48" t="s">
        <v>396</v>
      </c>
      <c r="R131" s="124">
        <v>1</v>
      </c>
      <c r="S131" s="111">
        <v>0.08</v>
      </c>
      <c r="T131" s="122">
        <v>1</v>
      </c>
      <c r="U131" s="97">
        <f t="shared" si="15"/>
        <v>0.08</v>
      </c>
      <c r="V131" s="229">
        <v>1.1200000000000001</v>
      </c>
      <c r="W131" s="232">
        <f>(O131+SUM(U131:U133))*V131</f>
        <v>2.0855519999999999</v>
      </c>
      <c r="X131" s="223">
        <v>2.0320999999999998</v>
      </c>
      <c r="Y131" s="214">
        <f>1-W131/X131</f>
        <v>-2.6303823630726919E-2</v>
      </c>
      <c r="AC131" s="106"/>
    </row>
    <row r="132" spans="1:29">
      <c r="A132" s="264"/>
      <c r="B132" s="264"/>
      <c r="C132" s="264"/>
      <c r="D132" s="264"/>
      <c r="E132" s="264"/>
      <c r="F132" s="264"/>
      <c r="G132" s="264"/>
      <c r="H132" s="264"/>
      <c r="I132" s="264"/>
      <c r="J132" s="269"/>
      <c r="K132" s="269"/>
      <c r="L132" s="264"/>
      <c r="M132" s="264"/>
      <c r="N132" s="264"/>
      <c r="O132" s="254"/>
      <c r="P132" s="48" t="s">
        <v>397</v>
      </c>
      <c r="Q132" s="48" t="s">
        <v>402</v>
      </c>
      <c r="R132" s="124">
        <v>1</v>
      </c>
      <c r="S132" s="111">
        <v>0.03</v>
      </c>
      <c r="T132" s="122">
        <v>1</v>
      </c>
      <c r="U132" s="97">
        <f t="shared" si="15"/>
        <v>0.03</v>
      </c>
      <c r="V132" s="230"/>
      <c r="W132" s="232"/>
      <c r="X132" s="223"/>
      <c r="Y132" s="215"/>
      <c r="AC132" s="106"/>
    </row>
    <row r="133" spans="1:29">
      <c r="A133" s="265"/>
      <c r="B133" s="265"/>
      <c r="C133" s="265"/>
      <c r="D133" s="265"/>
      <c r="E133" s="265"/>
      <c r="F133" s="265"/>
      <c r="G133" s="265"/>
      <c r="H133" s="265"/>
      <c r="I133" s="265"/>
      <c r="J133" s="270"/>
      <c r="K133" s="270"/>
      <c r="L133" s="265"/>
      <c r="M133" s="265"/>
      <c r="N133" s="265"/>
      <c r="O133" s="248"/>
      <c r="P133" s="48" t="s">
        <v>399</v>
      </c>
      <c r="Q133" s="48" t="s">
        <v>398</v>
      </c>
      <c r="R133" s="124">
        <v>1</v>
      </c>
      <c r="S133" s="111">
        <v>0.05</v>
      </c>
      <c r="T133" s="122">
        <v>1</v>
      </c>
      <c r="U133" s="97">
        <f t="shared" si="15"/>
        <v>0.05</v>
      </c>
      <c r="V133" s="231"/>
      <c r="W133" s="232"/>
      <c r="X133" s="223"/>
      <c r="Y133" s="216"/>
      <c r="AC133" s="106"/>
    </row>
    <row r="134" spans="1:29">
      <c r="A134" s="233">
        <v>43</v>
      </c>
      <c r="B134" s="233" t="s">
        <v>385</v>
      </c>
      <c r="C134" s="242" t="s">
        <v>386</v>
      </c>
      <c r="D134" s="233"/>
      <c r="E134" s="233"/>
      <c r="F134" s="233" t="s">
        <v>363</v>
      </c>
      <c r="G134" s="233">
        <v>271</v>
      </c>
      <c r="H134" s="233">
        <v>26</v>
      </c>
      <c r="I134" s="233">
        <v>2</v>
      </c>
      <c r="J134" s="229">
        <v>4.3</v>
      </c>
      <c r="K134" s="229">
        <v>2.5</v>
      </c>
      <c r="L134" s="245">
        <v>0.111</v>
      </c>
      <c r="M134" s="245">
        <v>7.3999999999999996E-2</v>
      </c>
      <c r="N134" s="245">
        <f>L134-M134</f>
        <v>3.7000000000000005E-2</v>
      </c>
      <c r="O134" s="247">
        <f>J134*L134-K134*N134</f>
        <v>0.38479999999999998</v>
      </c>
      <c r="P134" s="96" t="s">
        <v>364</v>
      </c>
      <c r="Q134" s="122" t="s">
        <v>383</v>
      </c>
      <c r="R134" s="122">
        <v>1</v>
      </c>
      <c r="S134" s="97">
        <v>0.05</v>
      </c>
      <c r="T134" s="122">
        <v>1</v>
      </c>
      <c r="U134" s="97">
        <f t="shared" ref="U134:U140" si="16">R134*S134/T134</f>
        <v>0.05</v>
      </c>
      <c r="V134" s="229">
        <v>1.1200000000000001</v>
      </c>
      <c r="W134" s="232">
        <f>(O134+SUM(U134:U136))*V134</f>
        <v>0.554176</v>
      </c>
      <c r="X134" s="250">
        <v>0.58409999999999995</v>
      </c>
      <c r="Y134" s="214">
        <f>1-W134/X134</f>
        <v>5.1230953603834894E-2</v>
      </c>
      <c r="AC134" s="106"/>
    </row>
    <row r="135" spans="1:29">
      <c r="A135" s="234"/>
      <c r="B135" s="234"/>
      <c r="C135" s="255"/>
      <c r="D135" s="234"/>
      <c r="E135" s="234"/>
      <c r="F135" s="234"/>
      <c r="G135" s="234"/>
      <c r="H135" s="234"/>
      <c r="I135" s="234"/>
      <c r="J135" s="230"/>
      <c r="K135" s="230"/>
      <c r="L135" s="253"/>
      <c r="M135" s="253"/>
      <c r="N135" s="253"/>
      <c r="O135" s="254"/>
      <c r="P135" s="96" t="s">
        <v>366</v>
      </c>
      <c r="Q135" s="122" t="s">
        <v>365</v>
      </c>
      <c r="R135" s="122">
        <v>1</v>
      </c>
      <c r="S135" s="97">
        <v>0.03</v>
      </c>
      <c r="T135" s="122">
        <v>1</v>
      </c>
      <c r="U135" s="97">
        <f t="shared" si="16"/>
        <v>0.03</v>
      </c>
      <c r="V135" s="230"/>
      <c r="W135" s="232"/>
      <c r="X135" s="251"/>
      <c r="Y135" s="215"/>
      <c r="AC135" s="106"/>
    </row>
    <row r="136" spans="1:29">
      <c r="A136" s="235"/>
      <c r="B136" s="235"/>
      <c r="C136" s="243"/>
      <c r="D136" s="235"/>
      <c r="E136" s="235"/>
      <c r="F136" s="235"/>
      <c r="G136" s="235"/>
      <c r="H136" s="235"/>
      <c r="I136" s="235"/>
      <c r="J136" s="231"/>
      <c r="K136" s="231"/>
      <c r="L136" s="246"/>
      <c r="M136" s="246"/>
      <c r="N136" s="246"/>
      <c r="O136" s="248"/>
      <c r="P136" s="96" t="s">
        <v>368</v>
      </c>
      <c r="Q136" s="122" t="s">
        <v>365</v>
      </c>
      <c r="R136" s="122">
        <v>1</v>
      </c>
      <c r="S136" s="97">
        <v>0.03</v>
      </c>
      <c r="T136" s="122">
        <v>1</v>
      </c>
      <c r="U136" s="97">
        <f t="shared" si="16"/>
        <v>0.03</v>
      </c>
      <c r="V136" s="231"/>
      <c r="W136" s="232"/>
      <c r="X136" s="252"/>
      <c r="Y136" s="216"/>
      <c r="AC136" s="106"/>
    </row>
    <row r="137" spans="1:29">
      <c r="A137" s="240">
        <v>44</v>
      </c>
      <c r="B137" s="240" t="s">
        <v>160</v>
      </c>
      <c r="C137" s="241" t="s">
        <v>161</v>
      </c>
      <c r="D137" s="241"/>
      <c r="E137" s="241"/>
      <c r="F137" s="249" t="s">
        <v>445</v>
      </c>
      <c r="G137" s="240">
        <v>120</v>
      </c>
      <c r="H137" s="240">
        <v>84</v>
      </c>
      <c r="I137" s="240">
        <v>3</v>
      </c>
      <c r="J137" s="232">
        <v>4.5999999999999996</v>
      </c>
      <c r="K137" s="232">
        <v>2.5</v>
      </c>
      <c r="L137" s="238">
        <v>0.23599999999999999</v>
      </c>
      <c r="M137" s="238">
        <v>0.16400000000000001</v>
      </c>
      <c r="N137" s="238">
        <f>L137-M137</f>
        <v>7.1999999999999981E-2</v>
      </c>
      <c r="O137" s="239">
        <f>J137*L137-K137*N137</f>
        <v>0.90559999999999996</v>
      </c>
      <c r="P137" s="96" t="s">
        <v>364</v>
      </c>
      <c r="Q137" s="122" t="s">
        <v>383</v>
      </c>
      <c r="R137" s="122">
        <v>1</v>
      </c>
      <c r="S137" s="97">
        <v>0.05</v>
      </c>
      <c r="T137" s="122">
        <v>1</v>
      </c>
      <c r="U137" s="97">
        <f t="shared" si="16"/>
        <v>0.05</v>
      </c>
      <c r="V137" s="229">
        <v>1.1200000000000001</v>
      </c>
      <c r="W137" s="232">
        <f>(O137+SUM(U137:U138))*V137</f>
        <v>1.1262720000000002</v>
      </c>
      <c r="X137" s="222">
        <v>1.1062000000000001</v>
      </c>
      <c r="Y137" s="218">
        <f>1-W137/X137</f>
        <v>-1.8145000903995845E-2</v>
      </c>
      <c r="AC137" s="106"/>
    </row>
    <row r="138" spans="1:29">
      <c r="A138" s="240"/>
      <c r="B138" s="240"/>
      <c r="C138" s="241"/>
      <c r="D138" s="241"/>
      <c r="E138" s="241"/>
      <c r="F138" s="241"/>
      <c r="G138" s="240"/>
      <c r="H138" s="240"/>
      <c r="I138" s="240"/>
      <c r="J138" s="232"/>
      <c r="K138" s="232"/>
      <c r="L138" s="238"/>
      <c r="M138" s="238"/>
      <c r="N138" s="238"/>
      <c r="O138" s="239"/>
      <c r="P138" s="96" t="s">
        <v>368</v>
      </c>
      <c r="Q138" s="122" t="s">
        <v>383</v>
      </c>
      <c r="R138" s="122">
        <v>1</v>
      </c>
      <c r="S138" s="97">
        <v>0.05</v>
      </c>
      <c r="T138" s="122">
        <v>1</v>
      </c>
      <c r="U138" s="97">
        <f t="shared" si="16"/>
        <v>0.05</v>
      </c>
      <c r="V138" s="231"/>
      <c r="W138" s="232"/>
      <c r="X138" s="222"/>
      <c r="Y138" s="218"/>
      <c r="AC138" s="106"/>
    </row>
    <row r="139" spans="1:29">
      <c r="A139" s="240">
        <v>45</v>
      </c>
      <c r="B139" s="240" t="s">
        <v>163</v>
      </c>
      <c r="C139" s="241" t="s">
        <v>164</v>
      </c>
      <c r="D139" s="241"/>
      <c r="E139" s="241"/>
      <c r="F139" s="249" t="s">
        <v>445</v>
      </c>
      <c r="G139" s="240">
        <v>120</v>
      </c>
      <c r="H139" s="240">
        <v>84</v>
      </c>
      <c r="I139" s="240">
        <v>3</v>
      </c>
      <c r="J139" s="232">
        <v>4.5999999999999996</v>
      </c>
      <c r="K139" s="232">
        <v>2.5</v>
      </c>
      <c r="L139" s="238">
        <v>0.23599999999999999</v>
      </c>
      <c r="M139" s="238">
        <v>0.16400000000000001</v>
      </c>
      <c r="N139" s="238">
        <f>L139-M139</f>
        <v>7.1999999999999981E-2</v>
      </c>
      <c r="O139" s="239">
        <f>J139*L139-K139*N139</f>
        <v>0.90559999999999996</v>
      </c>
      <c r="P139" s="96" t="s">
        <v>364</v>
      </c>
      <c r="Q139" s="122" t="s">
        <v>383</v>
      </c>
      <c r="R139" s="122">
        <v>1</v>
      </c>
      <c r="S139" s="97">
        <v>0.05</v>
      </c>
      <c r="T139" s="122">
        <v>1</v>
      </c>
      <c r="U139" s="97">
        <f t="shared" si="16"/>
        <v>0.05</v>
      </c>
      <c r="V139" s="229">
        <v>1.1200000000000001</v>
      </c>
      <c r="W139" s="232">
        <f>(O139+SUM(U139:U140))*V139</f>
        <v>1.1262720000000002</v>
      </c>
      <c r="X139" s="222">
        <v>1.1062000000000001</v>
      </c>
      <c r="Y139" s="218">
        <f>1-W139/X139</f>
        <v>-1.8145000903995845E-2</v>
      </c>
    </row>
    <row r="140" spans="1:29">
      <c r="A140" s="240"/>
      <c r="B140" s="240"/>
      <c r="C140" s="241"/>
      <c r="D140" s="241"/>
      <c r="E140" s="241"/>
      <c r="F140" s="241"/>
      <c r="G140" s="240"/>
      <c r="H140" s="240"/>
      <c r="I140" s="240"/>
      <c r="J140" s="232"/>
      <c r="K140" s="232"/>
      <c r="L140" s="238"/>
      <c r="M140" s="238"/>
      <c r="N140" s="238"/>
      <c r="O140" s="239"/>
      <c r="P140" s="96" t="s">
        <v>368</v>
      </c>
      <c r="Q140" s="122" t="s">
        <v>383</v>
      </c>
      <c r="R140" s="122">
        <v>1</v>
      </c>
      <c r="S140" s="97">
        <v>0.05</v>
      </c>
      <c r="T140" s="122">
        <v>1</v>
      </c>
      <c r="U140" s="97">
        <f t="shared" si="16"/>
        <v>0.05</v>
      </c>
      <c r="V140" s="231"/>
      <c r="W140" s="232"/>
      <c r="X140" s="222"/>
      <c r="Y140" s="218"/>
    </row>
    <row r="141" spans="1:29">
      <c r="A141" s="259">
        <v>46</v>
      </c>
      <c r="B141" s="259" t="s">
        <v>166</v>
      </c>
      <c r="C141" s="263" t="s">
        <v>167</v>
      </c>
      <c r="D141" s="259"/>
      <c r="E141" s="259"/>
      <c r="F141" s="259" t="s">
        <v>414</v>
      </c>
      <c r="G141" s="259">
        <v>72</v>
      </c>
      <c r="H141" s="259">
        <v>60</v>
      </c>
      <c r="I141" s="259">
        <v>3</v>
      </c>
      <c r="J141" s="261">
        <v>4.3</v>
      </c>
      <c r="K141" s="261">
        <v>2.5</v>
      </c>
      <c r="L141" s="259">
        <v>0.10199999999999999</v>
      </c>
      <c r="M141" s="259">
        <v>5.8000000000000003E-2</v>
      </c>
      <c r="N141" s="259">
        <v>4.3999999999999991E-2</v>
      </c>
      <c r="O141" s="239">
        <f>J141*L141-K141*N141</f>
        <v>0.32859999999999995</v>
      </c>
      <c r="P141" s="48" t="s">
        <v>395</v>
      </c>
      <c r="Q141" s="48" t="s">
        <v>398</v>
      </c>
      <c r="R141" s="124">
        <v>1</v>
      </c>
      <c r="S141" s="111">
        <v>0.05</v>
      </c>
      <c r="T141" s="122">
        <v>1</v>
      </c>
      <c r="U141" s="97">
        <f t="shared" si="15"/>
        <v>0.05</v>
      </c>
      <c r="V141" s="229">
        <v>1.1200000000000001</v>
      </c>
      <c r="W141" s="232">
        <f>(O141+SUM(U141:U142))*V141</f>
        <v>0.48003200000000001</v>
      </c>
      <c r="X141" s="257">
        <v>0.49480000000000002</v>
      </c>
      <c r="Y141" s="218">
        <f>1-W141/X141</f>
        <v>2.9846402586903853E-2</v>
      </c>
      <c r="AC141" s="106"/>
    </row>
    <row r="142" spans="1:29">
      <c r="A142" s="260"/>
      <c r="B142" s="260"/>
      <c r="C142" s="265"/>
      <c r="D142" s="260"/>
      <c r="E142" s="260"/>
      <c r="F142" s="260"/>
      <c r="G142" s="260"/>
      <c r="H142" s="260"/>
      <c r="I142" s="260"/>
      <c r="J142" s="262"/>
      <c r="K142" s="262"/>
      <c r="L142" s="260"/>
      <c r="M142" s="260"/>
      <c r="N142" s="260"/>
      <c r="O142" s="239"/>
      <c r="P142" s="48" t="s">
        <v>399</v>
      </c>
      <c r="Q142" s="48" t="s">
        <v>398</v>
      </c>
      <c r="R142" s="124">
        <v>1</v>
      </c>
      <c r="S142" s="111">
        <v>0.05</v>
      </c>
      <c r="T142" s="122">
        <v>1</v>
      </c>
      <c r="U142" s="97">
        <f t="shared" si="15"/>
        <v>0.05</v>
      </c>
      <c r="V142" s="231"/>
      <c r="W142" s="232"/>
      <c r="X142" s="258"/>
      <c r="Y142" s="218"/>
      <c r="AC142" s="106"/>
    </row>
    <row r="143" spans="1:29">
      <c r="A143" s="240">
        <v>47</v>
      </c>
      <c r="B143" s="240" t="s">
        <v>391</v>
      </c>
      <c r="C143" s="241" t="s">
        <v>392</v>
      </c>
      <c r="D143" s="240"/>
      <c r="E143" s="240"/>
      <c r="F143" s="240" t="s">
        <v>363</v>
      </c>
      <c r="G143" s="240">
        <v>55</v>
      </c>
      <c r="H143" s="240">
        <v>36</v>
      </c>
      <c r="I143" s="240">
        <v>3</v>
      </c>
      <c r="J143" s="232">
        <v>4.3</v>
      </c>
      <c r="K143" s="232">
        <v>2.5</v>
      </c>
      <c r="L143" s="238">
        <v>4.7E-2</v>
      </c>
      <c r="M143" s="238">
        <v>1.7000000000000001E-2</v>
      </c>
      <c r="N143" s="238">
        <f>L143-M143</f>
        <v>0.03</v>
      </c>
      <c r="O143" s="239">
        <f>J143*L143-K143*N143</f>
        <v>0.12709999999999999</v>
      </c>
      <c r="P143" s="96" t="s">
        <v>364</v>
      </c>
      <c r="Q143" s="122" t="s">
        <v>365</v>
      </c>
      <c r="R143" s="122">
        <v>1</v>
      </c>
      <c r="S143" s="97">
        <v>0.03</v>
      </c>
      <c r="T143" s="122">
        <v>1</v>
      </c>
      <c r="U143" s="97">
        <f t="shared" ref="U143:U237" si="17">R143*S143/T143</f>
        <v>0.03</v>
      </c>
      <c r="V143" s="229">
        <v>1.1200000000000001</v>
      </c>
      <c r="W143" s="232">
        <f>(O143+SUM(U143:U144))*V143</f>
        <v>0.20955200000000002</v>
      </c>
      <c r="X143" s="222">
        <v>0.2009</v>
      </c>
      <c r="Y143" s="218">
        <f>1-W143/X143</f>
        <v>-4.3066202090592531E-2</v>
      </c>
      <c r="AC143" s="106"/>
    </row>
    <row r="144" spans="1:29">
      <c r="A144" s="240"/>
      <c r="B144" s="240"/>
      <c r="C144" s="241"/>
      <c r="D144" s="240"/>
      <c r="E144" s="240"/>
      <c r="F144" s="240"/>
      <c r="G144" s="240"/>
      <c r="H144" s="240"/>
      <c r="I144" s="240"/>
      <c r="J144" s="232"/>
      <c r="K144" s="232"/>
      <c r="L144" s="238"/>
      <c r="M144" s="238"/>
      <c r="N144" s="238"/>
      <c r="O144" s="239"/>
      <c r="P144" s="96" t="s">
        <v>366</v>
      </c>
      <c r="Q144" s="122" t="s">
        <v>365</v>
      </c>
      <c r="R144" s="122">
        <v>1</v>
      </c>
      <c r="S144" s="97">
        <v>0.03</v>
      </c>
      <c r="T144" s="122">
        <v>1</v>
      </c>
      <c r="U144" s="97">
        <f t="shared" si="17"/>
        <v>0.03</v>
      </c>
      <c r="V144" s="231"/>
      <c r="W144" s="232"/>
      <c r="X144" s="222"/>
      <c r="Y144" s="218"/>
      <c r="AC144" s="106"/>
    </row>
    <row r="145" spans="1:30">
      <c r="A145" s="233">
        <v>48</v>
      </c>
      <c r="B145" s="233" t="s">
        <v>389</v>
      </c>
      <c r="C145" s="242" t="s">
        <v>390</v>
      </c>
      <c r="D145" s="233"/>
      <c r="E145" s="233"/>
      <c r="F145" s="233" t="s">
        <v>363</v>
      </c>
      <c r="G145" s="233">
        <v>35</v>
      </c>
      <c r="H145" s="233">
        <v>35</v>
      </c>
      <c r="I145" s="233">
        <v>1</v>
      </c>
      <c r="J145" s="229">
        <v>4.3</v>
      </c>
      <c r="K145" s="229">
        <v>2.5</v>
      </c>
      <c r="L145" s="245">
        <v>8.9999999999999993E-3</v>
      </c>
      <c r="M145" s="245">
        <v>5.0000000000000001E-3</v>
      </c>
      <c r="N145" s="245">
        <f>L145-M145</f>
        <v>3.9999999999999992E-3</v>
      </c>
      <c r="O145" s="247">
        <f>J145*L145-K145*N145</f>
        <v>2.87E-2</v>
      </c>
      <c r="P145" s="96" t="s">
        <v>364</v>
      </c>
      <c r="Q145" s="122" t="s">
        <v>365</v>
      </c>
      <c r="R145" s="122">
        <v>1</v>
      </c>
      <c r="S145" s="97">
        <v>0.03</v>
      </c>
      <c r="T145" s="122">
        <v>1</v>
      </c>
      <c r="U145" s="97">
        <f t="shared" si="17"/>
        <v>0.03</v>
      </c>
      <c r="V145" s="229">
        <v>1.1200000000000001</v>
      </c>
      <c r="W145" s="232">
        <f>(O145+SUM(U145:U147))*V145</f>
        <v>0.14414400000000002</v>
      </c>
      <c r="X145" s="222">
        <v>0.16009999999999999</v>
      </c>
      <c r="Y145" s="214">
        <f>1-W145/X145</f>
        <v>9.966271080574618E-2</v>
      </c>
      <c r="AC145" s="106"/>
    </row>
    <row r="146" spans="1:30">
      <c r="A146" s="234"/>
      <c r="B146" s="234"/>
      <c r="C146" s="255"/>
      <c r="D146" s="234"/>
      <c r="E146" s="234"/>
      <c r="F146" s="234"/>
      <c r="G146" s="234"/>
      <c r="H146" s="234"/>
      <c r="I146" s="234"/>
      <c r="J146" s="230"/>
      <c r="K146" s="230"/>
      <c r="L146" s="253"/>
      <c r="M146" s="253"/>
      <c r="N146" s="253"/>
      <c r="O146" s="254"/>
      <c r="P146" s="96" t="s">
        <v>387</v>
      </c>
      <c r="Q146" s="122" t="s">
        <v>388</v>
      </c>
      <c r="R146" s="122">
        <v>1</v>
      </c>
      <c r="S146" s="97">
        <v>0.04</v>
      </c>
      <c r="T146" s="122">
        <v>1</v>
      </c>
      <c r="U146" s="97">
        <f t="shared" si="17"/>
        <v>0.04</v>
      </c>
      <c r="V146" s="230"/>
      <c r="W146" s="232"/>
      <c r="X146" s="222"/>
      <c r="Y146" s="215"/>
      <c r="AC146" s="106"/>
    </row>
    <row r="147" spans="1:30">
      <c r="A147" s="235"/>
      <c r="B147" s="235"/>
      <c r="C147" s="243"/>
      <c r="D147" s="235"/>
      <c r="E147" s="235"/>
      <c r="F147" s="235"/>
      <c r="G147" s="235"/>
      <c r="H147" s="235"/>
      <c r="I147" s="235"/>
      <c r="J147" s="231"/>
      <c r="K147" s="231"/>
      <c r="L147" s="246"/>
      <c r="M147" s="246"/>
      <c r="N147" s="246"/>
      <c r="O147" s="248"/>
      <c r="P147" s="96" t="s">
        <v>366</v>
      </c>
      <c r="Q147" s="122" t="s">
        <v>365</v>
      </c>
      <c r="R147" s="122">
        <v>1</v>
      </c>
      <c r="S147" s="97">
        <v>0.03</v>
      </c>
      <c r="T147" s="122">
        <v>1</v>
      </c>
      <c r="U147" s="97">
        <f t="shared" si="17"/>
        <v>0.03</v>
      </c>
      <c r="V147" s="231"/>
      <c r="W147" s="232"/>
      <c r="X147" s="222"/>
      <c r="Y147" s="216"/>
      <c r="AC147" s="106"/>
    </row>
    <row r="148" spans="1:30">
      <c r="A148" s="240">
        <v>49</v>
      </c>
      <c r="B148" s="240" t="s">
        <v>393</v>
      </c>
      <c r="C148" s="241" t="s">
        <v>394</v>
      </c>
      <c r="D148" s="240"/>
      <c r="E148" s="240"/>
      <c r="F148" s="240" t="s">
        <v>363</v>
      </c>
      <c r="G148" s="240">
        <v>35</v>
      </c>
      <c r="H148" s="240">
        <v>35</v>
      </c>
      <c r="I148" s="240">
        <v>2</v>
      </c>
      <c r="J148" s="232">
        <v>4.3</v>
      </c>
      <c r="K148" s="232">
        <v>2.5</v>
      </c>
      <c r="L148" s="238">
        <v>1.9E-2</v>
      </c>
      <c r="M148" s="238">
        <v>8.9999999999999993E-3</v>
      </c>
      <c r="N148" s="238">
        <f>L148-M148</f>
        <v>0.01</v>
      </c>
      <c r="O148" s="239">
        <f>J148*L148-K148*N148</f>
        <v>5.6699999999999993E-2</v>
      </c>
      <c r="P148" s="96" t="s">
        <v>364</v>
      </c>
      <c r="Q148" s="122" t="s">
        <v>388</v>
      </c>
      <c r="R148" s="122">
        <v>1</v>
      </c>
      <c r="S148" s="97">
        <v>0.04</v>
      </c>
      <c r="T148" s="122">
        <v>1</v>
      </c>
      <c r="U148" s="97">
        <f t="shared" si="17"/>
        <v>0.04</v>
      </c>
      <c r="V148" s="229">
        <v>1.1200000000000001</v>
      </c>
      <c r="W148" s="232">
        <f>(O148+SUM(U148:U149))*V148</f>
        <v>0.15310399999999999</v>
      </c>
      <c r="X148" s="222">
        <v>0.15040000000000001</v>
      </c>
      <c r="Y148" s="218">
        <f>1-W148/X148</f>
        <v>-1.7978723404255215E-2</v>
      </c>
      <c r="AC148" s="106"/>
    </row>
    <row r="149" spans="1:30">
      <c r="A149" s="240"/>
      <c r="B149" s="240"/>
      <c r="C149" s="241"/>
      <c r="D149" s="240"/>
      <c r="E149" s="240"/>
      <c r="F149" s="240"/>
      <c r="G149" s="240"/>
      <c r="H149" s="240"/>
      <c r="I149" s="240"/>
      <c r="J149" s="232"/>
      <c r="K149" s="232"/>
      <c r="L149" s="238"/>
      <c r="M149" s="238"/>
      <c r="N149" s="238"/>
      <c r="O149" s="239"/>
      <c r="P149" s="96" t="s">
        <v>368</v>
      </c>
      <c r="Q149" s="122" t="s">
        <v>388</v>
      </c>
      <c r="R149" s="122">
        <v>1</v>
      </c>
      <c r="S149" s="97">
        <v>0.04</v>
      </c>
      <c r="T149" s="122">
        <v>1</v>
      </c>
      <c r="U149" s="97">
        <f t="shared" si="17"/>
        <v>0.04</v>
      </c>
      <c r="V149" s="231"/>
      <c r="W149" s="232"/>
      <c r="X149" s="222"/>
      <c r="Y149" s="218"/>
      <c r="AC149" s="106"/>
    </row>
    <row r="150" spans="1:30">
      <c r="A150" s="240">
        <v>61</v>
      </c>
      <c r="B150" s="240" t="s">
        <v>417</v>
      </c>
      <c r="C150" s="241" t="s">
        <v>418</v>
      </c>
      <c r="D150" s="241"/>
      <c r="E150" s="241"/>
      <c r="F150" s="233" t="s">
        <v>363</v>
      </c>
      <c r="G150" s="240">
        <v>79</v>
      </c>
      <c r="H150" s="240">
        <v>59</v>
      </c>
      <c r="I150" s="240">
        <v>4</v>
      </c>
      <c r="J150" s="232">
        <v>4.3</v>
      </c>
      <c r="K150" s="232">
        <v>2.5</v>
      </c>
      <c r="L150" s="238">
        <v>0.13400000000000001</v>
      </c>
      <c r="M150" s="238">
        <v>0.1</v>
      </c>
      <c r="N150" s="238">
        <f t="shared" ref="N150" si="18">L150-M150</f>
        <v>3.4000000000000002E-2</v>
      </c>
      <c r="O150" s="239">
        <f>L150*J150-N150*K150</f>
        <v>0.49120000000000003</v>
      </c>
      <c r="P150" s="115" t="s">
        <v>364</v>
      </c>
      <c r="Q150" s="115" t="s">
        <v>415</v>
      </c>
      <c r="R150" s="144">
        <v>1</v>
      </c>
      <c r="S150" s="97">
        <v>0.03</v>
      </c>
      <c r="T150" s="122">
        <v>1</v>
      </c>
      <c r="U150" s="97">
        <f t="shared" ref="U150:U151" si="19">R150*S150/T150</f>
        <v>0.03</v>
      </c>
      <c r="V150" s="229">
        <v>1.1200000000000001</v>
      </c>
      <c r="W150" s="232">
        <f>(O150+SUM(U150:U151))*V150</f>
        <v>0.61734400000000011</v>
      </c>
      <c r="X150" s="240">
        <v>0.5171</v>
      </c>
      <c r="Y150" s="218">
        <f>1-W150/X150</f>
        <v>-0.19385805453490645</v>
      </c>
      <c r="AA150" s="106"/>
    </row>
    <row r="151" spans="1:30">
      <c r="A151" s="240"/>
      <c r="B151" s="240"/>
      <c r="C151" s="241"/>
      <c r="D151" s="241"/>
      <c r="E151" s="241"/>
      <c r="F151" s="235"/>
      <c r="G151" s="240"/>
      <c r="H151" s="240"/>
      <c r="I151" s="240"/>
      <c r="J151" s="232"/>
      <c r="K151" s="232"/>
      <c r="L151" s="238"/>
      <c r="M151" s="238"/>
      <c r="N151" s="238"/>
      <c r="O151" s="239"/>
      <c r="P151" s="118" t="s">
        <v>368</v>
      </c>
      <c r="Q151" s="136" t="s">
        <v>416</v>
      </c>
      <c r="R151" s="144">
        <v>1</v>
      </c>
      <c r="S151" s="116">
        <v>0.03</v>
      </c>
      <c r="T151" s="122">
        <v>1</v>
      </c>
      <c r="U151" s="97">
        <f t="shared" si="19"/>
        <v>0.03</v>
      </c>
      <c r="V151" s="231"/>
      <c r="W151" s="232"/>
      <c r="X151" s="240"/>
      <c r="Y151" s="218"/>
    </row>
    <row r="152" spans="1:30">
      <c r="A152" s="233">
        <v>62</v>
      </c>
      <c r="B152" s="233" t="s">
        <v>214</v>
      </c>
      <c r="C152" s="242" t="s">
        <v>215</v>
      </c>
      <c r="D152" s="233"/>
      <c r="E152" s="233"/>
      <c r="F152" s="232" t="s">
        <v>363</v>
      </c>
      <c r="G152" s="233">
        <v>150</v>
      </c>
      <c r="H152" s="233">
        <v>72</v>
      </c>
      <c r="I152" s="233">
        <v>1.5</v>
      </c>
      <c r="J152" s="229">
        <v>4.3</v>
      </c>
      <c r="K152" s="229">
        <v>2.5</v>
      </c>
      <c r="L152" s="233">
        <v>0.08</v>
      </c>
      <c r="M152" s="233">
        <v>5.2999999999999999E-2</v>
      </c>
      <c r="N152" s="233">
        <f t="shared" ref="N152" si="20">L152-M152</f>
        <v>2.7000000000000003E-2</v>
      </c>
      <c r="O152" s="247">
        <f>L152*J152-N152*K152</f>
        <v>0.27649999999999997</v>
      </c>
      <c r="P152" s="115" t="s">
        <v>364</v>
      </c>
      <c r="Q152" s="115" t="s">
        <v>415</v>
      </c>
      <c r="R152" s="144">
        <v>1</v>
      </c>
      <c r="S152" s="97">
        <v>0.03</v>
      </c>
      <c r="T152" s="122">
        <v>1</v>
      </c>
      <c r="U152" s="97">
        <f t="shared" ref="U152:U154" si="21">R152*S152/T152</f>
        <v>0.03</v>
      </c>
      <c r="V152" s="229">
        <v>1.1200000000000001</v>
      </c>
      <c r="W152" s="232">
        <f>(O152+SUM(U152:U153))*V152+U154*1.03</f>
        <v>0.45412999999999998</v>
      </c>
      <c r="X152" s="233">
        <v>0.44319999999999998</v>
      </c>
      <c r="Y152" s="214">
        <f>1-W152/X152</f>
        <v>-2.4661552346570303E-2</v>
      </c>
      <c r="AA152" s="106"/>
    </row>
    <row r="153" spans="1:30">
      <c r="A153" s="234"/>
      <c r="B153" s="234"/>
      <c r="C153" s="255"/>
      <c r="D153" s="234"/>
      <c r="E153" s="234"/>
      <c r="F153" s="232"/>
      <c r="G153" s="234"/>
      <c r="H153" s="234"/>
      <c r="I153" s="234"/>
      <c r="J153" s="230"/>
      <c r="K153" s="230"/>
      <c r="L153" s="234"/>
      <c r="M153" s="234"/>
      <c r="N153" s="234"/>
      <c r="O153" s="254"/>
      <c r="P153" s="118" t="s">
        <v>368</v>
      </c>
      <c r="Q153" s="136" t="s">
        <v>416</v>
      </c>
      <c r="R153" s="144">
        <v>1</v>
      </c>
      <c r="S153" s="116">
        <v>0.03</v>
      </c>
      <c r="T153" s="122">
        <v>1</v>
      </c>
      <c r="U153" s="97">
        <f t="shared" si="21"/>
        <v>0.03</v>
      </c>
      <c r="V153" s="230"/>
      <c r="W153" s="232"/>
      <c r="X153" s="234"/>
      <c r="Y153" s="215"/>
    </row>
    <row r="154" spans="1:30">
      <c r="A154" s="235"/>
      <c r="B154" s="235"/>
      <c r="C154" s="243"/>
      <c r="D154" s="235"/>
      <c r="E154" s="235"/>
      <c r="F154" s="232"/>
      <c r="G154" s="235"/>
      <c r="H154" s="235"/>
      <c r="I154" s="235"/>
      <c r="J154" s="231"/>
      <c r="K154" s="231"/>
      <c r="L154" s="235"/>
      <c r="M154" s="235"/>
      <c r="N154" s="235"/>
      <c r="O154" s="248"/>
      <c r="P154" s="95" t="s">
        <v>419</v>
      </c>
      <c r="Q154" s="100"/>
      <c r="R154" s="144">
        <v>1</v>
      </c>
      <c r="S154" s="116">
        <v>7.4999999999999997E-2</v>
      </c>
      <c r="T154" s="122">
        <v>1</v>
      </c>
      <c r="U154" s="97">
        <f t="shared" si="21"/>
        <v>7.4999999999999997E-2</v>
      </c>
      <c r="V154" s="231"/>
      <c r="W154" s="232"/>
      <c r="X154" s="235"/>
      <c r="Y154" s="216"/>
    </row>
    <row r="155" spans="1:30">
      <c r="A155" s="240">
        <v>63</v>
      </c>
      <c r="B155" s="240" t="s">
        <v>217</v>
      </c>
      <c r="C155" s="241" t="s">
        <v>218</v>
      </c>
      <c r="D155" s="240"/>
      <c r="E155" s="240"/>
      <c r="F155" s="232" t="s">
        <v>363</v>
      </c>
      <c r="G155" s="240">
        <v>78</v>
      </c>
      <c r="H155" s="240">
        <v>21</v>
      </c>
      <c r="I155" s="240">
        <v>1.5</v>
      </c>
      <c r="J155" s="232">
        <v>4.3</v>
      </c>
      <c r="K155" s="232">
        <v>2.5</v>
      </c>
      <c r="L155" s="240">
        <v>1.2999999999999999E-2</v>
      </c>
      <c r="M155" s="240">
        <v>1.0999999999999999E-2</v>
      </c>
      <c r="N155" s="240">
        <f t="shared" ref="N155" si="22">L155-M155</f>
        <v>2E-3</v>
      </c>
      <c r="O155" s="239">
        <f>L155*J155-N155*K155</f>
        <v>5.0900000000000001E-2</v>
      </c>
      <c r="P155" s="95" t="s">
        <v>364</v>
      </c>
      <c r="Q155" s="95" t="s">
        <v>416</v>
      </c>
      <c r="R155" s="144">
        <v>1</v>
      </c>
      <c r="S155" s="169">
        <v>0.03</v>
      </c>
      <c r="T155" s="122">
        <v>1</v>
      </c>
      <c r="U155" s="97">
        <f t="shared" ref="U155:U164" si="23">R155*S155/T155</f>
        <v>0.03</v>
      </c>
      <c r="V155" s="229">
        <v>1.1200000000000001</v>
      </c>
      <c r="W155" s="232">
        <f>(O155+SUM(U155:U157))*V155</f>
        <v>0.13540800000000003</v>
      </c>
      <c r="X155" s="240">
        <v>0.1231</v>
      </c>
      <c r="Y155" s="214">
        <f>1-W155/X155</f>
        <v>-9.9983753046304136E-2</v>
      </c>
      <c r="AA155" s="106"/>
    </row>
    <row r="156" spans="1:30">
      <c r="A156" s="240"/>
      <c r="B156" s="240"/>
      <c r="C156" s="241"/>
      <c r="D156" s="240"/>
      <c r="E156" s="240"/>
      <c r="F156" s="232"/>
      <c r="G156" s="240"/>
      <c r="H156" s="240"/>
      <c r="I156" s="240"/>
      <c r="J156" s="232"/>
      <c r="K156" s="232"/>
      <c r="L156" s="240"/>
      <c r="M156" s="240"/>
      <c r="N156" s="240"/>
      <c r="O156" s="239"/>
      <c r="P156" s="95" t="s">
        <v>368</v>
      </c>
      <c r="Q156" s="95" t="s">
        <v>420</v>
      </c>
      <c r="R156" s="144">
        <v>1</v>
      </c>
      <c r="S156" s="168">
        <v>0.02</v>
      </c>
      <c r="T156" s="122">
        <v>1</v>
      </c>
      <c r="U156" s="97">
        <f t="shared" si="23"/>
        <v>0.02</v>
      </c>
      <c r="V156" s="230"/>
      <c r="W156" s="232"/>
      <c r="X156" s="240"/>
      <c r="Y156" s="215"/>
    </row>
    <row r="157" spans="1:30">
      <c r="A157" s="240"/>
      <c r="B157" s="240"/>
      <c r="C157" s="241"/>
      <c r="D157" s="240"/>
      <c r="E157" s="240"/>
      <c r="F157" s="232"/>
      <c r="G157" s="240"/>
      <c r="H157" s="240"/>
      <c r="I157" s="240"/>
      <c r="J157" s="232"/>
      <c r="K157" s="232"/>
      <c r="L157" s="240"/>
      <c r="M157" s="240"/>
      <c r="N157" s="240"/>
      <c r="O157" s="239"/>
      <c r="P157" s="95" t="s">
        <v>368</v>
      </c>
      <c r="Q157" s="95" t="s">
        <v>420</v>
      </c>
      <c r="R157" s="144">
        <v>1</v>
      </c>
      <c r="S157" s="168">
        <v>0.02</v>
      </c>
      <c r="T157" s="122">
        <v>1</v>
      </c>
      <c r="U157" s="97">
        <f t="shared" si="23"/>
        <v>0.02</v>
      </c>
      <c r="V157" s="231"/>
      <c r="W157" s="232"/>
      <c r="X157" s="240"/>
      <c r="Y157" s="216"/>
    </row>
    <row r="158" spans="1:30">
      <c r="A158" s="240">
        <v>64</v>
      </c>
      <c r="B158" s="240" t="s">
        <v>220</v>
      </c>
      <c r="C158" s="241" t="s">
        <v>221</v>
      </c>
      <c r="D158" s="117" t="s">
        <v>421</v>
      </c>
      <c r="E158" s="121">
        <v>1</v>
      </c>
      <c r="F158" s="98" t="s">
        <v>422</v>
      </c>
      <c r="G158" s="117">
        <v>41</v>
      </c>
      <c r="H158" s="117">
        <v>28</v>
      </c>
      <c r="I158" s="117">
        <v>2</v>
      </c>
      <c r="J158" s="97">
        <v>4.3</v>
      </c>
      <c r="K158" s="97">
        <v>2.5</v>
      </c>
      <c r="L158" s="120">
        <v>1.7999999999999999E-2</v>
      </c>
      <c r="M158" s="120">
        <v>1.4E-2</v>
      </c>
      <c r="N158" s="120">
        <f>L158-M158</f>
        <v>3.9999999999999983E-3</v>
      </c>
      <c r="O158" s="97">
        <f>J158*L158-K158*N158</f>
        <v>6.7400000000000002E-2</v>
      </c>
      <c r="P158" s="98" t="s">
        <v>364</v>
      </c>
      <c r="Q158" s="121" t="s">
        <v>367</v>
      </c>
      <c r="R158" s="144">
        <v>1</v>
      </c>
      <c r="S158" s="97">
        <v>0.03</v>
      </c>
      <c r="T158" s="122">
        <v>1</v>
      </c>
      <c r="U158" s="97">
        <f>R158*S158/T158</f>
        <v>0.03</v>
      </c>
      <c r="V158" s="233">
        <v>1.1200000000000001</v>
      </c>
      <c r="W158" s="232">
        <f>(O158+SUM(U158:U161))*V158+O160*1.03</f>
        <v>0.34650800000000004</v>
      </c>
      <c r="X158" s="222">
        <v>0.27910000000000001</v>
      </c>
      <c r="Y158" s="217">
        <f>1-W158/X158</f>
        <v>-0.24151916875671819</v>
      </c>
      <c r="Z158" s="104"/>
      <c r="AD158" s="106"/>
    </row>
    <row r="159" spans="1:30">
      <c r="A159" s="240"/>
      <c r="B159" s="240"/>
      <c r="C159" s="241"/>
      <c r="D159" s="117"/>
      <c r="E159" s="121"/>
      <c r="F159" s="98"/>
      <c r="G159" s="117"/>
      <c r="H159" s="117"/>
      <c r="I159" s="117"/>
      <c r="J159" s="97"/>
      <c r="K159" s="97"/>
      <c r="L159" s="120"/>
      <c r="M159" s="120"/>
      <c r="N159" s="120"/>
      <c r="O159" s="97"/>
      <c r="P159" s="98" t="s">
        <v>366</v>
      </c>
      <c r="Q159" s="121" t="s">
        <v>367</v>
      </c>
      <c r="R159" s="144">
        <v>1</v>
      </c>
      <c r="S159" s="97">
        <v>0.03</v>
      </c>
      <c r="T159" s="122">
        <v>1</v>
      </c>
      <c r="U159" s="97">
        <f>R159*S159/T159</f>
        <v>0.03</v>
      </c>
      <c r="V159" s="234"/>
      <c r="W159" s="232"/>
      <c r="X159" s="222"/>
      <c r="Y159" s="217"/>
      <c r="Z159" s="104"/>
      <c r="AD159" s="106"/>
    </row>
    <row r="160" spans="1:30">
      <c r="A160" s="240"/>
      <c r="B160" s="240"/>
      <c r="C160" s="241"/>
      <c r="D160" s="117" t="s">
        <v>423</v>
      </c>
      <c r="E160" s="121">
        <v>1</v>
      </c>
      <c r="F160" s="98"/>
      <c r="G160" s="117"/>
      <c r="H160" s="117"/>
      <c r="I160" s="117"/>
      <c r="J160" s="97">
        <v>0.05</v>
      </c>
      <c r="K160" s="97"/>
      <c r="L160" s="120"/>
      <c r="M160" s="120"/>
      <c r="N160" s="120"/>
      <c r="O160" s="97">
        <v>0.05</v>
      </c>
      <c r="P160" s="98" t="s">
        <v>413</v>
      </c>
      <c r="Q160" s="121"/>
      <c r="R160" s="144">
        <v>2</v>
      </c>
      <c r="S160" s="97">
        <v>0.05</v>
      </c>
      <c r="T160" s="122">
        <v>1</v>
      </c>
      <c r="U160" s="97">
        <f>R160*S160/T160</f>
        <v>0.1</v>
      </c>
      <c r="V160" s="234"/>
      <c r="W160" s="232"/>
      <c r="X160" s="222"/>
      <c r="Y160" s="217"/>
      <c r="Z160" s="104"/>
      <c r="AD160" s="106"/>
    </row>
    <row r="161" spans="1:30">
      <c r="A161" s="240"/>
      <c r="B161" s="240"/>
      <c r="C161" s="241"/>
      <c r="D161" s="117"/>
      <c r="E161" s="121"/>
      <c r="F161" s="98"/>
      <c r="G161" s="117"/>
      <c r="H161" s="117"/>
      <c r="I161" s="117"/>
      <c r="J161" s="97"/>
      <c r="K161" s="97"/>
      <c r="L161" s="120"/>
      <c r="M161" s="120"/>
      <c r="N161" s="120"/>
      <c r="O161" s="97"/>
      <c r="P161" s="98" t="s">
        <v>419</v>
      </c>
      <c r="Q161" s="121">
        <v>1.7999999999999999E-2</v>
      </c>
      <c r="R161" s="144">
        <v>1</v>
      </c>
      <c r="S161" s="97">
        <v>3.5999999999999997E-2</v>
      </c>
      <c r="T161" s="122">
        <v>1</v>
      </c>
      <c r="U161" s="97">
        <f>R161*S161/T161</f>
        <v>3.5999999999999997E-2</v>
      </c>
      <c r="V161" s="235"/>
      <c r="W161" s="232"/>
      <c r="X161" s="222"/>
      <c r="Y161" s="217"/>
      <c r="Z161" s="104"/>
      <c r="AD161" s="106"/>
    </row>
    <row r="162" spans="1:30">
      <c r="A162" s="240">
        <v>65</v>
      </c>
      <c r="B162" s="240" t="s">
        <v>223</v>
      </c>
      <c r="C162" s="241" t="s">
        <v>224</v>
      </c>
      <c r="D162" s="240"/>
      <c r="E162" s="240"/>
      <c r="F162" s="240" t="s">
        <v>414</v>
      </c>
      <c r="G162" s="240">
        <v>46</v>
      </c>
      <c r="H162" s="240">
        <v>46</v>
      </c>
      <c r="I162" s="240">
        <v>2</v>
      </c>
      <c r="J162" s="232">
        <v>4.3</v>
      </c>
      <c r="K162" s="232">
        <v>2.5</v>
      </c>
      <c r="L162" s="256">
        <v>3.2000000000000001E-2</v>
      </c>
      <c r="M162" s="256">
        <v>1.0999999999999999E-2</v>
      </c>
      <c r="N162" s="256">
        <f t="shared" ref="N162" si="24">L162-M162</f>
        <v>2.1000000000000001E-2</v>
      </c>
      <c r="O162" s="239">
        <f>L162*J162-N162*K162</f>
        <v>8.5099999999999995E-2</v>
      </c>
      <c r="P162" s="119" t="s">
        <v>364</v>
      </c>
      <c r="Q162" s="119" t="s">
        <v>367</v>
      </c>
      <c r="R162" s="144">
        <v>1</v>
      </c>
      <c r="S162" s="122">
        <v>0.03</v>
      </c>
      <c r="T162" s="122">
        <v>1</v>
      </c>
      <c r="U162" s="97">
        <f t="shared" si="23"/>
        <v>0.03</v>
      </c>
      <c r="V162" s="232">
        <v>1.1200000000000001</v>
      </c>
      <c r="W162" s="232">
        <f>(O162+SUM(U162:U164))*V162</f>
        <v>0.18491200000000002</v>
      </c>
      <c r="X162" s="240">
        <v>0.15590000000000001</v>
      </c>
      <c r="Y162" s="214">
        <f>1-W162/X162</f>
        <v>-0.18609364977549725</v>
      </c>
      <c r="AA162" s="106"/>
    </row>
    <row r="163" spans="1:30">
      <c r="A163" s="240"/>
      <c r="B163" s="240"/>
      <c r="C163" s="241"/>
      <c r="D163" s="240"/>
      <c r="E163" s="240"/>
      <c r="F163" s="240"/>
      <c r="G163" s="240"/>
      <c r="H163" s="240"/>
      <c r="I163" s="240"/>
      <c r="J163" s="232"/>
      <c r="K163" s="232"/>
      <c r="L163" s="256"/>
      <c r="M163" s="256"/>
      <c r="N163" s="256"/>
      <c r="O163" s="239"/>
      <c r="P163" s="95" t="s">
        <v>366</v>
      </c>
      <c r="Q163" s="95" t="s">
        <v>420</v>
      </c>
      <c r="R163" s="144">
        <v>1</v>
      </c>
      <c r="S163" s="97">
        <v>0.02</v>
      </c>
      <c r="T163" s="122">
        <v>1</v>
      </c>
      <c r="U163" s="97">
        <f t="shared" si="23"/>
        <v>0.02</v>
      </c>
      <c r="V163" s="232"/>
      <c r="W163" s="232"/>
      <c r="X163" s="240"/>
      <c r="Y163" s="215"/>
    </row>
    <row r="164" spans="1:30">
      <c r="A164" s="240"/>
      <c r="B164" s="240"/>
      <c r="C164" s="241"/>
      <c r="D164" s="240"/>
      <c r="E164" s="240"/>
      <c r="F164" s="240"/>
      <c r="G164" s="240"/>
      <c r="H164" s="240"/>
      <c r="I164" s="240"/>
      <c r="J164" s="232"/>
      <c r="K164" s="232"/>
      <c r="L164" s="256"/>
      <c r="M164" s="256"/>
      <c r="N164" s="256"/>
      <c r="O164" s="239"/>
      <c r="P164" s="95" t="s">
        <v>368</v>
      </c>
      <c r="Q164" s="95" t="s">
        <v>416</v>
      </c>
      <c r="R164" s="144">
        <v>1</v>
      </c>
      <c r="S164" s="97">
        <v>0.03</v>
      </c>
      <c r="T164" s="122">
        <v>1</v>
      </c>
      <c r="U164" s="97">
        <f t="shared" si="23"/>
        <v>0.03</v>
      </c>
      <c r="V164" s="232"/>
      <c r="W164" s="232"/>
      <c r="X164" s="240"/>
      <c r="Y164" s="216"/>
    </row>
    <row r="165" spans="1:30">
      <c r="A165" s="233">
        <v>67</v>
      </c>
      <c r="B165" s="233" t="s">
        <v>499</v>
      </c>
      <c r="C165" s="242" t="s">
        <v>500</v>
      </c>
      <c r="D165" s="242"/>
      <c r="E165" s="242"/>
      <c r="F165" s="244" t="s">
        <v>445</v>
      </c>
      <c r="G165" s="233">
        <v>186</v>
      </c>
      <c r="H165" s="233">
        <v>28</v>
      </c>
      <c r="I165" s="233">
        <v>5</v>
      </c>
      <c r="J165" s="229">
        <v>4.5999999999999996</v>
      </c>
      <c r="K165" s="229">
        <v>2.5</v>
      </c>
      <c r="L165" s="245">
        <v>0.20399999999999999</v>
      </c>
      <c r="M165" s="245">
        <v>0.13</v>
      </c>
      <c r="N165" s="245">
        <f>L165-M165</f>
        <v>7.3999999999999982E-2</v>
      </c>
      <c r="O165" s="247">
        <f>J165*L165-K165*N165</f>
        <v>0.75339999999999996</v>
      </c>
      <c r="P165" s="122" t="s">
        <v>436</v>
      </c>
      <c r="Q165" s="122" t="s">
        <v>501</v>
      </c>
      <c r="R165" s="122">
        <v>1</v>
      </c>
      <c r="S165" s="97">
        <v>0.1</v>
      </c>
      <c r="T165" s="122">
        <v>1</v>
      </c>
      <c r="U165" s="97">
        <f>R165*S165/T165</f>
        <v>0.1</v>
      </c>
      <c r="V165" s="229">
        <v>1.1200000000000001</v>
      </c>
      <c r="W165" s="232">
        <f>(O165+SUM(U165:U166))*V165</f>
        <v>1.011808</v>
      </c>
      <c r="X165" s="240">
        <v>1.2722</v>
      </c>
      <c r="Y165" s="218">
        <f>1-W165/X165</f>
        <v>0.20467850966829115</v>
      </c>
    </row>
    <row r="166" spans="1:30">
      <c r="A166" s="235"/>
      <c r="B166" s="235"/>
      <c r="C166" s="243"/>
      <c r="D166" s="243"/>
      <c r="E166" s="243"/>
      <c r="F166" s="243"/>
      <c r="G166" s="235"/>
      <c r="H166" s="235"/>
      <c r="I166" s="235"/>
      <c r="J166" s="231"/>
      <c r="K166" s="231"/>
      <c r="L166" s="246"/>
      <c r="M166" s="246"/>
      <c r="N166" s="246"/>
      <c r="O166" s="248"/>
      <c r="P166" s="122" t="s">
        <v>502</v>
      </c>
      <c r="Q166" s="122" t="s">
        <v>427</v>
      </c>
      <c r="R166" s="122">
        <v>1</v>
      </c>
      <c r="S166" s="97">
        <v>0.05</v>
      </c>
      <c r="T166" s="122">
        <v>1</v>
      </c>
      <c r="U166" s="97">
        <f>R166*S166/T166</f>
        <v>0.05</v>
      </c>
      <c r="V166" s="231"/>
      <c r="W166" s="232"/>
      <c r="X166" s="240"/>
      <c r="Y166" s="218"/>
    </row>
    <row r="167" spans="1:30">
      <c r="A167" s="233">
        <v>70</v>
      </c>
      <c r="B167" s="232" t="s">
        <v>516</v>
      </c>
      <c r="C167" s="237" t="s">
        <v>517</v>
      </c>
      <c r="D167" s="232"/>
      <c r="E167" s="232"/>
      <c r="F167" s="232" t="s">
        <v>457</v>
      </c>
      <c r="G167" s="222">
        <v>19</v>
      </c>
      <c r="H167" s="222">
        <v>1.5</v>
      </c>
      <c r="I167" s="222">
        <v>60</v>
      </c>
      <c r="J167" s="232">
        <v>4.34</v>
      </c>
      <c r="K167" s="232">
        <v>2.5</v>
      </c>
      <c r="L167" s="238">
        <v>3.1E-2</v>
      </c>
      <c r="M167" s="238">
        <v>2.7E-2</v>
      </c>
      <c r="N167" s="238">
        <f>L167-M167</f>
        <v>4.0000000000000001E-3</v>
      </c>
      <c r="O167" s="239">
        <f>J167*L167-K167*N167</f>
        <v>0.12454</v>
      </c>
      <c r="P167" s="122" t="s">
        <v>514</v>
      </c>
      <c r="Q167" s="122"/>
      <c r="R167" s="122">
        <v>1</v>
      </c>
      <c r="S167" s="97">
        <v>0.05</v>
      </c>
      <c r="T167" s="122">
        <v>1</v>
      </c>
      <c r="U167" s="97">
        <f>R167*S167/T167</f>
        <v>0.05</v>
      </c>
      <c r="V167" s="229">
        <v>1.1200000000000001</v>
      </c>
      <c r="W167" s="232">
        <f>(O167+SUM(U167:U169))*V167</f>
        <v>0.26268480000000005</v>
      </c>
      <c r="X167" s="222">
        <v>0.37759999999999999</v>
      </c>
      <c r="Y167" s="214">
        <f>1-W167/X167</f>
        <v>0.3043305084745761</v>
      </c>
    </row>
    <row r="168" spans="1:30">
      <c r="A168" s="234"/>
      <c r="B168" s="232"/>
      <c r="C168" s="237"/>
      <c r="D168" s="232"/>
      <c r="E168" s="232"/>
      <c r="F168" s="232"/>
      <c r="G168" s="222"/>
      <c r="H168" s="222"/>
      <c r="I168" s="222"/>
      <c r="J168" s="232"/>
      <c r="K168" s="232"/>
      <c r="L168" s="238"/>
      <c r="M168" s="238"/>
      <c r="N168" s="238"/>
      <c r="O168" s="239"/>
      <c r="P168" s="122" t="s">
        <v>515</v>
      </c>
      <c r="Q168" s="122" t="s">
        <v>420</v>
      </c>
      <c r="R168" s="122">
        <v>1</v>
      </c>
      <c r="S168" s="97">
        <v>0.02</v>
      </c>
      <c r="T168" s="122">
        <v>1</v>
      </c>
      <c r="U168" s="97">
        <f>R168*S168/T168</f>
        <v>0.02</v>
      </c>
      <c r="V168" s="230"/>
      <c r="W168" s="232"/>
      <c r="X168" s="222"/>
      <c r="Y168" s="215"/>
    </row>
    <row r="169" spans="1:30">
      <c r="A169" s="235"/>
      <c r="B169" s="232"/>
      <c r="C169" s="237"/>
      <c r="D169" s="232"/>
      <c r="E169" s="232"/>
      <c r="F169" s="232"/>
      <c r="G169" s="222"/>
      <c r="H169" s="222"/>
      <c r="I169" s="222"/>
      <c r="J169" s="232"/>
      <c r="K169" s="232"/>
      <c r="L169" s="238"/>
      <c r="M169" s="238"/>
      <c r="N169" s="238"/>
      <c r="O169" s="239"/>
      <c r="P169" s="122" t="s">
        <v>518</v>
      </c>
      <c r="Q169" s="122"/>
      <c r="R169" s="122">
        <v>1</v>
      </c>
      <c r="S169" s="97">
        <v>0.04</v>
      </c>
      <c r="T169" s="122">
        <v>1</v>
      </c>
      <c r="U169" s="97">
        <f>R169*S169/T169</f>
        <v>0.04</v>
      </c>
      <c r="V169" s="231"/>
      <c r="W169" s="232"/>
      <c r="X169" s="222"/>
      <c r="Y169" s="216"/>
    </row>
    <row r="170" spans="1:30">
      <c r="A170" s="240">
        <v>71</v>
      </c>
      <c r="B170" s="240" t="s">
        <v>239</v>
      </c>
      <c r="C170" s="241" t="s">
        <v>240</v>
      </c>
      <c r="D170" s="240"/>
      <c r="E170" s="240"/>
      <c r="F170" s="280" t="s">
        <v>457</v>
      </c>
      <c r="G170" s="240">
        <v>42</v>
      </c>
      <c r="H170" s="240">
        <v>25</v>
      </c>
      <c r="I170" s="240">
        <v>3</v>
      </c>
      <c r="J170" s="232">
        <v>4.3</v>
      </c>
      <c r="K170" s="232">
        <v>2.5</v>
      </c>
      <c r="L170" s="240">
        <v>2.5000000000000001E-2</v>
      </c>
      <c r="M170" s="240">
        <v>1.4999999999999999E-2</v>
      </c>
      <c r="N170" s="240">
        <f t="shared" ref="N170" si="25">L170-M170</f>
        <v>1.0000000000000002E-2</v>
      </c>
      <c r="O170" s="239">
        <f t="shared" ref="O170" si="26">L170*J170-N170*K170</f>
        <v>8.249999999999999E-2</v>
      </c>
      <c r="P170" s="96" t="s">
        <v>364</v>
      </c>
      <c r="Q170" s="141" t="s">
        <v>416</v>
      </c>
      <c r="R170" s="122">
        <v>1</v>
      </c>
      <c r="S170" s="97">
        <v>0.03</v>
      </c>
      <c r="T170" s="122">
        <v>1</v>
      </c>
      <c r="U170" s="97">
        <f t="shared" ref="U170:U179" si="27">R170*S170/T170</f>
        <v>0.03</v>
      </c>
      <c r="V170" s="229">
        <v>1.1200000000000001</v>
      </c>
      <c r="W170" s="232">
        <f>(O170+SUM(U170:U172))*V170</f>
        <v>0.17080000000000001</v>
      </c>
      <c r="X170" s="222">
        <v>0.1888</v>
      </c>
      <c r="Y170" s="214">
        <f>1-W170/X170</f>
        <v>9.5338983050847426E-2</v>
      </c>
      <c r="AA170" s="106"/>
    </row>
    <row r="171" spans="1:30">
      <c r="A171" s="240"/>
      <c r="B171" s="240"/>
      <c r="C171" s="241"/>
      <c r="D171" s="240"/>
      <c r="E171" s="240"/>
      <c r="F171" s="240"/>
      <c r="G171" s="240"/>
      <c r="H171" s="240"/>
      <c r="I171" s="240"/>
      <c r="J171" s="232"/>
      <c r="K171" s="232"/>
      <c r="L171" s="240"/>
      <c r="M171" s="240"/>
      <c r="N171" s="240"/>
      <c r="O171" s="239"/>
      <c r="P171" s="96" t="s">
        <v>366</v>
      </c>
      <c r="Q171" s="122" t="s">
        <v>370</v>
      </c>
      <c r="R171" s="122">
        <v>1</v>
      </c>
      <c r="S171" s="97">
        <v>0.02</v>
      </c>
      <c r="T171" s="122">
        <v>1</v>
      </c>
      <c r="U171" s="97">
        <f t="shared" si="27"/>
        <v>0.02</v>
      </c>
      <c r="V171" s="230"/>
      <c r="W171" s="232"/>
      <c r="X171" s="222"/>
      <c r="Y171" s="215"/>
    </row>
    <row r="172" spans="1:30">
      <c r="A172" s="240"/>
      <c r="B172" s="240"/>
      <c r="C172" s="241"/>
      <c r="D172" s="240"/>
      <c r="E172" s="240"/>
      <c r="F172" s="240"/>
      <c r="G172" s="240"/>
      <c r="H172" s="240"/>
      <c r="I172" s="240"/>
      <c r="J172" s="232"/>
      <c r="K172" s="232"/>
      <c r="L172" s="240"/>
      <c r="M172" s="240"/>
      <c r="N172" s="240"/>
      <c r="O172" s="239"/>
      <c r="P172" s="96" t="s">
        <v>368</v>
      </c>
      <c r="Q172" s="122" t="s">
        <v>370</v>
      </c>
      <c r="R172" s="122">
        <v>1</v>
      </c>
      <c r="S172" s="97">
        <v>0.02</v>
      </c>
      <c r="T172" s="122">
        <v>1</v>
      </c>
      <c r="U172" s="97">
        <f t="shared" si="27"/>
        <v>0.02</v>
      </c>
      <c r="V172" s="231"/>
      <c r="W172" s="232"/>
      <c r="X172" s="222"/>
      <c r="Y172" s="216"/>
    </row>
    <row r="173" spans="1:30">
      <c r="A173" s="233">
        <v>72</v>
      </c>
      <c r="B173" s="233" t="s">
        <v>430</v>
      </c>
      <c r="C173" s="242" t="s">
        <v>431</v>
      </c>
      <c r="D173" s="242"/>
      <c r="E173" s="242"/>
      <c r="F173" s="233" t="s">
        <v>425</v>
      </c>
      <c r="G173" s="233">
        <v>195</v>
      </c>
      <c r="H173" s="233">
        <v>20</v>
      </c>
      <c r="I173" s="233">
        <v>2</v>
      </c>
      <c r="J173" s="229">
        <v>4.3</v>
      </c>
      <c r="K173" s="229">
        <v>2.5</v>
      </c>
      <c r="L173" s="245">
        <v>0.183</v>
      </c>
      <c r="M173" s="245">
        <v>0.18</v>
      </c>
      <c r="N173" s="245">
        <f t="shared" ref="N173" si="28">L173-M173</f>
        <v>3.0000000000000027E-3</v>
      </c>
      <c r="O173" s="247">
        <f>L173*J173-N173*K173</f>
        <v>0.77939999999999987</v>
      </c>
      <c r="P173" s="95" t="s">
        <v>428</v>
      </c>
      <c r="Q173" s="115" t="s">
        <v>426</v>
      </c>
      <c r="R173" s="122">
        <v>1</v>
      </c>
      <c r="S173" s="164">
        <v>0.08</v>
      </c>
      <c r="T173" s="122">
        <v>1</v>
      </c>
      <c r="U173" s="116">
        <f t="shared" si="27"/>
        <v>0.08</v>
      </c>
      <c r="V173" s="229">
        <v>1.1200000000000001</v>
      </c>
      <c r="W173" s="232">
        <f>(O173+SUM(U173:U174))*V173</f>
        <v>1.0185279999999999</v>
      </c>
      <c r="X173" s="240">
        <v>0.75509999999999999</v>
      </c>
      <c r="Y173" s="218">
        <f>1-W173/X173</f>
        <v>-0.34886505098662424</v>
      </c>
      <c r="AA173" s="106"/>
    </row>
    <row r="174" spans="1:30">
      <c r="A174" s="235"/>
      <c r="B174" s="235"/>
      <c r="C174" s="243"/>
      <c r="D174" s="243"/>
      <c r="E174" s="243"/>
      <c r="F174" s="235"/>
      <c r="G174" s="235"/>
      <c r="H174" s="235"/>
      <c r="I174" s="235"/>
      <c r="J174" s="231"/>
      <c r="K174" s="231"/>
      <c r="L174" s="246"/>
      <c r="M174" s="246"/>
      <c r="N174" s="246"/>
      <c r="O174" s="248"/>
      <c r="P174" s="95" t="s">
        <v>429</v>
      </c>
      <c r="Q174" s="95" t="s">
        <v>427</v>
      </c>
      <c r="R174" s="122">
        <v>1</v>
      </c>
      <c r="S174" s="116">
        <v>0.05</v>
      </c>
      <c r="T174" s="122">
        <v>1</v>
      </c>
      <c r="U174" s="116">
        <f t="shared" si="27"/>
        <v>0.05</v>
      </c>
      <c r="V174" s="231"/>
      <c r="W174" s="232"/>
      <c r="X174" s="240"/>
      <c r="Y174" s="218"/>
    </row>
    <row r="175" spans="1:30">
      <c r="A175" s="233">
        <v>73</v>
      </c>
      <c r="B175" s="233" t="s">
        <v>512</v>
      </c>
      <c r="C175" s="242" t="s">
        <v>513</v>
      </c>
      <c r="D175" s="242"/>
      <c r="E175" s="242"/>
      <c r="F175" s="244" t="s">
        <v>363</v>
      </c>
      <c r="G175" s="233">
        <v>41</v>
      </c>
      <c r="H175" s="233">
        <v>28</v>
      </c>
      <c r="I175" s="233">
        <v>3</v>
      </c>
      <c r="J175" s="229">
        <v>4.3</v>
      </c>
      <c r="K175" s="229">
        <v>2.5</v>
      </c>
      <c r="L175" s="245">
        <v>2.7E-2</v>
      </c>
      <c r="M175" s="245">
        <v>1.4999999999999999E-2</v>
      </c>
      <c r="N175" s="245">
        <f>L175-M175</f>
        <v>1.2E-2</v>
      </c>
      <c r="O175" s="247">
        <f>L175*J175-N175*K175</f>
        <v>8.6099999999999996E-2</v>
      </c>
      <c r="P175" s="122" t="s">
        <v>364</v>
      </c>
      <c r="Q175" s="122" t="s">
        <v>416</v>
      </c>
      <c r="R175" s="122">
        <v>1</v>
      </c>
      <c r="S175" s="97">
        <v>0.03</v>
      </c>
      <c r="T175" s="122">
        <v>1</v>
      </c>
      <c r="U175" s="97">
        <f>R175*S175/T175</f>
        <v>0.03</v>
      </c>
      <c r="V175" s="229">
        <v>1.1200000000000001</v>
      </c>
      <c r="W175" s="232">
        <f>(O175+SUM(U175:U176))*V175</f>
        <v>0.15243200000000001</v>
      </c>
      <c r="X175" s="240">
        <v>0.1149</v>
      </c>
      <c r="Y175" s="218">
        <f>1-W175/X175</f>
        <v>-0.32664926022628382</v>
      </c>
    </row>
    <row r="176" spans="1:30">
      <c r="A176" s="235"/>
      <c r="B176" s="235"/>
      <c r="C176" s="243"/>
      <c r="D176" s="243"/>
      <c r="E176" s="243"/>
      <c r="F176" s="243"/>
      <c r="G176" s="235"/>
      <c r="H176" s="235"/>
      <c r="I176" s="235"/>
      <c r="J176" s="231"/>
      <c r="K176" s="231"/>
      <c r="L176" s="246"/>
      <c r="M176" s="246"/>
      <c r="N176" s="246"/>
      <c r="O176" s="248"/>
      <c r="P176" s="122" t="s">
        <v>366</v>
      </c>
      <c r="Q176" s="122" t="s">
        <v>420</v>
      </c>
      <c r="R176" s="122">
        <v>1</v>
      </c>
      <c r="S176" s="97">
        <v>0.02</v>
      </c>
      <c r="T176" s="122">
        <v>1</v>
      </c>
      <c r="U176" s="97">
        <f>R176*S176/T176</f>
        <v>0.02</v>
      </c>
      <c r="V176" s="231"/>
      <c r="W176" s="232"/>
      <c r="X176" s="240"/>
      <c r="Y176" s="218"/>
    </row>
    <row r="177" spans="1:27">
      <c r="A177" s="233">
        <v>75</v>
      </c>
      <c r="B177" s="233" t="s">
        <v>433</v>
      </c>
      <c r="C177" s="242" t="s">
        <v>434</v>
      </c>
      <c r="D177" s="242"/>
      <c r="E177" s="242"/>
      <c r="F177" s="233" t="s">
        <v>414</v>
      </c>
      <c r="G177" s="233">
        <v>30</v>
      </c>
      <c r="H177" s="233">
        <v>30</v>
      </c>
      <c r="I177" s="233">
        <v>2</v>
      </c>
      <c r="J177" s="229">
        <v>4.3</v>
      </c>
      <c r="K177" s="229">
        <v>2.5</v>
      </c>
      <c r="L177" s="245">
        <v>1.4999999999999999E-2</v>
      </c>
      <c r="M177" s="245">
        <v>8.0000000000000002E-3</v>
      </c>
      <c r="N177" s="245">
        <f t="shared" ref="N177" si="29">L177-M177</f>
        <v>6.9999999999999993E-3</v>
      </c>
      <c r="O177" s="247">
        <f t="shared" ref="O177" si="30">L177*J177-N177*K177</f>
        <v>4.7E-2</v>
      </c>
      <c r="P177" s="96" t="s">
        <v>364</v>
      </c>
      <c r="Q177" s="141" t="s">
        <v>432</v>
      </c>
      <c r="R177" s="122">
        <v>1</v>
      </c>
      <c r="S177" s="97">
        <v>0.03</v>
      </c>
      <c r="T177" s="122">
        <v>1</v>
      </c>
      <c r="U177" s="97">
        <f t="shared" si="27"/>
        <v>0.03</v>
      </c>
      <c r="V177" s="229">
        <v>1.1200000000000001</v>
      </c>
      <c r="W177" s="232">
        <f>(O177+SUM(U177:U178))*V177</f>
        <v>0.11984000000000002</v>
      </c>
      <c r="X177" s="240">
        <v>9.8500000000000004E-2</v>
      </c>
      <c r="Y177" s="218">
        <f>1-W177/X177</f>
        <v>-0.21664974619289357</v>
      </c>
      <c r="AA177" s="106"/>
    </row>
    <row r="178" spans="1:27">
      <c r="A178" s="235"/>
      <c r="B178" s="235"/>
      <c r="C178" s="243"/>
      <c r="D178" s="243"/>
      <c r="E178" s="243"/>
      <c r="F178" s="235"/>
      <c r="G178" s="235"/>
      <c r="H178" s="235"/>
      <c r="I178" s="235"/>
      <c r="J178" s="231"/>
      <c r="K178" s="231"/>
      <c r="L178" s="246"/>
      <c r="M178" s="246"/>
      <c r="N178" s="246"/>
      <c r="O178" s="248"/>
      <c r="P178" s="96" t="s">
        <v>368</v>
      </c>
      <c r="Q178" s="141" t="s">
        <v>435</v>
      </c>
      <c r="R178" s="122">
        <v>1</v>
      </c>
      <c r="S178" s="97">
        <v>0.03</v>
      </c>
      <c r="T178" s="122">
        <v>1</v>
      </c>
      <c r="U178" s="97">
        <f t="shared" si="27"/>
        <v>0.03</v>
      </c>
      <c r="V178" s="231"/>
      <c r="W178" s="232"/>
      <c r="X178" s="240"/>
      <c r="Y178" s="218"/>
    </row>
    <row r="179" spans="1:27" s="134" customFormat="1" ht="28.5">
      <c r="A179" s="98">
        <v>76</v>
      </c>
      <c r="B179" s="98" t="s">
        <v>254</v>
      </c>
      <c r="C179" s="162" t="s">
        <v>255</v>
      </c>
      <c r="D179" s="117"/>
      <c r="E179" s="121"/>
      <c r="F179" s="128" t="s">
        <v>414</v>
      </c>
      <c r="G179" s="128">
        <v>72</v>
      </c>
      <c r="H179" s="128">
        <v>19</v>
      </c>
      <c r="I179" s="128">
        <v>3</v>
      </c>
      <c r="J179" s="129">
        <v>4.3</v>
      </c>
      <c r="K179" s="129">
        <v>2.5</v>
      </c>
      <c r="L179" s="130">
        <v>3.2000000000000001E-2</v>
      </c>
      <c r="M179" s="130">
        <v>1.4999999999999999E-2</v>
      </c>
      <c r="N179" s="130">
        <f t="shared" ref="N179" si="31">L179-M179</f>
        <v>1.7000000000000001E-2</v>
      </c>
      <c r="O179" s="97">
        <f t="shared" ref="O179" si="32">L179*J179-N179*K179</f>
        <v>9.509999999999999E-2</v>
      </c>
      <c r="P179" s="118" t="s">
        <v>436</v>
      </c>
      <c r="Q179" s="133" t="s">
        <v>438</v>
      </c>
      <c r="R179" s="144">
        <v>1</v>
      </c>
      <c r="S179" s="122">
        <v>0.03</v>
      </c>
      <c r="T179" s="122">
        <v>1</v>
      </c>
      <c r="U179" s="116">
        <f t="shared" si="27"/>
        <v>0.03</v>
      </c>
      <c r="V179" s="121">
        <v>1.1200000000000001</v>
      </c>
      <c r="W179" s="96">
        <f>(O179+U179)*V179</f>
        <v>0.14011200000000001</v>
      </c>
      <c r="X179" s="98">
        <v>0.1231</v>
      </c>
      <c r="Y179" s="166">
        <f>1-W179/X179</f>
        <v>-0.1381965881397238</v>
      </c>
      <c r="AA179" s="135"/>
    </row>
    <row r="180" spans="1:27">
      <c r="A180" s="240">
        <v>77</v>
      </c>
      <c r="B180" s="240" t="s">
        <v>257</v>
      </c>
      <c r="C180" s="241" t="s">
        <v>258</v>
      </c>
      <c r="D180" s="240"/>
      <c r="E180" s="240"/>
      <c r="F180" s="240" t="s">
        <v>414</v>
      </c>
      <c r="G180" s="240">
        <v>57</v>
      </c>
      <c r="H180" s="240">
        <v>29</v>
      </c>
      <c r="I180" s="240">
        <v>2</v>
      </c>
      <c r="J180" s="232">
        <v>4.3</v>
      </c>
      <c r="K180" s="232">
        <v>2.5</v>
      </c>
      <c r="L180" s="240">
        <v>2.8000000000000001E-2</v>
      </c>
      <c r="M180" s="240">
        <v>1.2E-2</v>
      </c>
      <c r="N180" s="240">
        <f t="shared" ref="N180" si="33">L180-M180</f>
        <v>1.6E-2</v>
      </c>
      <c r="O180" s="239">
        <f t="shared" ref="O180" si="34">L180*J180-N180*K180</f>
        <v>8.0399999999999999E-2</v>
      </c>
      <c r="P180" s="96" t="s">
        <v>364</v>
      </c>
      <c r="Q180" s="141" t="s">
        <v>416</v>
      </c>
      <c r="R180" s="122">
        <v>1</v>
      </c>
      <c r="S180" s="97">
        <v>0.03</v>
      </c>
      <c r="T180" s="122">
        <v>1</v>
      </c>
      <c r="U180" s="97">
        <f t="shared" ref="U180:U182" si="35">R180*S180/T180</f>
        <v>0.03</v>
      </c>
      <c r="V180" s="229">
        <v>1.1200000000000001</v>
      </c>
      <c r="W180" s="232">
        <f>(O180+SUM(U180:U182))*V180</f>
        <v>0.179648</v>
      </c>
      <c r="X180" s="222">
        <v>0.1477</v>
      </c>
      <c r="Y180" s="214">
        <f>1-W180/X180</f>
        <v>-0.2163033175355451</v>
      </c>
      <c r="AA180" s="106"/>
    </row>
    <row r="181" spans="1:27">
      <c r="A181" s="240"/>
      <c r="B181" s="240"/>
      <c r="C181" s="241"/>
      <c r="D181" s="240"/>
      <c r="E181" s="240"/>
      <c r="F181" s="240"/>
      <c r="G181" s="240"/>
      <c r="H181" s="240"/>
      <c r="I181" s="240"/>
      <c r="J181" s="232"/>
      <c r="K181" s="232"/>
      <c r="L181" s="240"/>
      <c r="M181" s="240"/>
      <c r="N181" s="240"/>
      <c r="O181" s="239"/>
      <c r="P181" s="96" t="s">
        <v>366</v>
      </c>
      <c r="Q181" s="141" t="s">
        <v>416</v>
      </c>
      <c r="R181" s="122">
        <v>1</v>
      </c>
      <c r="S181" s="97">
        <v>0.03</v>
      </c>
      <c r="T181" s="122">
        <v>1</v>
      </c>
      <c r="U181" s="97">
        <f t="shared" si="35"/>
        <v>0.03</v>
      </c>
      <c r="V181" s="230"/>
      <c r="W181" s="232"/>
      <c r="X181" s="222"/>
      <c r="Y181" s="215"/>
    </row>
    <row r="182" spans="1:27">
      <c r="A182" s="240"/>
      <c r="B182" s="240"/>
      <c r="C182" s="241"/>
      <c r="D182" s="240"/>
      <c r="E182" s="240"/>
      <c r="F182" s="240"/>
      <c r="G182" s="240"/>
      <c r="H182" s="240"/>
      <c r="I182" s="240"/>
      <c r="J182" s="232"/>
      <c r="K182" s="232"/>
      <c r="L182" s="240"/>
      <c r="M182" s="240"/>
      <c r="N182" s="240"/>
      <c r="O182" s="239"/>
      <c r="P182" s="96" t="s">
        <v>368</v>
      </c>
      <c r="Q182" s="122" t="s">
        <v>370</v>
      </c>
      <c r="R182" s="122">
        <v>1</v>
      </c>
      <c r="S182" s="97">
        <v>0.02</v>
      </c>
      <c r="T182" s="122">
        <v>1</v>
      </c>
      <c r="U182" s="97">
        <f t="shared" si="35"/>
        <v>0.02</v>
      </c>
      <c r="V182" s="231"/>
      <c r="W182" s="232"/>
      <c r="X182" s="222"/>
      <c r="Y182" s="216"/>
    </row>
    <row r="183" spans="1:27">
      <c r="A183" s="240">
        <v>78</v>
      </c>
      <c r="B183" s="240" t="s">
        <v>257</v>
      </c>
      <c r="C183" s="249" t="s">
        <v>439</v>
      </c>
      <c r="D183" s="240"/>
      <c r="E183" s="240"/>
      <c r="F183" s="240" t="s">
        <v>414</v>
      </c>
      <c r="G183" s="240">
        <v>57</v>
      </c>
      <c r="H183" s="240">
        <v>29</v>
      </c>
      <c r="I183" s="240">
        <v>2</v>
      </c>
      <c r="J183" s="232">
        <v>4.3</v>
      </c>
      <c r="K183" s="232">
        <v>2.5</v>
      </c>
      <c r="L183" s="240">
        <v>2.8000000000000001E-2</v>
      </c>
      <c r="M183" s="240">
        <v>1.2E-2</v>
      </c>
      <c r="N183" s="240">
        <f t="shared" ref="N183" si="36">L183-M183</f>
        <v>1.6E-2</v>
      </c>
      <c r="O183" s="239">
        <f t="shared" ref="O183" si="37">L183*J183-N183*K183</f>
        <v>8.0399999999999999E-2</v>
      </c>
      <c r="P183" s="96" t="s">
        <v>364</v>
      </c>
      <c r="Q183" s="141" t="s">
        <v>416</v>
      </c>
      <c r="R183" s="122">
        <v>1</v>
      </c>
      <c r="S183" s="97">
        <v>0.03</v>
      </c>
      <c r="T183" s="122">
        <v>1</v>
      </c>
      <c r="U183" s="97">
        <f t="shared" ref="U183:U185" si="38">R183*S183/T183</f>
        <v>0.03</v>
      </c>
      <c r="V183" s="229">
        <v>1.1200000000000001</v>
      </c>
      <c r="W183" s="232">
        <f>(O183+SUM(U183:U185))*V183</f>
        <v>0.179648</v>
      </c>
      <c r="X183" s="222">
        <v>0.1477</v>
      </c>
      <c r="Y183" s="214">
        <f>1-W183/X183</f>
        <v>-0.2163033175355451</v>
      </c>
    </row>
    <row r="184" spans="1:27">
      <c r="A184" s="240"/>
      <c r="B184" s="240"/>
      <c r="C184" s="241"/>
      <c r="D184" s="240"/>
      <c r="E184" s="240"/>
      <c r="F184" s="240"/>
      <c r="G184" s="240"/>
      <c r="H184" s="240"/>
      <c r="I184" s="240"/>
      <c r="J184" s="232"/>
      <c r="K184" s="232"/>
      <c r="L184" s="240"/>
      <c r="M184" s="240"/>
      <c r="N184" s="240"/>
      <c r="O184" s="239"/>
      <c r="P184" s="96" t="s">
        <v>366</v>
      </c>
      <c r="Q184" s="141" t="s">
        <v>416</v>
      </c>
      <c r="R184" s="122">
        <v>1</v>
      </c>
      <c r="S184" s="97">
        <v>0.03</v>
      </c>
      <c r="T184" s="122">
        <v>1</v>
      </c>
      <c r="U184" s="97">
        <f t="shared" si="38"/>
        <v>0.03</v>
      </c>
      <c r="V184" s="230"/>
      <c r="W184" s="232"/>
      <c r="X184" s="222"/>
      <c r="Y184" s="215"/>
    </row>
    <row r="185" spans="1:27">
      <c r="A185" s="240"/>
      <c r="B185" s="240"/>
      <c r="C185" s="241"/>
      <c r="D185" s="240"/>
      <c r="E185" s="240"/>
      <c r="F185" s="240"/>
      <c r="G185" s="240"/>
      <c r="H185" s="240"/>
      <c r="I185" s="240"/>
      <c r="J185" s="232"/>
      <c r="K185" s="232"/>
      <c r="L185" s="240"/>
      <c r="M185" s="240"/>
      <c r="N185" s="240"/>
      <c r="O185" s="239"/>
      <c r="P185" s="96" t="s">
        <v>368</v>
      </c>
      <c r="Q185" s="122" t="s">
        <v>370</v>
      </c>
      <c r="R185" s="122">
        <v>1</v>
      </c>
      <c r="S185" s="97">
        <v>0.02</v>
      </c>
      <c r="T185" s="122">
        <v>1</v>
      </c>
      <c r="U185" s="97">
        <f t="shared" si="38"/>
        <v>0.02</v>
      </c>
      <c r="V185" s="231"/>
      <c r="W185" s="232"/>
      <c r="X185" s="222"/>
      <c r="Y185" s="216"/>
    </row>
    <row r="186" spans="1:27">
      <c r="A186" s="233">
        <v>79</v>
      </c>
      <c r="B186" s="233" t="s">
        <v>442</v>
      </c>
      <c r="C186" s="242" t="s">
        <v>443</v>
      </c>
      <c r="D186" s="242"/>
      <c r="E186" s="242"/>
      <c r="F186" s="233" t="s">
        <v>414</v>
      </c>
      <c r="G186" s="233">
        <v>51</v>
      </c>
      <c r="H186" s="233">
        <v>21</v>
      </c>
      <c r="I186" s="233">
        <v>3</v>
      </c>
      <c r="J186" s="229">
        <v>4.3</v>
      </c>
      <c r="K186" s="229">
        <v>2.5</v>
      </c>
      <c r="L186" s="245">
        <v>0.03</v>
      </c>
      <c r="M186" s="245">
        <v>1.4999999999999999E-2</v>
      </c>
      <c r="N186" s="245">
        <f t="shared" ref="N186" si="39">L186-M186</f>
        <v>1.4999999999999999E-2</v>
      </c>
      <c r="O186" s="247">
        <f t="shared" ref="O186" si="40">L186*J186-N186*K186</f>
        <v>9.1499999999999998E-2</v>
      </c>
      <c r="P186" s="115" t="s">
        <v>440</v>
      </c>
      <c r="Q186" s="141" t="s">
        <v>416</v>
      </c>
      <c r="R186" s="122">
        <v>1</v>
      </c>
      <c r="S186" s="97">
        <v>0.03</v>
      </c>
      <c r="T186" s="122">
        <v>1</v>
      </c>
      <c r="U186" s="97">
        <f t="shared" ref="U186:U193" si="41">R186*S186/T186</f>
        <v>0.03</v>
      </c>
      <c r="V186" s="229">
        <v>1.1200000000000001</v>
      </c>
      <c r="W186" s="232">
        <f>(O186+SUM(U186:U187))*V186</f>
        <v>0.16968000000000003</v>
      </c>
      <c r="X186" s="240">
        <v>0.13950000000000001</v>
      </c>
      <c r="Y186" s="218">
        <f>1-W186/X186</f>
        <v>-0.21634408602150534</v>
      </c>
      <c r="AA186" s="106"/>
    </row>
    <row r="187" spans="1:27">
      <c r="A187" s="235"/>
      <c r="B187" s="235"/>
      <c r="C187" s="243"/>
      <c r="D187" s="243"/>
      <c r="E187" s="243"/>
      <c r="F187" s="235"/>
      <c r="G187" s="235"/>
      <c r="H187" s="235"/>
      <c r="I187" s="235"/>
      <c r="J187" s="231"/>
      <c r="K187" s="231"/>
      <c r="L187" s="246"/>
      <c r="M187" s="246"/>
      <c r="N187" s="246"/>
      <c r="O187" s="248"/>
      <c r="P187" s="95" t="s">
        <v>441</v>
      </c>
      <c r="Q187" s="141" t="s">
        <v>416</v>
      </c>
      <c r="R187" s="122">
        <v>1</v>
      </c>
      <c r="S187" s="97">
        <v>0.03</v>
      </c>
      <c r="T187" s="122">
        <v>1</v>
      </c>
      <c r="U187" s="97">
        <f t="shared" si="41"/>
        <v>0.03</v>
      </c>
      <c r="V187" s="231"/>
      <c r="W187" s="232"/>
      <c r="X187" s="240"/>
      <c r="Y187" s="218"/>
    </row>
    <row r="188" spans="1:27">
      <c r="A188" s="233">
        <v>80</v>
      </c>
      <c r="B188" s="232" t="s">
        <v>371</v>
      </c>
      <c r="C188" s="237" t="s">
        <v>372</v>
      </c>
      <c r="D188" s="232"/>
      <c r="E188" s="232"/>
      <c r="F188" s="232" t="s">
        <v>363</v>
      </c>
      <c r="G188" s="222">
        <v>49</v>
      </c>
      <c r="H188" s="222">
        <v>24</v>
      </c>
      <c r="I188" s="222">
        <v>2</v>
      </c>
      <c r="J188" s="232">
        <v>4.3</v>
      </c>
      <c r="K188" s="232">
        <v>2.5</v>
      </c>
      <c r="L188" s="238">
        <v>1.7999999999999999E-2</v>
      </c>
      <c r="M188" s="238">
        <v>1.2E-2</v>
      </c>
      <c r="N188" s="238">
        <f>L188-M188</f>
        <v>5.9999999999999984E-3</v>
      </c>
      <c r="O188" s="239">
        <f>J188*L188-K188*N188</f>
        <v>6.2399999999999997E-2</v>
      </c>
      <c r="P188" s="96" t="s">
        <v>364</v>
      </c>
      <c r="Q188" s="122" t="s">
        <v>365</v>
      </c>
      <c r="R188" s="122">
        <v>1</v>
      </c>
      <c r="S188" s="97">
        <v>0.03</v>
      </c>
      <c r="T188" s="122">
        <v>1</v>
      </c>
      <c r="U188" s="97">
        <f t="shared" si="41"/>
        <v>0.03</v>
      </c>
      <c r="V188" s="229">
        <v>1.1200000000000001</v>
      </c>
      <c r="W188" s="232">
        <f>(O188+SUM(U188:U190))*V188</f>
        <v>0.14828800000000003</v>
      </c>
      <c r="X188" s="222">
        <v>0.1477</v>
      </c>
      <c r="Y188" s="214">
        <f>1-W188/X188</f>
        <v>-3.9810426540287658E-3</v>
      </c>
    </row>
    <row r="189" spans="1:27">
      <c r="A189" s="234"/>
      <c r="B189" s="232"/>
      <c r="C189" s="237"/>
      <c r="D189" s="232"/>
      <c r="E189" s="232"/>
      <c r="F189" s="232"/>
      <c r="G189" s="222"/>
      <c r="H189" s="222"/>
      <c r="I189" s="222"/>
      <c r="J189" s="232"/>
      <c r="K189" s="232"/>
      <c r="L189" s="238"/>
      <c r="M189" s="238"/>
      <c r="N189" s="238"/>
      <c r="O189" s="239"/>
      <c r="P189" s="96" t="s">
        <v>366</v>
      </c>
      <c r="Q189" s="122" t="s">
        <v>370</v>
      </c>
      <c r="R189" s="122">
        <v>1</v>
      </c>
      <c r="S189" s="97">
        <v>0.02</v>
      </c>
      <c r="T189" s="122">
        <v>1</v>
      </c>
      <c r="U189" s="97">
        <f t="shared" si="41"/>
        <v>0.02</v>
      </c>
      <c r="V189" s="230"/>
      <c r="W189" s="232"/>
      <c r="X189" s="222"/>
      <c r="Y189" s="215"/>
    </row>
    <row r="190" spans="1:27">
      <c r="A190" s="235"/>
      <c r="B190" s="232"/>
      <c r="C190" s="237"/>
      <c r="D190" s="232"/>
      <c r="E190" s="232"/>
      <c r="F190" s="232"/>
      <c r="G190" s="222"/>
      <c r="H190" s="222"/>
      <c r="I190" s="222"/>
      <c r="J190" s="232"/>
      <c r="K190" s="232"/>
      <c r="L190" s="238"/>
      <c r="M190" s="238"/>
      <c r="N190" s="238"/>
      <c r="O190" s="239"/>
      <c r="P190" s="96" t="s">
        <v>368</v>
      </c>
      <c r="Q190" s="122" t="s">
        <v>370</v>
      </c>
      <c r="R190" s="122">
        <v>1</v>
      </c>
      <c r="S190" s="97">
        <v>0.02</v>
      </c>
      <c r="T190" s="122">
        <v>1</v>
      </c>
      <c r="U190" s="97">
        <f t="shared" si="41"/>
        <v>0.02</v>
      </c>
      <c r="V190" s="231"/>
      <c r="W190" s="232"/>
      <c r="X190" s="222"/>
      <c r="Y190" s="216"/>
    </row>
    <row r="191" spans="1:27">
      <c r="A191" s="240">
        <v>81</v>
      </c>
      <c r="B191" s="240" t="s">
        <v>269</v>
      </c>
      <c r="C191" s="249" t="s">
        <v>444</v>
      </c>
      <c r="D191" s="240"/>
      <c r="E191" s="240"/>
      <c r="F191" s="240" t="s">
        <v>414</v>
      </c>
      <c r="G191" s="240">
        <v>36</v>
      </c>
      <c r="H191" s="240">
        <v>20</v>
      </c>
      <c r="I191" s="240">
        <v>2</v>
      </c>
      <c r="J191" s="232">
        <v>4.3</v>
      </c>
      <c r="K191" s="232">
        <v>2.5</v>
      </c>
      <c r="L191" s="240">
        <v>1.0999999999999999E-2</v>
      </c>
      <c r="M191" s="240">
        <v>7.0000000000000001E-3</v>
      </c>
      <c r="N191" s="240">
        <f t="shared" ref="N191" si="42">L191-M191</f>
        <v>3.9999999999999992E-3</v>
      </c>
      <c r="O191" s="239">
        <f t="shared" ref="O191" si="43">L191*J191-N191*K191</f>
        <v>3.73E-2</v>
      </c>
      <c r="P191" s="96" t="s">
        <v>364</v>
      </c>
      <c r="Q191" s="141" t="s">
        <v>416</v>
      </c>
      <c r="R191" s="122">
        <v>1</v>
      </c>
      <c r="S191" s="97">
        <v>0.03</v>
      </c>
      <c r="T191" s="122">
        <v>1</v>
      </c>
      <c r="U191" s="97">
        <f t="shared" si="41"/>
        <v>0.03</v>
      </c>
      <c r="V191" s="229">
        <v>1.1200000000000001</v>
      </c>
      <c r="W191" s="232">
        <f>(O191+SUM(U191:U193))*V191</f>
        <v>0.12017600000000002</v>
      </c>
      <c r="X191" s="222">
        <v>9.8500000000000004E-2</v>
      </c>
      <c r="Y191" s="214">
        <f>1-W191/X191</f>
        <v>-0.220060913705584</v>
      </c>
      <c r="AA191" s="106"/>
    </row>
    <row r="192" spans="1:27">
      <c r="A192" s="240"/>
      <c r="B192" s="240"/>
      <c r="C192" s="241"/>
      <c r="D192" s="240"/>
      <c r="E192" s="240"/>
      <c r="F192" s="240"/>
      <c r="G192" s="240"/>
      <c r="H192" s="240"/>
      <c r="I192" s="240"/>
      <c r="J192" s="232"/>
      <c r="K192" s="232"/>
      <c r="L192" s="240"/>
      <c r="M192" s="240"/>
      <c r="N192" s="240"/>
      <c r="O192" s="239"/>
      <c r="P192" s="96" t="s">
        <v>366</v>
      </c>
      <c r="Q192" s="122" t="s">
        <v>370</v>
      </c>
      <c r="R192" s="122">
        <v>1</v>
      </c>
      <c r="S192" s="97">
        <v>0.02</v>
      </c>
      <c r="T192" s="122">
        <v>1</v>
      </c>
      <c r="U192" s="97">
        <f t="shared" si="41"/>
        <v>0.02</v>
      </c>
      <c r="V192" s="230"/>
      <c r="W192" s="232"/>
      <c r="X192" s="222"/>
      <c r="Y192" s="215"/>
    </row>
    <row r="193" spans="1:29">
      <c r="A193" s="240"/>
      <c r="B193" s="240"/>
      <c r="C193" s="241"/>
      <c r="D193" s="240"/>
      <c r="E193" s="240"/>
      <c r="F193" s="240"/>
      <c r="G193" s="240"/>
      <c r="H193" s="240"/>
      <c r="I193" s="240"/>
      <c r="J193" s="232"/>
      <c r="K193" s="232"/>
      <c r="L193" s="240"/>
      <c r="M193" s="240"/>
      <c r="N193" s="240"/>
      <c r="O193" s="239"/>
      <c r="P193" s="96" t="s">
        <v>368</v>
      </c>
      <c r="Q193" s="122" t="s">
        <v>370</v>
      </c>
      <c r="R193" s="122">
        <v>1</v>
      </c>
      <c r="S193" s="97">
        <v>0.02</v>
      </c>
      <c r="T193" s="122">
        <v>1</v>
      </c>
      <c r="U193" s="97">
        <f t="shared" si="41"/>
        <v>0.02</v>
      </c>
      <c r="V193" s="231"/>
      <c r="W193" s="232"/>
      <c r="X193" s="222"/>
      <c r="Y193" s="216"/>
    </row>
    <row r="194" spans="1:29">
      <c r="A194" s="240">
        <v>82</v>
      </c>
      <c r="B194" s="240" t="s">
        <v>272</v>
      </c>
      <c r="C194" s="241" t="s">
        <v>273</v>
      </c>
      <c r="D194" s="240"/>
      <c r="E194" s="240"/>
      <c r="F194" s="240" t="s">
        <v>363</v>
      </c>
      <c r="G194" s="240">
        <v>36</v>
      </c>
      <c r="H194" s="233">
        <v>24</v>
      </c>
      <c r="I194" s="233">
        <v>2</v>
      </c>
      <c r="J194" s="232">
        <v>4.3</v>
      </c>
      <c r="K194" s="232">
        <v>2.5</v>
      </c>
      <c r="L194" s="238">
        <v>1.4E-2</v>
      </c>
      <c r="M194" s="238">
        <v>6.0000000000000001E-3</v>
      </c>
      <c r="N194" s="238">
        <f>L194-M194</f>
        <v>8.0000000000000002E-3</v>
      </c>
      <c r="O194" s="239">
        <f>J194*L194-K194*N194</f>
        <v>4.02E-2</v>
      </c>
      <c r="P194" s="96" t="s">
        <v>364</v>
      </c>
      <c r="Q194" s="122" t="s">
        <v>365</v>
      </c>
      <c r="R194" s="122">
        <v>1</v>
      </c>
      <c r="S194" s="97">
        <v>0.03</v>
      </c>
      <c r="T194" s="122">
        <v>1</v>
      </c>
      <c r="U194" s="97">
        <f t="shared" si="17"/>
        <v>0.03</v>
      </c>
      <c r="V194" s="229">
        <v>1.1200000000000001</v>
      </c>
      <c r="W194" s="232">
        <f>(O194+SUM(U194:U195))*V194</f>
        <v>0.10102400000000002</v>
      </c>
      <c r="X194" s="222">
        <v>0.1149</v>
      </c>
      <c r="Y194" s="218">
        <f>1-W194/X194</f>
        <v>0.12076588337684935</v>
      </c>
      <c r="AC194" s="103"/>
    </row>
    <row r="195" spans="1:29">
      <c r="A195" s="240"/>
      <c r="B195" s="240"/>
      <c r="C195" s="241"/>
      <c r="D195" s="240"/>
      <c r="E195" s="240"/>
      <c r="F195" s="240"/>
      <c r="G195" s="240"/>
      <c r="H195" s="235"/>
      <c r="I195" s="235"/>
      <c r="J195" s="232"/>
      <c r="K195" s="232"/>
      <c r="L195" s="238"/>
      <c r="M195" s="238"/>
      <c r="N195" s="238"/>
      <c r="O195" s="239"/>
      <c r="P195" s="96" t="s">
        <v>366</v>
      </c>
      <c r="Q195" s="122" t="s">
        <v>370</v>
      </c>
      <c r="R195" s="122">
        <v>1</v>
      </c>
      <c r="S195" s="97">
        <v>0.02</v>
      </c>
      <c r="T195" s="122">
        <v>1</v>
      </c>
      <c r="U195" s="97">
        <f t="shared" si="17"/>
        <v>0.02</v>
      </c>
      <c r="V195" s="231"/>
      <c r="W195" s="232"/>
      <c r="X195" s="222"/>
      <c r="Y195" s="218"/>
      <c r="AC195" s="103"/>
    </row>
    <row r="196" spans="1:29">
      <c r="A196" s="233">
        <v>83</v>
      </c>
      <c r="B196" s="233" t="s">
        <v>275</v>
      </c>
      <c r="C196" s="242" t="s">
        <v>276</v>
      </c>
      <c r="D196" s="233"/>
      <c r="E196" s="233"/>
      <c r="F196" s="280" t="s">
        <v>363</v>
      </c>
      <c r="G196" s="240">
        <v>82</v>
      </c>
      <c r="H196" s="240">
        <v>67</v>
      </c>
      <c r="I196" s="240">
        <v>2</v>
      </c>
      <c r="J196" s="232">
        <v>4.3</v>
      </c>
      <c r="K196" s="232">
        <v>2.5</v>
      </c>
      <c r="L196" s="238">
        <v>8.5999999999999993E-2</v>
      </c>
      <c r="M196" s="238">
        <v>3.2000000000000001E-2</v>
      </c>
      <c r="N196" s="238">
        <f>L196-M196</f>
        <v>5.3999999999999992E-2</v>
      </c>
      <c r="O196" s="239">
        <f>J196*L196-K196*N196</f>
        <v>0.23479999999999998</v>
      </c>
      <c r="P196" s="96" t="s">
        <v>364</v>
      </c>
      <c r="Q196" s="122" t="s">
        <v>365</v>
      </c>
      <c r="R196" s="122">
        <v>1</v>
      </c>
      <c r="S196" s="97">
        <v>0.03</v>
      </c>
      <c r="T196" s="122">
        <v>1</v>
      </c>
      <c r="U196" s="97">
        <f t="shared" si="17"/>
        <v>0.03</v>
      </c>
      <c r="V196" s="229">
        <v>1.1200000000000001</v>
      </c>
      <c r="W196" s="232">
        <f>(O196+SUM(U196:U199))*V196</f>
        <v>0.38617600000000002</v>
      </c>
      <c r="X196" s="222">
        <v>0.44319999999999998</v>
      </c>
      <c r="Y196" s="217">
        <f>1-W196/X196</f>
        <v>0.12866425992779773</v>
      </c>
    </row>
    <row r="197" spans="1:29">
      <c r="A197" s="234"/>
      <c r="B197" s="234"/>
      <c r="C197" s="255"/>
      <c r="D197" s="234"/>
      <c r="E197" s="234"/>
      <c r="F197" s="240"/>
      <c r="G197" s="240"/>
      <c r="H197" s="240"/>
      <c r="I197" s="240"/>
      <c r="J197" s="232"/>
      <c r="K197" s="232"/>
      <c r="L197" s="238"/>
      <c r="M197" s="238"/>
      <c r="N197" s="238"/>
      <c r="O197" s="239"/>
      <c r="P197" s="96" t="s">
        <v>366</v>
      </c>
      <c r="Q197" s="122" t="s">
        <v>367</v>
      </c>
      <c r="R197" s="122">
        <v>1</v>
      </c>
      <c r="S197" s="97">
        <v>0.03</v>
      </c>
      <c r="T197" s="122">
        <v>1</v>
      </c>
      <c r="U197" s="97">
        <f t="shared" si="17"/>
        <v>0.03</v>
      </c>
      <c r="V197" s="230"/>
      <c r="W197" s="232"/>
      <c r="X197" s="222"/>
      <c r="Y197" s="217"/>
    </row>
    <row r="198" spans="1:29">
      <c r="A198" s="234"/>
      <c r="B198" s="234"/>
      <c r="C198" s="255"/>
      <c r="D198" s="234"/>
      <c r="E198" s="234"/>
      <c r="F198" s="240"/>
      <c r="G198" s="240"/>
      <c r="H198" s="240"/>
      <c r="I198" s="240"/>
      <c r="J198" s="232"/>
      <c r="K198" s="232"/>
      <c r="L198" s="238"/>
      <c r="M198" s="238"/>
      <c r="N198" s="238"/>
      <c r="O198" s="239"/>
      <c r="P198" s="96" t="s">
        <v>368</v>
      </c>
      <c r="Q198" s="122" t="s">
        <v>365</v>
      </c>
      <c r="R198" s="122">
        <v>1</v>
      </c>
      <c r="S198" s="97">
        <v>0.03</v>
      </c>
      <c r="T198" s="122">
        <v>1</v>
      </c>
      <c r="U198" s="97">
        <f t="shared" si="17"/>
        <v>0.03</v>
      </c>
      <c r="V198" s="230"/>
      <c r="W198" s="232"/>
      <c r="X198" s="222"/>
      <c r="Y198" s="217"/>
    </row>
    <row r="199" spans="1:29">
      <c r="A199" s="235"/>
      <c r="B199" s="235"/>
      <c r="C199" s="243"/>
      <c r="D199" s="235"/>
      <c r="E199" s="235"/>
      <c r="F199" s="240"/>
      <c r="G199" s="240"/>
      <c r="H199" s="240"/>
      <c r="I199" s="240"/>
      <c r="J199" s="232"/>
      <c r="K199" s="232"/>
      <c r="L199" s="238"/>
      <c r="M199" s="238"/>
      <c r="N199" s="238"/>
      <c r="O199" s="239"/>
      <c r="P199" s="96" t="s">
        <v>369</v>
      </c>
      <c r="Q199" s="122" t="s">
        <v>370</v>
      </c>
      <c r="R199" s="122">
        <v>1</v>
      </c>
      <c r="S199" s="97">
        <v>0.02</v>
      </c>
      <c r="T199" s="122">
        <v>1</v>
      </c>
      <c r="U199" s="97">
        <f t="shared" si="17"/>
        <v>0.02</v>
      </c>
      <c r="V199" s="231"/>
      <c r="W199" s="232"/>
      <c r="X199" s="222"/>
      <c r="Y199" s="217"/>
    </row>
    <row r="200" spans="1:29">
      <c r="A200" s="240">
        <v>84</v>
      </c>
      <c r="B200" s="240" t="s">
        <v>278</v>
      </c>
      <c r="C200" s="249" t="s">
        <v>446</v>
      </c>
      <c r="D200" s="240"/>
      <c r="E200" s="240"/>
      <c r="F200" s="241" t="s">
        <v>445</v>
      </c>
      <c r="G200" s="240">
        <v>160</v>
      </c>
      <c r="H200" s="240">
        <v>139</v>
      </c>
      <c r="I200" s="240">
        <v>3</v>
      </c>
      <c r="J200" s="232">
        <v>4.5999999999999996</v>
      </c>
      <c r="K200" s="232">
        <v>2.5</v>
      </c>
      <c r="L200" s="240">
        <v>0.52400000000000002</v>
      </c>
      <c r="M200" s="240">
        <v>0.30599999999999999</v>
      </c>
      <c r="N200" s="240">
        <f t="shared" ref="N200" si="44">L200-M200</f>
        <v>0.21800000000000003</v>
      </c>
      <c r="O200" s="239">
        <f t="shared" ref="O200" si="45">L200*J200-N200*K200</f>
        <v>1.8654000000000002</v>
      </c>
      <c r="P200" s="96" t="s">
        <v>364</v>
      </c>
      <c r="Q200" s="141" t="s">
        <v>447</v>
      </c>
      <c r="R200" s="122">
        <v>1</v>
      </c>
      <c r="S200" s="97">
        <v>0.08</v>
      </c>
      <c r="T200" s="122">
        <v>1</v>
      </c>
      <c r="U200" s="97">
        <f t="shared" ref="U200:U202" si="46">R200*S200/T200</f>
        <v>0.08</v>
      </c>
      <c r="V200" s="229">
        <v>1.1200000000000001</v>
      </c>
      <c r="W200" s="232">
        <f>(O200+SUM(U200:U202))*V200</f>
        <v>2.2908480000000004</v>
      </c>
      <c r="X200" s="222">
        <v>2.7837999999999998</v>
      </c>
      <c r="Y200" s="214">
        <f>1-W200/X200</f>
        <v>0.17707881313312712</v>
      </c>
      <c r="AA200" s="106"/>
    </row>
    <row r="201" spans="1:29">
      <c r="A201" s="240"/>
      <c r="B201" s="240"/>
      <c r="C201" s="241"/>
      <c r="D201" s="240"/>
      <c r="E201" s="240"/>
      <c r="F201" s="241"/>
      <c r="G201" s="240"/>
      <c r="H201" s="240"/>
      <c r="I201" s="240"/>
      <c r="J201" s="232"/>
      <c r="K201" s="232"/>
      <c r="L201" s="240"/>
      <c r="M201" s="240"/>
      <c r="N201" s="240"/>
      <c r="O201" s="239"/>
      <c r="P201" s="96" t="s">
        <v>368</v>
      </c>
      <c r="Q201" s="122" t="s">
        <v>448</v>
      </c>
      <c r="R201" s="122">
        <v>1</v>
      </c>
      <c r="S201" s="97">
        <v>0.05</v>
      </c>
      <c r="T201" s="122">
        <v>1</v>
      </c>
      <c r="U201" s="97">
        <f t="shared" si="46"/>
        <v>0.05</v>
      </c>
      <c r="V201" s="230"/>
      <c r="W201" s="232"/>
      <c r="X201" s="222"/>
      <c r="Y201" s="215"/>
    </row>
    <row r="202" spans="1:29">
      <c r="A202" s="240"/>
      <c r="B202" s="240"/>
      <c r="C202" s="241"/>
      <c r="D202" s="240"/>
      <c r="E202" s="240"/>
      <c r="F202" s="241"/>
      <c r="G202" s="240"/>
      <c r="H202" s="240"/>
      <c r="I202" s="240"/>
      <c r="J202" s="232"/>
      <c r="K202" s="232"/>
      <c r="L202" s="240"/>
      <c r="M202" s="240"/>
      <c r="N202" s="240"/>
      <c r="O202" s="239"/>
      <c r="P202" s="96" t="s">
        <v>368</v>
      </c>
      <c r="Q202" s="122" t="s">
        <v>448</v>
      </c>
      <c r="R202" s="122">
        <v>1</v>
      </c>
      <c r="S202" s="97">
        <v>0.05</v>
      </c>
      <c r="T202" s="122">
        <v>1</v>
      </c>
      <c r="U202" s="97">
        <f t="shared" si="46"/>
        <v>0.05</v>
      </c>
      <c r="V202" s="231"/>
      <c r="W202" s="232"/>
      <c r="X202" s="222"/>
      <c r="Y202" s="216"/>
    </row>
    <row r="203" spans="1:29">
      <c r="A203" s="240">
        <v>85</v>
      </c>
      <c r="B203" s="280" t="s">
        <v>449</v>
      </c>
      <c r="C203" s="249" t="s">
        <v>450</v>
      </c>
      <c r="D203" s="240"/>
      <c r="E203" s="240"/>
      <c r="F203" s="241" t="s">
        <v>445</v>
      </c>
      <c r="G203" s="240">
        <v>160</v>
      </c>
      <c r="H203" s="240">
        <v>139</v>
      </c>
      <c r="I203" s="240">
        <v>3</v>
      </c>
      <c r="J203" s="232">
        <v>4.5999999999999996</v>
      </c>
      <c r="K203" s="232">
        <v>2.5</v>
      </c>
      <c r="L203" s="240">
        <v>0.52400000000000002</v>
      </c>
      <c r="M203" s="240">
        <v>0.30599999999999999</v>
      </c>
      <c r="N203" s="240">
        <f t="shared" ref="N203" si="47">L203-M203</f>
        <v>0.21800000000000003</v>
      </c>
      <c r="O203" s="239">
        <f t="shared" ref="O203" si="48">L203*J203-N203*K203</f>
        <v>1.8654000000000002</v>
      </c>
      <c r="P203" s="96" t="s">
        <v>364</v>
      </c>
      <c r="Q203" s="141" t="s">
        <v>447</v>
      </c>
      <c r="R203" s="122">
        <v>1</v>
      </c>
      <c r="S203" s="97">
        <v>0.08</v>
      </c>
      <c r="T203" s="122">
        <v>1</v>
      </c>
      <c r="U203" s="97">
        <f t="shared" ref="U203:U207" si="49">R203*S203/T203</f>
        <v>0.08</v>
      </c>
      <c r="V203" s="229">
        <v>1.1200000000000001</v>
      </c>
      <c r="W203" s="232">
        <f>(O203+SUM(U203:U205))*V203</f>
        <v>2.2908480000000004</v>
      </c>
      <c r="X203" s="222">
        <v>2.7837999999999998</v>
      </c>
      <c r="Y203" s="214">
        <f>1-W203/X203</f>
        <v>0.17707881313312712</v>
      </c>
    </row>
    <row r="204" spans="1:29">
      <c r="A204" s="240"/>
      <c r="B204" s="240"/>
      <c r="C204" s="241"/>
      <c r="D204" s="240"/>
      <c r="E204" s="240"/>
      <c r="F204" s="241"/>
      <c r="G204" s="240"/>
      <c r="H204" s="240"/>
      <c r="I204" s="240"/>
      <c r="J204" s="232"/>
      <c r="K204" s="232"/>
      <c r="L204" s="240"/>
      <c r="M204" s="240"/>
      <c r="N204" s="240"/>
      <c r="O204" s="239"/>
      <c r="P204" s="96" t="s">
        <v>368</v>
      </c>
      <c r="Q204" s="122" t="s">
        <v>448</v>
      </c>
      <c r="R204" s="122">
        <v>1</v>
      </c>
      <c r="S204" s="97">
        <v>0.05</v>
      </c>
      <c r="T204" s="122">
        <v>1</v>
      </c>
      <c r="U204" s="97">
        <f t="shared" si="49"/>
        <v>0.05</v>
      </c>
      <c r="V204" s="230"/>
      <c r="W204" s="232"/>
      <c r="X204" s="222"/>
      <c r="Y204" s="215"/>
    </row>
    <row r="205" spans="1:29">
      <c r="A205" s="240"/>
      <c r="B205" s="240"/>
      <c r="C205" s="241"/>
      <c r="D205" s="240"/>
      <c r="E205" s="240"/>
      <c r="F205" s="241"/>
      <c r="G205" s="240"/>
      <c r="H205" s="240"/>
      <c r="I205" s="240"/>
      <c r="J205" s="232"/>
      <c r="K205" s="232"/>
      <c r="L205" s="240"/>
      <c r="M205" s="240"/>
      <c r="N205" s="240"/>
      <c r="O205" s="239"/>
      <c r="P205" s="96" t="s">
        <v>368</v>
      </c>
      <c r="Q205" s="122" t="s">
        <v>448</v>
      </c>
      <c r="R205" s="122">
        <v>1</v>
      </c>
      <c r="S205" s="97">
        <v>0.05</v>
      </c>
      <c r="T205" s="122">
        <v>1</v>
      </c>
      <c r="U205" s="97">
        <f t="shared" si="49"/>
        <v>0.05</v>
      </c>
      <c r="V205" s="231"/>
      <c r="W205" s="232"/>
      <c r="X205" s="222"/>
      <c r="Y205" s="216"/>
    </row>
    <row r="206" spans="1:29">
      <c r="A206" s="233">
        <v>86</v>
      </c>
      <c r="B206" s="233" t="s">
        <v>451</v>
      </c>
      <c r="C206" s="242" t="s">
        <v>452</v>
      </c>
      <c r="D206" s="242"/>
      <c r="E206" s="242"/>
      <c r="F206" s="233" t="s">
        <v>414</v>
      </c>
      <c r="G206" s="233">
        <v>81</v>
      </c>
      <c r="H206" s="233">
        <v>26</v>
      </c>
      <c r="I206" s="233">
        <v>2</v>
      </c>
      <c r="J206" s="229">
        <v>4.3</v>
      </c>
      <c r="K206" s="229">
        <v>2.5</v>
      </c>
      <c r="L206" s="245">
        <v>3.5000000000000003E-2</v>
      </c>
      <c r="M206" s="245">
        <v>2.5999999999999999E-2</v>
      </c>
      <c r="N206" s="245">
        <f t="shared" ref="N206" si="50">L206-M206</f>
        <v>9.0000000000000045E-3</v>
      </c>
      <c r="O206" s="247">
        <f>L206*J206-N206*K206</f>
        <v>0.12799999999999997</v>
      </c>
      <c r="P206" s="115" t="s">
        <v>440</v>
      </c>
      <c r="Q206" s="141" t="s">
        <v>416</v>
      </c>
      <c r="R206" s="122">
        <v>1</v>
      </c>
      <c r="S206" s="97">
        <v>0.03</v>
      </c>
      <c r="T206" s="122">
        <v>1</v>
      </c>
      <c r="U206" s="97">
        <f t="shared" si="49"/>
        <v>0.03</v>
      </c>
      <c r="V206" s="229">
        <v>1.1200000000000001</v>
      </c>
      <c r="W206" s="232">
        <f>(O206+SUM(U206:U207))*V206</f>
        <v>0.19936000000000001</v>
      </c>
      <c r="X206" s="240">
        <v>0.1477</v>
      </c>
      <c r="Y206" s="218">
        <f>1-W206/X206</f>
        <v>-0.34976303317535562</v>
      </c>
      <c r="AA206" s="106"/>
    </row>
    <row r="207" spans="1:29">
      <c r="A207" s="235"/>
      <c r="B207" s="235"/>
      <c r="C207" s="243"/>
      <c r="D207" s="243"/>
      <c r="E207" s="243"/>
      <c r="F207" s="235"/>
      <c r="G207" s="235"/>
      <c r="H207" s="235"/>
      <c r="I207" s="235"/>
      <c r="J207" s="231"/>
      <c r="K207" s="231"/>
      <c r="L207" s="246"/>
      <c r="M207" s="246"/>
      <c r="N207" s="246"/>
      <c r="O207" s="248"/>
      <c r="P207" s="95" t="s">
        <v>441</v>
      </c>
      <c r="Q207" s="141" t="s">
        <v>370</v>
      </c>
      <c r="R207" s="122">
        <v>1</v>
      </c>
      <c r="S207" s="97">
        <v>0.02</v>
      </c>
      <c r="T207" s="122">
        <v>1</v>
      </c>
      <c r="U207" s="97">
        <f t="shared" si="49"/>
        <v>0.02</v>
      </c>
      <c r="V207" s="231"/>
      <c r="W207" s="232"/>
      <c r="X207" s="240"/>
      <c r="Y207" s="218"/>
    </row>
    <row r="208" spans="1:29">
      <c r="A208" s="240">
        <v>87</v>
      </c>
      <c r="B208" s="280" t="s">
        <v>453</v>
      </c>
      <c r="C208" s="249" t="s">
        <v>454</v>
      </c>
      <c r="D208" s="240"/>
      <c r="E208" s="240"/>
      <c r="F208" s="240" t="s">
        <v>414</v>
      </c>
      <c r="G208" s="240">
        <v>69</v>
      </c>
      <c r="H208" s="240">
        <v>48</v>
      </c>
      <c r="I208" s="240">
        <v>2</v>
      </c>
      <c r="J208" s="232">
        <v>4.3</v>
      </c>
      <c r="K208" s="232">
        <v>2.5</v>
      </c>
      <c r="L208" s="240">
        <v>5.1999999999999998E-2</v>
      </c>
      <c r="M208" s="240">
        <v>2.9000000000000001E-2</v>
      </c>
      <c r="N208" s="240">
        <f t="shared" ref="N208" si="51">L208-M208</f>
        <v>2.2999999999999996E-2</v>
      </c>
      <c r="O208" s="239">
        <f t="shared" ref="O208" si="52">L208*J208-N208*K208</f>
        <v>0.1661</v>
      </c>
      <c r="P208" s="96" t="s">
        <v>364</v>
      </c>
      <c r="Q208" s="141" t="s">
        <v>365</v>
      </c>
      <c r="R208" s="122">
        <v>1</v>
      </c>
      <c r="S208" s="97">
        <v>0.03</v>
      </c>
      <c r="T208" s="122">
        <v>1</v>
      </c>
      <c r="U208" s="97">
        <f t="shared" ref="U208:U210" si="53">R208*S208/T208</f>
        <v>0.03</v>
      </c>
      <c r="V208" s="229">
        <v>1.1200000000000001</v>
      </c>
      <c r="W208" s="232">
        <f>(O208+SUM(U208:U210))*V208</f>
        <v>0.28683200000000003</v>
      </c>
      <c r="X208" s="222">
        <v>0.23799999999999999</v>
      </c>
      <c r="Y208" s="214">
        <f>1-W208/X208</f>
        <v>-0.20517647058823552</v>
      </c>
      <c r="AA208" s="106"/>
    </row>
    <row r="209" spans="1:29">
      <c r="A209" s="240"/>
      <c r="B209" s="240"/>
      <c r="C209" s="241"/>
      <c r="D209" s="240"/>
      <c r="E209" s="240"/>
      <c r="F209" s="240"/>
      <c r="G209" s="240"/>
      <c r="H209" s="240"/>
      <c r="I209" s="240"/>
      <c r="J209" s="232"/>
      <c r="K209" s="232"/>
      <c r="L209" s="240"/>
      <c r="M209" s="240"/>
      <c r="N209" s="240"/>
      <c r="O209" s="239"/>
      <c r="P209" s="96" t="s">
        <v>368</v>
      </c>
      <c r="Q209" s="141" t="s">
        <v>367</v>
      </c>
      <c r="R209" s="122">
        <v>1</v>
      </c>
      <c r="S209" s="97">
        <v>0.03</v>
      </c>
      <c r="T209" s="122">
        <v>1</v>
      </c>
      <c r="U209" s="97">
        <f t="shared" si="53"/>
        <v>0.03</v>
      </c>
      <c r="V209" s="230"/>
      <c r="W209" s="232"/>
      <c r="X209" s="222"/>
      <c r="Y209" s="215"/>
    </row>
    <row r="210" spans="1:29">
      <c r="A210" s="240"/>
      <c r="B210" s="240"/>
      <c r="C210" s="241"/>
      <c r="D210" s="240"/>
      <c r="E210" s="240"/>
      <c r="F210" s="240"/>
      <c r="G210" s="240"/>
      <c r="H210" s="240"/>
      <c r="I210" s="240"/>
      <c r="J210" s="232"/>
      <c r="K210" s="232"/>
      <c r="L210" s="240"/>
      <c r="M210" s="240"/>
      <c r="N210" s="240"/>
      <c r="O210" s="239"/>
      <c r="P210" s="96" t="s">
        <v>368</v>
      </c>
      <c r="Q210" s="141" t="s">
        <v>367</v>
      </c>
      <c r="R210" s="122">
        <v>1</v>
      </c>
      <c r="S210" s="137">
        <v>0.03</v>
      </c>
      <c r="T210" s="122">
        <v>1</v>
      </c>
      <c r="U210" s="97">
        <f t="shared" si="53"/>
        <v>0.03</v>
      </c>
      <c r="V210" s="231"/>
      <c r="W210" s="232"/>
      <c r="X210" s="222"/>
      <c r="Y210" s="216"/>
    </row>
    <row r="211" spans="1:29">
      <c r="A211" s="240">
        <v>88</v>
      </c>
      <c r="B211" s="280" t="s">
        <v>455</v>
      </c>
      <c r="C211" s="249" t="s">
        <v>456</v>
      </c>
      <c r="D211" s="240"/>
      <c r="E211" s="240"/>
      <c r="F211" s="240" t="s">
        <v>414</v>
      </c>
      <c r="G211" s="240">
        <v>48</v>
      </c>
      <c r="H211" s="240">
        <v>42</v>
      </c>
      <c r="I211" s="240">
        <v>2</v>
      </c>
      <c r="J211" s="232">
        <v>4.3</v>
      </c>
      <c r="K211" s="232">
        <v>2.5</v>
      </c>
      <c r="L211" s="240">
        <v>3.2000000000000001E-2</v>
      </c>
      <c r="M211" s="240">
        <v>1.2E-2</v>
      </c>
      <c r="N211" s="240">
        <f t="shared" ref="N211" si="54">L211-M211</f>
        <v>0.02</v>
      </c>
      <c r="O211" s="239">
        <f t="shared" ref="O211" si="55">L211*J211-N211*K211</f>
        <v>8.7599999999999997E-2</v>
      </c>
      <c r="P211" s="96" t="s">
        <v>364</v>
      </c>
      <c r="Q211" s="141" t="s">
        <v>365</v>
      </c>
      <c r="R211" s="122">
        <v>1</v>
      </c>
      <c r="S211" s="97">
        <v>0.03</v>
      </c>
      <c r="T211" s="122">
        <v>1</v>
      </c>
      <c r="U211" s="97">
        <f t="shared" ref="U211:U213" si="56">R211*S211/T211</f>
        <v>0.03</v>
      </c>
      <c r="V211" s="229">
        <v>1.1200000000000001</v>
      </c>
      <c r="W211" s="232">
        <f>(O211+SUM(U211:U213))*V211</f>
        <v>0.19891200000000001</v>
      </c>
      <c r="X211" s="222">
        <v>0.16420000000000001</v>
      </c>
      <c r="Y211" s="214">
        <f>1-W211/X211</f>
        <v>-0.21140073081607791</v>
      </c>
      <c r="AA211" s="106"/>
    </row>
    <row r="212" spans="1:29">
      <c r="A212" s="240"/>
      <c r="B212" s="240"/>
      <c r="C212" s="241"/>
      <c r="D212" s="240"/>
      <c r="E212" s="240"/>
      <c r="F212" s="240"/>
      <c r="G212" s="240"/>
      <c r="H212" s="240"/>
      <c r="I212" s="240"/>
      <c r="J212" s="232"/>
      <c r="K212" s="232"/>
      <c r="L212" s="240"/>
      <c r="M212" s="240"/>
      <c r="N212" s="240"/>
      <c r="O212" s="239"/>
      <c r="P212" s="96" t="s">
        <v>368</v>
      </c>
      <c r="Q212" s="141" t="s">
        <v>367</v>
      </c>
      <c r="R212" s="122">
        <v>1</v>
      </c>
      <c r="S212" s="97">
        <v>0.03</v>
      </c>
      <c r="T212" s="122">
        <v>1</v>
      </c>
      <c r="U212" s="97">
        <f t="shared" si="56"/>
        <v>0.03</v>
      </c>
      <c r="V212" s="230"/>
      <c r="W212" s="232"/>
      <c r="X212" s="222"/>
      <c r="Y212" s="215"/>
    </row>
    <row r="213" spans="1:29">
      <c r="A213" s="240"/>
      <c r="B213" s="240"/>
      <c r="C213" s="241"/>
      <c r="D213" s="240"/>
      <c r="E213" s="240"/>
      <c r="F213" s="240"/>
      <c r="G213" s="240"/>
      <c r="H213" s="240"/>
      <c r="I213" s="240"/>
      <c r="J213" s="232"/>
      <c r="K213" s="232"/>
      <c r="L213" s="240"/>
      <c r="M213" s="240"/>
      <c r="N213" s="240"/>
      <c r="O213" s="239"/>
      <c r="P213" s="96" t="s">
        <v>368</v>
      </c>
      <c r="Q213" s="141" t="s">
        <v>367</v>
      </c>
      <c r="R213" s="122">
        <v>1</v>
      </c>
      <c r="S213" s="137">
        <v>0.03</v>
      </c>
      <c r="T213" s="122">
        <v>1</v>
      </c>
      <c r="U213" s="97">
        <f t="shared" si="56"/>
        <v>0.03</v>
      </c>
      <c r="V213" s="231"/>
      <c r="W213" s="232"/>
      <c r="X213" s="222"/>
      <c r="Y213" s="216"/>
    </row>
    <row r="214" spans="1:29">
      <c r="A214" s="233">
        <v>89</v>
      </c>
      <c r="B214" s="233" t="s">
        <v>376</v>
      </c>
      <c r="C214" s="242" t="s">
        <v>377</v>
      </c>
      <c r="D214" s="242"/>
      <c r="E214" s="242"/>
      <c r="F214" s="233" t="s">
        <v>363</v>
      </c>
      <c r="G214" s="233">
        <v>54</v>
      </c>
      <c r="H214" s="233">
        <v>36</v>
      </c>
      <c r="I214" s="233">
        <v>2</v>
      </c>
      <c r="J214" s="229">
        <v>4.3</v>
      </c>
      <c r="K214" s="229">
        <v>2.5</v>
      </c>
      <c r="L214" s="245">
        <v>3.1E-2</v>
      </c>
      <c r="M214" s="245">
        <v>1.7000000000000001E-2</v>
      </c>
      <c r="N214" s="245">
        <f>L214-M214</f>
        <v>1.3999999999999999E-2</v>
      </c>
      <c r="O214" s="247">
        <f>J214*L214-K214*N214</f>
        <v>9.8299999999999998E-2</v>
      </c>
      <c r="P214" s="96" t="s">
        <v>364</v>
      </c>
      <c r="Q214" s="122" t="s">
        <v>367</v>
      </c>
      <c r="R214" s="122">
        <v>1</v>
      </c>
      <c r="S214" s="97">
        <v>0.03</v>
      </c>
      <c r="T214" s="122">
        <v>1</v>
      </c>
      <c r="U214" s="97">
        <f t="shared" si="17"/>
        <v>0.03</v>
      </c>
      <c r="V214" s="229">
        <v>1.1200000000000001</v>
      </c>
      <c r="W214" s="232">
        <f>(O214+SUM(U214:U217))*V214</f>
        <v>0.24449600000000002</v>
      </c>
      <c r="X214" s="222">
        <v>0.24840000000000001</v>
      </c>
      <c r="Y214" s="217">
        <f>1-W214/X214</f>
        <v>1.5716586151368728E-2</v>
      </c>
      <c r="AC214" s="103"/>
    </row>
    <row r="215" spans="1:29">
      <c r="A215" s="234"/>
      <c r="B215" s="234"/>
      <c r="C215" s="255"/>
      <c r="D215" s="255"/>
      <c r="E215" s="255"/>
      <c r="F215" s="234"/>
      <c r="G215" s="234"/>
      <c r="H215" s="234"/>
      <c r="I215" s="234"/>
      <c r="J215" s="230"/>
      <c r="K215" s="230"/>
      <c r="L215" s="253"/>
      <c r="M215" s="253"/>
      <c r="N215" s="253"/>
      <c r="O215" s="254"/>
      <c r="P215" s="96" t="s">
        <v>366</v>
      </c>
      <c r="Q215" s="122" t="s">
        <v>367</v>
      </c>
      <c r="R215" s="122">
        <v>1</v>
      </c>
      <c r="S215" s="97">
        <v>0.03</v>
      </c>
      <c r="T215" s="122">
        <v>1</v>
      </c>
      <c r="U215" s="97">
        <f t="shared" si="17"/>
        <v>0.03</v>
      </c>
      <c r="V215" s="230"/>
      <c r="W215" s="232"/>
      <c r="X215" s="222"/>
      <c r="Y215" s="217"/>
      <c r="AC215" s="103"/>
    </row>
    <row r="216" spans="1:29">
      <c r="A216" s="234"/>
      <c r="B216" s="234"/>
      <c r="C216" s="255"/>
      <c r="D216" s="255"/>
      <c r="E216" s="255"/>
      <c r="F216" s="234"/>
      <c r="G216" s="234"/>
      <c r="H216" s="234"/>
      <c r="I216" s="234"/>
      <c r="J216" s="230"/>
      <c r="K216" s="230"/>
      <c r="L216" s="253"/>
      <c r="M216" s="253"/>
      <c r="N216" s="253"/>
      <c r="O216" s="254"/>
      <c r="P216" s="96" t="s">
        <v>368</v>
      </c>
      <c r="Q216" s="122" t="s">
        <v>365</v>
      </c>
      <c r="R216" s="122">
        <v>1</v>
      </c>
      <c r="S216" s="97">
        <v>0.03</v>
      </c>
      <c r="T216" s="122">
        <v>1</v>
      </c>
      <c r="U216" s="97">
        <f t="shared" si="17"/>
        <v>0.03</v>
      </c>
      <c r="V216" s="230"/>
      <c r="W216" s="232"/>
      <c r="X216" s="222"/>
      <c r="Y216" s="217"/>
      <c r="AC216" s="103"/>
    </row>
    <row r="217" spans="1:29">
      <c r="A217" s="235"/>
      <c r="B217" s="235"/>
      <c r="C217" s="243"/>
      <c r="D217" s="243"/>
      <c r="E217" s="243"/>
      <c r="F217" s="235"/>
      <c r="G217" s="235"/>
      <c r="H217" s="235"/>
      <c r="I217" s="235"/>
      <c r="J217" s="231"/>
      <c r="K217" s="231"/>
      <c r="L217" s="246"/>
      <c r="M217" s="246"/>
      <c r="N217" s="246"/>
      <c r="O217" s="248"/>
      <c r="P217" s="96" t="s">
        <v>375</v>
      </c>
      <c r="Q217" s="122" t="s">
        <v>367</v>
      </c>
      <c r="R217" s="122">
        <v>1</v>
      </c>
      <c r="S217" s="97">
        <v>0.03</v>
      </c>
      <c r="T217" s="122">
        <v>1</v>
      </c>
      <c r="U217" s="97">
        <f t="shared" si="17"/>
        <v>0.03</v>
      </c>
      <c r="V217" s="231"/>
      <c r="W217" s="232"/>
      <c r="X217" s="222"/>
      <c r="Y217" s="217"/>
      <c r="AC217" s="103"/>
    </row>
    <row r="218" spans="1:29">
      <c r="A218" s="233">
        <v>90</v>
      </c>
      <c r="B218" s="233" t="s">
        <v>378</v>
      </c>
      <c r="C218" s="242" t="s">
        <v>379</v>
      </c>
      <c r="D218" s="242"/>
      <c r="E218" s="242"/>
      <c r="F218" s="233" t="s">
        <v>363</v>
      </c>
      <c r="G218" s="233">
        <v>69</v>
      </c>
      <c r="H218" s="233">
        <v>27</v>
      </c>
      <c r="I218" s="233">
        <v>2</v>
      </c>
      <c r="J218" s="229">
        <v>4.3</v>
      </c>
      <c r="K218" s="229">
        <v>2.5</v>
      </c>
      <c r="L218" s="245">
        <v>2.9000000000000001E-2</v>
      </c>
      <c r="M218" s="245">
        <v>1.9E-2</v>
      </c>
      <c r="N218" s="245">
        <f>L218-M218</f>
        <v>1.0000000000000002E-2</v>
      </c>
      <c r="O218" s="247">
        <f>J218*L218-K218*N218</f>
        <v>9.9699999999999997E-2</v>
      </c>
      <c r="P218" s="96" t="s">
        <v>364</v>
      </c>
      <c r="Q218" s="122" t="s">
        <v>365</v>
      </c>
      <c r="R218" s="122">
        <v>1</v>
      </c>
      <c r="S218" s="97">
        <v>0.03</v>
      </c>
      <c r="T218" s="122">
        <v>1</v>
      </c>
      <c r="U218" s="97">
        <f t="shared" si="17"/>
        <v>0.03</v>
      </c>
      <c r="V218" s="229">
        <v>1.1200000000000001</v>
      </c>
      <c r="W218" s="232">
        <f>(O218+SUM(U218:U219))*V218</f>
        <v>0.17886400000000002</v>
      </c>
      <c r="X218" s="222">
        <v>0.19869999999999999</v>
      </c>
      <c r="Y218" s="218">
        <f>1-W218/X218</f>
        <v>9.9828887770508135E-2</v>
      </c>
      <c r="AC218" s="106"/>
    </row>
    <row r="219" spans="1:29">
      <c r="A219" s="235"/>
      <c r="B219" s="235"/>
      <c r="C219" s="243"/>
      <c r="D219" s="243"/>
      <c r="E219" s="243"/>
      <c r="F219" s="235"/>
      <c r="G219" s="235"/>
      <c r="H219" s="235"/>
      <c r="I219" s="235"/>
      <c r="J219" s="231"/>
      <c r="K219" s="231"/>
      <c r="L219" s="246"/>
      <c r="M219" s="246"/>
      <c r="N219" s="246"/>
      <c r="O219" s="248"/>
      <c r="P219" s="96" t="s">
        <v>368</v>
      </c>
      <c r="Q219" s="122" t="s">
        <v>365</v>
      </c>
      <c r="R219" s="122">
        <v>1</v>
      </c>
      <c r="S219" s="97">
        <v>0.03</v>
      </c>
      <c r="T219" s="122">
        <v>1</v>
      </c>
      <c r="U219" s="97">
        <f t="shared" si="17"/>
        <v>0.03</v>
      </c>
      <c r="V219" s="231"/>
      <c r="W219" s="232"/>
      <c r="X219" s="222"/>
      <c r="Y219" s="218"/>
      <c r="AC219" s="106"/>
    </row>
    <row r="220" spans="1:29">
      <c r="A220" s="233">
        <v>91</v>
      </c>
      <c r="B220" s="233" t="s">
        <v>380</v>
      </c>
      <c r="C220" s="242" t="s">
        <v>381</v>
      </c>
      <c r="D220" s="242"/>
      <c r="E220" s="242"/>
      <c r="F220" s="279" t="s">
        <v>363</v>
      </c>
      <c r="G220" s="233">
        <v>58</v>
      </c>
      <c r="H220" s="233">
        <v>27</v>
      </c>
      <c r="I220" s="233">
        <v>2</v>
      </c>
      <c r="J220" s="229">
        <v>4.3</v>
      </c>
      <c r="K220" s="229">
        <v>2.5</v>
      </c>
      <c r="L220" s="245">
        <v>2.5000000000000001E-2</v>
      </c>
      <c r="M220" s="245">
        <v>1.6E-2</v>
      </c>
      <c r="N220" s="245">
        <f>L220-M220</f>
        <v>9.0000000000000011E-3</v>
      </c>
      <c r="O220" s="247">
        <f>J220*L220-K220*N220</f>
        <v>8.4999999999999992E-2</v>
      </c>
      <c r="P220" s="96" t="s">
        <v>364</v>
      </c>
      <c r="Q220" s="122" t="s">
        <v>365</v>
      </c>
      <c r="R220" s="122">
        <v>1</v>
      </c>
      <c r="S220" s="97">
        <v>0.03</v>
      </c>
      <c r="T220" s="122">
        <v>1</v>
      </c>
      <c r="U220" s="97">
        <f t="shared" si="17"/>
        <v>0.03</v>
      </c>
      <c r="V220" s="229">
        <v>1.1200000000000001</v>
      </c>
      <c r="W220" s="232">
        <f>(O220+SUM(U220:U221))*V220</f>
        <v>0.16240000000000002</v>
      </c>
      <c r="X220" s="240">
        <v>0.18210000000000001</v>
      </c>
      <c r="Y220" s="218">
        <f>1-W220/X220</f>
        <v>0.10818231740801754</v>
      </c>
      <c r="AB220" s="106"/>
    </row>
    <row r="221" spans="1:29">
      <c r="A221" s="235"/>
      <c r="B221" s="235"/>
      <c r="C221" s="243"/>
      <c r="D221" s="243"/>
      <c r="E221" s="243"/>
      <c r="F221" s="235"/>
      <c r="G221" s="235"/>
      <c r="H221" s="235"/>
      <c r="I221" s="235"/>
      <c r="J221" s="231"/>
      <c r="K221" s="231"/>
      <c r="L221" s="246"/>
      <c r="M221" s="246"/>
      <c r="N221" s="246"/>
      <c r="O221" s="248"/>
      <c r="P221" s="96" t="s">
        <v>368</v>
      </c>
      <c r="Q221" s="122" t="s">
        <v>365</v>
      </c>
      <c r="R221" s="122">
        <v>1</v>
      </c>
      <c r="S221" s="97">
        <v>0.03</v>
      </c>
      <c r="T221" s="122">
        <v>1</v>
      </c>
      <c r="U221" s="97">
        <f t="shared" si="17"/>
        <v>0.03</v>
      </c>
      <c r="V221" s="231"/>
      <c r="W221" s="232"/>
      <c r="X221" s="240"/>
      <c r="Y221" s="218"/>
      <c r="AB221" s="106"/>
    </row>
    <row r="222" spans="1:29">
      <c r="A222" s="233">
        <v>92</v>
      </c>
      <c r="B222" s="233" t="s">
        <v>302</v>
      </c>
      <c r="C222" s="242" t="s">
        <v>303</v>
      </c>
      <c r="D222" s="242"/>
      <c r="E222" s="242"/>
      <c r="F222" s="233">
        <v>420</v>
      </c>
      <c r="G222" s="233">
        <v>125</v>
      </c>
      <c r="H222" s="233">
        <v>71</v>
      </c>
      <c r="I222" s="233">
        <v>3.5</v>
      </c>
      <c r="J222" s="229">
        <v>5.15</v>
      </c>
      <c r="K222" s="229">
        <v>2.5</v>
      </c>
      <c r="L222" s="245">
        <v>0.24399999999999999</v>
      </c>
      <c r="M222" s="245">
        <v>0.14199999999999999</v>
      </c>
      <c r="N222" s="245">
        <f>L222-M222</f>
        <v>0.10200000000000001</v>
      </c>
      <c r="O222" s="247">
        <f>J222*L222-K222*N222</f>
        <v>1.0016000000000003</v>
      </c>
      <c r="P222" s="96" t="s">
        <v>364</v>
      </c>
      <c r="Q222" s="122" t="s">
        <v>382</v>
      </c>
      <c r="R222" s="122">
        <v>1</v>
      </c>
      <c r="S222" s="97">
        <v>0.08</v>
      </c>
      <c r="T222" s="122">
        <v>1</v>
      </c>
      <c r="U222" s="97">
        <f t="shared" si="17"/>
        <v>0.08</v>
      </c>
      <c r="V222" s="229">
        <v>1.1200000000000001</v>
      </c>
      <c r="W222" s="232">
        <f>(O222+SUM(U222:U224))*V222</f>
        <v>1.3569920000000004</v>
      </c>
      <c r="X222" s="250">
        <v>1.4487000000000001</v>
      </c>
      <c r="Y222" s="214">
        <f>1-W222/X222</f>
        <v>6.3303651549664997E-2</v>
      </c>
      <c r="AC222" s="106"/>
    </row>
    <row r="223" spans="1:29">
      <c r="A223" s="234"/>
      <c r="B223" s="234"/>
      <c r="C223" s="255"/>
      <c r="D223" s="255"/>
      <c r="E223" s="255"/>
      <c r="F223" s="234"/>
      <c r="G223" s="234"/>
      <c r="H223" s="234"/>
      <c r="I223" s="234"/>
      <c r="J223" s="230"/>
      <c r="K223" s="230"/>
      <c r="L223" s="253"/>
      <c r="M223" s="253"/>
      <c r="N223" s="253"/>
      <c r="O223" s="254"/>
      <c r="P223" s="96" t="s">
        <v>368</v>
      </c>
      <c r="Q223" s="122" t="s">
        <v>382</v>
      </c>
      <c r="R223" s="122">
        <v>1</v>
      </c>
      <c r="S223" s="97">
        <v>0.08</v>
      </c>
      <c r="T223" s="122">
        <v>1</v>
      </c>
      <c r="U223" s="97">
        <f t="shared" si="17"/>
        <v>0.08</v>
      </c>
      <c r="V223" s="230"/>
      <c r="W223" s="232"/>
      <c r="X223" s="251"/>
      <c r="Y223" s="215"/>
      <c r="AC223" s="106"/>
    </row>
    <row r="224" spans="1:29">
      <c r="A224" s="235"/>
      <c r="B224" s="235"/>
      <c r="C224" s="243"/>
      <c r="D224" s="243"/>
      <c r="E224" s="243"/>
      <c r="F224" s="235"/>
      <c r="G224" s="235"/>
      <c r="H224" s="235"/>
      <c r="I224" s="235"/>
      <c r="J224" s="231"/>
      <c r="K224" s="231"/>
      <c r="L224" s="246"/>
      <c r="M224" s="246"/>
      <c r="N224" s="246"/>
      <c r="O224" s="248"/>
      <c r="P224" s="96" t="s">
        <v>366</v>
      </c>
      <c r="Q224" s="122" t="s">
        <v>383</v>
      </c>
      <c r="R224" s="122">
        <v>1</v>
      </c>
      <c r="S224" s="97">
        <v>0.05</v>
      </c>
      <c r="T224" s="122">
        <v>1</v>
      </c>
      <c r="U224" s="97">
        <f t="shared" si="17"/>
        <v>0.05</v>
      </c>
      <c r="V224" s="231"/>
      <c r="W224" s="232"/>
      <c r="X224" s="252"/>
      <c r="Y224" s="216"/>
      <c r="AC224" s="106"/>
    </row>
    <row r="225" spans="1:29">
      <c r="A225" s="233">
        <v>93</v>
      </c>
      <c r="B225" s="232" t="s">
        <v>373</v>
      </c>
      <c r="C225" s="237" t="s">
        <v>374</v>
      </c>
      <c r="D225" s="232"/>
      <c r="E225" s="232"/>
      <c r="F225" s="232" t="s">
        <v>363</v>
      </c>
      <c r="G225" s="222">
        <v>40</v>
      </c>
      <c r="H225" s="222">
        <v>24</v>
      </c>
      <c r="I225" s="222">
        <v>2</v>
      </c>
      <c r="J225" s="232">
        <v>4.3</v>
      </c>
      <c r="K225" s="232">
        <v>2.5</v>
      </c>
      <c r="L225" s="238">
        <v>1.4999999999999999E-2</v>
      </c>
      <c r="M225" s="238">
        <v>0.01</v>
      </c>
      <c r="N225" s="238">
        <f>L225-M225</f>
        <v>4.9999999999999992E-3</v>
      </c>
      <c r="O225" s="239">
        <f>J225*L225-K225*N225</f>
        <v>5.2000000000000005E-2</v>
      </c>
      <c r="P225" s="96" t="s">
        <v>364</v>
      </c>
      <c r="Q225" s="122" t="s">
        <v>365</v>
      </c>
      <c r="R225" s="122">
        <v>1</v>
      </c>
      <c r="S225" s="97">
        <v>0.04</v>
      </c>
      <c r="T225" s="122">
        <v>1</v>
      </c>
      <c r="U225" s="97">
        <f t="shared" si="17"/>
        <v>0.04</v>
      </c>
      <c r="V225" s="229">
        <v>1.1200000000000001</v>
      </c>
      <c r="W225" s="232">
        <f>(O225+SUM(U225:U227))*V225</f>
        <v>0.14784000000000003</v>
      </c>
      <c r="X225" s="222">
        <v>0.13950000000000001</v>
      </c>
      <c r="Y225" s="214">
        <f>1-W225/X225</f>
        <v>-5.9784946236559167E-2</v>
      </c>
      <c r="AC225" s="103"/>
    </row>
    <row r="226" spans="1:29">
      <c r="A226" s="234"/>
      <c r="B226" s="232"/>
      <c r="C226" s="237"/>
      <c r="D226" s="232"/>
      <c r="E226" s="232"/>
      <c r="F226" s="232"/>
      <c r="G226" s="222"/>
      <c r="H226" s="222"/>
      <c r="I226" s="222"/>
      <c r="J226" s="232"/>
      <c r="K226" s="232"/>
      <c r="L226" s="238"/>
      <c r="M226" s="238"/>
      <c r="N226" s="238"/>
      <c r="O226" s="239"/>
      <c r="P226" s="96" t="s">
        <v>366</v>
      </c>
      <c r="Q226" s="122" t="s">
        <v>370</v>
      </c>
      <c r="R226" s="122">
        <v>1</v>
      </c>
      <c r="S226" s="97">
        <v>0.02</v>
      </c>
      <c r="T226" s="122">
        <v>1</v>
      </c>
      <c r="U226" s="97">
        <f t="shared" si="17"/>
        <v>0.02</v>
      </c>
      <c r="V226" s="230"/>
      <c r="W226" s="232"/>
      <c r="X226" s="222"/>
      <c r="Y226" s="215"/>
      <c r="AC226" s="103"/>
    </row>
    <row r="227" spans="1:29">
      <c r="A227" s="235"/>
      <c r="B227" s="232"/>
      <c r="C227" s="237"/>
      <c r="D227" s="232"/>
      <c r="E227" s="232"/>
      <c r="F227" s="232"/>
      <c r="G227" s="222"/>
      <c r="H227" s="222"/>
      <c r="I227" s="222"/>
      <c r="J227" s="232"/>
      <c r="K227" s="232"/>
      <c r="L227" s="238"/>
      <c r="M227" s="238"/>
      <c r="N227" s="238"/>
      <c r="O227" s="239"/>
      <c r="P227" s="96" t="s">
        <v>368</v>
      </c>
      <c r="Q227" s="122" t="s">
        <v>370</v>
      </c>
      <c r="R227" s="122">
        <v>1</v>
      </c>
      <c r="S227" s="97">
        <v>0.02</v>
      </c>
      <c r="T227" s="122">
        <v>1</v>
      </c>
      <c r="U227" s="97">
        <f t="shared" si="17"/>
        <v>0.02</v>
      </c>
      <c r="V227" s="231"/>
      <c r="W227" s="232"/>
      <c r="X227" s="222"/>
      <c r="Y227" s="216"/>
      <c r="AC227" s="103"/>
    </row>
    <row r="228" spans="1:29">
      <c r="A228" s="233">
        <v>94</v>
      </c>
      <c r="B228" s="236" t="s">
        <v>519</v>
      </c>
      <c r="C228" s="237" t="s">
        <v>520</v>
      </c>
      <c r="D228" s="232"/>
      <c r="E228" s="232"/>
      <c r="F228" s="237" t="s">
        <v>445</v>
      </c>
      <c r="G228" s="222">
        <v>228</v>
      </c>
      <c r="H228" s="222">
        <v>50</v>
      </c>
      <c r="I228" s="222">
        <v>4</v>
      </c>
      <c r="J228" s="232">
        <v>4.5999999999999996</v>
      </c>
      <c r="K228" s="232">
        <v>2.5</v>
      </c>
      <c r="L228" s="238">
        <v>0.35799999999999998</v>
      </c>
      <c r="M228" s="238">
        <v>0.317</v>
      </c>
      <c r="N228" s="238">
        <f>L228-M228</f>
        <v>4.0999999999999981E-2</v>
      </c>
      <c r="O228" s="239">
        <f>J228*L228-K228*N228</f>
        <v>1.5442999999999998</v>
      </c>
      <c r="P228" s="122" t="s">
        <v>364</v>
      </c>
      <c r="Q228" s="122" t="s">
        <v>501</v>
      </c>
      <c r="R228" s="122">
        <v>1</v>
      </c>
      <c r="S228" s="97">
        <v>0.1</v>
      </c>
      <c r="T228" s="122">
        <v>1</v>
      </c>
      <c r="U228" s="97">
        <f>R228*S228/T228</f>
        <v>0.1</v>
      </c>
      <c r="V228" s="229">
        <v>1.1200000000000001</v>
      </c>
      <c r="W228" s="232">
        <f>(O228+SUM(U228:U230))*V228</f>
        <v>1.998416</v>
      </c>
      <c r="X228" s="222">
        <v>2.2770000000000001</v>
      </c>
      <c r="Y228" s="214">
        <f>1-W228/X228</f>
        <v>0.12234694773825217</v>
      </c>
    </row>
    <row r="229" spans="1:29">
      <c r="A229" s="234"/>
      <c r="B229" s="232"/>
      <c r="C229" s="237"/>
      <c r="D229" s="232"/>
      <c r="E229" s="232"/>
      <c r="F229" s="237"/>
      <c r="G229" s="222"/>
      <c r="H229" s="222"/>
      <c r="I229" s="222"/>
      <c r="J229" s="232"/>
      <c r="K229" s="232"/>
      <c r="L229" s="238"/>
      <c r="M229" s="238"/>
      <c r="N229" s="238"/>
      <c r="O229" s="239"/>
      <c r="P229" s="122" t="s">
        <v>366</v>
      </c>
      <c r="Q229" s="122" t="s">
        <v>511</v>
      </c>
      <c r="R229" s="122">
        <v>1</v>
      </c>
      <c r="S229" s="97">
        <v>0.04</v>
      </c>
      <c r="T229" s="122">
        <v>1</v>
      </c>
      <c r="U229" s="97">
        <f>R229*S229/T229</f>
        <v>0.04</v>
      </c>
      <c r="V229" s="230"/>
      <c r="W229" s="232"/>
      <c r="X229" s="222"/>
      <c r="Y229" s="215"/>
    </row>
    <row r="230" spans="1:29">
      <c r="A230" s="235"/>
      <c r="B230" s="232"/>
      <c r="C230" s="237"/>
      <c r="D230" s="232"/>
      <c r="E230" s="232"/>
      <c r="F230" s="237"/>
      <c r="G230" s="222"/>
      <c r="H230" s="222"/>
      <c r="I230" s="222"/>
      <c r="J230" s="232"/>
      <c r="K230" s="232"/>
      <c r="L230" s="238"/>
      <c r="M230" s="238"/>
      <c r="N230" s="238"/>
      <c r="O230" s="239"/>
      <c r="P230" s="122" t="s">
        <v>368</v>
      </c>
      <c r="Q230" s="122" t="s">
        <v>501</v>
      </c>
      <c r="R230" s="122">
        <v>1</v>
      </c>
      <c r="S230" s="97">
        <v>0.1</v>
      </c>
      <c r="T230" s="122">
        <v>1</v>
      </c>
      <c r="U230" s="97">
        <f>R230*S230/T230</f>
        <v>0.1</v>
      </c>
      <c r="V230" s="231"/>
      <c r="W230" s="232"/>
      <c r="X230" s="222"/>
      <c r="Y230" s="216"/>
    </row>
    <row r="231" spans="1:29">
      <c r="A231" s="233">
        <v>95</v>
      </c>
      <c r="B231" s="233" t="s">
        <v>310</v>
      </c>
      <c r="C231" s="242" t="s">
        <v>311</v>
      </c>
      <c r="D231" s="242"/>
      <c r="E231" s="242"/>
      <c r="F231" s="244" t="s">
        <v>507</v>
      </c>
      <c r="G231" s="233">
        <v>209</v>
      </c>
      <c r="H231" s="233">
        <v>112</v>
      </c>
      <c r="I231" s="233">
        <v>2.2999999999999998</v>
      </c>
      <c r="J231" s="229">
        <v>4.5999999999999996</v>
      </c>
      <c r="K231" s="229">
        <v>2.5</v>
      </c>
      <c r="L231" s="245">
        <v>0.42299999999999999</v>
      </c>
      <c r="M231" s="245">
        <v>0.17</v>
      </c>
      <c r="N231" s="238">
        <f>L231-M231</f>
        <v>0.253</v>
      </c>
      <c r="O231" s="239">
        <f>J231*L231-K231*N231</f>
        <v>1.3132999999999997</v>
      </c>
      <c r="P231" s="122" t="s">
        <v>364</v>
      </c>
      <c r="Q231" s="141" t="s">
        <v>506</v>
      </c>
      <c r="R231" s="122">
        <v>1</v>
      </c>
      <c r="S231" s="97">
        <v>7.0000000000000007E-2</v>
      </c>
      <c r="T231" s="122">
        <v>1</v>
      </c>
      <c r="U231" s="97">
        <f t="shared" si="17"/>
        <v>7.0000000000000007E-2</v>
      </c>
      <c r="V231" s="229">
        <v>1.1200000000000001</v>
      </c>
      <c r="W231" s="232">
        <f>(O231+SUM(U231:U233))*V231</f>
        <v>1.6836959999999999</v>
      </c>
      <c r="X231" s="250">
        <v>1.792</v>
      </c>
      <c r="Y231" s="214">
        <f>1-W231/X231</f>
        <v>6.0437500000000144E-2</v>
      </c>
    </row>
    <row r="232" spans="1:29">
      <c r="A232" s="234"/>
      <c r="B232" s="234"/>
      <c r="C232" s="255"/>
      <c r="D232" s="255"/>
      <c r="E232" s="255"/>
      <c r="F232" s="255"/>
      <c r="G232" s="234"/>
      <c r="H232" s="234"/>
      <c r="I232" s="234"/>
      <c r="J232" s="230"/>
      <c r="K232" s="230"/>
      <c r="L232" s="253"/>
      <c r="M232" s="253"/>
      <c r="N232" s="238"/>
      <c r="O232" s="239"/>
      <c r="P232" s="122" t="s">
        <v>366</v>
      </c>
      <c r="Q232" s="141" t="s">
        <v>383</v>
      </c>
      <c r="R232" s="122">
        <v>1</v>
      </c>
      <c r="S232" s="97">
        <v>0.05</v>
      </c>
      <c r="T232" s="122">
        <v>1</v>
      </c>
      <c r="U232" s="97">
        <f t="shared" si="17"/>
        <v>0.05</v>
      </c>
      <c r="V232" s="230"/>
      <c r="W232" s="232"/>
      <c r="X232" s="251"/>
      <c r="Y232" s="215"/>
    </row>
    <row r="233" spans="1:29">
      <c r="A233" s="235"/>
      <c r="B233" s="235"/>
      <c r="C233" s="243"/>
      <c r="D233" s="243"/>
      <c r="E233" s="243"/>
      <c r="F233" s="243"/>
      <c r="G233" s="235"/>
      <c r="H233" s="235"/>
      <c r="I233" s="235"/>
      <c r="J233" s="231"/>
      <c r="K233" s="231"/>
      <c r="L233" s="246"/>
      <c r="M233" s="246"/>
      <c r="N233" s="238"/>
      <c r="O233" s="239"/>
      <c r="P233" s="122" t="s">
        <v>368</v>
      </c>
      <c r="Q233" s="141" t="s">
        <v>506</v>
      </c>
      <c r="R233" s="122">
        <v>1</v>
      </c>
      <c r="S233" s="97">
        <v>7.0000000000000007E-2</v>
      </c>
      <c r="T233" s="122">
        <v>1</v>
      </c>
      <c r="U233" s="97">
        <f t="shared" si="17"/>
        <v>7.0000000000000007E-2</v>
      </c>
      <c r="V233" s="231"/>
      <c r="W233" s="232"/>
      <c r="X233" s="252"/>
      <c r="Y233" s="216"/>
    </row>
    <row r="234" spans="1:29">
      <c r="A234" s="240">
        <v>97</v>
      </c>
      <c r="B234" s="241" t="s">
        <v>316</v>
      </c>
      <c r="C234" s="241" t="s">
        <v>317</v>
      </c>
      <c r="D234" s="241" t="s">
        <v>508</v>
      </c>
      <c r="E234" s="241">
        <v>1</v>
      </c>
      <c r="F234" s="249" t="s">
        <v>445</v>
      </c>
      <c r="G234" s="240">
        <v>189</v>
      </c>
      <c r="H234" s="240">
        <v>43</v>
      </c>
      <c r="I234" s="240">
        <v>3</v>
      </c>
      <c r="J234" s="232">
        <v>4.5999999999999996</v>
      </c>
      <c r="K234" s="232">
        <v>2.5</v>
      </c>
      <c r="L234" s="238">
        <v>0.192</v>
      </c>
      <c r="M234" s="238">
        <v>0.154</v>
      </c>
      <c r="N234" s="238">
        <f>L234-M234</f>
        <v>3.8000000000000006E-2</v>
      </c>
      <c r="O234" s="239">
        <f>J234*L234-K234*N234</f>
        <v>0.78820000000000001</v>
      </c>
      <c r="P234" s="95" t="s">
        <v>503</v>
      </c>
      <c r="Q234" s="95" t="s">
        <v>506</v>
      </c>
      <c r="R234" s="144">
        <v>1</v>
      </c>
      <c r="S234" s="116">
        <v>7.0000000000000007E-2</v>
      </c>
      <c r="T234" s="144">
        <v>1</v>
      </c>
      <c r="U234" s="116">
        <f t="shared" si="17"/>
        <v>7.0000000000000007E-2</v>
      </c>
      <c r="V234" s="233">
        <v>1.1200000000000001</v>
      </c>
      <c r="W234" s="229">
        <f>(O234+SUM(U234:U236))*V234+(O236+U237)*1.03</f>
        <v>1.3091840000000001</v>
      </c>
      <c r="X234" s="233">
        <v>1.3620000000000001</v>
      </c>
      <c r="Y234" s="217">
        <f>1-W234/X234</f>
        <v>3.8778267254038212E-2</v>
      </c>
    </row>
    <row r="235" spans="1:29">
      <c r="A235" s="240"/>
      <c r="B235" s="241"/>
      <c r="C235" s="241"/>
      <c r="D235" s="241"/>
      <c r="E235" s="241"/>
      <c r="F235" s="241"/>
      <c r="G235" s="240"/>
      <c r="H235" s="240"/>
      <c r="I235" s="240"/>
      <c r="J235" s="232"/>
      <c r="K235" s="232"/>
      <c r="L235" s="238"/>
      <c r="M235" s="238"/>
      <c r="N235" s="238"/>
      <c r="O235" s="239"/>
      <c r="P235" s="95" t="s">
        <v>504</v>
      </c>
      <c r="Q235" s="95" t="s">
        <v>511</v>
      </c>
      <c r="R235" s="144">
        <v>1</v>
      </c>
      <c r="S235" s="116">
        <v>0.04</v>
      </c>
      <c r="T235" s="144">
        <v>1</v>
      </c>
      <c r="U235" s="116">
        <f t="shared" si="17"/>
        <v>0.04</v>
      </c>
      <c r="V235" s="234"/>
      <c r="W235" s="230"/>
      <c r="X235" s="234"/>
      <c r="Y235" s="217"/>
    </row>
    <row r="236" spans="1:29">
      <c r="A236" s="240"/>
      <c r="B236" s="241"/>
      <c r="C236" s="241"/>
      <c r="D236" s="241" t="s">
        <v>510</v>
      </c>
      <c r="E236" s="241">
        <v>2</v>
      </c>
      <c r="F236" s="249"/>
      <c r="G236" s="240"/>
      <c r="H236" s="240"/>
      <c r="I236" s="240"/>
      <c r="J236" s="232">
        <v>0.05</v>
      </c>
      <c r="K236" s="232"/>
      <c r="L236" s="238"/>
      <c r="M236" s="238"/>
      <c r="N236" s="238"/>
      <c r="O236" s="239">
        <f>E236*J236</f>
        <v>0.1</v>
      </c>
      <c r="P236" s="95" t="s">
        <v>505</v>
      </c>
      <c r="Q236" s="95" t="s">
        <v>427</v>
      </c>
      <c r="R236" s="144">
        <v>1</v>
      </c>
      <c r="S236" s="116">
        <v>0.05</v>
      </c>
      <c r="T236" s="144">
        <v>1</v>
      </c>
      <c r="U236" s="116">
        <f t="shared" si="17"/>
        <v>0.05</v>
      </c>
      <c r="V236" s="234"/>
      <c r="W236" s="230"/>
      <c r="X236" s="234"/>
      <c r="Y236" s="217"/>
    </row>
    <row r="237" spans="1:29">
      <c r="A237" s="240"/>
      <c r="B237" s="241"/>
      <c r="C237" s="241"/>
      <c r="D237" s="241"/>
      <c r="E237" s="241"/>
      <c r="F237" s="241"/>
      <c r="G237" s="240"/>
      <c r="H237" s="240"/>
      <c r="I237" s="240"/>
      <c r="J237" s="232"/>
      <c r="K237" s="232"/>
      <c r="L237" s="238"/>
      <c r="M237" s="238"/>
      <c r="N237" s="238"/>
      <c r="O237" s="239"/>
      <c r="P237" s="95" t="s">
        <v>509</v>
      </c>
      <c r="Q237" s="100"/>
      <c r="R237" s="144">
        <v>2</v>
      </c>
      <c r="S237" s="116">
        <v>7.0000000000000007E-2</v>
      </c>
      <c r="T237" s="144">
        <v>1</v>
      </c>
      <c r="U237" s="116">
        <f t="shared" si="17"/>
        <v>0.14000000000000001</v>
      </c>
      <c r="V237" s="235"/>
      <c r="W237" s="231"/>
      <c r="X237" s="235"/>
      <c r="Y237" s="217"/>
    </row>
  </sheetData>
  <mergeCells count="1549">
    <mergeCell ref="A91:A94"/>
    <mergeCell ref="B91:B94"/>
    <mergeCell ref="C91:C94"/>
    <mergeCell ref="M91:M92"/>
    <mergeCell ref="N91:N92"/>
    <mergeCell ref="O91:O92"/>
    <mergeCell ref="V91:V94"/>
    <mergeCell ref="W91:W94"/>
    <mergeCell ref="X91:X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N93:N94"/>
    <mergeCell ref="O93:O94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V87:V90"/>
    <mergeCell ref="W87:W90"/>
    <mergeCell ref="X87:X90"/>
    <mergeCell ref="J87:J88"/>
    <mergeCell ref="K87:K88"/>
    <mergeCell ref="L87:L88"/>
    <mergeCell ref="M87:M88"/>
    <mergeCell ref="N87:N88"/>
    <mergeCell ref="O87:O88"/>
    <mergeCell ref="J89:J90"/>
    <mergeCell ref="K89:K90"/>
    <mergeCell ref="L89:L90"/>
    <mergeCell ref="M89:M90"/>
    <mergeCell ref="N89:N90"/>
    <mergeCell ref="O89:O90"/>
    <mergeCell ref="A87:A90"/>
    <mergeCell ref="B87:B90"/>
    <mergeCell ref="C87:C90"/>
    <mergeCell ref="D87:D88"/>
    <mergeCell ref="E87:E88"/>
    <mergeCell ref="F87:F88"/>
    <mergeCell ref="G87:G88"/>
    <mergeCell ref="H87:H88"/>
    <mergeCell ref="I87:I88"/>
    <mergeCell ref="D89:D90"/>
    <mergeCell ref="E89:E90"/>
    <mergeCell ref="F89:F90"/>
    <mergeCell ref="G89:G90"/>
    <mergeCell ref="H89:H90"/>
    <mergeCell ref="I89:I90"/>
    <mergeCell ref="J84:J86"/>
    <mergeCell ref="K84:K86"/>
    <mergeCell ref="L84:L86"/>
    <mergeCell ref="M84:M86"/>
    <mergeCell ref="N84:N86"/>
    <mergeCell ref="O84:O86"/>
    <mergeCell ref="V84:V86"/>
    <mergeCell ref="W84:W86"/>
    <mergeCell ref="X84:X86"/>
    <mergeCell ref="A84:A86"/>
    <mergeCell ref="B84:B86"/>
    <mergeCell ref="C84:C86"/>
    <mergeCell ref="D84:D86"/>
    <mergeCell ref="E84:E86"/>
    <mergeCell ref="F84:F86"/>
    <mergeCell ref="G84:G86"/>
    <mergeCell ref="H84:H86"/>
    <mergeCell ref="I84:I86"/>
    <mergeCell ref="J81:J83"/>
    <mergeCell ref="K81:K83"/>
    <mergeCell ref="L81:L83"/>
    <mergeCell ref="M81:M83"/>
    <mergeCell ref="N81:N83"/>
    <mergeCell ref="O81:O83"/>
    <mergeCell ref="V81:V83"/>
    <mergeCell ref="W81:W83"/>
    <mergeCell ref="X81:X83"/>
    <mergeCell ref="A81:A83"/>
    <mergeCell ref="B81:B83"/>
    <mergeCell ref="C81:C83"/>
    <mergeCell ref="D81:D83"/>
    <mergeCell ref="E81:E83"/>
    <mergeCell ref="F81:F83"/>
    <mergeCell ref="G81:G83"/>
    <mergeCell ref="H81:H83"/>
    <mergeCell ref="I81:I83"/>
    <mergeCell ref="J78:J80"/>
    <mergeCell ref="K78:K80"/>
    <mergeCell ref="L78:L80"/>
    <mergeCell ref="M78:M80"/>
    <mergeCell ref="N78:N80"/>
    <mergeCell ref="O78:O80"/>
    <mergeCell ref="V78:V80"/>
    <mergeCell ref="W78:W80"/>
    <mergeCell ref="X78:X80"/>
    <mergeCell ref="A78:A80"/>
    <mergeCell ref="B78:B80"/>
    <mergeCell ref="C78:C80"/>
    <mergeCell ref="D78:D80"/>
    <mergeCell ref="E78:E80"/>
    <mergeCell ref="F78:F80"/>
    <mergeCell ref="G78:G80"/>
    <mergeCell ref="H78:H80"/>
    <mergeCell ref="I78:I80"/>
    <mergeCell ref="J72:J73"/>
    <mergeCell ref="K72:K73"/>
    <mergeCell ref="L72:L73"/>
    <mergeCell ref="M72:M73"/>
    <mergeCell ref="N72:N73"/>
    <mergeCell ref="O72:O73"/>
    <mergeCell ref="W72:W73"/>
    <mergeCell ref="X72:X73"/>
    <mergeCell ref="V72:V73"/>
    <mergeCell ref="F72:F73"/>
    <mergeCell ref="A72:A73"/>
    <mergeCell ref="B72:B73"/>
    <mergeCell ref="C72:C73"/>
    <mergeCell ref="D72:D73"/>
    <mergeCell ref="E72:E73"/>
    <mergeCell ref="G72:G73"/>
    <mergeCell ref="H72:H73"/>
    <mergeCell ref="I72:I73"/>
    <mergeCell ref="M69:M71"/>
    <mergeCell ref="N69:N71"/>
    <mergeCell ref="O69:O71"/>
    <mergeCell ref="V69:V71"/>
    <mergeCell ref="W69:W71"/>
    <mergeCell ref="X69:X71"/>
    <mergeCell ref="A69:A71"/>
    <mergeCell ref="B69:B71"/>
    <mergeCell ref="C69:C71"/>
    <mergeCell ref="D69:D71"/>
    <mergeCell ref="E69:E71"/>
    <mergeCell ref="F69:F71"/>
    <mergeCell ref="G69:G71"/>
    <mergeCell ref="H69:H71"/>
    <mergeCell ref="I69:I71"/>
    <mergeCell ref="J69:J71"/>
    <mergeCell ref="K69:K71"/>
    <mergeCell ref="L69:L71"/>
    <mergeCell ref="J66:J68"/>
    <mergeCell ref="K66:K68"/>
    <mergeCell ref="L66:L68"/>
    <mergeCell ref="M66:M68"/>
    <mergeCell ref="N66:N68"/>
    <mergeCell ref="O66:O68"/>
    <mergeCell ref="V66:V68"/>
    <mergeCell ref="W66:W68"/>
    <mergeCell ref="X66:X68"/>
    <mergeCell ref="A66:A68"/>
    <mergeCell ref="B66:B68"/>
    <mergeCell ref="C66:C68"/>
    <mergeCell ref="D66:D68"/>
    <mergeCell ref="E66:E68"/>
    <mergeCell ref="F66:F68"/>
    <mergeCell ref="G66:G68"/>
    <mergeCell ref="H66:H68"/>
    <mergeCell ref="I66:I68"/>
    <mergeCell ref="J63:J65"/>
    <mergeCell ref="K63:K65"/>
    <mergeCell ref="L63:L65"/>
    <mergeCell ref="M63:M65"/>
    <mergeCell ref="N63:N65"/>
    <mergeCell ref="O63:O65"/>
    <mergeCell ref="V63:V65"/>
    <mergeCell ref="W63:W65"/>
    <mergeCell ref="X63:X65"/>
    <mergeCell ref="A63:A65"/>
    <mergeCell ref="B63:B65"/>
    <mergeCell ref="C63:C65"/>
    <mergeCell ref="D63:D65"/>
    <mergeCell ref="E63:E65"/>
    <mergeCell ref="F63:F65"/>
    <mergeCell ref="G63:G65"/>
    <mergeCell ref="H63:H65"/>
    <mergeCell ref="I63:I65"/>
    <mergeCell ref="J60:J62"/>
    <mergeCell ref="K60:K62"/>
    <mergeCell ref="L60:L62"/>
    <mergeCell ref="M60:M62"/>
    <mergeCell ref="N60:N62"/>
    <mergeCell ref="O60:O62"/>
    <mergeCell ref="V60:V62"/>
    <mergeCell ref="W60:W62"/>
    <mergeCell ref="X60:X62"/>
    <mergeCell ref="A60:A62"/>
    <mergeCell ref="B60:B62"/>
    <mergeCell ref="C60:C62"/>
    <mergeCell ref="D60:D62"/>
    <mergeCell ref="E60:E62"/>
    <mergeCell ref="F60:F62"/>
    <mergeCell ref="G60:G62"/>
    <mergeCell ref="H60:H62"/>
    <mergeCell ref="I60:I62"/>
    <mergeCell ref="J54:J55"/>
    <mergeCell ref="K54:K55"/>
    <mergeCell ref="L54:L55"/>
    <mergeCell ref="M54:M55"/>
    <mergeCell ref="N54:N55"/>
    <mergeCell ref="O54:O55"/>
    <mergeCell ref="V54:V55"/>
    <mergeCell ref="W54:W55"/>
    <mergeCell ref="X54:X55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X50:X51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2:J53"/>
    <mergeCell ref="K52:K53"/>
    <mergeCell ref="L52:L53"/>
    <mergeCell ref="M52:M53"/>
    <mergeCell ref="N52:N53"/>
    <mergeCell ref="O52:O53"/>
    <mergeCell ref="V52:V53"/>
    <mergeCell ref="W52:W53"/>
    <mergeCell ref="X52:X53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50:J51"/>
    <mergeCell ref="K50:K51"/>
    <mergeCell ref="L50:L51"/>
    <mergeCell ref="M50:M51"/>
    <mergeCell ref="N50:N51"/>
    <mergeCell ref="O50:O51"/>
    <mergeCell ref="V50:V51"/>
    <mergeCell ref="W50:W51"/>
    <mergeCell ref="V44:V47"/>
    <mergeCell ref="W44:W47"/>
    <mergeCell ref="X44:X47"/>
    <mergeCell ref="F44:F47"/>
    <mergeCell ref="G44:G47"/>
    <mergeCell ref="H44:H47"/>
    <mergeCell ref="I44:I47"/>
    <mergeCell ref="J44:J47"/>
    <mergeCell ref="K44:K47"/>
    <mergeCell ref="L44:L47"/>
    <mergeCell ref="M44:M47"/>
    <mergeCell ref="N44:N47"/>
    <mergeCell ref="J48:J49"/>
    <mergeCell ref="K48:K49"/>
    <mergeCell ref="L48:L49"/>
    <mergeCell ref="M48:M49"/>
    <mergeCell ref="N48:N49"/>
    <mergeCell ref="O48:O49"/>
    <mergeCell ref="V48:V49"/>
    <mergeCell ref="W48:W49"/>
    <mergeCell ref="X48:X49"/>
    <mergeCell ref="N40:N43"/>
    <mergeCell ref="O40:O43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D34:D37"/>
    <mergeCell ref="E34:E37"/>
    <mergeCell ref="F34:F37"/>
    <mergeCell ref="O44:O47"/>
    <mergeCell ref="A44:A47"/>
    <mergeCell ref="B44:B47"/>
    <mergeCell ref="C44:C47"/>
    <mergeCell ref="D44:D47"/>
    <mergeCell ref="E44:E47"/>
    <mergeCell ref="W31:W33"/>
    <mergeCell ref="X31:X33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W34:W43"/>
    <mergeCell ref="X34:X43"/>
    <mergeCell ref="A34:A43"/>
    <mergeCell ref="B34:B43"/>
    <mergeCell ref="C34:C43"/>
    <mergeCell ref="M34:M37"/>
    <mergeCell ref="N34:N37"/>
    <mergeCell ref="O34:O37"/>
    <mergeCell ref="D40:D43"/>
    <mergeCell ref="E40:E43"/>
    <mergeCell ref="F40:F43"/>
    <mergeCell ref="G40:G43"/>
    <mergeCell ref="H40:H43"/>
    <mergeCell ref="I40:I43"/>
    <mergeCell ref="J40:J43"/>
    <mergeCell ref="K40:K43"/>
    <mergeCell ref="L40:L43"/>
    <mergeCell ref="M40:M43"/>
    <mergeCell ref="M38:M39"/>
    <mergeCell ref="N38:N39"/>
    <mergeCell ref="O38:O39"/>
    <mergeCell ref="V34:V43"/>
    <mergeCell ref="J28:J30"/>
    <mergeCell ref="K28:K30"/>
    <mergeCell ref="L28:L30"/>
    <mergeCell ref="M28:M30"/>
    <mergeCell ref="N28:N30"/>
    <mergeCell ref="O28:O30"/>
    <mergeCell ref="V28:V30"/>
    <mergeCell ref="W28:W30"/>
    <mergeCell ref="X28:X30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G34:G37"/>
    <mergeCell ref="H34:H37"/>
    <mergeCell ref="I34:I37"/>
    <mergeCell ref="J34:J37"/>
    <mergeCell ref="K34:K37"/>
    <mergeCell ref="L34:L37"/>
    <mergeCell ref="M31:M33"/>
    <mergeCell ref="N31:N33"/>
    <mergeCell ref="O31:O33"/>
    <mergeCell ref="V31:V33"/>
    <mergeCell ref="J25:J27"/>
    <mergeCell ref="K25:K27"/>
    <mergeCell ref="L25:L27"/>
    <mergeCell ref="M25:M27"/>
    <mergeCell ref="N25:N27"/>
    <mergeCell ref="O25:O27"/>
    <mergeCell ref="V25:V27"/>
    <mergeCell ref="W25:W27"/>
    <mergeCell ref="X25:X27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V16:V21"/>
    <mergeCell ref="W16:W21"/>
    <mergeCell ref="X16:X21"/>
    <mergeCell ref="A22:A24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K22:K24"/>
    <mergeCell ref="L22:L24"/>
    <mergeCell ref="M22:M24"/>
    <mergeCell ref="N22:N24"/>
    <mergeCell ref="O22:O24"/>
    <mergeCell ref="V22:V24"/>
    <mergeCell ref="W22:W24"/>
    <mergeCell ref="X22:X24"/>
    <mergeCell ref="L16:L18"/>
    <mergeCell ref="M16:M18"/>
    <mergeCell ref="N16:N18"/>
    <mergeCell ref="O16:O18"/>
    <mergeCell ref="F19:F21"/>
    <mergeCell ref="G19:G21"/>
    <mergeCell ref="H19:H21"/>
    <mergeCell ref="I19:I21"/>
    <mergeCell ref="J19:J21"/>
    <mergeCell ref="K19:K21"/>
    <mergeCell ref="L19:L21"/>
    <mergeCell ref="M19:M21"/>
    <mergeCell ref="N19:N21"/>
    <mergeCell ref="O19:O21"/>
    <mergeCell ref="A16:A21"/>
    <mergeCell ref="B16:B21"/>
    <mergeCell ref="C16:C21"/>
    <mergeCell ref="F16:F18"/>
    <mergeCell ref="G16:G18"/>
    <mergeCell ref="H16:H18"/>
    <mergeCell ref="I16:I18"/>
    <mergeCell ref="J16:J18"/>
    <mergeCell ref="K16:K18"/>
    <mergeCell ref="D16:D18"/>
    <mergeCell ref="E16:E18"/>
    <mergeCell ref="D19:D21"/>
    <mergeCell ref="E19:E21"/>
    <mergeCell ref="J13:J15"/>
    <mergeCell ref="K13:K15"/>
    <mergeCell ref="L13:L15"/>
    <mergeCell ref="M13:M15"/>
    <mergeCell ref="N13:N15"/>
    <mergeCell ref="O13:O15"/>
    <mergeCell ref="V13:V15"/>
    <mergeCell ref="W13:W15"/>
    <mergeCell ref="X13:X15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J11:J12"/>
    <mergeCell ref="K11:K12"/>
    <mergeCell ref="L11:L12"/>
    <mergeCell ref="M11:M12"/>
    <mergeCell ref="N11:N12"/>
    <mergeCell ref="O11:O12"/>
    <mergeCell ref="V11:V12"/>
    <mergeCell ref="W11:W12"/>
    <mergeCell ref="X11:X1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8:J10"/>
    <mergeCell ref="K8:K10"/>
    <mergeCell ref="L8:L10"/>
    <mergeCell ref="M8:M10"/>
    <mergeCell ref="N8:N10"/>
    <mergeCell ref="O8:O10"/>
    <mergeCell ref="V8:V10"/>
    <mergeCell ref="W8:W10"/>
    <mergeCell ref="X8:X10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6:J7"/>
    <mergeCell ref="K6:K7"/>
    <mergeCell ref="L6:L7"/>
    <mergeCell ref="M6:M7"/>
    <mergeCell ref="N6:N7"/>
    <mergeCell ref="O6:O7"/>
    <mergeCell ref="V6:V7"/>
    <mergeCell ref="W6:W7"/>
    <mergeCell ref="X6:X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4:J5"/>
    <mergeCell ref="K4:K5"/>
    <mergeCell ref="L4:L5"/>
    <mergeCell ref="M4:M5"/>
    <mergeCell ref="N4:N5"/>
    <mergeCell ref="O4:O5"/>
    <mergeCell ref="V4:V5"/>
    <mergeCell ref="W4:W5"/>
    <mergeCell ref="X4:X5"/>
    <mergeCell ref="F4:F5"/>
    <mergeCell ref="A4:A5"/>
    <mergeCell ref="B4:B5"/>
    <mergeCell ref="C4:C5"/>
    <mergeCell ref="D4:D5"/>
    <mergeCell ref="E4:E5"/>
    <mergeCell ref="G4:G5"/>
    <mergeCell ref="H4:H5"/>
    <mergeCell ref="I4:I5"/>
    <mergeCell ref="W56:W59"/>
    <mergeCell ref="X56:X59"/>
    <mergeCell ref="A56:A59"/>
    <mergeCell ref="B56:B59"/>
    <mergeCell ref="C56:C59"/>
    <mergeCell ref="D56:D59"/>
    <mergeCell ref="E56:E59"/>
    <mergeCell ref="H56:H59"/>
    <mergeCell ref="I56:I59"/>
    <mergeCell ref="V56:V59"/>
    <mergeCell ref="F56:F59"/>
    <mergeCell ref="G56:G59"/>
    <mergeCell ref="J56:J59"/>
    <mergeCell ref="K56:K59"/>
    <mergeCell ref="L56:L59"/>
    <mergeCell ref="M56:M59"/>
    <mergeCell ref="N56:N59"/>
    <mergeCell ref="O56:O59"/>
    <mergeCell ref="V211:V213"/>
    <mergeCell ref="W211:W213"/>
    <mergeCell ref="X211:X213"/>
    <mergeCell ref="A211:A213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K211:K213"/>
    <mergeCell ref="L211:L213"/>
    <mergeCell ref="M211:M213"/>
    <mergeCell ref="N211:N213"/>
    <mergeCell ref="O211:O213"/>
    <mergeCell ref="V208:V210"/>
    <mergeCell ref="W208:W210"/>
    <mergeCell ref="X208:X210"/>
    <mergeCell ref="A208:A210"/>
    <mergeCell ref="B208:B210"/>
    <mergeCell ref="C208:C210"/>
    <mergeCell ref="D208:D210"/>
    <mergeCell ref="E208:E210"/>
    <mergeCell ref="F208:F210"/>
    <mergeCell ref="G208:G210"/>
    <mergeCell ref="H208:H210"/>
    <mergeCell ref="I208:I210"/>
    <mergeCell ref="J208:J210"/>
    <mergeCell ref="K208:K210"/>
    <mergeCell ref="L208:L210"/>
    <mergeCell ref="M208:M210"/>
    <mergeCell ref="N208:N210"/>
    <mergeCell ref="O208:O210"/>
    <mergeCell ref="V206:V207"/>
    <mergeCell ref="W206:W207"/>
    <mergeCell ref="X206:X207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L206:L207"/>
    <mergeCell ref="M206:M207"/>
    <mergeCell ref="N206:N207"/>
    <mergeCell ref="O206:O207"/>
    <mergeCell ref="J203:J205"/>
    <mergeCell ref="K203:K205"/>
    <mergeCell ref="L203:L205"/>
    <mergeCell ref="M203:M205"/>
    <mergeCell ref="N203:N205"/>
    <mergeCell ref="O203:O205"/>
    <mergeCell ref="V203:V205"/>
    <mergeCell ref="W203:W205"/>
    <mergeCell ref="X203:X205"/>
    <mergeCell ref="A203:A205"/>
    <mergeCell ref="B203:B205"/>
    <mergeCell ref="C203:C205"/>
    <mergeCell ref="D203:D205"/>
    <mergeCell ref="E203:E205"/>
    <mergeCell ref="F203:F205"/>
    <mergeCell ref="G203:G205"/>
    <mergeCell ref="H203:H205"/>
    <mergeCell ref="I203:I205"/>
    <mergeCell ref="J200:J202"/>
    <mergeCell ref="K200:K202"/>
    <mergeCell ref="L200:L202"/>
    <mergeCell ref="M200:M202"/>
    <mergeCell ref="N200:N202"/>
    <mergeCell ref="O200:O202"/>
    <mergeCell ref="V200:V202"/>
    <mergeCell ref="W200:W202"/>
    <mergeCell ref="X200:X202"/>
    <mergeCell ref="A200:A202"/>
    <mergeCell ref="B200:B202"/>
    <mergeCell ref="C200:C202"/>
    <mergeCell ref="D200:D202"/>
    <mergeCell ref="E200:E202"/>
    <mergeCell ref="F200:F202"/>
    <mergeCell ref="G200:G202"/>
    <mergeCell ref="H200:H202"/>
    <mergeCell ref="I200:I202"/>
    <mergeCell ref="V191:V193"/>
    <mergeCell ref="W191:W193"/>
    <mergeCell ref="X191:X193"/>
    <mergeCell ref="A191:A193"/>
    <mergeCell ref="B191:B193"/>
    <mergeCell ref="C191:C193"/>
    <mergeCell ref="D191:D193"/>
    <mergeCell ref="E191:E193"/>
    <mergeCell ref="F191:F193"/>
    <mergeCell ref="G191:G193"/>
    <mergeCell ref="H191:H193"/>
    <mergeCell ref="I191:I193"/>
    <mergeCell ref="J191:J193"/>
    <mergeCell ref="K191:K193"/>
    <mergeCell ref="L191:L193"/>
    <mergeCell ref="M191:M193"/>
    <mergeCell ref="N191:N193"/>
    <mergeCell ref="O191:O193"/>
    <mergeCell ref="V186:V187"/>
    <mergeCell ref="W186:W187"/>
    <mergeCell ref="X186:X187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J186:J187"/>
    <mergeCell ref="K186:K187"/>
    <mergeCell ref="L186:L187"/>
    <mergeCell ref="M186:M187"/>
    <mergeCell ref="N186:N187"/>
    <mergeCell ref="O186:O187"/>
    <mergeCell ref="J183:J185"/>
    <mergeCell ref="K183:K185"/>
    <mergeCell ref="L183:L185"/>
    <mergeCell ref="M183:M185"/>
    <mergeCell ref="N183:N185"/>
    <mergeCell ref="O183:O185"/>
    <mergeCell ref="V183:V185"/>
    <mergeCell ref="W183:W185"/>
    <mergeCell ref="X183:X185"/>
    <mergeCell ref="A183:A185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V180:V182"/>
    <mergeCell ref="W180:W182"/>
    <mergeCell ref="X180:X182"/>
    <mergeCell ref="A180:A182"/>
    <mergeCell ref="B180:B182"/>
    <mergeCell ref="C180:C182"/>
    <mergeCell ref="D180:D182"/>
    <mergeCell ref="E180:E182"/>
    <mergeCell ref="F180:F182"/>
    <mergeCell ref="G180:G182"/>
    <mergeCell ref="H180:H182"/>
    <mergeCell ref="I180:I182"/>
    <mergeCell ref="J180:J182"/>
    <mergeCell ref="K180:K182"/>
    <mergeCell ref="L180:L182"/>
    <mergeCell ref="M180:M182"/>
    <mergeCell ref="N180:N182"/>
    <mergeCell ref="O180:O182"/>
    <mergeCell ref="M173:M174"/>
    <mergeCell ref="N173:N174"/>
    <mergeCell ref="O173:O174"/>
    <mergeCell ref="V177:V178"/>
    <mergeCell ref="W177:W178"/>
    <mergeCell ref="X177:X178"/>
    <mergeCell ref="A177:A178"/>
    <mergeCell ref="B177:B178"/>
    <mergeCell ref="C177:C178"/>
    <mergeCell ref="D177:D178"/>
    <mergeCell ref="E177:E178"/>
    <mergeCell ref="F177:F178"/>
    <mergeCell ref="G177:G178"/>
    <mergeCell ref="H177:H178"/>
    <mergeCell ref="I177:I178"/>
    <mergeCell ref="J177:J178"/>
    <mergeCell ref="K177:K178"/>
    <mergeCell ref="L177:L178"/>
    <mergeCell ref="M177:M178"/>
    <mergeCell ref="N177:N178"/>
    <mergeCell ref="O177:O178"/>
    <mergeCell ref="A1:X1"/>
    <mergeCell ref="D2:E2"/>
    <mergeCell ref="B2:B3"/>
    <mergeCell ref="C2:C3"/>
    <mergeCell ref="F2:F3"/>
    <mergeCell ref="G2:I2"/>
    <mergeCell ref="J2:K2"/>
    <mergeCell ref="M75:M77"/>
    <mergeCell ref="A75:A77"/>
    <mergeCell ref="B75:B77"/>
    <mergeCell ref="E75:E77"/>
    <mergeCell ref="F75:F77"/>
    <mergeCell ref="G75:G77"/>
    <mergeCell ref="J75:J77"/>
    <mergeCell ref="V170:V172"/>
    <mergeCell ref="W170:W172"/>
    <mergeCell ref="X170:X172"/>
    <mergeCell ref="A170:A172"/>
    <mergeCell ref="B170:B172"/>
    <mergeCell ref="C170:C172"/>
    <mergeCell ref="D170:D172"/>
    <mergeCell ref="E170:E172"/>
    <mergeCell ref="F170:F172"/>
    <mergeCell ref="G170:G172"/>
    <mergeCell ref="H170:H172"/>
    <mergeCell ref="I170:I172"/>
    <mergeCell ref="J170:J172"/>
    <mergeCell ref="K170:K172"/>
    <mergeCell ref="L170:L172"/>
    <mergeCell ref="M170:M172"/>
    <mergeCell ref="N170:N172"/>
    <mergeCell ref="O170:O172"/>
    <mergeCell ref="B196:B199"/>
    <mergeCell ref="E196:E199"/>
    <mergeCell ref="F196:F199"/>
    <mergeCell ref="C196:C199"/>
    <mergeCell ref="D196:D199"/>
    <mergeCell ref="A225:A227"/>
    <mergeCell ref="B225:B227"/>
    <mergeCell ref="G225:G227"/>
    <mergeCell ref="J225:J227"/>
    <mergeCell ref="K225:K227"/>
    <mergeCell ref="L225:L227"/>
    <mergeCell ref="M225:M227"/>
    <mergeCell ref="L2:N2"/>
    <mergeCell ref="O2:O3"/>
    <mergeCell ref="P2:U2"/>
    <mergeCell ref="V2:V3"/>
    <mergeCell ref="W2:X2"/>
    <mergeCell ref="V173:V174"/>
    <mergeCell ref="W173:W174"/>
    <mergeCell ref="X173:X174"/>
    <mergeCell ref="A173:A174"/>
    <mergeCell ref="B173:B174"/>
    <mergeCell ref="C173:C174"/>
    <mergeCell ref="D173:D174"/>
    <mergeCell ref="E173:E174"/>
    <mergeCell ref="F173:F174"/>
    <mergeCell ref="G173:G174"/>
    <mergeCell ref="H173:H174"/>
    <mergeCell ref="I173:I174"/>
    <mergeCell ref="J173:J174"/>
    <mergeCell ref="K173:K174"/>
    <mergeCell ref="L173:L174"/>
    <mergeCell ref="F225:F227"/>
    <mergeCell ref="V225:V227"/>
    <mergeCell ref="H225:H227"/>
    <mergeCell ref="I225:I227"/>
    <mergeCell ref="C225:C227"/>
    <mergeCell ref="D225:D227"/>
    <mergeCell ref="W188:W190"/>
    <mergeCell ref="G188:G190"/>
    <mergeCell ref="J188:J190"/>
    <mergeCell ref="K188:K190"/>
    <mergeCell ref="L188:L190"/>
    <mergeCell ref="M188:M190"/>
    <mergeCell ref="A188:A190"/>
    <mergeCell ref="B188:B190"/>
    <mergeCell ref="E188:E190"/>
    <mergeCell ref="F188:F190"/>
    <mergeCell ref="B194:B195"/>
    <mergeCell ref="G194:G195"/>
    <mergeCell ref="J194:J195"/>
    <mergeCell ref="K194:K195"/>
    <mergeCell ref="F194:F195"/>
    <mergeCell ref="N225:N227"/>
    <mergeCell ref="O225:O227"/>
    <mergeCell ref="W225:W227"/>
    <mergeCell ref="G196:G199"/>
    <mergeCell ref="J196:J199"/>
    <mergeCell ref="K196:K199"/>
    <mergeCell ref="L196:L199"/>
    <mergeCell ref="M196:M199"/>
    <mergeCell ref="H196:H199"/>
    <mergeCell ref="I196:I199"/>
    <mergeCell ref="A196:A199"/>
    <mergeCell ref="H214:H217"/>
    <mergeCell ref="I214:I217"/>
    <mergeCell ref="F214:F217"/>
    <mergeCell ref="G214:G217"/>
    <mergeCell ref="J214:J217"/>
    <mergeCell ref="K214:K217"/>
    <mergeCell ref="L214:L217"/>
    <mergeCell ref="X225:X227"/>
    <mergeCell ref="X75:X77"/>
    <mergeCell ref="H75:H77"/>
    <mergeCell ref="I75:I77"/>
    <mergeCell ref="V75:V77"/>
    <mergeCell ref="C75:C77"/>
    <mergeCell ref="D75:D77"/>
    <mergeCell ref="X194:X195"/>
    <mergeCell ref="N196:N199"/>
    <mergeCell ref="O196:O199"/>
    <mergeCell ref="W196:W199"/>
    <mergeCell ref="X196:X199"/>
    <mergeCell ref="V196:V199"/>
    <mergeCell ref="N75:N77"/>
    <mergeCell ref="O75:O77"/>
    <mergeCell ref="W75:W77"/>
    <mergeCell ref="L194:L195"/>
    <mergeCell ref="M194:M195"/>
    <mergeCell ref="N194:N195"/>
    <mergeCell ref="O194:O195"/>
    <mergeCell ref="W194:W195"/>
    <mergeCell ref="N188:N190"/>
    <mergeCell ref="O188:O190"/>
    <mergeCell ref="K75:K77"/>
    <mergeCell ref="L75:L77"/>
    <mergeCell ref="W220:W221"/>
    <mergeCell ref="H220:H221"/>
    <mergeCell ref="I220:I221"/>
    <mergeCell ref="F220:F221"/>
    <mergeCell ref="G220:G221"/>
    <mergeCell ref="J220:J221"/>
    <mergeCell ref="K220:K221"/>
    <mergeCell ref="A222:A224"/>
    <mergeCell ref="B222:B224"/>
    <mergeCell ref="C222:C224"/>
    <mergeCell ref="X188:X190"/>
    <mergeCell ref="H188:H190"/>
    <mergeCell ref="I188:I190"/>
    <mergeCell ref="V188:V190"/>
    <mergeCell ref="C188:C190"/>
    <mergeCell ref="D188:D190"/>
    <mergeCell ref="X218:X219"/>
    <mergeCell ref="H218:H219"/>
    <mergeCell ref="I218:I219"/>
    <mergeCell ref="A214:A217"/>
    <mergeCell ref="B214:B217"/>
    <mergeCell ref="C214:C217"/>
    <mergeCell ref="V214:V217"/>
    <mergeCell ref="F218:F219"/>
    <mergeCell ref="G218:G219"/>
    <mergeCell ref="J218:J219"/>
    <mergeCell ref="K218:K219"/>
    <mergeCell ref="L218:L219"/>
    <mergeCell ref="M218:M219"/>
    <mergeCell ref="N214:N217"/>
    <mergeCell ref="O214:O217"/>
    <mergeCell ref="W214:W217"/>
    <mergeCell ref="A218:A219"/>
    <mergeCell ref="B218:B219"/>
    <mergeCell ref="C218:C219"/>
    <mergeCell ref="V218:V219"/>
    <mergeCell ref="L220:L221"/>
    <mergeCell ref="M220:M221"/>
    <mergeCell ref="N218:N219"/>
    <mergeCell ref="O218:O219"/>
    <mergeCell ref="W218:W219"/>
    <mergeCell ref="H194:H195"/>
    <mergeCell ref="I194:I195"/>
    <mergeCell ref="C194:C195"/>
    <mergeCell ref="V194:V195"/>
    <mergeCell ref="M214:M217"/>
    <mergeCell ref="A194:A195"/>
    <mergeCell ref="W134:W136"/>
    <mergeCell ref="F139:F140"/>
    <mergeCell ref="G139:G140"/>
    <mergeCell ref="H139:H140"/>
    <mergeCell ref="I139:I140"/>
    <mergeCell ref="J139:J140"/>
    <mergeCell ref="K139:K140"/>
    <mergeCell ref="W145:W147"/>
    <mergeCell ref="N148:N149"/>
    <mergeCell ref="O148:O149"/>
    <mergeCell ref="W148:W149"/>
    <mergeCell ref="A220:A221"/>
    <mergeCell ref="B220:B221"/>
    <mergeCell ref="C220:C221"/>
    <mergeCell ref="N220:N221"/>
    <mergeCell ref="O220:O221"/>
    <mergeCell ref="V220:V221"/>
    <mergeCell ref="O145:O147"/>
    <mergeCell ref="X134:X136"/>
    <mergeCell ref="H134:H136"/>
    <mergeCell ref="I134:I136"/>
    <mergeCell ref="V134:V136"/>
    <mergeCell ref="A134:A136"/>
    <mergeCell ref="B134:B136"/>
    <mergeCell ref="C134:C136"/>
    <mergeCell ref="E134:E136"/>
    <mergeCell ref="K134:K136"/>
    <mergeCell ref="L134:L136"/>
    <mergeCell ref="M134:M136"/>
    <mergeCell ref="N134:N136"/>
    <mergeCell ref="O134:O136"/>
    <mergeCell ref="W137:W138"/>
    <mergeCell ref="X137:X138"/>
    <mergeCell ref="H137:H138"/>
    <mergeCell ref="I137:I138"/>
    <mergeCell ref="F137:F138"/>
    <mergeCell ref="G137:G138"/>
    <mergeCell ref="J137:J138"/>
    <mergeCell ref="K137:K138"/>
    <mergeCell ref="L137:L138"/>
    <mergeCell ref="M137:M138"/>
    <mergeCell ref="V137:V138"/>
    <mergeCell ref="C95:C97"/>
    <mergeCell ref="V95:V97"/>
    <mergeCell ref="V148:V149"/>
    <mergeCell ref="F95:F97"/>
    <mergeCell ref="G95:G97"/>
    <mergeCell ref="J95:J97"/>
    <mergeCell ref="K95:K97"/>
    <mergeCell ref="L95:L97"/>
    <mergeCell ref="M95:M97"/>
    <mergeCell ref="N95:N97"/>
    <mergeCell ref="O95:O97"/>
    <mergeCell ref="X139:X140"/>
    <mergeCell ref="A139:A140"/>
    <mergeCell ref="B139:B140"/>
    <mergeCell ref="C139:C140"/>
    <mergeCell ref="F145:F147"/>
    <mergeCell ref="G145:G147"/>
    <mergeCell ref="J145:J147"/>
    <mergeCell ref="K145:K147"/>
    <mergeCell ref="L145:L147"/>
    <mergeCell ref="M145:M147"/>
    <mergeCell ref="L139:L140"/>
    <mergeCell ref="M139:M140"/>
    <mergeCell ref="N139:N140"/>
    <mergeCell ref="O139:O140"/>
    <mergeCell ref="V139:V140"/>
    <mergeCell ref="W139:W140"/>
    <mergeCell ref="W143:W144"/>
    <mergeCell ref="X143:X144"/>
    <mergeCell ref="H143:H144"/>
    <mergeCell ref="I143:I144"/>
    <mergeCell ref="A145:A147"/>
    <mergeCell ref="H98:H101"/>
    <mergeCell ref="I98:I101"/>
    <mergeCell ref="F98:F101"/>
    <mergeCell ref="G98:G101"/>
    <mergeCell ref="J98:J101"/>
    <mergeCell ref="K98:K101"/>
    <mergeCell ref="L98:L101"/>
    <mergeCell ref="M98:M101"/>
    <mergeCell ref="W95:W97"/>
    <mergeCell ref="O102:O105"/>
    <mergeCell ref="V102:V105"/>
    <mergeCell ref="W102:W105"/>
    <mergeCell ref="X102:X105"/>
    <mergeCell ref="A102:A105"/>
    <mergeCell ref="B102:B105"/>
    <mergeCell ref="C102:C105"/>
    <mergeCell ref="V98:V101"/>
    <mergeCell ref="F102:F105"/>
    <mergeCell ref="G102:G105"/>
    <mergeCell ref="H102:H105"/>
    <mergeCell ref="I102:I105"/>
    <mergeCell ref="J102:J105"/>
    <mergeCell ref="K102:K105"/>
    <mergeCell ref="L102:L105"/>
    <mergeCell ref="M102:M105"/>
    <mergeCell ref="N102:N105"/>
    <mergeCell ref="N98:N101"/>
    <mergeCell ref="X95:X97"/>
    <mergeCell ref="H95:H97"/>
    <mergeCell ref="I95:I97"/>
    <mergeCell ref="A95:A97"/>
    <mergeCell ref="B95:B97"/>
    <mergeCell ref="F109:F111"/>
    <mergeCell ref="G109:G111"/>
    <mergeCell ref="H109:H111"/>
    <mergeCell ref="N106:N108"/>
    <mergeCell ref="O106:O108"/>
    <mergeCell ref="W106:W108"/>
    <mergeCell ref="X106:X108"/>
    <mergeCell ref="H106:H108"/>
    <mergeCell ref="I106:I108"/>
    <mergeCell ref="V106:V108"/>
    <mergeCell ref="F106:F108"/>
    <mergeCell ref="G106:G108"/>
    <mergeCell ref="J106:J108"/>
    <mergeCell ref="K106:K108"/>
    <mergeCell ref="L106:L108"/>
    <mergeCell ref="M106:M108"/>
    <mergeCell ref="X148:X149"/>
    <mergeCell ref="H148:H149"/>
    <mergeCell ref="X145:X147"/>
    <mergeCell ref="H145:H147"/>
    <mergeCell ref="I145:I147"/>
    <mergeCell ref="I148:I149"/>
    <mergeCell ref="V143:V144"/>
    <mergeCell ref="F148:F149"/>
    <mergeCell ref="G148:G149"/>
    <mergeCell ref="J148:J149"/>
    <mergeCell ref="K148:K149"/>
    <mergeCell ref="L148:L149"/>
    <mergeCell ref="M148:M149"/>
    <mergeCell ref="N143:N144"/>
    <mergeCell ref="O143:O144"/>
    <mergeCell ref="V145:V147"/>
    <mergeCell ref="E95:E97"/>
    <mergeCell ref="D98:D101"/>
    <mergeCell ref="D102:D105"/>
    <mergeCell ref="D106:D108"/>
    <mergeCell ref="D109:D111"/>
    <mergeCell ref="E225:E227"/>
    <mergeCell ref="E194:E195"/>
    <mergeCell ref="E214:E217"/>
    <mergeCell ref="E218:E219"/>
    <mergeCell ref="E220:E221"/>
    <mergeCell ref="E222:E224"/>
    <mergeCell ref="D137:D138"/>
    <mergeCell ref="D139:D140"/>
    <mergeCell ref="D143:D144"/>
    <mergeCell ref="D145:D147"/>
    <mergeCell ref="D148:D149"/>
    <mergeCell ref="D95:D97"/>
    <mergeCell ref="D194:D195"/>
    <mergeCell ref="D214:D217"/>
    <mergeCell ref="D218:D219"/>
    <mergeCell ref="D220:D221"/>
    <mergeCell ref="D222:D224"/>
    <mergeCell ref="D134:D136"/>
    <mergeCell ref="C112:C116"/>
    <mergeCell ref="A112:A116"/>
    <mergeCell ref="B112:B116"/>
    <mergeCell ref="V112:V116"/>
    <mergeCell ref="W112:W116"/>
    <mergeCell ref="X112:X116"/>
    <mergeCell ref="E98:E101"/>
    <mergeCell ref="E102:E105"/>
    <mergeCell ref="E106:E108"/>
    <mergeCell ref="E109:E111"/>
    <mergeCell ref="O109:O111"/>
    <mergeCell ref="V109:V111"/>
    <mergeCell ref="W109:W111"/>
    <mergeCell ref="X109:X111"/>
    <mergeCell ref="A109:A111"/>
    <mergeCell ref="B109:B111"/>
    <mergeCell ref="C109:C111"/>
    <mergeCell ref="I109:I111"/>
    <mergeCell ref="J109:J111"/>
    <mergeCell ref="K109:K111"/>
    <mergeCell ref="L109:L111"/>
    <mergeCell ref="M109:M111"/>
    <mergeCell ref="N109:N111"/>
    <mergeCell ref="A106:A108"/>
    <mergeCell ref="O98:O101"/>
    <mergeCell ref="W98:W101"/>
    <mergeCell ref="X98:X101"/>
    <mergeCell ref="A98:A101"/>
    <mergeCell ref="B98:B101"/>
    <mergeCell ref="C98:C101"/>
    <mergeCell ref="B106:B108"/>
    <mergeCell ref="C106:C108"/>
    <mergeCell ref="H117:H118"/>
    <mergeCell ref="I117:I118"/>
    <mergeCell ref="F117:F118"/>
    <mergeCell ref="G117:G118"/>
    <mergeCell ref="J117:J118"/>
    <mergeCell ref="K117:K118"/>
    <mergeCell ref="L117:L118"/>
    <mergeCell ref="M117:M118"/>
    <mergeCell ref="A117:A118"/>
    <mergeCell ref="B117:B118"/>
    <mergeCell ref="C117:C118"/>
    <mergeCell ref="D117:D118"/>
    <mergeCell ref="E117:E118"/>
    <mergeCell ref="V117:V118"/>
    <mergeCell ref="N117:N118"/>
    <mergeCell ref="O117:O118"/>
    <mergeCell ref="W117:W118"/>
    <mergeCell ref="W119:W120"/>
    <mergeCell ref="X119:X120"/>
    <mergeCell ref="A119:A120"/>
    <mergeCell ref="B119:B120"/>
    <mergeCell ref="C119:C120"/>
    <mergeCell ref="D119:D120"/>
    <mergeCell ref="E119:E120"/>
    <mergeCell ref="F119:F120"/>
    <mergeCell ref="G119:G120"/>
    <mergeCell ref="J119:J120"/>
    <mergeCell ref="K119:K120"/>
    <mergeCell ref="L119:L120"/>
    <mergeCell ref="M119:M120"/>
    <mergeCell ref="H119:H120"/>
    <mergeCell ref="I119:I120"/>
    <mergeCell ref="V119:V120"/>
    <mergeCell ref="F121:F123"/>
    <mergeCell ref="G121:G123"/>
    <mergeCell ref="J121:J123"/>
    <mergeCell ref="K121:K123"/>
    <mergeCell ref="L121:L123"/>
    <mergeCell ref="M121:M123"/>
    <mergeCell ref="N121:N123"/>
    <mergeCell ref="O121:O123"/>
    <mergeCell ref="N119:N120"/>
    <mergeCell ref="O119:O120"/>
    <mergeCell ref="W121:W123"/>
    <mergeCell ref="X121:X123"/>
    <mergeCell ref="V121:V123"/>
    <mergeCell ref="H121:H123"/>
    <mergeCell ref="I121:I123"/>
    <mergeCell ref="A121:A123"/>
    <mergeCell ref="B121:B123"/>
    <mergeCell ref="C121:C123"/>
    <mergeCell ref="D121:D123"/>
    <mergeCell ref="E121:E123"/>
    <mergeCell ref="W124:W125"/>
    <mergeCell ref="X124:X125"/>
    <mergeCell ref="A124:A125"/>
    <mergeCell ref="B124:B125"/>
    <mergeCell ref="C124:C125"/>
    <mergeCell ref="P124:P125"/>
    <mergeCell ref="Q124:Q125"/>
    <mergeCell ref="R124:R125"/>
    <mergeCell ref="S124:S125"/>
    <mergeCell ref="F126:F127"/>
    <mergeCell ref="D126:D127"/>
    <mergeCell ref="E126:E127"/>
    <mergeCell ref="D128:D129"/>
    <mergeCell ref="E128:E129"/>
    <mergeCell ref="H126:H127"/>
    <mergeCell ref="T124:T125"/>
    <mergeCell ref="U124:U125"/>
    <mergeCell ref="V124:V125"/>
    <mergeCell ref="N128:N129"/>
    <mergeCell ref="O128:O129"/>
    <mergeCell ref="C126:C130"/>
    <mergeCell ref="A126:A130"/>
    <mergeCell ref="B126:B130"/>
    <mergeCell ref="X126:X130"/>
    <mergeCell ref="V126:V130"/>
    <mergeCell ref="W126:W130"/>
    <mergeCell ref="N126:N127"/>
    <mergeCell ref="O126:O127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I126:I127"/>
    <mergeCell ref="G126:G127"/>
    <mergeCell ref="J126:J127"/>
    <mergeCell ref="K126:K127"/>
    <mergeCell ref="L126:L127"/>
    <mergeCell ref="M126:M127"/>
    <mergeCell ref="N131:N133"/>
    <mergeCell ref="O131:O133"/>
    <mergeCell ref="W131:W133"/>
    <mergeCell ref="H131:H133"/>
    <mergeCell ref="I131:I133"/>
    <mergeCell ref="V131:V133"/>
    <mergeCell ref="F131:F133"/>
    <mergeCell ref="G131:G133"/>
    <mergeCell ref="J131:J133"/>
    <mergeCell ref="K131:K133"/>
    <mergeCell ref="L131:L133"/>
    <mergeCell ref="M131:M133"/>
    <mergeCell ref="A131:A133"/>
    <mergeCell ref="B131:B133"/>
    <mergeCell ref="C131:C133"/>
    <mergeCell ref="D131:D133"/>
    <mergeCell ref="E131:E133"/>
    <mergeCell ref="F141:F142"/>
    <mergeCell ref="A141:A142"/>
    <mergeCell ref="B141:B142"/>
    <mergeCell ref="C141:C142"/>
    <mergeCell ref="D141:D142"/>
    <mergeCell ref="E137:E138"/>
    <mergeCell ref="E139:E140"/>
    <mergeCell ref="A137:A138"/>
    <mergeCell ref="B137:B138"/>
    <mergeCell ref="C137:C138"/>
    <mergeCell ref="E141:E142"/>
    <mergeCell ref="N137:N138"/>
    <mergeCell ref="O137:O138"/>
    <mergeCell ref="F134:F136"/>
    <mergeCell ref="G134:G136"/>
    <mergeCell ref="J134:J136"/>
    <mergeCell ref="V150:V151"/>
    <mergeCell ref="W150:W151"/>
    <mergeCell ref="X150:X151"/>
    <mergeCell ref="A150:A151"/>
    <mergeCell ref="B150:B151"/>
    <mergeCell ref="C150:C151"/>
    <mergeCell ref="D150:D151"/>
    <mergeCell ref="E150:E151"/>
    <mergeCell ref="F150:F151"/>
    <mergeCell ref="O141:O142"/>
    <mergeCell ref="W141:W142"/>
    <mergeCell ref="X141:X142"/>
    <mergeCell ref="H141:H142"/>
    <mergeCell ref="I141:I142"/>
    <mergeCell ref="V141:V142"/>
    <mergeCell ref="G141:G142"/>
    <mergeCell ref="J141:J142"/>
    <mergeCell ref="K141:K142"/>
    <mergeCell ref="L141:L142"/>
    <mergeCell ref="M141:M142"/>
    <mergeCell ref="N141:N142"/>
    <mergeCell ref="E143:E144"/>
    <mergeCell ref="E145:E147"/>
    <mergeCell ref="E148:E149"/>
    <mergeCell ref="A148:A149"/>
    <mergeCell ref="B148:B149"/>
    <mergeCell ref="C148:C149"/>
    <mergeCell ref="A143:A144"/>
    <mergeCell ref="B143:B144"/>
    <mergeCell ref="C143:C144"/>
    <mergeCell ref="B145:B147"/>
    <mergeCell ref="C145:C147"/>
    <mergeCell ref="A152:A154"/>
    <mergeCell ref="B152:B154"/>
    <mergeCell ref="C152:C154"/>
    <mergeCell ref="D152:D154"/>
    <mergeCell ref="E152:E154"/>
    <mergeCell ref="F152:F154"/>
    <mergeCell ref="M150:M151"/>
    <mergeCell ref="N150:N151"/>
    <mergeCell ref="O150:O151"/>
    <mergeCell ref="G150:G151"/>
    <mergeCell ref="H150:H151"/>
    <mergeCell ref="I150:I151"/>
    <mergeCell ref="J150:J151"/>
    <mergeCell ref="K150:K151"/>
    <mergeCell ref="L150:L151"/>
    <mergeCell ref="G152:G154"/>
    <mergeCell ref="H152:H154"/>
    <mergeCell ref="I152:I154"/>
    <mergeCell ref="J152:J154"/>
    <mergeCell ref="K152:K154"/>
    <mergeCell ref="L152:L154"/>
    <mergeCell ref="F143:F144"/>
    <mergeCell ref="G143:G144"/>
    <mergeCell ref="J143:J144"/>
    <mergeCell ref="K143:K144"/>
    <mergeCell ref="L143:L144"/>
    <mergeCell ref="M143:M144"/>
    <mergeCell ref="N145:N147"/>
    <mergeCell ref="V152:V154"/>
    <mergeCell ref="W152:W154"/>
    <mergeCell ref="X152:X154"/>
    <mergeCell ref="M152:M154"/>
    <mergeCell ref="N152:N154"/>
    <mergeCell ref="O152:O154"/>
    <mergeCell ref="V155:V157"/>
    <mergeCell ref="W155:W157"/>
    <mergeCell ref="X155:X157"/>
    <mergeCell ref="M155:M157"/>
    <mergeCell ref="N155:N157"/>
    <mergeCell ref="O155:O157"/>
    <mergeCell ref="G155:G157"/>
    <mergeCell ref="H155:H157"/>
    <mergeCell ref="I155:I157"/>
    <mergeCell ref="J155:J157"/>
    <mergeCell ref="K155:K157"/>
    <mergeCell ref="L155:L157"/>
    <mergeCell ref="A155:A157"/>
    <mergeCell ref="B155:B157"/>
    <mergeCell ref="C155:C157"/>
    <mergeCell ref="D155:D157"/>
    <mergeCell ref="E155:E157"/>
    <mergeCell ref="F155:F157"/>
    <mergeCell ref="A158:A161"/>
    <mergeCell ref="B158:B161"/>
    <mergeCell ref="C158:C161"/>
    <mergeCell ref="V158:V161"/>
    <mergeCell ref="N162:N164"/>
    <mergeCell ref="O162:O164"/>
    <mergeCell ref="X158:X161"/>
    <mergeCell ref="W158:W161"/>
    <mergeCell ref="H162:H164"/>
    <mergeCell ref="I162:I164"/>
    <mergeCell ref="J162:J164"/>
    <mergeCell ref="K162:K164"/>
    <mergeCell ref="L162:L164"/>
    <mergeCell ref="M162:M164"/>
    <mergeCell ref="V162:V164"/>
    <mergeCell ref="W162:W164"/>
    <mergeCell ref="X162:X164"/>
    <mergeCell ref="A162:A164"/>
    <mergeCell ref="B162:B164"/>
    <mergeCell ref="C162:C164"/>
    <mergeCell ref="D162:D164"/>
    <mergeCell ref="E162:E164"/>
    <mergeCell ref="F162:F164"/>
    <mergeCell ref="G162:G164"/>
    <mergeCell ref="A165:A166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L165:L166"/>
    <mergeCell ref="M165:M166"/>
    <mergeCell ref="N165:N166"/>
    <mergeCell ref="O165:O166"/>
    <mergeCell ref="V165:V166"/>
    <mergeCell ref="W165:W166"/>
    <mergeCell ref="A231:A233"/>
    <mergeCell ref="B231:B233"/>
    <mergeCell ref="C231:C233"/>
    <mergeCell ref="D231:D233"/>
    <mergeCell ref="E231:E233"/>
    <mergeCell ref="F231:F233"/>
    <mergeCell ref="G231:G233"/>
    <mergeCell ref="H231:H233"/>
    <mergeCell ref="I231:I233"/>
    <mergeCell ref="J231:J233"/>
    <mergeCell ref="K231:K233"/>
    <mergeCell ref="L231:L233"/>
    <mergeCell ref="M231:M233"/>
    <mergeCell ref="N231:N233"/>
    <mergeCell ref="O231:O233"/>
    <mergeCell ref="V231:V233"/>
    <mergeCell ref="W231:W233"/>
    <mergeCell ref="L234:L235"/>
    <mergeCell ref="M234:M235"/>
    <mergeCell ref="N234:N235"/>
    <mergeCell ref="O234:O235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6:M237"/>
    <mergeCell ref="N236:N237"/>
    <mergeCell ref="O236:O237"/>
    <mergeCell ref="X165:X166"/>
    <mergeCell ref="X231:X233"/>
    <mergeCell ref="N222:N224"/>
    <mergeCell ref="O222:O224"/>
    <mergeCell ref="W222:W224"/>
    <mergeCell ref="X222:X224"/>
    <mergeCell ref="H222:H224"/>
    <mergeCell ref="I222:I224"/>
    <mergeCell ref="V222:V224"/>
    <mergeCell ref="X220:X221"/>
    <mergeCell ref="F222:F224"/>
    <mergeCell ref="G222:G224"/>
    <mergeCell ref="J222:J224"/>
    <mergeCell ref="K222:K224"/>
    <mergeCell ref="L222:L224"/>
    <mergeCell ref="M222:M224"/>
    <mergeCell ref="A234:A237"/>
    <mergeCell ref="B234:B237"/>
    <mergeCell ref="C234:C237"/>
    <mergeCell ref="V234:V237"/>
    <mergeCell ref="W234:W237"/>
    <mergeCell ref="X234:X237"/>
    <mergeCell ref="A175:A176"/>
    <mergeCell ref="B175:B176"/>
    <mergeCell ref="C175:C176"/>
    <mergeCell ref="D175:D176"/>
    <mergeCell ref="E175:E176"/>
    <mergeCell ref="F175:F176"/>
    <mergeCell ref="G175:G176"/>
    <mergeCell ref="H175:H176"/>
    <mergeCell ref="I175:I176"/>
    <mergeCell ref="J175:J176"/>
    <mergeCell ref="K175:K176"/>
    <mergeCell ref="L175:L176"/>
    <mergeCell ref="M175:M176"/>
    <mergeCell ref="N175:N176"/>
    <mergeCell ref="O175:O176"/>
    <mergeCell ref="V175:V176"/>
    <mergeCell ref="W175:W176"/>
    <mergeCell ref="X175:X176"/>
    <mergeCell ref="D234:D235"/>
    <mergeCell ref="E234:E235"/>
    <mergeCell ref="F234:F235"/>
    <mergeCell ref="G234:G235"/>
    <mergeCell ref="H234:H235"/>
    <mergeCell ref="I234:I235"/>
    <mergeCell ref="J234:J235"/>
    <mergeCell ref="K234:K235"/>
    <mergeCell ref="W167:W169"/>
    <mergeCell ref="X167:X169"/>
    <mergeCell ref="A167:A169"/>
    <mergeCell ref="B167:B169"/>
    <mergeCell ref="C167:C169"/>
    <mergeCell ref="D167:D169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N167:N169"/>
    <mergeCell ref="O167:O169"/>
    <mergeCell ref="Y60:Y62"/>
    <mergeCell ref="Y63:Y65"/>
    <mergeCell ref="Y66:Y68"/>
    <mergeCell ref="Y69:Y71"/>
    <mergeCell ref="Y72:Y73"/>
    <mergeCell ref="Y75:Y77"/>
    <mergeCell ref="Y78:Y80"/>
    <mergeCell ref="Y81:Y83"/>
    <mergeCell ref="Y84:Y86"/>
    <mergeCell ref="Y87:Y90"/>
    <mergeCell ref="Y91:Y94"/>
    <mergeCell ref="Y95:Y97"/>
    <mergeCell ref="Y98:Y101"/>
    <mergeCell ref="Y102:Y105"/>
    <mergeCell ref="V228:V230"/>
    <mergeCell ref="W228:W230"/>
    <mergeCell ref="A228:A230"/>
    <mergeCell ref="B228:B230"/>
    <mergeCell ref="C228:C230"/>
    <mergeCell ref="D228:D230"/>
    <mergeCell ref="E228:E230"/>
    <mergeCell ref="F228:F230"/>
    <mergeCell ref="G228:G230"/>
    <mergeCell ref="H228:H230"/>
    <mergeCell ref="I228:I230"/>
    <mergeCell ref="J228:J230"/>
    <mergeCell ref="K228:K230"/>
    <mergeCell ref="L228:L230"/>
    <mergeCell ref="M228:M230"/>
    <mergeCell ref="N228:N230"/>
    <mergeCell ref="O228:O230"/>
    <mergeCell ref="V167:V169"/>
    <mergeCell ref="Y4:Y5"/>
    <mergeCell ref="Y6:Y7"/>
    <mergeCell ref="Y8:Y10"/>
    <mergeCell ref="Y11:Y12"/>
    <mergeCell ref="Y13:Y15"/>
    <mergeCell ref="Y16:Y21"/>
    <mergeCell ref="Y22:Y24"/>
    <mergeCell ref="Y25:Y27"/>
    <mergeCell ref="Y28:Y30"/>
    <mergeCell ref="Y31:Y33"/>
    <mergeCell ref="Y34:Y43"/>
    <mergeCell ref="Y44:Y47"/>
    <mergeCell ref="Y48:Y49"/>
    <mergeCell ref="Y50:Y51"/>
    <mergeCell ref="Y52:Y53"/>
    <mergeCell ref="Y54:Y55"/>
    <mergeCell ref="Y56:Y59"/>
    <mergeCell ref="Y141:Y142"/>
    <mergeCell ref="Y143:Y144"/>
    <mergeCell ref="Y145:Y147"/>
    <mergeCell ref="Y148:Y149"/>
    <mergeCell ref="Y150:Y151"/>
    <mergeCell ref="X228:X230"/>
    <mergeCell ref="X131:X133"/>
    <mergeCell ref="X117:X118"/>
    <mergeCell ref="X214:X217"/>
    <mergeCell ref="Y200:Y202"/>
    <mergeCell ref="Y203:Y205"/>
    <mergeCell ref="Y206:Y207"/>
    <mergeCell ref="Y208:Y210"/>
    <mergeCell ref="Y211:Y213"/>
    <mergeCell ref="Y214:Y217"/>
    <mergeCell ref="Y218:Y219"/>
    <mergeCell ref="Y220:Y221"/>
    <mergeCell ref="Y222:Y224"/>
    <mergeCell ref="Y225:Y227"/>
    <mergeCell ref="Y228:Y230"/>
    <mergeCell ref="Y231:Y233"/>
    <mergeCell ref="Y234:Y237"/>
    <mergeCell ref="Y2:Y3"/>
    <mergeCell ref="Y152:Y154"/>
    <mergeCell ref="Y155:Y157"/>
    <mergeCell ref="Y158:Y161"/>
    <mergeCell ref="Y162:Y164"/>
    <mergeCell ref="Y165:Y166"/>
    <mergeCell ref="Y167:Y169"/>
    <mergeCell ref="Y170:Y172"/>
    <mergeCell ref="Y173:Y174"/>
    <mergeCell ref="Y175:Y176"/>
    <mergeCell ref="Y177:Y178"/>
    <mergeCell ref="Y180:Y182"/>
    <mergeCell ref="Y183:Y185"/>
    <mergeCell ref="Y186:Y187"/>
    <mergeCell ref="Y188:Y190"/>
    <mergeCell ref="Y191:Y193"/>
    <mergeCell ref="Y194:Y195"/>
    <mergeCell ref="Y196:Y199"/>
    <mergeCell ref="Y106:Y108"/>
    <mergeCell ref="Y109:Y111"/>
    <mergeCell ref="Y112:Y116"/>
    <mergeCell ref="Y117:Y118"/>
    <mergeCell ref="Y119:Y120"/>
    <mergeCell ref="Y121:Y123"/>
    <mergeCell ref="Y124:Y125"/>
    <mergeCell ref="Y126:Y130"/>
    <mergeCell ref="Y131:Y133"/>
    <mergeCell ref="Y134:Y136"/>
    <mergeCell ref="Y137:Y138"/>
    <mergeCell ref="Y139:Y140"/>
  </mergeCells>
  <phoneticPr fontId="3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2ADF-FB1D-46DB-BCA5-A3A37708B594}">
  <dimension ref="A1:AD237"/>
  <sheetViews>
    <sheetView workbookViewId="0">
      <pane xSplit="6" ySplit="3" topLeftCell="G167" activePane="bottomRight" state="frozen"/>
      <selection pane="topRight" activeCell="E1" sqref="E1"/>
      <selection pane="bottomLeft" activeCell="A4" sqref="A4"/>
      <selection pane="bottomRight" activeCell="L173" sqref="L173:L174"/>
    </sheetView>
  </sheetViews>
  <sheetFormatPr defaultColWidth="9" defaultRowHeight="14.25"/>
  <cols>
    <col min="1" max="1" width="3.5" style="94" bestFit="1" customWidth="1"/>
    <col min="2" max="2" width="11.875" bestFit="1" customWidth="1"/>
    <col min="3" max="3" width="17.25" style="163" bestFit="1" customWidth="1"/>
    <col min="4" max="4" width="13.125" customWidth="1"/>
    <col min="5" max="5" width="5.25" style="94" bestFit="1" customWidth="1"/>
    <col min="6" max="6" width="5.875" style="94" bestFit="1" customWidth="1"/>
    <col min="7" max="9" width="6.625" bestFit="1" customWidth="1"/>
    <col min="10" max="10" width="5.25" bestFit="1" customWidth="1"/>
    <col min="11" max="11" width="5.25" style="94" bestFit="1" customWidth="1"/>
    <col min="12" max="12" width="6.375" bestFit="1" customWidth="1"/>
    <col min="13" max="13" width="6.375" style="94" bestFit="1" customWidth="1"/>
    <col min="14" max="14" width="6.375" bestFit="1" customWidth="1"/>
    <col min="15" max="15" width="7.125" style="175" bestFit="1" customWidth="1"/>
    <col min="16" max="16" width="7.125" style="94" bestFit="1" customWidth="1"/>
    <col min="17" max="17" width="6.5" style="94" bestFit="1" customWidth="1"/>
    <col min="18" max="18" width="7.125" style="94" bestFit="1" customWidth="1"/>
    <col min="19" max="19" width="7.125" style="170" bestFit="1" customWidth="1"/>
    <col min="20" max="20" width="7.125" style="94" bestFit="1" customWidth="1"/>
    <col min="21" max="21" width="5.25" bestFit="1" customWidth="1"/>
    <col min="22" max="22" width="5.25" style="94" bestFit="1" customWidth="1"/>
    <col min="23" max="23" width="8.875" customWidth="1"/>
    <col min="24" max="24" width="9" style="106"/>
    <col min="25" max="25" width="9" style="165"/>
  </cols>
  <sheetData>
    <row r="1" spans="1:25" ht="22.5" customHeight="1">
      <c r="A1" s="284" t="s">
        <v>359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</row>
    <row r="2" spans="1:25" ht="14.25" customHeight="1">
      <c r="A2" s="156" t="s">
        <v>335</v>
      </c>
      <c r="B2" s="286" t="s">
        <v>336</v>
      </c>
      <c r="C2" s="288" t="s">
        <v>337</v>
      </c>
      <c r="D2" s="285" t="s">
        <v>403</v>
      </c>
      <c r="E2" s="285"/>
      <c r="F2" s="290" t="s">
        <v>345</v>
      </c>
      <c r="G2" s="292" t="s">
        <v>338</v>
      </c>
      <c r="H2" s="292"/>
      <c r="I2" s="292"/>
      <c r="J2" s="282" t="s">
        <v>339</v>
      </c>
      <c r="K2" s="282"/>
      <c r="L2" s="281" t="s">
        <v>340</v>
      </c>
      <c r="M2" s="281"/>
      <c r="N2" s="281"/>
      <c r="O2" s="282" t="s">
        <v>341</v>
      </c>
      <c r="P2" s="282" t="s">
        <v>342</v>
      </c>
      <c r="Q2" s="282"/>
      <c r="R2" s="282"/>
      <c r="S2" s="282"/>
      <c r="T2" s="282"/>
      <c r="U2" s="282"/>
      <c r="V2" s="282" t="s">
        <v>343</v>
      </c>
      <c r="W2" s="283" t="s">
        <v>362</v>
      </c>
      <c r="X2" s="283"/>
      <c r="Y2" s="218" t="s">
        <v>522</v>
      </c>
    </row>
    <row r="3" spans="1:25">
      <c r="A3" s="157" t="s">
        <v>344</v>
      </c>
      <c r="B3" s="287"/>
      <c r="C3" s="289"/>
      <c r="D3" s="155" t="s">
        <v>404</v>
      </c>
      <c r="E3" s="155" t="s">
        <v>405</v>
      </c>
      <c r="F3" s="291"/>
      <c r="G3" s="158" t="s">
        <v>346</v>
      </c>
      <c r="H3" s="158" t="s">
        <v>347</v>
      </c>
      <c r="I3" s="158" t="s">
        <v>348</v>
      </c>
      <c r="J3" s="153" t="s">
        <v>349</v>
      </c>
      <c r="K3" s="153" t="s">
        <v>350</v>
      </c>
      <c r="L3" s="152" t="s">
        <v>351</v>
      </c>
      <c r="M3" s="152" t="s">
        <v>352</v>
      </c>
      <c r="N3" s="152" t="s">
        <v>350</v>
      </c>
      <c r="O3" s="282"/>
      <c r="P3" s="153" t="s">
        <v>353</v>
      </c>
      <c r="Q3" s="153" t="s">
        <v>354</v>
      </c>
      <c r="R3" s="153" t="s">
        <v>355</v>
      </c>
      <c r="S3" s="153" t="s">
        <v>356</v>
      </c>
      <c r="T3" s="154" t="s">
        <v>357</v>
      </c>
      <c r="U3" s="93" t="s">
        <v>358</v>
      </c>
      <c r="V3" s="282"/>
      <c r="W3" s="154" t="s">
        <v>360</v>
      </c>
      <c r="X3" s="105" t="s">
        <v>361</v>
      </c>
      <c r="Y3" s="218"/>
    </row>
    <row r="4" spans="1:25" s="132" customFormat="1">
      <c r="A4" s="304">
        <v>1</v>
      </c>
      <c r="B4" s="304" t="s">
        <v>22</v>
      </c>
      <c r="C4" s="304" t="s">
        <v>23</v>
      </c>
      <c r="D4" s="304"/>
      <c r="E4" s="304"/>
      <c r="F4" s="244" t="s">
        <v>445</v>
      </c>
      <c r="G4" s="279">
        <v>52</v>
      </c>
      <c r="H4" s="279">
        <v>23</v>
      </c>
      <c r="I4" s="279">
        <v>2</v>
      </c>
      <c r="J4" s="299">
        <v>4.5999999999999996</v>
      </c>
      <c r="K4" s="299">
        <v>2.5</v>
      </c>
      <c r="L4" s="301">
        <f>G4*H4*I4*0.00000785</f>
        <v>1.8777199999999997E-2</v>
      </c>
      <c r="M4" s="301">
        <v>6.0000000000000001E-3</v>
      </c>
      <c r="N4" s="301">
        <f>L4-M4</f>
        <v>1.2777199999999997E-2</v>
      </c>
      <c r="O4" s="247">
        <f>J4*L4-K4*N4</f>
        <v>5.4432119999999994E-2</v>
      </c>
      <c r="P4" s="149" t="s">
        <v>364</v>
      </c>
      <c r="Q4" s="149" t="s">
        <v>365</v>
      </c>
      <c r="R4" s="149">
        <v>1</v>
      </c>
      <c r="S4" s="137">
        <v>0.03</v>
      </c>
      <c r="T4" s="149">
        <v>1</v>
      </c>
      <c r="U4" s="137">
        <f t="shared" ref="U4:U42" si="0">R4*S4/T4</f>
        <v>0.03</v>
      </c>
      <c r="V4" s="299">
        <v>1.18</v>
      </c>
      <c r="W4" s="236">
        <f>(O4+SUM(U4:U5))*V4</f>
        <v>0.1350299016</v>
      </c>
      <c r="X4" s="280">
        <v>0.14219999999999999</v>
      </c>
      <c r="Y4" s="218">
        <f>1-W4/X4</f>
        <v>5.0422632911392373E-2</v>
      </c>
    </row>
    <row r="5" spans="1:25" s="132" customFormat="1">
      <c r="A5" s="305"/>
      <c r="B5" s="305"/>
      <c r="C5" s="305"/>
      <c r="D5" s="305"/>
      <c r="E5" s="305"/>
      <c r="F5" s="303"/>
      <c r="G5" s="306"/>
      <c r="H5" s="306"/>
      <c r="I5" s="306"/>
      <c r="J5" s="300"/>
      <c r="K5" s="300"/>
      <c r="L5" s="302"/>
      <c r="M5" s="302"/>
      <c r="N5" s="302"/>
      <c r="O5" s="248"/>
      <c r="P5" s="149" t="s">
        <v>368</v>
      </c>
      <c r="Q5" s="149" t="s">
        <v>365</v>
      </c>
      <c r="R5" s="149">
        <v>1</v>
      </c>
      <c r="S5" s="137">
        <v>0.03</v>
      </c>
      <c r="T5" s="149">
        <v>1</v>
      </c>
      <c r="U5" s="137">
        <f t="shared" si="0"/>
        <v>0.03</v>
      </c>
      <c r="V5" s="300"/>
      <c r="W5" s="236"/>
      <c r="X5" s="280"/>
      <c r="Y5" s="218"/>
    </row>
    <row r="6" spans="1:25">
      <c r="A6" s="304">
        <v>2</v>
      </c>
      <c r="B6" s="304" t="s">
        <v>27</v>
      </c>
      <c r="C6" s="304" t="s">
        <v>28</v>
      </c>
      <c r="D6" s="304"/>
      <c r="E6" s="304"/>
      <c r="F6" s="244" t="s">
        <v>445</v>
      </c>
      <c r="G6" s="279">
        <v>86</v>
      </c>
      <c r="H6" s="279">
        <v>48</v>
      </c>
      <c r="I6" s="279">
        <v>2</v>
      </c>
      <c r="J6" s="299">
        <v>4.5999999999999996</v>
      </c>
      <c r="K6" s="299">
        <v>2.5</v>
      </c>
      <c r="L6" s="301">
        <f>G6*H6*I6*0.00000785</f>
        <v>6.4809599999999995E-2</v>
      </c>
      <c r="M6" s="301">
        <v>3.7999999999999999E-2</v>
      </c>
      <c r="N6" s="301">
        <f>L6-M6</f>
        <v>2.6809599999999996E-2</v>
      </c>
      <c r="O6" s="247">
        <f>J6*L6-K6*N6</f>
        <v>0.23110016</v>
      </c>
      <c r="P6" s="149" t="s">
        <v>364</v>
      </c>
      <c r="Q6" s="149" t="s">
        <v>383</v>
      </c>
      <c r="R6" s="149">
        <v>1</v>
      </c>
      <c r="S6" s="137">
        <v>0.05</v>
      </c>
      <c r="T6" s="149">
        <v>1</v>
      </c>
      <c r="U6" s="137">
        <f t="shared" si="0"/>
        <v>0.05</v>
      </c>
      <c r="V6" s="299">
        <v>1.18</v>
      </c>
      <c r="W6" s="236">
        <f>(O6+SUM(U6:U7))*V6</f>
        <v>0.3670981888</v>
      </c>
      <c r="X6" s="280">
        <v>0.41830000000000001</v>
      </c>
      <c r="Y6" s="218">
        <f>1-W6/X6</f>
        <v>0.12240452115706435</v>
      </c>
    </row>
    <row r="7" spans="1:25">
      <c r="A7" s="305"/>
      <c r="B7" s="305"/>
      <c r="C7" s="305"/>
      <c r="D7" s="305"/>
      <c r="E7" s="305"/>
      <c r="F7" s="303"/>
      <c r="G7" s="306"/>
      <c r="H7" s="306"/>
      <c r="I7" s="306"/>
      <c r="J7" s="300"/>
      <c r="K7" s="300"/>
      <c r="L7" s="302"/>
      <c r="M7" s="302"/>
      <c r="N7" s="302"/>
      <c r="O7" s="248"/>
      <c r="P7" s="149" t="s">
        <v>368</v>
      </c>
      <c r="Q7" s="149" t="s">
        <v>365</v>
      </c>
      <c r="R7" s="149">
        <v>1</v>
      </c>
      <c r="S7" s="137">
        <v>0.03</v>
      </c>
      <c r="T7" s="149">
        <v>1</v>
      </c>
      <c r="U7" s="137">
        <f t="shared" si="0"/>
        <v>0.03</v>
      </c>
      <c r="V7" s="300"/>
      <c r="W7" s="236"/>
      <c r="X7" s="280"/>
      <c r="Y7" s="218"/>
    </row>
    <row r="8" spans="1:25">
      <c r="A8" s="233">
        <v>3</v>
      </c>
      <c r="B8" s="233" t="s">
        <v>30</v>
      </c>
      <c r="C8" s="242" t="s">
        <v>31</v>
      </c>
      <c r="D8" s="242"/>
      <c r="E8" s="242"/>
      <c r="F8" s="242" t="s">
        <v>458</v>
      </c>
      <c r="G8" s="233">
        <v>57</v>
      </c>
      <c r="H8" s="233">
        <v>24</v>
      </c>
      <c r="I8" s="233">
        <v>2</v>
      </c>
      <c r="J8" s="229">
        <v>4.5999999999999996</v>
      </c>
      <c r="K8" s="229">
        <v>2.5</v>
      </c>
      <c r="L8" s="245">
        <f>G8*H8*I8*0.00000785</f>
        <v>2.1477599999999999E-2</v>
      </c>
      <c r="M8" s="245">
        <v>1.0999999999999999E-2</v>
      </c>
      <c r="N8" s="245">
        <f>L8-M8</f>
        <v>1.04776E-2</v>
      </c>
      <c r="O8" s="247">
        <f>J8*L8-K8*N8</f>
        <v>7.2602959999999994E-2</v>
      </c>
      <c r="P8" s="147" t="s">
        <v>364</v>
      </c>
      <c r="Q8" s="149" t="s">
        <v>415</v>
      </c>
      <c r="R8" s="147">
        <v>1</v>
      </c>
      <c r="S8" s="164">
        <v>0.03</v>
      </c>
      <c r="T8" s="147">
        <v>1</v>
      </c>
      <c r="U8" s="164">
        <f t="shared" si="0"/>
        <v>0.03</v>
      </c>
      <c r="V8" s="229">
        <v>1.18</v>
      </c>
      <c r="W8" s="232">
        <f>(O8+SUM(U8:U10))*V8</f>
        <v>0.19187149279999999</v>
      </c>
      <c r="X8" s="250">
        <v>0.20030000000000001</v>
      </c>
      <c r="Y8" s="214">
        <f>1-W8/X8</f>
        <v>4.207941687468808E-2</v>
      </c>
    </row>
    <row r="9" spans="1:25">
      <c r="A9" s="234"/>
      <c r="B9" s="234"/>
      <c r="C9" s="255"/>
      <c r="D9" s="255"/>
      <c r="E9" s="255"/>
      <c r="F9" s="255"/>
      <c r="G9" s="234"/>
      <c r="H9" s="234"/>
      <c r="I9" s="234"/>
      <c r="J9" s="230"/>
      <c r="K9" s="230"/>
      <c r="L9" s="253"/>
      <c r="M9" s="253"/>
      <c r="N9" s="253"/>
      <c r="O9" s="254"/>
      <c r="P9" s="147" t="s">
        <v>368</v>
      </c>
      <c r="Q9" s="149" t="s">
        <v>415</v>
      </c>
      <c r="R9" s="147">
        <v>1</v>
      </c>
      <c r="S9" s="164">
        <v>0.03</v>
      </c>
      <c r="T9" s="147">
        <v>1</v>
      </c>
      <c r="U9" s="164">
        <f t="shared" si="0"/>
        <v>0.03</v>
      </c>
      <c r="V9" s="230"/>
      <c r="W9" s="232"/>
      <c r="X9" s="251"/>
      <c r="Y9" s="215"/>
    </row>
    <row r="10" spans="1:25">
      <c r="A10" s="235"/>
      <c r="B10" s="235"/>
      <c r="C10" s="243"/>
      <c r="D10" s="243"/>
      <c r="E10" s="243"/>
      <c r="F10" s="243"/>
      <c r="G10" s="235"/>
      <c r="H10" s="235"/>
      <c r="I10" s="235"/>
      <c r="J10" s="231"/>
      <c r="K10" s="231"/>
      <c r="L10" s="246"/>
      <c r="M10" s="246"/>
      <c r="N10" s="246"/>
      <c r="O10" s="248"/>
      <c r="P10" s="147" t="s">
        <v>459</v>
      </c>
      <c r="Q10" s="149" t="s">
        <v>416</v>
      </c>
      <c r="R10" s="147">
        <v>1</v>
      </c>
      <c r="S10" s="164">
        <v>0.03</v>
      </c>
      <c r="T10" s="147">
        <v>1</v>
      </c>
      <c r="U10" s="164">
        <f t="shared" si="0"/>
        <v>0.03</v>
      </c>
      <c r="V10" s="231"/>
      <c r="W10" s="232"/>
      <c r="X10" s="252"/>
      <c r="Y10" s="216"/>
    </row>
    <row r="11" spans="1:25">
      <c r="A11" s="304">
        <v>4</v>
      </c>
      <c r="B11" s="304" t="s">
        <v>33</v>
      </c>
      <c r="C11" s="304" t="s">
        <v>34</v>
      </c>
      <c r="D11" s="304"/>
      <c r="E11" s="304"/>
      <c r="F11" s="244" t="s">
        <v>445</v>
      </c>
      <c r="G11" s="279">
        <f>51+4</f>
        <v>55</v>
      </c>
      <c r="H11" s="279">
        <v>23</v>
      </c>
      <c r="I11" s="279">
        <v>2</v>
      </c>
      <c r="J11" s="299">
        <v>4.5999999999999996</v>
      </c>
      <c r="K11" s="299">
        <v>2.5</v>
      </c>
      <c r="L11" s="301">
        <f>G11*H11*I11*0.00000785</f>
        <v>1.98605E-2</v>
      </c>
      <c r="M11" s="301">
        <v>8.9999999999999993E-3</v>
      </c>
      <c r="N11" s="301">
        <f>L11-M11</f>
        <v>1.08605E-2</v>
      </c>
      <c r="O11" s="247">
        <f>J11*L11-K11*N11</f>
        <v>6.4207049999999988E-2</v>
      </c>
      <c r="P11" s="149" t="s">
        <v>364</v>
      </c>
      <c r="Q11" s="149" t="s">
        <v>415</v>
      </c>
      <c r="R11" s="149">
        <v>1</v>
      </c>
      <c r="S11" s="137">
        <v>0.03</v>
      </c>
      <c r="T11" s="149">
        <v>1</v>
      </c>
      <c r="U11" s="137">
        <f t="shared" si="0"/>
        <v>0.03</v>
      </c>
      <c r="V11" s="299">
        <v>1.18</v>
      </c>
      <c r="W11" s="236">
        <f>(O11+SUM(U11:U12))*V11</f>
        <v>0.14656431899999997</v>
      </c>
      <c r="X11" s="280">
        <v>0.15629999999999999</v>
      </c>
      <c r="Y11" s="218">
        <f>1-W11/X11</f>
        <v>6.2288426103646932E-2</v>
      </c>
    </row>
    <row r="12" spans="1:25">
      <c r="A12" s="305"/>
      <c r="B12" s="305"/>
      <c r="C12" s="305"/>
      <c r="D12" s="305"/>
      <c r="E12" s="305"/>
      <c r="F12" s="303"/>
      <c r="G12" s="306"/>
      <c r="H12" s="306"/>
      <c r="I12" s="306"/>
      <c r="J12" s="300"/>
      <c r="K12" s="300"/>
      <c r="L12" s="302"/>
      <c r="M12" s="302"/>
      <c r="N12" s="302"/>
      <c r="O12" s="248"/>
      <c r="P12" s="149" t="s">
        <v>368</v>
      </c>
      <c r="Q12" s="149" t="s">
        <v>416</v>
      </c>
      <c r="R12" s="149">
        <v>1</v>
      </c>
      <c r="S12" s="137">
        <v>0.03</v>
      </c>
      <c r="T12" s="149">
        <v>1</v>
      </c>
      <c r="U12" s="137">
        <f t="shared" si="0"/>
        <v>0.03</v>
      </c>
      <c r="V12" s="300"/>
      <c r="W12" s="236"/>
      <c r="X12" s="280"/>
      <c r="Y12" s="218"/>
    </row>
    <row r="13" spans="1:25">
      <c r="A13" s="233">
        <v>5</v>
      </c>
      <c r="B13" s="233" t="s">
        <v>36</v>
      </c>
      <c r="C13" s="242" t="s">
        <v>37</v>
      </c>
      <c r="D13" s="242"/>
      <c r="E13" s="242"/>
      <c r="F13" s="242" t="s">
        <v>458</v>
      </c>
      <c r="G13" s="233">
        <f>72+4</f>
        <v>76</v>
      </c>
      <c r="H13" s="233">
        <v>43</v>
      </c>
      <c r="I13" s="233">
        <v>2</v>
      </c>
      <c r="J13" s="229">
        <v>4.5999999999999996</v>
      </c>
      <c r="K13" s="229">
        <v>2.5</v>
      </c>
      <c r="L13" s="245">
        <f>G13*H13*I13*0.00000785</f>
        <v>5.1307599999999995E-2</v>
      </c>
      <c r="M13" s="245">
        <v>2.7E-2</v>
      </c>
      <c r="N13" s="245">
        <f>L13-M13</f>
        <v>2.4307599999999995E-2</v>
      </c>
      <c r="O13" s="247">
        <f>J13*L13-K13*N13</f>
        <v>0.17524595999999998</v>
      </c>
      <c r="P13" s="147" t="s">
        <v>364</v>
      </c>
      <c r="Q13" s="149" t="s">
        <v>365</v>
      </c>
      <c r="R13" s="147">
        <v>1</v>
      </c>
      <c r="S13" s="164">
        <v>0.03</v>
      </c>
      <c r="T13" s="147">
        <v>1</v>
      </c>
      <c r="U13" s="164">
        <f t="shared" si="0"/>
        <v>0.03</v>
      </c>
      <c r="V13" s="229">
        <v>1.18</v>
      </c>
      <c r="W13" s="232">
        <f>(O13+SUM(U13:U15))*V13</f>
        <v>0.31299023279999999</v>
      </c>
      <c r="X13" s="250">
        <v>0.3483</v>
      </c>
      <c r="Y13" s="214">
        <f>1-W13/X13</f>
        <v>0.1013774539190353</v>
      </c>
    </row>
    <row r="14" spans="1:25">
      <c r="A14" s="234"/>
      <c r="B14" s="234"/>
      <c r="C14" s="255"/>
      <c r="D14" s="255"/>
      <c r="E14" s="255"/>
      <c r="F14" s="255"/>
      <c r="G14" s="234"/>
      <c r="H14" s="234"/>
      <c r="I14" s="234"/>
      <c r="J14" s="230"/>
      <c r="K14" s="230"/>
      <c r="L14" s="253"/>
      <c r="M14" s="253"/>
      <c r="N14" s="253"/>
      <c r="O14" s="254"/>
      <c r="P14" s="147" t="s">
        <v>369</v>
      </c>
      <c r="Q14" s="149" t="s">
        <v>367</v>
      </c>
      <c r="R14" s="147">
        <v>1</v>
      </c>
      <c r="S14" s="164">
        <v>0.03</v>
      </c>
      <c r="T14" s="147">
        <v>1</v>
      </c>
      <c r="U14" s="164">
        <f t="shared" si="0"/>
        <v>0.03</v>
      </c>
      <c r="V14" s="230"/>
      <c r="W14" s="232"/>
      <c r="X14" s="251"/>
      <c r="Y14" s="215"/>
    </row>
    <row r="15" spans="1:25">
      <c r="A15" s="235"/>
      <c r="B15" s="235"/>
      <c r="C15" s="243"/>
      <c r="D15" s="243"/>
      <c r="E15" s="243"/>
      <c r="F15" s="243"/>
      <c r="G15" s="235"/>
      <c r="H15" s="235"/>
      <c r="I15" s="235"/>
      <c r="J15" s="231"/>
      <c r="K15" s="231"/>
      <c r="L15" s="246"/>
      <c r="M15" s="246"/>
      <c r="N15" s="246"/>
      <c r="O15" s="248"/>
      <c r="P15" s="147" t="s">
        <v>368</v>
      </c>
      <c r="Q15" s="149" t="s">
        <v>367</v>
      </c>
      <c r="R15" s="147">
        <v>1</v>
      </c>
      <c r="S15" s="164">
        <v>0.03</v>
      </c>
      <c r="T15" s="147">
        <v>1</v>
      </c>
      <c r="U15" s="164">
        <f t="shared" si="0"/>
        <v>0.03</v>
      </c>
      <c r="V15" s="231"/>
      <c r="W15" s="232"/>
      <c r="X15" s="252"/>
      <c r="Y15" s="216"/>
    </row>
    <row r="16" spans="1:25">
      <c r="A16" s="309">
        <v>6</v>
      </c>
      <c r="B16" s="309" t="s">
        <v>39</v>
      </c>
      <c r="C16" s="310" t="s">
        <v>40</v>
      </c>
      <c r="D16" s="310" t="s">
        <v>461</v>
      </c>
      <c r="E16" s="310">
        <v>1</v>
      </c>
      <c r="F16" s="310" t="s">
        <v>458</v>
      </c>
      <c r="G16" s="309">
        <f>139+12</f>
        <v>151</v>
      </c>
      <c r="H16" s="309">
        <f>197+12</f>
        <v>209</v>
      </c>
      <c r="I16" s="309">
        <v>3</v>
      </c>
      <c r="J16" s="229">
        <v>4.5999999999999996</v>
      </c>
      <c r="K16" s="229">
        <v>2.5</v>
      </c>
      <c r="L16" s="307">
        <f>G16*H16*I16*0.00000785</f>
        <v>0.74321444999999997</v>
      </c>
      <c r="M16" s="307">
        <f>0.406-0.015</f>
        <v>0.39100000000000001</v>
      </c>
      <c r="N16" s="307">
        <f>L16-M16</f>
        <v>0.35221444999999996</v>
      </c>
      <c r="O16" s="308">
        <f>(J16*L16-K16*N16)*E16</f>
        <v>2.5382503449999998</v>
      </c>
      <c r="P16" s="147" t="s">
        <v>364</v>
      </c>
      <c r="Q16" s="149" t="s">
        <v>463</v>
      </c>
      <c r="R16" s="147">
        <v>1</v>
      </c>
      <c r="S16" s="164">
        <v>0.1</v>
      </c>
      <c r="T16" s="147">
        <v>1</v>
      </c>
      <c r="U16" s="164">
        <f t="shared" si="0"/>
        <v>0.1</v>
      </c>
      <c r="V16" s="311">
        <v>1.1200000000000001</v>
      </c>
      <c r="W16" s="314">
        <f>(O16+SUM(U16:U20))*V16+(O19+U21)*1.03</f>
        <v>3.7229403864000004</v>
      </c>
      <c r="X16" s="311">
        <v>4.4241999999999999</v>
      </c>
      <c r="Y16" s="225">
        <f>1-W16/X16</f>
        <v>0.15850540518059753</v>
      </c>
    </row>
    <row r="17" spans="1:25">
      <c r="A17" s="309"/>
      <c r="B17" s="309"/>
      <c r="C17" s="310"/>
      <c r="D17" s="310"/>
      <c r="E17" s="310"/>
      <c r="F17" s="310"/>
      <c r="G17" s="309"/>
      <c r="H17" s="309"/>
      <c r="I17" s="309"/>
      <c r="J17" s="230"/>
      <c r="K17" s="230"/>
      <c r="L17" s="307"/>
      <c r="M17" s="307"/>
      <c r="N17" s="307"/>
      <c r="O17" s="308"/>
      <c r="P17" s="147" t="s">
        <v>368</v>
      </c>
      <c r="Q17" s="149" t="s">
        <v>464</v>
      </c>
      <c r="R17" s="147">
        <v>1</v>
      </c>
      <c r="S17" s="164">
        <v>7.0000000000000007E-2</v>
      </c>
      <c r="T17" s="147">
        <v>1</v>
      </c>
      <c r="U17" s="164">
        <f t="shared" si="0"/>
        <v>7.0000000000000007E-2</v>
      </c>
      <c r="V17" s="312"/>
      <c r="W17" s="315"/>
      <c r="X17" s="312"/>
      <c r="Y17" s="226"/>
    </row>
    <row r="18" spans="1:25">
      <c r="A18" s="309"/>
      <c r="B18" s="309"/>
      <c r="C18" s="310"/>
      <c r="D18" s="310"/>
      <c r="E18" s="310"/>
      <c r="F18" s="310"/>
      <c r="G18" s="309"/>
      <c r="H18" s="309"/>
      <c r="I18" s="309"/>
      <c r="J18" s="231"/>
      <c r="K18" s="231"/>
      <c r="L18" s="307"/>
      <c r="M18" s="307"/>
      <c r="N18" s="307"/>
      <c r="O18" s="308"/>
      <c r="P18" s="147" t="s">
        <v>366</v>
      </c>
      <c r="Q18" s="149" t="s">
        <v>383</v>
      </c>
      <c r="R18" s="147">
        <v>1</v>
      </c>
      <c r="S18" s="164">
        <v>0.05</v>
      </c>
      <c r="T18" s="147">
        <v>1</v>
      </c>
      <c r="U18" s="164">
        <f t="shared" si="0"/>
        <v>0.05</v>
      </c>
      <c r="V18" s="312"/>
      <c r="W18" s="315"/>
      <c r="X18" s="312"/>
      <c r="Y18" s="226"/>
    </row>
    <row r="19" spans="1:25">
      <c r="A19" s="309"/>
      <c r="B19" s="309"/>
      <c r="C19" s="310"/>
      <c r="D19" s="310" t="s">
        <v>460</v>
      </c>
      <c r="E19" s="310">
        <v>1</v>
      </c>
      <c r="F19" s="310"/>
      <c r="G19" s="309"/>
      <c r="H19" s="309"/>
      <c r="I19" s="309"/>
      <c r="J19" s="317">
        <v>0.4</v>
      </c>
      <c r="K19" s="317"/>
      <c r="L19" s="307"/>
      <c r="M19" s="307"/>
      <c r="N19" s="307"/>
      <c r="O19" s="308">
        <f>E19*J19</f>
        <v>0.4</v>
      </c>
      <c r="P19" s="147" t="s">
        <v>366</v>
      </c>
      <c r="Q19" s="149" t="s">
        <v>365</v>
      </c>
      <c r="R19" s="147">
        <v>1</v>
      </c>
      <c r="S19" s="164">
        <v>0.03</v>
      </c>
      <c r="T19" s="147">
        <v>1</v>
      </c>
      <c r="U19" s="164">
        <f t="shared" si="0"/>
        <v>0.03</v>
      </c>
      <c r="V19" s="312"/>
      <c r="W19" s="315"/>
      <c r="X19" s="312"/>
      <c r="Y19" s="226"/>
    </row>
    <row r="20" spans="1:25">
      <c r="A20" s="309"/>
      <c r="B20" s="309"/>
      <c r="C20" s="310"/>
      <c r="D20" s="310"/>
      <c r="E20" s="310"/>
      <c r="F20" s="310"/>
      <c r="G20" s="309"/>
      <c r="H20" s="309"/>
      <c r="I20" s="309"/>
      <c r="J20" s="317"/>
      <c r="K20" s="317"/>
      <c r="L20" s="307"/>
      <c r="M20" s="307"/>
      <c r="N20" s="307"/>
      <c r="O20" s="308"/>
      <c r="P20" s="147" t="s">
        <v>366</v>
      </c>
      <c r="Q20" s="149" t="s">
        <v>367</v>
      </c>
      <c r="R20" s="147">
        <v>1</v>
      </c>
      <c r="S20" s="164">
        <v>0.03</v>
      </c>
      <c r="T20" s="147">
        <v>1</v>
      </c>
      <c r="U20" s="164">
        <f t="shared" si="0"/>
        <v>0.03</v>
      </c>
      <c r="V20" s="312"/>
      <c r="W20" s="315"/>
      <c r="X20" s="312"/>
      <c r="Y20" s="226"/>
    </row>
    <row r="21" spans="1:25">
      <c r="A21" s="309"/>
      <c r="B21" s="309"/>
      <c r="C21" s="310"/>
      <c r="D21" s="310"/>
      <c r="E21" s="310"/>
      <c r="F21" s="310"/>
      <c r="G21" s="309"/>
      <c r="H21" s="309"/>
      <c r="I21" s="309"/>
      <c r="J21" s="317"/>
      <c r="K21" s="317"/>
      <c r="L21" s="307"/>
      <c r="M21" s="307"/>
      <c r="N21" s="307"/>
      <c r="O21" s="308"/>
      <c r="P21" s="147" t="s">
        <v>462</v>
      </c>
      <c r="Q21" s="149"/>
      <c r="R21" s="147">
        <v>1</v>
      </c>
      <c r="S21" s="164">
        <v>0.15</v>
      </c>
      <c r="T21" s="147">
        <v>1</v>
      </c>
      <c r="U21" s="164">
        <f t="shared" si="0"/>
        <v>0.15</v>
      </c>
      <c r="V21" s="313"/>
      <c r="W21" s="316"/>
      <c r="X21" s="313"/>
      <c r="Y21" s="227"/>
    </row>
    <row r="22" spans="1:25">
      <c r="A22" s="233">
        <v>7</v>
      </c>
      <c r="B22" s="233" t="s">
        <v>44</v>
      </c>
      <c r="C22" s="242" t="s">
        <v>45</v>
      </c>
      <c r="D22" s="242"/>
      <c r="E22" s="242"/>
      <c r="F22" s="242" t="s">
        <v>465</v>
      </c>
      <c r="G22" s="233">
        <f>125+5</f>
        <v>130</v>
      </c>
      <c r="H22" s="233">
        <f>65+5</f>
        <v>70</v>
      </c>
      <c r="I22" s="233">
        <v>2.5</v>
      </c>
      <c r="J22" s="229">
        <v>5.15</v>
      </c>
      <c r="K22" s="229">
        <v>2.5</v>
      </c>
      <c r="L22" s="245">
        <f>G22*H22*I22*0.00000785</f>
        <v>0.17858749999999998</v>
      </c>
      <c r="M22" s="245">
        <v>8.6999999999999994E-2</v>
      </c>
      <c r="N22" s="245">
        <f>L22-M22</f>
        <v>9.1587499999999988E-2</v>
      </c>
      <c r="O22" s="247">
        <f>J22*L22-K22*N22</f>
        <v>0.69075687500000005</v>
      </c>
      <c r="P22" s="147" t="s">
        <v>364</v>
      </c>
      <c r="Q22" s="149" t="s">
        <v>464</v>
      </c>
      <c r="R22" s="147">
        <v>1</v>
      </c>
      <c r="S22" s="164">
        <v>7.0000000000000007E-2</v>
      </c>
      <c r="T22" s="147">
        <v>1</v>
      </c>
      <c r="U22" s="164">
        <f t="shared" si="0"/>
        <v>7.0000000000000007E-2</v>
      </c>
      <c r="V22" s="229">
        <v>1.1200000000000001</v>
      </c>
      <c r="W22" s="232">
        <f>(O22+SUM(U22:U24))*V22</f>
        <v>0.96404770000000017</v>
      </c>
      <c r="X22" s="250">
        <v>1.0730999999999999</v>
      </c>
      <c r="Y22" s="214">
        <f>1-W22/X22</f>
        <v>0.10162361382909302</v>
      </c>
    </row>
    <row r="23" spans="1:25">
      <c r="A23" s="234"/>
      <c r="B23" s="234"/>
      <c r="C23" s="255"/>
      <c r="D23" s="255"/>
      <c r="E23" s="255"/>
      <c r="F23" s="255"/>
      <c r="G23" s="234"/>
      <c r="H23" s="234"/>
      <c r="I23" s="234"/>
      <c r="J23" s="230"/>
      <c r="K23" s="230"/>
      <c r="L23" s="253"/>
      <c r="M23" s="253"/>
      <c r="N23" s="253"/>
      <c r="O23" s="254"/>
      <c r="P23" s="147" t="s">
        <v>368</v>
      </c>
      <c r="Q23" s="149" t="s">
        <v>383</v>
      </c>
      <c r="R23" s="147">
        <v>1</v>
      </c>
      <c r="S23" s="164">
        <v>0.05</v>
      </c>
      <c r="T23" s="147">
        <v>1</v>
      </c>
      <c r="U23" s="164">
        <f t="shared" si="0"/>
        <v>0.05</v>
      </c>
      <c r="V23" s="230"/>
      <c r="W23" s="232"/>
      <c r="X23" s="251"/>
      <c r="Y23" s="215"/>
    </row>
    <row r="24" spans="1:25">
      <c r="A24" s="235"/>
      <c r="B24" s="235"/>
      <c r="C24" s="243"/>
      <c r="D24" s="243"/>
      <c r="E24" s="243"/>
      <c r="F24" s="243"/>
      <c r="G24" s="235"/>
      <c r="H24" s="235"/>
      <c r="I24" s="235"/>
      <c r="J24" s="231"/>
      <c r="K24" s="231"/>
      <c r="L24" s="246"/>
      <c r="M24" s="246"/>
      <c r="N24" s="246"/>
      <c r="O24" s="248"/>
      <c r="P24" s="147" t="s">
        <v>366</v>
      </c>
      <c r="Q24" s="149" t="s">
        <v>383</v>
      </c>
      <c r="R24" s="147">
        <v>1</v>
      </c>
      <c r="S24" s="164">
        <v>0.05</v>
      </c>
      <c r="T24" s="147">
        <v>1</v>
      </c>
      <c r="U24" s="164">
        <f t="shared" si="0"/>
        <v>0.05</v>
      </c>
      <c r="V24" s="231"/>
      <c r="W24" s="232"/>
      <c r="X24" s="252"/>
      <c r="Y24" s="216"/>
    </row>
    <row r="25" spans="1:25">
      <c r="A25" s="233">
        <v>8</v>
      </c>
      <c r="B25" s="279" t="s">
        <v>467</v>
      </c>
      <c r="C25" s="244" t="s">
        <v>466</v>
      </c>
      <c r="D25" s="242"/>
      <c r="E25" s="242"/>
      <c r="F25" s="242" t="s">
        <v>465</v>
      </c>
      <c r="G25" s="233">
        <f>125+5</f>
        <v>130</v>
      </c>
      <c r="H25" s="233">
        <f>65+5</f>
        <v>70</v>
      </c>
      <c r="I25" s="233">
        <v>2.5</v>
      </c>
      <c r="J25" s="229">
        <v>5.15</v>
      </c>
      <c r="K25" s="229">
        <v>2.5</v>
      </c>
      <c r="L25" s="245">
        <f>G25*H25*I25*0.00000785</f>
        <v>0.17858749999999998</v>
      </c>
      <c r="M25" s="245">
        <v>8.6999999999999994E-2</v>
      </c>
      <c r="N25" s="245">
        <f>L25-M25</f>
        <v>9.1587499999999988E-2</v>
      </c>
      <c r="O25" s="247">
        <f>J25*L25-K25*N25</f>
        <v>0.69075687500000005</v>
      </c>
      <c r="P25" s="147" t="s">
        <v>364</v>
      </c>
      <c r="Q25" s="149" t="s">
        <v>464</v>
      </c>
      <c r="R25" s="147">
        <v>1</v>
      </c>
      <c r="S25" s="164">
        <v>7.0000000000000007E-2</v>
      </c>
      <c r="T25" s="147">
        <v>1</v>
      </c>
      <c r="U25" s="164">
        <f t="shared" si="0"/>
        <v>7.0000000000000007E-2</v>
      </c>
      <c r="V25" s="229">
        <v>1.1200000000000001</v>
      </c>
      <c r="W25" s="232">
        <f>(O25+SUM(U25:U27))*V25</f>
        <v>0.96404770000000017</v>
      </c>
      <c r="X25" s="250">
        <v>1.0730999999999999</v>
      </c>
      <c r="Y25" s="214">
        <f>1-W25/X25</f>
        <v>0.10162361382909302</v>
      </c>
    </row>
    <row r="26" spans="1:25">
      <c r="A26" s="234"/>
      <c r="B26" s="234"/>
      <c r="C26" s="255"/>
      <c r="D26" s="255"/>
      <c r="E26" s="255"/>
      <c r="F26" s="255"/>
      <c r="G26" s="234"/>
      <c r="H26" s="234"/>
      <c r="I26" s="234"/>
      <c r="J26" s="230"/>
      <c r="K26" s="230"/>
      <c r="L26" s="253"/>
      <c r="M26" s="253"/>
      <c r="N26" s="253"/>
      <c r="O26" s="254"/>
      <c r="P26" s="147" t="s">
        <v>368</v>
      </c>
      <c r="Q26" s="149" t="s">
        <v>383</v>
      </c>
      <c r="R26" s="147">
        <v>1</v>
      </c>
      <c r="S26" s="164">
        <v>0.05</v>
      </c>
      <c r="T26" s="147">
        <v>1</v>
      </c>
      <c r="U26" s="164">
        <f t="shared" si="0"/>
        <v>0.05</v>
      </c>
      <c r="V26" s="230"/>
      <c r="W26" s="232"/>
      <c r="X26" s="251"/>
      <c r="Y26" s="215"/>
    </row>
    <row r="27" spans="1:25">
      <c r="A27" s="235"/>
      <c r="B27" s="235"/>
      <c r="C27" s="243"/>
      <c r="D27" s="243"/>
      <c r="E27" s="243"/>
      <c r="F27" s="243"/>
      <c r="G27" s="235"/>
      <c r="H27" s="235"/>
      <c r="I27" s="235"/>
      <c r="J27" s="231"/>
      <c r="K27" s="231"/>
      <c r="L27" s="246"/>
      <c r="M27" s="246"/>
      <c r="N27" s="246"/>
      <c r="O27" s="248"/>
      <c r="P27" s="147" t="s">
        <v>366</v>
      </c>
      <c r="Q27" s="149" t="s">
        <v>383</v>
      </c>
      <c r="R27" s="147">
        <v>1</v>
      </c>
      <c r="S27" s="164">
        <v>0.05</v>
      </c>
      <c r="T27" s="147">
        <v>1</v>
      </c>
      <c r="U27" s="164">
        <f t="shared" si="0"/>
        <v>0.05</v>
      </c>
      <c r="V27" s="231"/>
      <c r="W27" s="232"/>
      <c r="X27" s="252"/>
      <c r="Y27" s="216"/>
    </row>
    <row r="28" spans="1:25">
      <c r="A28" s="233">
        <v>9</v>
      </c>
      <c r="B28" s="279" t="s">
        <v>468</v>
      </c>
      <c r="C28" s="244" t="s">
        <v>469</v>
      </c>
      <c r="D28" s="242"/>
      <c r="E28" s="242"/>
      <c r="F28" s="242" t="s">
        <v>465</v>
      </c>
      <c r="G28" s="233">
        <v>89</v>
      </c>
      <c r="H28" s="233">
        <f>125+2.5*2</f>
        <v>130</v>
      </c>
      <c r="I28" s="233">
        <v>2.5</v>
      </c>
      <c r="J28" s="229">
        <v>5.15</v>
      </c>
      <c r="K28" s="229">
        <v>2.5</v>
      </c>
      <c r="L28" s="245">
        <f>G28*H28*I28*0.00000785</f>
        <v>0.22706124999999999</v>
      </c>
      <c r="M28" s="245">
        <v>8.6999999999999994E-2</v>
      </c>
      <c r="N28" s="245">
        <f>L28-M28</f>
        <v>0.14006125</v>
      </c>
      <c r="O28" s="247">
        <f>J28*L28-K28*N28</f>
        <v>0.81921231249999993</v>
      </c>
      <c r="P28" s="147" t="s">
        <v>364</v>
      </c>
      <c r="Q28" s="149" t="s">
        <v>464</v>
      </c>
      <c r="R28" s="147">
        <v>1</v>
      </c>
      <c r="S28" s="164">
        <v>7.0000000000000007E-2</v>
      </c>
      <c r="T28" s="147">
        <v>1</v>
      </c>
      <c r="U28" s="164">
        <f t="shared" si="0"/>
        <v>7.0000000000000007E-2</v>
      </c>
      <c r="V28" s="229">
        <v>1.1200000000000001</v>
      </c>
      <c r="W28" s="232">
        <f>(O28+SUM(U28:U30))*V28</f>
        <v>1.0855177900000001</v>
      </c>
      <c r="X28" s="250">
        <v>1.2089000000000001</v>
      </c>
      <c r="Y28" s="214">
        <f>1-W28/X28</f>
        <v>0.10206155182397214</v>
      </c>
    </row>
    <row r="29" spans="1:25">
      <c r="A29" s="234"/>
      <c r="B29" s="234"/>
      <c r="C29" s="255"/>
      <c r="D29" s="255"/>
      <c r="E29" s="255"/>
      <c r="F29" s="255"/>
      <c r="G29" s="234"/>
      <c r="H29" s="234"/>
      <c r="I29" s="234"/>
      <c r="J29" s="230"/>
      <c r="K29" s="230"/>
      <c r="L29" s="253"/>
      <c r="M29" s="253"/>
      <c r="N29" s="253"/>
      <c r="O29" s="254"/>
      <c r="P29" s="147" t="s">
        <v>368</v>
      </c>
      <c r="Q29" s="149" t="s">
        <v>383</v>
      </c>
      <c r="R29" s="147">
        <v>1</v>
      </c>
      <c r="S29" s="164">
        <v>0.05</v>
      </c>
      <c r="T29" s="147">
        <v>1</v>
      </c>
      <c r="U29" s="164">
        <f t="shared" si="0"/>
        <v>0.05</v>
      </c>
      <c r="V29" s="230"/>
      <c r="W29" s="232"/>
      <c r="X29" s="251"/>
      <c r="Y29" s="215"/>
    </row>
    <row r="30" spans="1:25">
      <c r="A30" s="235"/>
      <c r="B30" s="235"/>
      <c r="C30" s="243"/>
      <c r="D30" s="243"/>
      <c r="E30" s="243"/>
      <c r="F30" s="243"/>
      <c r="G30" s="235"/>
      <c r="H30" s="235"/>
      <c r="I30" s="235"/>
      <c r="J30" s="231"/>
      <c r="K30" s="231"/>
      <c r="L30" s="246"/>
      <c r="M30" s="246"/>
      <c r="N30" s="246"/>
      <c r="O30" s="248"/>
      <c r="P30" s="147" t="s">
        <v>366</v>
      </c>
      <c r="Q30" s="149" t="s">
        <v>365</v>
      </c>
      <c r="R30" s="147">
        <v>1</v>
      </c>
      <c r="S30" s="164">
        <v>0.03</v>
      </c>
      <c r="T30" s="147">
        <v>1</v>
      </c>
      <c r="U30" s="164">
        <f t="shared" si="0"/>
        <v>0.03</v>
      </c>
      <c r="V30" s="231"/>
      <c r="W30" s="232"/>
      <c r="X30" s="252"/>
      <c r="Y30" s="216"/>
    </row>
    <row r="31" spans="1:25">
      <c r="A31" s="233">
        <v>10</v>
      </c>
      <c r="B31" s="279" t="s">
        <v>470</v>
      </c>
      <c r="C31" s="244" t="s">
        <v>471</v>
      </c>
      <c r="D31" s="242"/>
      <c r="E31" s="242"/>
      <c r="F31" s="242" t="s">
        <v>465</v>
      </c>
      <c r="G31" s="233">
        <v>89</v>
      </c>
      <c r="H31" s="233">
        <f>125+2.5*2</f>
        <v>130</v>
      </c>
      <c r="I31" s="233">
        <v>2.5</v>
      </c>
      <c r="J31" s="229">
        <v>5.15</v>
      </c>
      <c r="K31" s="229">
        <v>2.5</v>
      </c>
      <c r="L31" s="245">
        <f>G31*H31*I31*0.00000785</f>
        <v>0.22706124999999999</v>
      </c>
      <c r="M31" s="245">
        <v>8.6999999999999994E-2</v>
      </c>
      <c r="N31" s="245">
        <f>L31-M31</f>
        <v>0.14006125</v>
      </c>
      <c r="O31" s="247">
        <f>J31*L31-K31*N31</f>
        <v>0.81921231249999993</v>
      </c>
      <c r="P31" s="147" t="s">
        <v>364</v>
      </c>
      <c r="Q31" s="149" t="s">
        <v>464</v>
      </c>
      <c r="R31" s="147">
        <v>1</v>
      </c>
      <c r="S31" s="164">
        <v>7.0000000000000007E-2</v>
      </c>
      <c r="T31" s="147">
        <v>1</v>
      </c>
      <c r="U31" s="164">
        <f t="shared" si="0"/>
        <v>7.0000000000000007E-2</v>
      </c>
      <c r="V31" s="229">
        <v>1.1200000000000001</v>
      </c>
      <c r="W31" s="232">
        <f>(O31+SUM(U31:U33))*V31</f>
        <v>1.0855177900000001</v>
      </c>
      <c r="X31" s="250">
        <v>1.2089000000000001</v>
      </c>
      <c r="Y31" s="214">
        <f>1-W31/X31</f>
        <v>0.10206155182397214</v>
      </c>
    </row>
    <row r="32" spans="1:25">
      <c r="A32" s="234"/>
      <c r="B32" s="234"/>
      <c r="C32" s="255"/>
      <c r="D32" s="255"/>
      <c r="E32" s="255"/>
      <c r="F32" s="255"/>
      <c r="G32" s="234"/>
      <c r="H32" s="234"/>
      <c r="I32" s="234"/>
      <c r="J32" s="230"/>
      <c r="K32" s="230"/>
      <c r="L32" s="253"/>
      <c r="M32" s="253"/>
      <c r="N32" s="253"/>
      <c r="O32" s="254"/>
      <c r="P32" s="147" t="s">
        <v>368</v>
      </c>
      <c r="Q32" s="149" t="s">
        <v>383</v>
      </c>
      <c r="R32" s="147">
        <v>1</v>
      </c>
      <c r="S32" s="164">
        <v>0.05</v>
      </c>
      <c r="T32" s="147">
        <v>1</v>
      </c>
      <c r="U32" s="164">
        <f t="shared" si="0"/>
        <v>0.05</v>
      </c>
      <c r="V32" s="230"/>
      <c r="W32" s="232"/>
      <c r="X32" s="251"/>
      <c r="Y32" s="215"/>
    </row>
    <row r="33" spans="1:25">
      <c r="A33" s="235"/>
      <c r="B33" s="235"/>
      <c r="C33" s="243"/>
      <c r="D33" s="243"/>
      <c r="E33" s="243"/>
      <c r="F33" s="243"/>
      <c r="G33" s="235"/>
      <c r="H33" s="235"/>
      <c r="I33" s="235"/>
      <c r="J33" s="231"/>
      <c r="K33" s="231"/>
      <c r="L33" s="246"/>
      <c r="M33" s="246"/>
      <c r="N33" s="246"/>
      <c r="O33" s="248"/>
      <c r="P33" s="147" t="s">
        <v>366</v>
      </c>
      <c r="Q33" s="149" t="s">
        <v>365</v>
      </c>
      <c r="R33" s="147">
        <v>1</v>
      </c>
      <c r="S33" s="164">
        <v>0.03</v>
      </c>
      <c r="T33" s="147">
        <v>1</v>
      </c>
      <c r="U33" s="164">
        <f t="shared" si="0"/>
        <v>0.03</v>
      </c>
      <c r="V33" s="231"/>
      <c r="W33" s="232"/>
      <c r="X33" s="252"/>
      <c r="Y33" s="216"/>
    </row>
    <row r="34" spans="1:25">
      <c r="A34" s="233">
        <v>11</v>
      </c>
      <c r="B34" s="233" t="s">
        <v>472</v>
      </c>
      <c r="C34" s="242" t="s">
        <v>57</v>
      </c>
      <c r="D34" s="249" t="s">
        <v>473</v>
      </c>
      <c r="E34" s="249">
        <v>1</v>
      </c>
      <c r="F34" s="241" t="s">
        <v>476</v>
      </c>
      <c r="G34" s="240">
        <v>370</v>
      </c>
      <c r="H34" s="240">
        <v>92</v>
      </c>
      <c r="I34" s="240">
        <v>1.6</v>
      </c>
      <c r="J34" s="232">
        <v>5.15</v>
      </c>
      <c r="K34" s="232">
        <v>2.5</v>
      </c>
      <c r="L34" s="238">
        <f>G34*H34*I34*0.00000785</f>
        <v>0.42754239999999999</v>
      </c>
      <c r="M34" s="238">
        <v>0.307</v>
      </c>
      <c r="N34" s="238">
        <f>L34-M34</f>
        <v>0.12054239999999999</v>
      </c>
      <c r="O34" s="239">
        <f>(J34*L34-K34*N34)*E34</f>
        <v>1.9004873600000003</v>
      </c>
      <c r="P34" s="147" t="s">
        <v>364</v>
      </c>
      <c r="Q34" s="149" t="s">
        <v>382</v>
      </c>
      <c r="R34" s="147">
        <v>1</v>
      </c>
      <c r="S34" s="164">
        <v>0.08</v>
      </c>
      <c r="T34" s="147">
        <v>1</v>
      </c>
      <c r="U34" s="164">
        <f t="shared" si="0"/>
        <v>0.08</v>
      </c>
      <c r="V34" s="233">
        <v>1.1200000000000001</v>
      </c>
      <c r="W34" s="229">
        <f>(SUM(O34:O43)+SUM(U34:U42))*V34+U43*1.03</f>
        <v>4.2306656480000004</v>
      </c>
      <c r="X34" s="233">
        <v>4.7282999999999999</v>
      </c>
      <c r="Y34" s="228">
        <f>1-W34/X34</f>
        <v>0.1052459344796226</v>
      </c>
    </row>
    <row r="35" spans="1:25">
      <c r="A35" s="234"/>
      <c r="B35" s="234"/>
      <c r="C35" s="255"/>
      <c r="D35" s="249"/>
      <c r="E35" s="249"/>
      <c r="F35" s="241"/>
      <c r="G35" s="240"/>
      <c r="H35" s="240"/>
      <c r="I35" s="240"/>
      <c r="J35" s="232"/>
      <c r="K35" s="232"/>
      <c r="L35" s="238"/>
      <c r="M35" s="238"/>
      <c r="N35" s="238"/>
      <c r="O35" s="239"/>
      <c r="P35" s="147" t="s">
        <v>368</v>
      </c>
      <c r="Q35" s="149" t="s">
        <v>464</v>
      </c>
      <c r="R35" s="147">
        <v>1</v>
      </c>
      <c r="S35" s="164">
        <v>7.0000000000000007E-2</v>
      </c>
      <c r="T35" s="147">
        <v>1</v>
      </c>
      <c r="U35" s="164">
        <f t="shared" si="0"/>
        <v>7.0000000000000007E-2</v>
      </c>
      <c r="V35" s="234"/>
      <c r="W35" s="230"/>
      <c r="X35" s="234"/>
      <c r="Y35" s="215"/>
    </row>
    <row r="36" spans="1:25">
      <c r="A36" s="234"/>
      <c r="B36" s="234"/>
      <c r="C36" s="255"/>
      <c r="D36" s="249"/>
      <c r="E36" s="249"/>
      <c r="F36" s="241"/>
      <c r="G36" s="240"/>
      <c r="H36" s="240"/>
      <c r="I36" s="240"/>
      <c r="J36" s="232"/>
      <c r="K36" s="232"/>
      <c r="L36" s="238"/>
      <c r="M36" s="238"/>
      <c r="N36" s="238"/>
      <c r="O36" s="239"/>
      <c r="P36" s="147" t="s">
        <v>366</v>
      </c>
      <c r="Q36" s="149" t="s">
        <v>464</v>
      </c>
      <c r="R36" s="147">
        <v>1</v>
      </c>
      <c r="S36" s="164">
        <v>7.0000000000000007E-2</v>
      </c>
      <c r="T36" s="147">
        <v>1</v>
      </c>
      <c r="U36" s="164">
        <f t="shared" si="0"/>
        <v>7.0000000000000007E-2</v>
      </c>
      <c r="V36" s="234"/>
      <c r="W36" s="230"/>
      <c r="X36" s="234"/>
      <c r="Y36" s="215"/>
    </row>
    <row r="37" spans="1:25">
      <c r="A37" s="234"/>
      <c r="B37" s="234"/>
      <c r="C37" s="255"/>
      <c r="D37" s="249"/>
      <c r="E37" s="249"/>
      <c r="F37" s="241"/>
      <c r="G37" s="240"/>
      <c r="H37" s="240"/>
      <c r="I37" s="240"/>
      <c r="J37" s="232"/>
      <c r="K37" s="232"/>
      <c r="L37" s="238"/>
      <c r="M37" s="238"/>
      <c r="N37" s="238"/>
      <c r="O37" s="239"/>
      <c r="P37" s="147" t="s">
        <v>477</v>
      </c>
      <c r="Q37" s="149" t="s">
        <v>383</v>
      </c>
      <c r="R37" s="147">
        <v>1</v>
      </c>
      <c r="S37" s="164">
        <v>0.05</v>
      </c>
      <c r="T37" s="147">
        <v>1</v>
      </c>
      <c r="U37" s="164">
        <f t="shared" si="0"/>
        <v>0.05</v>
      </c>
      <c r="V37" s="234"/>
      <c r="W37" s="230"/>
      <c r="X37" s="234"/>
      <c r="Y37" s="215"/>
    </row>
    <row r="38" spans="1:25">
      <c r="A38" s="234"/>
      <c r="B38" s="234"/>
      <c r="C38" s="255"/>
      <c r="D38" s="319" t="s">
        <v>474</v>
      </c>
      <c r="E38" s="319">
        <v>2</v>
      </c>
      <c r="F38" s="249" t="s">
        <v>445</v>
      </c>
      <c r="G38" s="280">
        <f>20+4</f>
        <v>24</v>
      </c>
      <c r="H38" s="280">
        <f>45+4</f>
        <v>49</v>
      </c>
      <c r="I38" s="280">
        <v>2</v>
      </c>
      <c r="J38" s="236">
        <v>4.5999999999999996</v>
      </c>
      <c r="K38" s="236">
        <v>2.5</v>
      </c>
      <c r="L38" s="318">
        <f>G38*H38*I38*0.00000785</f>
        <v>1.8463199999999999E-2</v>
      </c>
      <c r="M38" s="318">
        <v>1.2E-2</v>
      </c>
      <c r="N38" s="318">
        <f t="shared" ref="N38" si="1">L38-M38</f>
        <v>6.4631999999999988E-3</v>
      </c>
      <c r="O38" s="239">
        <f>(J38*L38-K38*N38)*E38</f>
        <v>0.13754543999999996</v>
      </c>
      <c r="P38" s="147" t="s">
        <v>364</v>
      </c>
      <c r="Q38" s="149" t="s">
        <v>365</v>
      </c>
      <c r="R38" s="147">
        <v>1</v>
      </c>
      <c r="S38" s="164">
        <v>0.03</v>
      </c>
      <c r="T38" s="147">
        <v>1</v>
      </c>
      <c r="U38" s="164">
        <f t="shared" si="0"/>
        <v>0.03</v>
      </c>
      <c r="V38" s="234"/>
      <c r="W38" s="230"/>
      <c r="X38" s="234"/>
      <c r="Y38" s="215"/>
    </row>
    <row r="39" spans="1:25">
      <c r="A39" s="234"/>
      <c r="B39" s="234"/>
      <c r="C39" s="255"/>
      <c r="D39" s="319"/>
      <c r="E39" s="319"/>
      <c r="F39" s="249"/>
      <c r="G39" s="280"/>
      <c r="H39" s="280"/>
      <c r="I39" s="280"/>
      <c r="J39" s="236"/>
      <c r="K39" s="236"/>
      <c r="L39" s="318"/>
      <c r="M39" s="318"/>
      <c r="N39" s="318"/>
      <c r="O39" s="239"/>
      <c r="P39" s="147" t="s">
        <v>368</v>
      </c>
      <c r="Q39" s="149" t="s">
        <v>367</v>
      </c>
      <c r="R39" s="147">
        <v>1</v>
      </c>
      <c r="S39" s="164">
        <v>0.03</v>
      </c>
      <c r="T39" s="147">
        <v>1</v>
      </c>
      <c r="U39" s="164">
        <f t="shared" si="0"/>
        <v>0.03</v>
      </c>
      <c r="V39" s="234"/>
      <c r="W39" s="230"/>
      <c r="X39" s="234"/>
      <c r="Y39" s="215"/>
    </row>
    <row r="40" spans="1:25">
      <c r="A40" s="234"/>
      <c r="B40" s="234"/>
      <c r="C40" s="255"/>
      <c r="D40" s="249" t="s">
        <v>444</v>
      </c>
      <c r="E40" s="249">
        <v>2</v>
      </c>
      <c r="F40" s="241" t="s">
        <v>476</v>
      </c>
      <c r="G40" s="240">
        <v>65</v>
      </c>
      <c r="H40" s="240">
        <f>20+30+20+4</f>
        <v>74</v>
      </c>
      <c r="I40" s="240">
        <v>2</v>
      </c>
      <c r="J40" s="232">
        <v>5.15</v>
      </c>
      <c r="K40" s="232">
        <v>2.5</v>
      </c>
      <c r="L40" s="238">
        <f>G40*H40*I40*0.00000785</f>
        <v>7.5517000000000001E-2</v>
      </c>
      <c r="M40" s="238">
        <v>2.9000000000000001E-2</v>
      </c>
      <c r="N40" s="238">
        <f t="shared" ref="N40" si="2">L40-M40</f>
        <v>4.6517000000000003E-2</v>
      </c>
      <c r="O40" s="239">
        <f>(J40*L40-K40*N40)*E40</f>
        <v>0.54524010000000001</v>
      </c>
      <c r="P40" s="147" t="s">
        <v>364</v>
      </c>
      <c r="Q40" s="149" t="s">
        <v>383</v>
      </c>
      <c r="R40" s="147">
        <v>1</v>
      </c>
      <c r="S40" s="164">
        <v>0.05</v>
      </c>
      <c r="T40" s="147">
        <v>1</v>
      </c>
      <c r="U40" s="164">
        <f t="shared" si="0"/>
        <v>0.05</v>
      </c>
      <c r="V40" s="234"/>
      <c r="W40" s="230"/>
      <c r="X40" s="234"/>
      <c r="Y40" s="215"/>
    </row>
    <row r="41" spans="1:25">
      <c r="A41" s="234"/>
      <c r="B41" s="234"/>
      <c r="C41" s="255"/>
      <c r="D41" s="249"/>
      <c r="E41" s="249"/>
      <c r="F41" s="241"/>
      <c r="G41" s="240"/>
      <c r="H41" s="240"/>
      <c r="I41" s="240"/>
      <c r="J41" s="232"/>
      <c r="K41" s="232"/>
      <c r="L41" s="238"/>
      <c r="M41" s="238"/>
      <c r="N41" s="238"/>
      <c r="O41" s="239"/>
      <c r="P41" s="147" t="s">
        <v>478</v>
      </c>
      <c r="Q41" s="149" t="s">
        <v>365</v>
      </c>
      <c r="R41" s="147">
        <v>1</v>
      </c>
      <c r="S41" s="164">
        <v>0.03</v>
      </c>
      <c r="T41" s="147">
        <v>1</v>
      </c>
      <c r="U41" s="164">
        <f t="shared" si="0"/>
        <v>0.03</v>
      </c>
      <c r="V41" s="234"/>
      <c r="W41" s="230"/>
      <c r="X41" s="234"/>
      <c r="Y41" s="215"/>
    </row>
    <row r="42" spans="1:25">
      <c r="A42" s="234"/>
      <c r="B42" s="234"/>
      <c r="C42" s="255"/>
      <c r="D42" s="249"/>
      <c r="E42" s="249"/>
      <c r="F42" s="241"/>
      <c r="G42" s="240"/>
      <c r="H42" s="240"/>
      <c r="I42" s="240"/>
      <c r="J42" s="232"/>
      <c r="K42" s="232"/>
      <c r="L42" s="238"/>
      <c r="M42" s="238"/>
      <c r="N42" s="238"/>
      <c r="O42" s="239"/>
      <c r="P42" s="147" t="s">
        <v>479</v>
      </c>
      <c r="Q42" s="149" t="s">
        <v>367</v>
      </c>
      <c r="R42" s="147">
        <v>1</v>
      </c>
      <c r="S42" s="164">
        <v>0.03</v>
      </c>
      <c r="T42" s="147">
        <v>1</v>
      </c>
      <c r="U42" s="164">
        <f t="shared" si="0"/>
        <v>0.03</v>
      </c>
      <c r="V42" s="234"/>
      <c r="W42" s="230"/>
      <c r="X42" s="234"/>
      <c r="Y42" s="215"/>
    </row>
    <row r="43" spans="1:25">
      <c r="A43" s="235"/>
      <c r="B43" s="235"/>
      <c r="C43" s="243"/>
      <c r="D43" s="249"/>
      <c r="E43" s="249"/>
      <c r="F43" s="241"/>
      <c r="G43" s="240"/>
      <c r="H43" s="240"/>
      <c r="I43" s="240"/>
      <c r="J43" s="232"/>
      <c r="K43" s="232"/>
      <c r="L43" s="238"/>
      <c r="M43" s="238"/>
      <c r="N43" s="238"/>
      <c r="O43" s="239"/>
      <c r="P43" s="147" t="s">
        <v>462</v>
      </c>
      <c r="Q43" s="149"/>
      <c r="R43" s="147">
        <f>4*2+4*1.5</f>
        <v>14</v>
      </c>
      <c r="S43" s="164">
        <v>0.05</v>
      </c>
      <c r="T43" s="147">
        <v>1</v>
      </c>
      <c r="U43" s="164">
        <v>0.82</v>
      </c>
      <c r="V43" s="235"/>
      <c r="W43" s="231"/>
      <c r="X43" s="235"/>
      <c r="Y43" s="216"/>
    </row>
    <row r="44" spans="1:25" ht="14.25" customHeight="1">
      <c r="A44" s="233">
        <v>12</v>
      </c>
      <c r="B44" s="233" t="s">
        <v>480</v>
      </c>
      <c r="C44" s="242" t="s">
        <v>473</v>
      </c>
      <c r="D44" s="242"/>
      <c r="E44" s="242"/>
      <c r="F44" s="242" t="s">
        <v>476</v>
      </c>
      <c r="G44" s="233">
        <v>370</v>
      </c>
      <c r="H44" s="233">
        <v>92</v>
      </c>
      <c r="I44" s="233">
        <v>1.6</v>
      </c>
      <c r="J44" s="229">
        <v>5.15</v>
      </c>
      <c r="K44" s="229">
        <v>2.5</v>
      </c>
      <c r="L44" s="245">
        <f>G44*H44*I44*0.00000785</f>
        <v>0.42754239999999999</v>
      </c>
      <c r="M44" s="245">
        <v>0.307</v>
      </c>
      <c r="N44" s="245">
        <f>L44-M44</f>
        <v>0.12054239999999999</v>
      </c>
      <c r="O44" s="247">
        <f>J44*L44-K44*N44</f>
        <v>1.9004873600000003</v>
      </c>
      <c r="P44" s="147" t="s">
        <v>364</v>
      </c>
      <c r="Q44" s="147" t="s">
        <v>382</v>
      </c>
      <c r="R44" s="147">
        <v>1</v>
      </c>
      <c r="S44" s="164">
        <v>0.08</v>
      </c>
      <c r="T44" s="147">
        <v>1</v>
      </c>
      <c r="U44" s="164">
        <f t="shared" ref="U44:U71" si="3">R44*S44/T44</f>
        <v>0.08</v>
      </c>
      <c r="V44" s="229">
        <v>1.1200000000000001</v>
      </c>
      <c r="W44" s="232">
        <f>(O44+SUM(U44:U47))*V44</f>
        <v>2.4309458432000004</v>
      </c>
      <c r="X44" s="222">
        <v>2.9605000000000001</v>
      </c>
      <c r="Y44" s="217">
        <f>1-W44/X44</f>
        <v>0.17887321628103348</v>
      </c>
    </row>
    <row r="45" spans="1:25">
      <c r="A45" s="234"/>
      <c r="B45" s="234"/>
      <c r="C45" s="255"/>
      <c r="D45" s="255"/>
      <c r="E45" s="255"/>
      <c r="F45" s="255"/>
      <c r="G45" s="234"/>
      <c r="H45" s="234"/>
      <c r="I45" s="234"/>
      <c r="J45" s="230"/>
      <c r="K45" s="230"/>
      <c r="L45" s="253"/>
      <c r="M45" s="253"/>
      <c r="N45" s="253"/>
      <c r="O45" s="254"/>
      <c r="P45" s="147" t="s">
        <v>368</v>
      </c>
      <c r="Q45" s="147" t="s">
        <v>464</v>
      </c>
      <c r="R45" s="147">
        <v>1</v>
      </c>
      <c r="S45" s="164">
        <v>7.0000000000000007E-2</v>
      </c>
      <c r="T45" s="147">
        <v>1</v>
      </c>
      <c r="U45" s="164">
        <f t="shared" si="3"/>
        <v>7.0000000000000007E-2</v>
      </c>
      <c r="V45" s="230"/>
      <c r="W45" s="232"/>
      <c r="X45" s="222"/>
      <c r="Y45" s="217"/>
    </row>
    <row r="46" spans="1:25">
      <c r="A46" s="234"/>
      <c r="B46" s="234"/>
      <c r="C46" s="255"/>
      <c r="D46" s="255"/>
      <c r="E46" s="255"/>
      <c r="F46" s="255"/>
      <c r="G46" s="234"/>
      <c r="H46" s="234"/>
      <c r="I46" s="234"/>
      <c r="J46" s="230"/>
      <c r="K46" s="230"/>
      <c r="L46" s="253"/>
      <c r="M46" s="253"/>
      <c r="N46" s="253"/>
      <c r="O46" s="254"/>
      <c r="P46" s="147" t="s">
        <v>366</v>
      </c>
      <c r="Q46" s="147" t="s">
        <v>464</v>
      </c>
      <c r="R46" s="147">
        <v>1</v>
      </c>
      <c r="S46" s="164">
        <v>7.0000000000000007E-2</v>
      </c>
      <c r="T46" s="147">
        <v>1</v>
      </c>
      <c r="U46" s="164">
        <f t="shared" si="3"/>
        <v>7.0000000000000007E-2</v>
      </c>
      <c r="V46" s="230"/>
      <c r="W46" s="232"/>
      <c r="X46" s="222"/>
      <c r="Y46" s="217"/>
    </row>
    <row r="47" spans="1:25">
      <c r="A47" s="235"/>
      <c r="B47" s="235"/>
      <c r="C47" s="243"/>
      <c r="D47" s="243"/>
      <c r="E47" s="243"/>
      <c r="F47" s="243"/>
      <c r="G47" s="235"/>
      <c r="H47" s="235"/>
      <c r="I47" s="235"/>
      <c r="J47" s="231"/>
      <c r="K47" s="231"/>
      <c r="L47" s="246"/>
      <c r="M47" s="246"/>
      <c r="N47" s="246"/>
      <c r="O47" s="248"/>
      <c r="P47" s="147" t="s">
        <v>477</v>
      </c>
      <c r="Q47" s="147" t="s">
        <v>383</v>
      </c>
      <c r="R47" s="147">
        <v>1</v>
      </c>
      <c r="S47" s="164">
        <v>0.05</v>
      </c>
      <c r="T47" s="147">
        <v>1</v>
      </c>
      <c r="U47" s="164">
        <f t="shared" si="3"/>
        <v>0.05</v>
      </c>
      <c r="V47" s="231"/>
      <c r="W47" s="232"/>
      <c r="X47" s="222"/>
      <c r="Y47" s="217"/>
    </row>
    <row r="48" spans="1:25">
      <c r="A48" s="304">
        <v>13</v>
      </c>
      <c r="B48" s="304" t="s">
        <v>64</v>
      </c>
      <c r="C48" s="304" t="s">
        <v>65</v>
      </c>
      <c r="D48" s="304"/>
      <c r="E48" s="304"/>
      <c r="F48" s="244" t="s">
        <v>476</v>
      </c>
      <c r="G48" s="279">
        <v>38</v>
      </c>
      <c r="H48" s="279">
        <v>33</v>
      </c>
      <c r="I48" s="279">
        <v>2.5</v>
      </c>
      <c r="J48" s="299">
        <v>5.15</v>
      </c>
      <c r="K48" s="299">
        <v>2.5</v>
      </c>
      <c r="L48" s="301">
        <f>G48*H48*I48*0.00000785</f>
        <v>2.460975E-2</v>
      </c>
      <c r="M48" s="301">
        <v>1.0999999999999999E-2</v>
      </c>
      <c r="N48" s="301">
        <f>L48-M48</f>
        <v>1.360975E-2</v>
      </c>
      <c r="O48" s="247">
        <f>J48*L48-K48*N48</f>
        <v>9.2715837500000009E-2</v>
      </c>
      <c r="P48" s="149" t="s">
        <v>364</v>
      </c>
      <c r="Q48" s="149" t="s">
        <v>365</v>
      </c>
      <c r="R48" s="149">
        <v>1</v>
      </c>
      <c r="S48" s="137">
        <v>0.03</v>
      </c>
      <c r="T48" s="149">
        <v>1</v>
      </c>
      <c r="U48" s="137">
        <f t="shared" si="3"/>
        <v>0.03</v>
      </c>
      <c r="V48" s="299">
        <v>1.18</v>
      </c>
      <c r="W48" s="236">
        <f>(O48+SUM(U48:U49))*V48</f>
        <v>0.18020468824999999</v>
      </c>
      <c r="X48" s="280">
        <v>0.18310000000000001</v>
      </c>
      <c r="Y48" s="218">
        <f>1-W48/X48</f>
        <v>1.581273484434742E-2</v>
      </c>
    </row>
    <row r="49" spans="1:29">
      <c r="A49" s="305"/>
      <c r="B49" s="305"/>
      <c r="C49" s="305"/>
      <c r="D49" s="305"/>
      <c r="E49" s="305"/>
      <c r="F49" s="303"/>
      <c r="G49" s="306"/>
      <c r="H49" s="306"/>
      <c r="I49" s="306"/>
      <c r="J49" s="300"/>
      <c r="K49" s="300"/>
      <c r="L49" s="302"/>
      <c r="M49" s="302"/>
      <c r="N49" s="302"/>
      <c r="O49" s="248"/>
      <c r="P49" s="149" t="s">
        <v>368</v>
      </c>
      <c r="Q49" s="149" t="s">
        <v>367</v>
      </c>
      <c r="R49" s="149">
        <v>1</v>
      </c>
      <c r="S49" s="137">
        <v>0.03</v>
      </c>
      <c r="T49" s="149">
        <v>1</v>
      </c>
      <c r="U49" s="137">
        <f t="shared" si="3"/>
        <v>0.03</v>
      </c>
      <c r="V49" s="300"/>
      <c r="W49" s="236"/>
      <c r="X49" s="280"/>
      <c r="Y49" s="218"/>
    </row>
    <row r="50" spans="1:29">
      <c r="A50" s="304">
        <v>14</v>
      </c>
      <c r="B50" s="304" t="s">
        <v>67</v>
      </c>
      <c r="C50" s="304" t="s">
        <v>68</v>
      </c>
      <c r="D50" s="304"/>
      <c r="E50" s="304"/>
      <c r="F50" s="244" t="s">
        <v>445</v>
      </c>
      <c r="G50" s="279">
        <v>55</v>
      </c>
      <c r="H50" s="279">
        <v>24</v>
      </c>
      <c r="I50" s="279">
        <v>2</v>
      </c>
      <c r="J50" s="299">
        <v>4.5999999999999996</v>
      </c>
      <c r="K50" s="299">
        <v>2.5</v>
      </c>
      <c r="L50" s="301">
        <f>G50*H50*I50*0.00000785</f>
        <v>2.0723999999999999E-2</v>
      </c>
      <c r="M50" s="301">
        <v>1.2E-2</v>
      </c>
      <c r="N50" s="301">
        <f>L50-M50</f>
        <v>8.7239999999999991E-3</v>
      </c>
      <c r="O50" s="247">
        <f>J50*L50-K50*N50</f>
        <v>7.35204E-2</v>
      </c>
      <c r="P50" s="149" t="s">
        <v>364</v>
      </c>
      <c r="Q50" s="149" t="s">
        <v>365</v>
      </c>
      <c r="R50" s="149">
        <v>1</v>
      </c>
      <c r="S50" s="137">
        <v>0.03</v>
      </c>
      <c r="T50" s="149">
        <v>1</v>
      </c>
      <c r="U50" s="137">
        <f t="shared" si="3"/>
        <v>0.03</v>
      </c>
      <c r="V50" s="299">
        <v>1.18</v>
      </c>
      <c r="W50" s="236">
        <f>(O50+SUM(U50:U51))*V50</f>
        <v>0.15755407199999996</v>
      </c>
      <c r="X50" s="280">
        <v>0.16980000000000001</v>
      </c>
      <c r="Y50" s="218">
        <f>1-W50/X50</f>
        <v>7.2119717314487852E-2</v>
      </c>
    </row>
    <row r="51" spans="1:29">
      <c r="A51" s="305"/>
      <c r="B51" s="305"/>
      <c r="C51" s="305"/>
      <c r="D51" s="305"/>
      <c r="E51" s="305"/>
      <c r="F51" s="303"/>
      <c r="G51" s="306"/>
      <c r="H51" s="306"/>
      <c r="I51" s="306"/>
      <c r="J51" s="300"/>
      <c r="K51" s="300"/>
      <c r="L51" s="302"/>
      <c r="M51" s="302"/>
      <c r="N51" s="302"/>
      <c r="O51" s="248"/>
      <c r="P51" s="149" t="s">
        <v>368</v>
      </c>
      <c r="Q51" s="149" t="s">
        <v>365</v>
      </c>
      <c r="R51" s="149">
        <v>1</v>
      </c>
      <c r="S51" s="137">
        <v>0.03</v>
      </c>
      <c r="T51" s="149">
        <v>1</v>
      </c>
      <c r="U51" s="137">
        <f t="shared" si="3"/>
        <v>0.03</v>
      </c>
      <c r="V51" s="300"/>
      <c r="W51" s="236"/>
      <c r="X51" s="280"/>
      <c r="Y51" s="218"/>
    </row>
    <row r="52" spans="1:29">
      <c r="A52" s="304">
        <v>15</v>
      </c>
      <c r="B52" s="304" t="s">
        <v>70</v>
      </c>
      <c r="C52" s="304" t="s">
        <v>71</v>
      </c>
      <c r="D52" s="304"/>
      <c r="E52" s="304"/>
      <c r="F52" s="244" t="s">
        <v>445</v>
      </c>
      <c r="G52" s="279">
        <v>71</v>
      </c>
      <c r="H52" s="279">
        <v>23</v>
      </c>
      <c r="I52" s="279">
        <v>2</v>
      </c>
      <c r="J52" s="299">
        <v>4.5999999999999996</v>
      </c>
      <c r="K52" s="299">
        <v>2.5</v>
      </c>
      <c r="L52" s="301">
        <f>G52*H52*I52*0.00000785</f>
        <v>2.5638099999999997E-2</v>
      </c>
      <c r="M52" s="301">
        <v>1.4E-2</v>
      </c>
      <c r="N52" s="301">
        <f>L52-M52</f>
        <v>1.1638099999999997E-2</v>
      </c>
      <c r="O52" s="247">
        <f>J52*L52-K52*N52</f>
        <v>8.8840009999999983E-2</v>
      </c>
      <c r="P52" s="149" t="s">
        <v>364</v>
      </c>
      <c r="Q52" s="149" t="s">
        <v>365</v>
      </c>
      <c r="R52" s="149">
        <v>1</v>
      </c>
      <c r="S52" s="137">
        <v>0.03</v>
      </c>
      <c r="T52" s="149">
        <v>1</v>
      </c>
      <c r="U52" s="137">
        <f t="shared" si="3"/>
        <v>0.03</v>
      </c>
      <c r="V52" s="299">
        <v>1.18</v>
      </c>
      <c r="W52" s="236">
        <f>(O52+SUM(U52:U53))*V52</f>
        <v>0.17563121179999996</v>
      </c>
      <c r="X52" s="280">
        <v>0.19189999999999999</v>
      </c>
      <c r="Y52" s="218">
        <f>1-W52/X52</f>
        <v>8.4777426784783838E-2</v>
      </c>
    </row>
    <row r="53" spans="1:29">
      <c r="A53" s="305"/>
      <c r="B53" s="305"/>
      <c r="C53" s="305"/>
      <c r="D53" s="305"/>
      <c r="E53" s="305"/>
      <c r="F53" s="303"/>
      <c r="G53" s="306"/>
      <c r="H53" s="306"/>
      <c r="I53" s="306"/>
      <c r="J53" s="300"/>
      <c r="K53" s="300"/>
      <c r="L53" s="302"/>
      <c r="M53" s="302"/>
      <c r="N53" s="302"/>
      <c r="O53" s="248"/>
      <c r="P53" s="149" t="s">
        <v>368</v>
      </c>
      <c r="Q53" s="149" t="s">
        <v>365</v>
      </c>
      <c r="R53" s="149">
        <v>1</v>
      </c>
      <c r="S53" s="137">
        <v>0.03</v>
      </c>
      <c r="T53" s="149">
        <v>1</v>
      </c>
      <c r="U53" s="137">
        <f t="shared" si="3"/>
        <v>0.03</v>
      </c>
      <c r="V53" s="300"/>
      <c r="W53" s="236"/>
      <c r="X53" s="280"/>
      <c r="Y53" s="218"/>
    </row>
    <row r="54" spans="1:29">
      <c r="A54" s="304">
        <v>16</v>
      </c>
      <c r="B54" s="304" t="s">
        <v>73</v>
      </c>
      <c r="C54" s="304" t="s">
        <v>74</v>
      </c>
      <c r="D54" s="304"/>
      <c r="E54" s="304"/>
      <c r="F54" s="244" t="s">
        <v>445</v>
      </c>
      <c r="G54" s="279">
        <v>66</v>
      </c>
      <c r="H54" s="279">
        <v>31</v>
      </c>
      <c r="I54" s="279">
        <v>2</v>
      </c>
      <c r="J54" s="299">
        <v>4.5999999999999996</v>
      </c>
      <c r="K54" s="299">
        <v>2.5</v>
      </c>
      <c r="L54" s="301">
        <f>G54*H54*I54*0.00000785</f>
        <v>3.2122199999999997E-2</v>
      </c>
      <c r="M54" s="301">
        <v>1.9E-2</v>
      </c>
      <c r="N54" s="301">
        <f>L54-M54</f>
        <v>1.3122199999999997E-2</v>
      </c>
      <c r="O54" s="247">
        <f>J54*L54-K54*N54</f>
        <v>0.11495661999999998</v>
      </c>
      <c r="P54" s="149" t="s">
        <v>364</v>
      </c>
      <c r="Q54" s="149" t="s">
        <v>400</v>
      </c>
      <c r="R54" s="149">
        <v>1</v>
      </c>
      <c r="S54" s="137">
        <v>0.03</v>
      </c>
      <c r="T54" s="149">
        <v>1</v>
      </c>
      <c r="U54" s="137">
        <f t="shared" si="3"/>
        <v>0.03</v>
      </c>
      <c r="V54" s="299">
        <v>1.18</v>
      </c>
      <c r="W54" s="236">
        <f>(O54+SUM(U54:U55))*V54</f>
        <v>0.20644881159999998</v>
      </c>
      <c r="X54" s="280">
        <v>0.22950000000000001</v>
      </c>
      <c r="Y54" s="218">
        <f>1-W54/X54</f>
        <v>0.10044090806100237</v>
      </c>
    </row>
    <row r="55" spans="1:29">
      <c r="A55" s="305"/>
      <c r="B55" s="305"/>
      <c r="C55" s="305"/>
      <c r="D55" s="305"/>
      <c r="E55" s="305"/>
      <c r="F55" s="303"/>
      <c r="G55" s="306"/>
      <c r="H55" s="306"/>
      <c r="I55" s="306"/>
      <c r="J55" s="300"/>
      <c r="K55" s="300"/>
      <c r="L55" s="302"/>
      <c r="M55" s="302"/>
      <c r="N55" s="302"/>
      <c r="O55" s="248"/>
      <c r="P55" s="149" t="s">
        <v>368</v>
      </c>
      <c r="Q55" s="149" t="s">
        <v>400</v>
      </c>
      <c r="R55" s="149">
        <v>1</v>
      </c>
      <c r="S55" s="137">
        <v>0.03</v>
      </c>
      <c r="T55" s="149">
        <v>1</v>
      </c>
      <c r="U55" s="137">
        <f t="shared" si="3"/>
        <v>0.03</v>
      </c>
      <c r="V55" s="300"/>
      <c r="W55" s="236"/>
      <c r="X55" s="280"/>
      <c r="Y55" s="218"/>
    </row>
    <row r="56" spans="1:29" ht="14.25" customHeight="1">
      <c r="A56" s="242">
        <v>18</v>
      </c>
      <c r="B56" s="242" t="s">
        <v>79</v>
      </c>
      <c r="C56" s="242" t="s">
        <v>80</v>
      </c>
      <c r="D56" s="242"/>
      <c r="E56" s="242"/>
      <c r="F56" s="242">
        <v>440</v>
      </c>
      <c r="G56" s="242">
        <v>247</v>
      </c>
      <c r="H56" s="242">
        <v>70</v>
      </c>
      <c r="I56" s="242">
        <v>3</v>
      </c>
      <c r="J56" s="296">
        <v>4.5999999999999996</v>
      </c>
      <c r="K56" s="296">
        <v>2.5</v>
      </c>
      <c r="L56" s="242">
        <v>0.40699999999999997</v>
      </c>
      <c r="M56" s="242">
        <v>0.311</v>
      </c>
      <c r="N56" s="242">
        <f>L56-M56</f>
        <v>9.5999999999999974E-2</v>
      </c>
      <c r="O56" s="247">
        <f>J56*L56-K56*N56</f>
        <v>1.6321999999999997</v>
      </c>
      <c r="P56" s="150" t="s">
        <v>395</v>
      </c>
      <c r="Q56" s="150" t="s">
        <v>396</v>
      </c>
      <c r="R56" s="147">
        <v>1</v>
      </c>
      <c r="S56" s="164">
        <v>0.08</v>
      </c>
      <c r="T56" s="147">
        <v>1</v>
      </c>
      <c r="U56" s="164">
        <f t="shared" si="3"/>
        <v>0.08</v>
      </c>
      <c r="V56" s="293">
        <v>1.1200000000000001</v>
      </c>
      <c r="W56" s="232">
        <f>(O56+SUM(U56:U59))*V56</f>
        <v>2.0632639999999998</v>
      </c>
      <c r="X56" s="222">
        <v>2.5644999999999998</v>
      </c>
      <c r="Y56" s="217">
        <f>1-W56/X56</f>
        <v>0.19545174497952822</v>
      </c>
      <c r="AC56" s="106"/>
    </row>
    <row r="57" spans="1:29">
      <c r="A57" s="255"/>
      <c r="B57" s="255"/>
      <c r="C57" s="255"/>
      <c r="D57" s="255"/>
      <c r="E57" s="255"/>
      <c r="F57" s="255"/>
      <c r="G57" s="255"/>
      <c r="H57" s="255"/>
      <c r="I57" s="255"/>
      <c r="J57" s="297"/>
      <c r="K57" s="297"/>
      <c r="L57" s="255"/>
      <c r="M57" s="255"/>
      <c r="N57" s="255"/>
      <c r="O57" s="254"/>
      <c r="P57" s="150" t="s">
        <v>397</v>
      </c>
      <c r="Q57" s="150" t="s">
        <v>398</v>
      </c>
      <c r="R57" s="147">
        <v>1</v>
      </c>
      <c r="S57" s="164">
        <v>0.05</v>
      </c>
      <c r="T57" s="147">
        <v>1</v>
      </c>
      <c r="U57" s="164">
        <f t="shared" si="3"/>
        <v>0.05</v>
      </c>
      <c r="V57" s="294"/>
      <c r="W57" s="232"/>
      <c r="X57" s="222"/>
      <c r="Y57" s="217"/>
      <c r="AC57" s="106"/>
    </row>
    <row r="58" spans="1:29">
      <c r="A58" s="255"/>
      <c r="B58" s="255"/>
      <c r="C58" s="255"/>
      <c r="D58" s="255"/>
      <c r="E58" s="255"/>
      <c r="F58" s="255"/>
      <c r="G58" s="255"/>
      <c r="H58" s="255"/>
      <c r="I58" s="255"/>
      <c r="J58" s="297"/>
      <c r="K58" s="297"/>
      <c r="L58" s="255"/>
      <c r="M58" s="255"/>
      <c r="N58" s="255"/>
      <c r="O58" s="254"/>
      <c r="P58" s="150" t="s">
        <v>399</v>
      </c>
      <c r="Q58" s="150" t="s">
        <v>398</v>
      </c>
      <c r="R58" s="147">
        <v>1</v>
      </c>
      <c r="S58" s="164">
        <v>0.05</v>
      </c>
      <c r="T58" s="147">
        <v>1</v>
      </c>
      <c r="U58" s="164">
        <f t="shared" si="3"/>
        <v>0.05</v>
      </c>
      <c r="V58" s="294"/>
      <c r="W58" s="232"/>
      <c r="X58" s="222"/>
      <c r="Y58" s="217"/>
      <c r="AC58" s="106"/>
    </row>
    <row r="59" spans="1:29">
      <c r="A59" s="243"/>
      <c r="B59" s="243"/>
      <c r="C59" s="243"/>
      <c r="D59" s="243"/>
      <c r="E59" s="243"/>
      <c r="F59" s="243"/>
      <c r="G59" s="243"/>
      <c r="H59" s="243"/>
      <c r="I59" s="243"/>
      <c r="J59" s="298"/>
      <c r="K59" s="298"/>
      <c r="L59" s="243"/>
      <c r="M59" s="243"/>
      <c r="N59" s="243"/>
      <c r="O59" s="248"/>
      <c r="P59" s="150" t="s">
        <v>397</v>
      </c>
      <c r="Q59" s="150" t="s">
        <v>402</v>
      </c>
      <c r="R59" s="147">
        <v>1</v>
      </c>
      <c r="S59" s="164">
        <v>0.03</v>
      </c>
      <c r="T59" s="147">
        <v>1</v>
      </c>
      <c r="U59" s="164">
        <f t="shared" si="3"/>
        <v>0.03</v>
      </c>
      <c r="V59" s="295"/>
      <c r="W59" s="232"/>
      <c r="X59" s="222"/>
      <c r="Y59" s="217"/>
      <c r="AC59" s="106"/>
    </row>
    <row r="60" spans="1:29">
      <c r="A60" s="233">
        <v>19</v>
      </c>
      <c r="B60" s="279" t="s">
        <v>481</v>
      </c>
      <c r="C60" s="244" t="s">
        <v>482</v>
      </c>
      <c r="D60" s="242"/>
      <c r="E60" s="242"/>
      <c r="F60" s="242" t="s">
        <v>458</v>
      </c>
      <c r="G60" s="233">
        <v>60</v>
      </c>
      <c r="H60" s="233">
        <v>262</v>
      </c>
      <c r="I60" s="233">
        <v>3</v>
      </c>
      <c r="J60" s="229">
        <v>4.5999999999999996</v>
      </c>
      <c r="K60" s="229">
        <v>2.5</v>
      </c>
      <c r="L60" s="245">
        <f>G60*H60*I60*0.00000785</f>
        <v>0.37020599999999998</v>
      </c>
      <c r="M60" s="245">
        <v>0.23400000000000001</v>
      </c>
      <c r="N60" s="245">
        <f>L60-M60</f>
        <v>0.13620599999999997</v>
      </c>
      <c r="O60" s="247">
        <f>J60*L60-K60*N60</f>
        <v>1.3624325999999998</v>
      </c>
      <c r="P60" s="147" t="s">
        <v>364</v>
      </c>
      <c r="Q60" s="147" t="s">
        <v>464</v>
      </c>
      <c r="R60" s="147">
        <v>1</v>
      </c>
      <c r="S60" s="164">
        <v>7.0000000000000007E-2</v>
      </c>
      <c r="T60" s="147">
        <v>1</v>
      </c>
      <c r="U60" s="164">
        <f t="shared" si="3"/>
        <v>7.0000000000000007E-2</v>
      </c>
      <c r="V60" s="229">
        <v>1.1200000000000001</v>
      </c>
      <c r="W60" s="232">
        <f>(O60+SUM(U60:U62))*V60</f>
        <v>1.6939245120000002</v>
      </c>
      <c r="X60" s="250">
        <v>2.0657000000000001</v>
      </c>
      <c r="Y60" s="214">
        <f>1-W60/X60</f>
        <v>0.17997554727211107</v>
      </c>
    </row>
    <row r="61" spans="1:29">
      <c r="A61" s="234"/>
      <c r="B61" s="234"/>
      <c r="C61" s="255"/>
      <c r="D61" s="255"/>
      <c r="E61" s="255"/>
      <c r="F61" s="255"/>
      <c r="G61" s="234"/>
      <c r="H61" s="234"/>
      <c r="I61" s="234"/>
      <c r="J61" s="230"/>
      <c r="K61" s="230"/>
      <c r="L61" s="253"/>
      <c r="M61" s="253"/>
      <c r="N61" s="253"/>
      <c r="O61" s="254"/>
      <c r="P61" s="147" t="s">
        <v>368</v>
      </c>
      <c r="Q61" s="147" t="s">
        <v>383</v>
      </c>
      <c r="R61" s="147">
        <v>1</v>
      </c>
      <c r="S61" s="164">
        <v>0.05</v>
      </c>
      <c r="T61" s="147">
        <v>1</v>
      </c>
      <c r="U61" s="164">
        <f t="shared" si="3"/>
        <v>0.05</v>
      </c>
      <c r="V61" s="230"/>
      <c r="W61" s="232"/>
      <c r="X61" s="251"/>
      <c r="Y61" s="215"/>
    </row>
    <row r="62" spans="1:29">
      <c r="A62" s="235"/>
      <c r="B62" s="235"/>
      <c r="C62" s="243"/>
      <c r="D62" s="243"/>
      <c r="E62" s="243"/>
      <c r="F62" s="243"/>
      <c r="G62" s="235"/>
      <c r="H62" s="235"/>
      <c r="I62" s="235"/>
      <c r="J62" s="231"/>
      <c r="K62" s="231"/>
      <c r="L62" s="246"/>
      <c r="M62" s="246"/>
      <c r="N62" s="246"/>
      <c r="O62" s="248"/>
      <c r="P62" s="147" t="s">
        <v>366</v>
      </c>
      <c r="Q62" s="149" t="s">
        <v>365</v>
      </c>
      <c r="R62" s="147">
        <v>1</v>
      </c>
      <c r="S62" s="164">
        <v>0.03</v>
      </c>
      <c r="T62" s="147">
        <v>1</v>
      </c>
      <c r="U62" s="164">
        <f t="shared" si="3"/>
        <v>0.03</v>
      </c>
      <c r="V62" s="231"/>
      <c r="W62" s="232"/>
      <c r="X62" s="252"/>
      <c r="Y62" s="216"/>
    </row>
    <row r="63" spans="1:29">
      <c r="A63" s="233">
        <v>20</v>
      </c>
      <c r="B63" s="279" t="s">
        <v>484</v>
      </c>
      <c r="C63" s="244" t="s">
        <v>485</v>
      </c>
      <c r="D63" s="242"/>
      <c r="E63" s="242"/>
      <c r="F63" s="242" t="s">
        <v>483</v>
      </c>
      <c r="G63" s="233">
        <f>324+4</f>
        <v>328</v>
      </c>
      <c r="H63" s="233">
        <v>47</v>
      </c>
      <c r="I63" s="233">
        <v>2</v>
      </c>
      <c r="J63" s="229">
        <v>4.3</v>
      </c>
      <c r="K63" s="229">
        <v>2.5</v>
      </c>
      <c r="L63" s="245">
        <f>G63*H63*I63*0.00000785</f>
        <v>0.24203119999999997</v>
      </c>
      <c r="M63" s="245">
        <v>0.17399999999999999</v>
      </c>
      <c r="N63" s="245">
        <f>L63-M63</f>
        <v>6.8031199999999986E-2</v>
      </c>
      <c r="O63" s="247">
        <f>J63*L63-K63*N63</f>
        <v>0.87065615999999979</v>
      </c>
      <c r="P63" s="147" t="s">
        <v>364</v>
      </c>
      <c r="Q63" s="147" t="s">
        <v>464</v>
      </c>
      <c r="R63" s="147">
        <v>1</v>
      </c>
      <c r="S63" s="164">
        <v>7.0000000000000007E-2</v>
      </c>
      <c r="T63" s="147">
        <v>1</v>
      </c>
      <c r="U63" s="164">
        <f t="shared" si="3"/>
        <v>7.0000000000000007E-2</v>
      </c>
      <c r="V63" s="229">
        <v>1.1200000000000001</v>
      </c>
      <c r="W63" s="232">
        <f>(O63+SUM(U63:U65))*V63</f>
        <v>1.1431348991999997</v>
      </c>
      <c r="X63" s="250">
        <v>1.3272999999999999</v>
      </c>
      <c r="Y63" s="214">
        <f>1-W63/X63</f>
        <v>0.13875167693814527</v>
      </c>
    </row>
    <row r="64" spans="1:29">
      <c r="A64" s="234"/>
      <c r="B64" s="234"/>
      <c r="C64" s="255"/>
      <c r="D64" s="255"/>
      <c r="E64" s="255"/>
      <c r="F64" s="255"/>
      <c r="G64" s="234"/>
      <c r="H64" s="234"/>
      <c r="I64" s="234"/>
      <c r="J64" s="230"/>
      <c r="K64" s="230"/>
      <c r="L64" s="253"/>
      <c r="M64" s="253"/>
      <c r="N64" s="253"/>
      <c r="O64" s="254"/>
      <c r="P64" s="147" t="s">
        <v>368</v>
      </c>
      <c r="Q64" s="147" t="s">
        <v>383</v>
      </c>
      <c r="R64" s="147">
        <v>1</v>
      </c>
      <c r="S64" s="164">
        <v>0.05</v>
      </c>
      <c r="T64" s="147">
        <v>1</v>
      </c>
      <c r="U64" s="164">
        <f t="shared" si="3"/>
        <v>0.05</v>
      </c>
      <c r="V64" s="230"/>
      <c r="W64" s="232"/>
      <c r="X64" s="251"/>
      <c r="Y64" s="215"/>
    </row>
    <row r="65" spans="1:27">
      <c r="A65" s="235"/>
      <c r="B65" s="235"/>
      <c r="C65" s="243"/>
      <c r="D65" s="243"/>
      <c r="E65" s="243"/>
      <c r="F65" s="243"/>
      <c r="G65" s="235"/>
      <c r="H65" s="235"/>
      <c r="I65" s="235"/>
      <c r="J65" s="231"/>
      <c r="K65" s="231"/>
      <c r="L65" s="246"/>
      <c r="M65" s="246"/>
      <c r="N65" s="246"/>
      <c r="O65" s="248"/>
      <c r="P65" s="147" t="s">
        <v>366</v>
      </c>
      <c r="Q65" s="149" t="s">
        <v>365</v>
      </c>
      <c r="R65" s="147">
        <v>1</v>
      </c>
      <c r="S65" s="164">
        <v>0.03</v>
      </c>
      <c r="T65" s="147">
        <v>1</v>
      </c>
      <c r="U65" s="164">
        <f t="shared" si="3"/>
        <v>0.03</v>
      </c>
      <c r="V65" s="231"/>
      <c r="W65" s="232"/>
      <c r="X65" s="252"/>
      <c r="Y65" s="216"/>
    </row>
    <row r="66" spans="1:27">
      <c r="A66" s="233">
        <v>21</v>
      </c>
      <c r="B66" s="279" t="s">
        <v>486</v>
      </c>
      <c r="C66" s="244" t="s">
        <v>487</v>
      </c>
      <c r="D66" s="242"/>
      <c r="E66" s="242"/>
      <c r="F66" s="242" t="s">
        <v>458</v>
      </c>
      <c r="G66" s="233">
        <f>67+5</f>
        <v>72</v>
      </c>
      <c r="H66" s="233">
        <f>95+5</f>
        <v>100</v>
      </c>
      <c r="I66" s="233">
        <v>2.5</v>
      </c>
      <c r="J66" s="229">
        <v>4.5999999999999996</v>
      </c>
      <c r="K66" s="229">
        <v>2.5</v>
      </c>
      <c r="L66" s="245">
        <f>G66*H66*I66*0.00000785</f>
        <v>0.14129999999999998</v>
      </c>
      <c r="M66" s="245">
        <v>6.7000000000000004E-2</v>
      </c>
      <c r="N66" s="245">
        <f>L66-M66</f>
        <v>7.4299999999999977E-2</v>
      </c>
      <c r="O66" s="247">
        <f>J66*L66-K66*N66</f>
        <v>0.46422999999999992</v>
      </c>
      <c r="P66" s="147" t="s">
        <v>364</v>
      </c>
      <c r="Q66" s="147" t="s">
        <v>464</v>
      </c>
      <c r="R66" s="147">
        <v>1</v>
      </c>
      <c r="S66" s="164">
        <v>7.0000000000000007E-2</v>
      </c>
      <c r="T66" s="147">
        <v>1</v>
      </c>
      <c r="U66" s="164">
        <f t="shared" si="3"/>
        <v>7.0000000000000007E-2</v>
      </c>
      <c r="V66" s="229">
        <v>1.1200000000000001</v>
      </c>
      <c r="W66" s="232">
        <f>(O66+SUM(U66:U68))*V66</f>
        <v>0.66553759999999995</v>
      </c>
      <c r="X66" s="250">
        <v>0.79259999999999997</v>
      </c>
      <c r="Y66" s="214">
        <f>1-W66/X66</f>
        <v>0.16031087559929347</v>
      </c>
    </row>
    <row r="67" spans="1:27">
      <c r="A67" s="234"/>
      <c r="B67" s="234"/>
      <c r="C67" s="255"/>
      <c r="D67" s="255"/>
      <c r="E67" s="255"/>
      <c r="F67" s="255"/>
      <c r="G67" s="234"/>
      <c r="H67" s="234"/>
      <c r="I67" s="234"/>
      <c r="J67" s="230"/>
      <c r="K67" s="230"/>
      <c r="L67" s="253"/>
      <c r="M67" s="253"/>
      <c r="N67" s="253"/>
      <c r="O67" s="254"/>
      <c r="P67" s="147" t="s">
        <v>368</v>
      </c>
      <c r="Q67" s="149" t="s">
        <v>365</v>
      </c>
      <c r="R67" s="147">
        <v>1</v>
      </c>
      <c r="S67" s="164">
        <v>0.03</v>
      </c>
      <c r="T67" s="147">
        <v>1</v>
      </c>
      <c r="U67" s="164">
        <f t="shared" si="3"/>
        <v>0.03</v>
      </c>
      <c r="V67" s="230"/>
      <c r="W67" s="232"/>
      <c r="X67" s="251"/>
      <c r="Y67" s="215"/>
    </row>
    <row r="68" spans="1:27">
      <c r="A68" s="235"/>
      <c r="B68" s="235"/>
      <c r="C68" s="243"/>
      <c r="D68" s="243"/>
      <c r="E68" s="243"/>
      <c r="F68" s="243"/>
      <c r="G68" s="235"/>
      <c r="H68" s="235"/>
      <c r="I68" s="235"/>
      <c r="J68" s="231"/>
      <c r="K68" s="231"/>
      <c r="L68" s="246"/>
      <c r="M68" s="246"/>
      <c r="N68" s="246"/>
      <c r="O68" s="248"/>
      <c r="P68" s="147" t="s">
        <v>366</v>
      </c>
      <c r="Q68" s="149" t="s">
        <v>367</v>
      </c>
      <c r="R68" s="147">
        <v>1</v>
      </c>
      <c r="S68" s="164">
        <v>0.03</v>
      </c>
      <c r="T68" s="147">
        <v>1</v>
      </c>
      <c r="U68" s="164">
        <f t="shared" si="3"/>
        <v>0.03</v>
      </c>
      <c r="V68" s="231"/>
      <c r="W68" s="232"/>
      <c r="X68" s="252"/>
      <c r="Y68" s="216"/>
    </row>
    <row r="69" spans="1:27">
      <c r="A69" s="233">
        <v>22</v>
      </c>
      <c r="B69" s="279" t="s">
        <v>488</v>
      </c>
      <c r="C69" s="244" t="s">
        <v>489</v>
      </c>
      <c r="D69" s="242"/>
      <c r="E69" s="242"/>
      <c r="F69" s="242" t="s">
        <v>458</v>
      </c>
      <c r="G69" s="233">
        <f>67+5</f>
        <v>72</v>
      </c>
      <c r="H69" s="233">
        <f>95+5</f>
        <v>100</v>
      </c>
      <c r="I69" s="233">
        <v>2.5</v>
      </c>
      <c r="J69" s="229">
        <v>4.5999999999999996</v>
      </c>
      <c r="K69" s="229">
        <v>2.5</v>
      </c>
      <c r="L69" s="245">
        <f>G69*H69*I69*0.00000785</f>
        <v>0.14129999999999998</v>
      </c>
      <c r="M69" s="245">
        <v>6.7000000000000004E-2</v>
      </c>
      <c r="N69" s="245">
        <f>L69-M69</f>
        <v>7.4299999999999977E-2</v>
      </c>
      <c r="O69" s="247">
        <f>J69*L69-K69*N69</f>
        <v>0.46422999999999992</v>
      </c>
      <c r="P69" s="147" t="s">
        <v>364</v>
      </c>
      <c r="Q69" s="147" t="s">
        <v>464</v>
      </c>
      <c r="R69" s="147">
        <v>1</v>
      </c>
      <c r="S69" s="164">
        <v>7.0000000000000007E-2</v>
      </c>
      <c r="T69" s="147">
        <v>1</v>
      </c>
      <c r="U69" s="164">
        <f t="shared" si="3"/>
        <v>7.0000000000000007E-2</v>
      </c>
      <c r="V69" s="229">
        <v>1.1200000000000001</v>
      </c>
      <c r="W69" s="232">
        <f>(O69+SUM(U69:U71))*V69</f>
        <v>0.66553759999999995</v>
      </c>
      <c r="X69" s="250">
        <v>0.79259999999999997</v>
      </c>
      <c r="Y69" s="214">
        <f>1-W69/X69</f>
        <v>0.16031087559929347</v>
      </c>
    </row>
    <row r="70" spans="1:27">
      <c r="A70" s="234"/>
      <c r="B70" s="234"/>
      <c r="C70" s="255"/>
      <c r="D70" s="255"/>
      <c r="E70" s="255"/>
      <c r="F70" s="255"/>
      <c r="G70" s="234"/>
      <c r="H70" s="234"/>
      <c r="I70" s="234"/>
      <c r="J70" s="230"/>
      <c r="K70" s="230"/>
      <c r="L70" s="253"/>
      <c r="M70" s="253"/>
      <c r="N70" s="253"/>
      <c r="O70" s="254"/>
      <c r="P70" s="147" t="s">
        <v>368</v>
      </c>
      <c r="Q70" s="149" t="s">
        <v>365</v>
      </c>
      <c r="R70" s="147">
        <v>1</v>
      </c>
      <c r="S70" s="164">
        <v>0.03</v>
      </c>
      <c r="T70" s="147">
        <v>1</v>
      </c>
      <c r="U70" s="164">
        <f t="shared" si="3"/>
        <v>0.03</v>
      </c>
      <c r="V70" s="230"/>
      <c r="W70" s="232"/>
      <c r="X70" s="251"/>
      <c r="Y70" s="215"/>
    </row>
    <row r="71" spans="1:27">
      <c r="A71" s="235"/>
      <c r="B71" s="235"/>
      <c r="C71" s="243"/>
      <c r="D71" s="243"/>
      <c r="E71" s="243"/>
      <c r="F71" s="243"/>
      <c r="G71" s="235"/>
      <c r="H71" s="235"/>
      <c r="I71" s="235"/>
      <c r="J71" s="231"/>
      <c r="K71" s="231"/>
      <c r="L71" s="246"/>
      <c r="M71" s="246"/>
      <c r="N71" s="246"/>
      <c r="O71" s="248"/>
      <c r="P71" s="147" t="s">
        <v>366</v>
      </c>
      <c r="Q71" s="149" t="s">
        <v>367</v>
      </c>
      <c r="R71" s="147">
        <v>1</v>
      </c>
      <c r="S71" s="164">
        <v>0.03</v>
      </c>
      <c r="T71" s="147">
        <v>1</v>
      </c>
      <c r="U71" s="164">
        <f t="shared" si="3"/>
        <v>0.03</v>
      </c>
      <c r="V71" s="231"/>
      <c r="W71" s="232"/>
      <c r="X71" s="252"/>
      <c r="Y71" s="216"/>
    </row>
    <row r="72" spans="1:27" ht="14.25" customHeight="1">
      <c r="A72" s="304">
        <v>23</v>
      </c>
      <c r="B72" s="304" t="s">
        <v>490</v>
      </c>
      <c r="C72" s="304" t="s">
        <v>98</v>
      </c>
      <c r="D72" s="304"/>
      <c r="E72" s="304"/>
      <c r="F72" s="244" t="s">
        <v>445</v>
      </c>
      <c r="G72" s="279">
        <v>62</v>
      </c>
      <c r="H72" s="279">
        <v>16.5</v>
      </c>
      <c r="I72" s="279">
        <v>2</v>
      </c>
      <c r="J72" s="299">
        <v>4.5999999999999996</v>
      </c>
      <c r="K72" s="299">
        <v>2.5</v>
      </c>
      <c r="L72" s="301">
        <f>G72*H72*I72*0.00000785</f>
        <v>1.6061099999999998E-2</v>
      </c>
      <c r="M72" s="301">
        <v>9.7000000000000003E-3</v>
      </c>
      <c r="N72" s="301">
        <f>L72-M72</f>
        <v>6.361099999999998E-3</v>
      </c>
      <c r="O72" s="247">
        <f>J72*L72-K72*N72</f>
        <v>5.7978309999999991E-2</v>
      </c>
      <c r="P72" s="149" t="s">
        <v>364</v>
      </c>
      <c r="Q72" s="149" t="s">
        <v>491</v>
      </c>
      <c r="R72" s="149">
        <v>1</v>
      </c>
      <c r="S72" s="137">
        <v>0.03</v>
      </c>
      <c r="T72" s="149">
        <v>1</v>
      </c>
      <c r="U72" s="137">
        <f t="shared" ref="U72:U73" si="4">S72*T72</f>
        <v>0.03</v>
      </c>
      <c r="V72" s="299">
        <v>1.18</v>
      </c>
      <c r="W72" s="236">
        <f>(O72+SUM(U72:U73))*V72</f>
        <v>0.13921440579999997</v>
      </c>
      <c r="X72" s="280">
        <v>0.1293</v>
      </c>
      <c r="Y72" s="218">
        <f>1-W72/X72</f>
        <v>-7.6677539056457578E-2</v>
      </c>
    </row>
    <row r="73" spans="1:27">
      <c r="A73" s="305"/>
      <c r="B73" s="305"/>
      <c r="C73" s="305"/>
      <c r="D73" s="305"/>
      <c r="E73" s="305"/>
      <c r="F73" s="303"/>
      <c r="G73" s="306"/>
      <c r="H73" s="306"/>
      <c r="I73" s="306"/>
      <c r="J73" s="300"/>
      <c r="K73" s="300"/>
      <c r="L73" s="302"/>
      <c r="M73" s="302"/>
      <c r="N73" s="302"/>
      <c r="O73" s="248"/>
      <c r="P73" s="149" t="s">
        <v>366</v>
      </c>
      <c r="Q73" s="149" t="s">
        <v>491</v>
      </c>
      <c r="R73" s="149">
        <v>1</v>
      </c>
      <c r="S73" s="137">
        <v>0.03</v>
      </c>
      <c r="T73" s="149">
        <v>1</v>
      </c>
      <c r="U73" s="137">
        <f t="shared" si="4"/>
        <v>0.03</v>
      </c>
      <c r="V73" s="300"/>
      <c r="W73" s="236"/>
      <c r="X73" s="280"/>
      <c r="Y73" s="218"/>
    </row>
    <row r="74" spans="1:27" s="134" customFormat="1" ht="28.5">
      <c r="A74" s="150">
        <v>24</v>
      </c>
      <c r="B74" s="117" t="s">
        <v>100</v>
      </c>
      <c r="C74" s="162" t="s">
        <v>101</v>
      </c>
      <c r="D74" s="117"/>
      <c r="E74" s="150"/>
      <c r="F74" s="128" t="s">
        <v>414</v>
      </c>
      <c r="G74" s="128">
        <v>53</v>
      </c>
      <c r="H74" s="128">
        <v>30</v>
      </c>
      <c r="I74" s="128">
        <v>2.5</v>
      </c>
      <c r="J74" s="129">
        <v>4.3</v>
      </c>
      <c r="K74" s="129">
        <v>2.5</v>
      </c>
      <c r="L74" s="130">
        <v>2.8000000000000001E-2</v>
      </c>
      <c r="M74" s="130">
        <v>2.1000000000000001E-2</v>
      </c>
      <c r="N74" s="130">
        <f t="shared" ref="N74" si="5">L74-M74</f>
        <v>6.9999999999999993E-3</v>
      </c>
      <c r="O74" s="164">
        <f t="shared" ref="O74" si="6">L74*J74-N74*K74</f>
        <v>0.10289999999999999</v>
      </c>
      <c r="P74" s="115" t="s">
        <v>364</v>
      </c>
      <c r="Q74" s="115" t="s">
        <v>415</v>
      </c>
      <c r="R74" s="151">
        <v>1</v>
      </c>
      <c r="S74" s="164">
        <v>0.03</v>
      </c>
      <c r="T74" s="149">
        <v>1</v>
      </c>
      <c r="U74" s="171">
        <f>R74*S74/T74</f>
        <v>0.03</v>
      </c>
      <c r="V74" s="150">
        <v>1.18</v>
      </c>
      <c r="W74" s="147">
        <f>(O74+U74)*V74</f>
        <v>0.15682199999999999</v>
      </c>
      <c r="X74" s="150">
        <v>0.2089</v>
      </c>
      <c r="Y74" s="166">
        <f>1-W74/X74</f>
        <v>0.24929631402584973</v>
      </c>
      <c r="AA74" s="135"/>
    </row>
    <row r="75" spans="1:27">
      <c r="A75" s="233">
        <v>25</v>
      </c>
      <c r="B75" s="233" t="s">
        <v>103</v>
      </c>
      <c r="C75" s="242" t="s">
        <v>104</v>
      </c>
      <c r="D75" s="233"/>
      <c r="E75" s="233"/>
      <c r="F75" s="232" t="s">
        <v>363</v>
      </c>
      <c r="G75" s="222">
        <v>47</v>
      </c>
      <c r="H75" s="222">
        <v>20</v>
      </c>
      <c r="I75" s="222">
        <v>2</v>
      </c>
      <c r="J75" s="232">
        <v>4.3</v>
      </c>
      <c r="K75" s="232">
        <v>2.5</v>
      </c>
      <c r="L75" s="238">
        <v>1.4999999999999999E-2</v>
      </c>
      <c r="M75" s="238">
        <v>8.9999999999999993E-3</v>
      </c>
      <c r="N75" s="238">
        <f>L75-M75</f>
        <v>6.0000000000000001E-3</v>
      </c>
      <c r="O75" s="239">
        <f>J75*L75-K75*N75</f>
        <v>4.9500000000000002E-2</v>
      </c>
      <c r="P75" s="147" t="s">
        <v>364</v>
      </c>
      <c r="Q75" s="147" t="s">
        <v>365</v>
      </c>
      <c r="R75" s="147">
        <v>1</v>
      </c>
      <c r="S75" s="164">
        <v>0.03</v>
      </c>
      <c r="T75" s="147">
        <v>1</v>
      </c>
      <c r="U75" s="164">
        <f t="shared" ref="U75:U124" si="7">R75*S75/T75</f>
        <v>0.03</v>
      </c>
      <c r="V75" s="229">
        <v>1.18</v>
      </c>
      <c r="W75" s="232">
        <f>(O75+SUM(U75:U77))*V75</f>
        <v>0.14101</v>
      </c>
      <c r="X75" s="222">
        <v>0.1522</v>
      </c>
      <c r="Y75" s="214">
        <f>1-W75/X75</f>
        <v>7.3521681997371968E-2</v>
      </c>
    </row>
    <row r="76" spans="1:27">
      <c r="A76" s="234"/>
      <c r="B76" s="234"/>
      <c r="C76" s="255"/>
      <c r="D76" s="234"/>
      <c r="E76" s="234"/>
      <c r="F76" s="232"/>
      <c r="G76" s="222"/>
      <c r="H76" s="222"/>
      <c r="I76" s="222"/>
      <c r="J76" s="232"/>
      <c r="K76" s="232"/>
      <c r="L76" s="238"/>
      <c r="M76" s="238"/>
      <c r="N76" s="238"/>
      <c r="O76" s="239"/>
      <c r="P76" s="147" t="s">
        <v>366</v>
      </c>
      <c r="Q76" s="147" t="s">
        <v>370</v>
      </c>
      <c r="R76" s="147">
        <v>1</v>
      </c>
      <c r="S76" s="164">
        <v>0.02</v>
      </c>
      <c r="T76" s="147">
        <v>1</v>
      </c>
      <c r="U76" s="164">
        <f t="shared" si="7"/>
        <v>0.02</v>
      </c>
      <c r="V76" s="230"/>
      <c r="W76" s="232"/>
      <c r="X76" s="222"/>
      <c r="Y76" s="215"/>
    </row>
    <row r="77" spans="1:27">
      <c r="A77" s="235"/>
      <c r="B77" s="235"/>
      <c r="C77" s="243"/>
      <c r="D77" s="235"/>
      <c r="E77" s="235"/>
      <c r="F77" s="232"/>
      <c r="G77" s="222"/>
      <c r="H77" s="222"/>
      <c r="I77" s="222"/>
      <c r="J77" s="232"/>
      <c r="K77" s="232"/>
      <c r="L77" s="238"/>
      <c r="M77" s="238"/>
      <c r="N77" s="238"/>
      <c r="O77" s="239"/>
      <c r="P77" s="147" t="s">
        <v>368</v>
      </c>
      <c r="Q77" s="147" t="s">
        <v>370</v>
      </c>
      <c r="R77" s="147">
        <v>1</v>
      </c>
      <c r="S77" s="164">
        <v>0.02</v>
      </c>
      <c r="T77" s="147">
        <v>1</v>
      </c>
      <c r="U77" s="164">
        <f t="shared" si="7"/>
        <v>0.02</v>
      </c>
      <c r="V77" s="231"/>
      <c r="W77" s="232"/>
      <c r="X77" s="222"/>
      <c r="Y77" s="216"/>
    </row>
    <row r="78" spans="1:27">
      <c r="A78" s="233">
        <v>26</v>
      </c>
      <c r="B78" s="233" t="s">
        <v>106</v>
      </c>
      <c r="C78" s="242" t="s">
        <v>107</v>
      </c>
      <c r="D78" s="233"/>
      <c r="E78" s="233"/>
      <c r="F78" s="237" t="s">
        <v>445</v>
      </c>
      <c r="G78" s="222">
        <v>74</v>
      </c>
      <c r="H78" s="222">
        <v>65</v>
      </c>
      <c r="I78" s="222">
        <v>2</v>
      </c>
      <c r="J78" s="229">
        <v>4.5999999999999996</v>
      </c>
      <c r="K78" s="229">
        <v>2.5</v>
      </c>
      <c r="L78" s="238">
        <f>G78*H78*I78*0.00000785</f>
        <v>7.5517000000000001E-2</v>
      </c>
      <c r="M78" s="238">
        <v>1.0999999999999999E-2</v>
      </c>
      <c r="N78" s="238">
        <f>L78-M78</f>
        <v>6.4517000000000005E-2</v>
      </c>
      <c r="O78" s="239">
        <f>J78*L78-K78*N78</f>
        <v>0.18608569999999997</v>
      </c>
      <c r="P78" s="147" t="s">
        <v>364</v>
      </c>
      <c r="Q78" s="115" t="s">
        <v>415</v>
      </c>
      <c r="R78" s="147">
        <v>1</v>
      </c>
      <c r="S78" s="164">
        <v>0.03</v>
      </c>
      <c r="T78" s="147">
        <v>1</v>
      </c>
      <c r="U78" s="164">
        <f t="shared" si="7"/>
        <v>0.03</v>
      </c>
      <c r="V78" s="229">
        <v>1.18</v>
      </c>
      <c r="W78" s="232">
        <f>(O78+SUM(U78:U80))*V78</f>
        <v>0.32578112599999998</v>
      </c>
      <c r="X78" s="222">
        <v>0.36380000000000001</v>
      </c>
      <c r="Y78" s="214">
        <f>1-W78/X78</f>
        <v>0.10450487630566252</v>
      </c>
    </row>
    <row r="79" spans="1:27">
      <c r="A79" s="234"/>
      <c r="B79" s="234"/>
      <c r="C79" s="255"/>
      <c r="D79" s="234"/>
      <c r="E79" s="234"/>
      <c r="F79" s="237"/>
      <c r="G79" s="222"/>
      <c r="H79" s="222"/>
      <c r="I79" s="222"/>
      <c r="J79" s="230"/>
      <c r="K79" s="230"/>
      <c r="L79" s="238"/>
      <c r="M79" s="238"/>
      <c r="N79" s="238"/>
      <c r="O79" s="239"/>
      <c r="P79" s="147" t="s">
        <v>492</v>
      </c>
      <c r="Q79" s="147" t="s">
        <v>365</v>
      </c>
      <c r="R79" s="147">
        <v>1</v>
      </c>
      <c r="S79" s="164">
        <v>0.03</v>
      </c>
      <c r="T79" s="147">
        <v>1</v>
      </c>
      <c r="U79" s="164">
        <f t="shared" si="7"/>
        <v>0.03</v>
      </c>
      <c r="V79" s="230"/>
      <c r="W79" s="232"/>
      <c r="X79" s="222"/>
      <c r="Y79" s="215"/>
    </row>
    <row r="80" spans="1:27">
      <c r="A80" s="235"/>
      <c r="B80" s="235"/>
      <c r="C80" s="243"/>
      <c r="D80" s="235"/>
      <c r="E80" s="235"/>
      <c r="F80" s="237"/>
      <c r="G80" s="222"/>
      <c r="H80" s="222"/>
      <c r="I80" s="222"/>
      <c r="J80" s="231"/>
      <c r="K80" s="231"/>
      <c r="L80" s="238"/>
      <c r="M80" s="238"/>
      <c r="N80" s="238"/>
      <c r="O80" s="239"/>
      <c r="P80" s="147" t="s">
        <v>369</v>
      </c>
      <c r="Q80" s="149" t="s">
        <v>491</v>
      </c>
      <c r="R80" s="147">
        <v>1</v>
      </c>
      <c r="S80" s="164">
        <v>0.03</v>
      </c>
      <c r="T80" s="147">
        <v>1</v>
      </c>
      <c r="U80" s="164">
        <f t="shared" si="7"/>
        <v>0.03</v>
      </c>
      <c r="V80" s="231"/>
      <c r="W80" s="232"/>
      <c r="X80" s="222"/>
      <c r="Y80" s="216"/>
    </row>
    <row r="81" spans="1:29">
      <c r="A81" s="233">
        <v>27</v>
      </c>
      <c r="B81" s="233" t="s">
        <v>109</v>
      </c>
      <c r="C81" s="242" t="s">
        <v>110</v>
      </c>
      <c r="D81" s="233"/>
      <c r="E81" s="233"/>
      <c r="F81" s="237" t="s">
        <v>445</v>
      </c>
      <c r="G81" s="222">
        <v>74</v>
      </c>
      <c r="H81" s="222">
        <v>65</v>
      </c>
      <c r="I81" s="222">
        <v>2</v>
      </c>
      <c r="J81" s="229">
        <v>4.5999999999999996</v>
      </c>
      <c r="K81" s="229">
        <v>2.5</v>
      </c>
      <c r="L81" s="238">
        <f>G81*H81*I81*0.00000785</f>
        <v>7.5517000000000001E-2</v>
      </c>
      <c r="M81" s="238">
        <v>1.0999999999999999E-2</v>
      </c>
      <c r="N81" s="238">
        <f>L81-M81</f>
        <v>6.4517000000000005E-2</v>
      </c>
      <c r="O81" s="239">
        <f>J81*L81-K81*N81</f>
        <v>0.18608569999999997</v>
      </c>
      <c r="P81" s="147" t="s">
        <v>364</v>
      </c>
      <c r="Q81" s="115" t="s">
        <v>415</v>
      </c>
      <c r="R81" s="147">
        <v>1</v>
      </c>
      <c r="S81" s="164">
        <v>0.03</v>
      </c>
      <c r="T81" s="147">
        <v>1</v>
      </c>
      <c r="U81" s="164">
        <f t="shared" si="7"/>
        <v>0.03</v>
      </c>
      <c r="V81" s="229">
        <v>1.18</v>
      </c>
      <c r="W81" s="232">
        <f>(O81+SUM(U81:U83))*V81</f>
        <v>0.32578112599999998</v>
      </c>
      <c r="X81" s="222">
        <v>0.36380000000000001</v>
      </c>
      <c r="Y81" s="214">
        <f>1-W81/X81</f>
        <v>0.10450487630566252</v>
      </c>
    </row>
    <row r="82" spans="1:29">
      <c r="A82" s="234"/>
      <c r="B82" s="234"/>
      <c r="C82" s="255"/>
      <c r="D82" s="234"/>
      <c r="E82" s="234"/>
      <c r="F82" s="237"/>
      <c r="G82" s="222"/>
      <c r="H82" s="222"/>
      <c r="I82" s="222"/>
      <c r="J82" s="230"/>
      <c r="K82" s="230"/>
      <c r="L82" s="238"/>
      <c r="M82" s="238"/>
      <c r="N82" s="238"/>
      <c r="O82" s="239"/>
      <c r="P82" s="147" t="s">
        <v>492</v>
      </c>
      <c r="Q82" s="147" t="s">
        <v>365</v>
      </c>
      <c r="R82" s="147">
        <v>1</v>
      </c>
      <c r="S82" s="164">
        <v>0.03</v>
      </c>
      <c r="T82" s="147">
        <v>1</v>
      </c>
      <c r="U82" s="164">
        <f t="shared" si="7"/>
        <v>0.03</v>
      </c>
      <c r="V82" s="230"/>
      <c r="W82" s="232"/>
      <c r="X82" s="222"/>
      <c r="Y82" s="215"/>
    </row>
    <row r="83" spans="1:29">
      <c r="A83" s="235"/>
      <c r="B83" s="235"/>
      <c r="C83" s="243"/>
      <c r="D83" s="235"/>
      <c r="E83" s="235"/>
      <c r="F83" s="237"/>
      <c r="G83" s="222"/>
      <c r="H83" s="222"/>
      <c r="I83" s="222"/>
      <c r="J83" s="231"/>
      <c r="K83" s="231"/>
      <c r="L83" s="238"/>
      <c r="M83" s="238"/>
      <c r="N83" s="238"/>
      <c r="O83" s="239"/>
      <c r="P83" s="147" t="s">
        <v>369</v>
      </c>
      <c r="Q83" s="149" t="s">
        <v>491</v>
      </c>
      <c r="R83" s="147">
        <v>1</v>
      </c>
      <c r="S83" s="164">
        <v>0.03</v>
      </c>
      <c r="T83" s="147">
        <v>1</v>
      </c>
      <c r="U83" s="164">
        <f t="shared" si="7"/>
        <v>0.03</v>
      </c>
      <c r="V83" s="231"/>
      <c r="W83" s="232"/>
      <c r="X83" s="222"/>
      <c r="Y83" s="216"/>
    </row>
    <row r="84" spans="1:29">
      <c r="A84" s="233">
        <v>28</v>
      </c>
      <c r="B84" s="233" t="s">
        <v>112</v>
      </c>
      <c r="C84" s="242" t="s">
        <v>113</v>
      </c>
      <c r="D84" s="233"/>
      <c r="E84" s="233"/>
      <c r="F84" s="237" t="s">
        <v>445</v>
      </c>
      <c r="G84" s="222">
        <v>59</v>
      </c>
      <c r="H84" s="222">
        <f>45+4</f>
        <v>49</v>
      </c>
      <c r="I84" s="222">
        <v>2</v>
      </c>
      <c r="J84" s="229">
        <v>4.5999999999999996</v>
      </c>
      <c r="K84" s="229">
        <v>2.5</v>
      </c>
      <c r="L84" s="238">
        <f>G84*H84*I84*0.00000785</f>
        <v>4.5388699999999997E-2</v>
      </c>
      <c r="M84" s="238">
        <v>1.4999999999999999E-2</v>
      </c>
      <c r="N84" s="238">
        <f>L84-M84</f>
        <v>3.0388699999999998E-2</v>
      </c>
      <c r="O84" s="239">
        <f>J84*L84-K84*N84</f>
        <v>0.13281626999999996</v>
      </c>
      <c r="P84" s="147" t="s">
        <v>364</v>
      </c>
      <c r="Q84" s="115" t="s">
        <v>415</v>
      </c>
      <c r="R84" s="147">
        <v>1</v>
      </c>
      <c r="S84" s="164">
        <v>0.03</v>
      </c>
      <c r="T84" s="147">
        <v>1</v>
      </c>
      <c r="U84" s="164">
        <f t="shared" si="7"/>
        <v>0.03</v>
      </c>
      <c r="V84" s="229">
        <v>1.18</v>
      </c>
      <c r="W84" s="232">
        <f>(O84+SUM(U84:U86))*V84</f>
        <v>0.26292319859999991</v>
      </c>
      <c r="X84" s="222">
        <v>0.28710000000000002</v>
      </c>
      <c r="Y84" s="214">
        <f>1-W84/X84</f>
        <v>8.4210384535005622E-2</v>
      </c>
    </row>
    <row r="85" spans="1:29">
      <c r="A85" s="234"/>
      <c r="B85" s="234"/>
      <c r="C85" s="255"/>
      <c r="D85" s="234"/>
      <c r="E85" s="234"/>
      <c r="F85" s="237"/>
      <c r="G85" s="222"/>
      <c r="H85" s="222"/>
      <c r="I85" s="222"/>
      <c r="J85" s="230"/>
      <c r="K85" s="230"/>
      <c r="L85" s="238"/>
      <c r="M85" s="238"/>
      <c r="N85" s="238"/>
      <c r="O85" s="239"/>
      <c r="P85" s="147" t="s">
        <v>492</v>
      </c>
      <c r="Q85" s="147" t="s">
        <v>365</v>
      </c>
      <c r="R85" s="147">
        <v>1</v>
      </c>
      <c r="S85" s="164">
        <v>0.03</v>
      </c>
      <c r="T85" s="147">
        <v>1</v>
      </c>
      <c r="U85" s="164">
        <f t="shared" si="7"/>
        <v>0.03</v>
      </c>
      <c r="V85" s="230"/>
      <c r="W85" s="232"/>
      <c r="X85" s="222"/>
      <c r="Y85" s="215"/>
    </row>
    <row r="86" spans="1:29">
      <c r="A86" s="235"/>
      <c r="B86" s="235"/>
      <c r="C86" s="243"/>
      <c r="D86" s="235"/>
      <c r="E86" s="235"/>
      <c r="F86" s="237"/>
      <c r="G86" s="222"/>
      <c r="H86" s="222"/>
      <c r="I86" s="222"/>
      <c r="J86" s="231"/>
      <c r="K86" s="231"/>
      <c r="L86" s="238"/>
      <c r="M86" s="238"/>
      <c r="N86" s="238"/>
      <c r="O86" s="239"/>
      <c r="P86" s="147" t="s">
        <v>369</v>
      </c>
      <c r="Q86" s="149" t="s">
        <v>491</v>
      </c>
      <c r="R86" s="147">
        <v>1</v>
      </c>
      <c r="S86" s="164">
        <v>0.03</v>
      </c>
      <c r="T86" s="147">
        <v>1</v>
      </c>
      <c r="U86" s="164">
        <f t="shared" si="7"/>
        <v>0.03</v>
      </c>
      <c r="V86" s="231"/>
      <c r="W86" s="232"/>
      <c r="X86" s="222"/>
      <c r="Y86" s="216"/>
    </row>
    <row r="87" spans="1:29" ht="14.25" customHeight="1">
      <c r="A87" s="241">
        <v>29</v>
      </c>
      <c r="B87" s="241" t="s">
        <v>115</v>
      </c>
      <c r="C87" s="241" t="s">
        <v>116</v>
      </c>
      <c r="D87" s="319" t="s">
        <v>493</v>
      </c>
      <c r="E87" s="319">
        <v>1</v>
      </c>
      <c r="F87" s="249" t="s">
        <v>476</v>
      </c>
      <c r="G87" s="280">
        <f>130+5</f>
        <v>135</v>
      </c>
      <c r="H87" s="280">
        <v>39</v>
      </c>
      <c r="I87" s="280">
        <v>2.5</v>
      </c>
      <c r="J87" s="236">
        <v>5.15</v>
      </c>
      <c r="K87" s="236">
        <v>2.5</v>
      </c>
      <c r="L87" s="318">
        <f>G87*H87*I87*0.00000785</f>
        <v>0.10332562499999999</v>
      </c>
      <c r="M87" s="318">
        <f>0.054-0.005*2</f>
        <v>4.3999999999999997E-2</v>
      </c>
      <c r="N87" s="318">
        <f>L87-M87</f>
        <v>5.9325624999999993E-2</v>
      </c>
      <c r="O87" s="239">
        <f>(J87*L87-K87*N87)*E87</f>
        <v>0.38381290624999997</v>
      </c>
      <c r="P87" s="150" t="s">
        <v>395</v>
      </c>
      <c r="Q87" s="148" t="s">
        <v>495</v>
      </c>
      <c r="R87" s="147">
        <v>1</v>
      </c>
      <c r="S87" s="164">
        <v>0.05</v>
      </c>
      <c r="T87" s="147">
        <v>1</v>
      </c>
      <c r="U87" s="164">
        <f t="shared" si="7"/>
        <v>0.05</v>
      </c>
      <c r="V87" s="293">
        <v>1.18</v>
      </c>
      <c r="W87" s="232">
        <f>(O87+SUM(U87:U89))*V87+(O89+U90)*1.03</f>
        <v>1.0951372293749999</v>
      </c>
      <c r="X87" s="222">
        <v>1.1625000000000001</v>
      </c>
      <c r="Y87" s="217">
        <f>1-W87/X87</f>
        <v>5.7946469354838825E-2</v>
      </c>
    </row>
    <row r="88" spans="1:29">
      <c r="A88" s="241"/>
      <c r="B88" s="241"/>
      <c r="C88" s="241"/>
      <c r="D88" s="319"/>
      <c r="E88" s="319"/>
      <c r="F88" s="249"/>
      <c r="G88" s="280"/>
      <c r="H88" s="280"/>
      <c r="I88" s="280"/>
      <c r="J88" s="236"/>
      <c r="K88" s="236"/>
      <c r="L88" s="318"/>
      <c r="M88" s="318"/>
      <c r="N88" s="318"/>
      <c r="O88" s="239"/>
      <c r="P88" s="150" t="s">
        <v>399</v>
      </c>
      <c r="Q88" s="148" t="s">
        <v>495</v>
      </c>
      <c r="R88" s="147">
        <v>1</v>
      </c>
      <c r="S88" s="164">
        <v>0.05</v>
      </c>
      <c r="T88" s="147">
        <v>1</v>
      </c>
      <c r="U88" s="164">
        <f t="shared" si="7"/>
        <v>0.05</v>
      </c>
      <c r="V88" s="294"/>
      <c r="W88" s="232"/>
      <c r="X88" s="222"/>
      <c r="Y88" s="217"/>
    </row>
    <row r="89" spans="1:29" ht="14.25" customHeight="1">
      <c r="A89" s="241"/>
      <c r="B89" s="241"/>
      <c r="C89" s="241"/>
      <c r="D89" s="319" t="s">
        <v>494</v>
      </c>
      <c r="E89" s="319">
        <v>2</v>
      </c>
      <c r="F89" s="249"/>
      <c r="G89" s="280"/>
      <c r="H89" s="280"/>
      <c r="I89" s="280"/>
      <c r="J89" s="236">
        <v>9.7299999999999998E-2</v>
      </c>
      <c r="K89" s="236"/>
      <c r="L89" s="318"/>
      <c r="M89" s="318">
        <v>5.0000000000000001E-3</v>
      </c>
      <c r="N89" s="318"/>
      <c r="O89" s="239">
        <f>E89*J89</f>
        <v>0.1946</v>
      </c>
      <c r="P89" s="150" t="s">
        <v>397</v>
      </c>
      <c r="Q89" s="148" t="s">
        <v>496</v>
      </c>
      <c r="R89" s="147">
        <v>1</v>
      </c>
      <c r="S89" s="164">
        <v>0.03</v>
      </c>
      <c r="T89" s="147">
        <v>1</v>
      </c>
      <c r="U89" s="164">
        <f t="shared" si="7"/>
        <v>0.03</v>
      </c>
      <c r="V89" s="294"/>
      <c r="W89" s="232"/>
      <c r="X89" s="222"/>
      <c r="Y89" s="217"/>
    </row>
    <row r="90" spans="1:29">
      <c r="A90" s="241"/>
      <c r="B90" s="241"/>
      <c r="C90" s="241"/>
      <c r="D90" s="319"/>
      <c r="E90" s="319"/>
      <c r="F90" s="249"/>
      <c r="G90" s="280"/>
      <c r="H90" s="280"/>
      <c r="I90" s="280"/>
      <c r="J90" s="236"/>
      <c r="K90" s="236"/>
      <c r="L90" s="318"/>
      <c r="M90" s="318"/>
      <c r="N90" s="318"/>
      <c r="O90" s="239"/>
      <c r="P90" s="148" t="s">
        <v>462</v>
      </c>
      <c r="Q90" s="150">
        <v>4</v>
      </c>
      <c r="R90" s="147">
        <v>1</v>
      </c>
      <c r="S90" s="164">
        <v>0.28000000000000003</v>
      </c>
      <c r="T90" s="147">
        <v>1</v>
      </c>
      <c r="U90" s="164">
        <f t="shared" si="7"/>
        <v>0.28000000000000003</v>
      </c>
      <c r="V90" s="295"/>
      <c r="W90" s="232"/>
      <c r="X90" s="222"/>
      <c r="Y90" s="217"/>
    </row>
    <row r="91" spans="1:29">
      <c r="A91" s="241">
        <v>30</v>
      </c>
      <c r="B91" s="241" t="s">
        <v>118</v>
      </c>
      <c r="C91" s="241" t="s">
        <v>119</v>
      </c>
      <c r="D91" s="319" t="s">
        <v>497</v>
      </c>
      <c r="E91" s="319">
        <v>1</v>
      </c>
      <c r="F91" s="249" t="s">
        <v>476</v>
      </c>
      <c r="G91" s="280">
        <f>130+5</f>
        <v>135</v>
      </c>
      <c r="H91" s="280">
        <v>39</v>
      </c>
      <c r="I91" s="280">
        <v>2.5</v>
      </c>
      <c r="J91" s="236">
        <v>5.15</v>
      </c>
      <c r="K91" s="236">
        <v>2.5</v>
      </c>
      <c r="L91" s="318">
        <f>G91*H91*I91*0.00000785</f>
        <v>0.10332562499999999</v>
      </c>
      <c r="M91" s="318">
        <f>0.054-0.005*2</f>
        <v>4.3999999999999997E-2</v>
      </c>
      <c r="N91" s="318">
        <f>L91-M91</f>
        <v>5.9325624999999993E-2</v>
      </c>
      <c r="O91" s="239">
        <f>(J91*L91-K91*N91)*E91</f>
        <v>0.38381290624999997</v>
      </c>
      <c r="P91" s="150" t="s">
        <v>395</v>
      </c>
      <c r="Q91" s="148" t="s">
        <v>495</v>
      </c>
      <c r="R91" s="147">
        <v>1</v>
      </c>
      <c r="S91" s="164">
        <v>0.05</v>
      </c>
      <c r="T91" s="147">
        <v>1</v>
      </c>
      <c r="U91" s="164">
        <f t="shared" si="7"/>
        <v>0.05</v>
      </c>
      <c r="V91" s="293">
        <v>1.18</v>
      </c>
      <c r="W91" s="232">
        <f>(O91+SUM(U91:U93))*V91+(O93+U94)*1.03</f>
        <v>1.0951372293749999</v>
      </c>
      <c r="X91" s="222">
        <v>1.1625000000000001</v>
      </c>
      <c r="Y91" s="217">
        <f>1-W91/X91</f>
        <v>5.7946469354838825E-2</v>
      </c>
    </row>
    <row r="92" spans="1:29">
      <c r="A92" s="241"/>
      <c r="B92" s="241"/>
      <c r="C92" s="241"/>
      <c r="D92" s="319"/>
      <c r="E92" s="319"/>
      <c r="F92" s="249"/>
      <c r="G92" s="280"/>
      <c r="H92" s="280"/>
      <c r="I92" s="280"/>
      <c r="J92" s="236"/>
      <c r="K92" s="236"/>
      <c r="L92" s="318"/>
      <c r="M92" s="318"/>
      <c r="N92" s="318"/>
      <c r="O92" s="239"/>
      <c r="P92" s="150" t="s">
        <v>399</v>
      </c>
      <c r="Q92" s="148" t="s">
        <v>495</v>
      </c>
      <c r="R92" s="147">
        <v>1</v>
      </c>
      <c r="S92" s="164">
        <v>0.05</v>
      </c>
      <c r="T92" s="147">
        <v>1</v>
      </c>
      <c r="U92" s="164">
        <f t="shared" si="7"/>
        <v>0.05</v>
      </c>
      <c r="V92" s="294"/>
      <c r="W92" s="232"/>
      <c r="X92" s="222"/>
      <c r="Y92" s="217"/>
    </row>
    <row r="93" spans="1:29">
      <c r="A93" s="241"/>
      <c r="B93" s="241"/>
      <c r="C93" s="241"/>
      <c r="D93" s="319" t="s">
        <v>494</v>
      </c>
      <c r="E93" s="319">
        <v>2</v>
      </c>
      <c r="F93" s="249"/>
      <c r="G93" s="280"/>
      <c r="H93" s="280"/>
      <c r="I93" s="280"/>
      <c r="J93" s="236">
        <v>9.7299999999999998E-2</v>
      </c>
      <c r="K93" s="236"/>
      <c r="L93" s="318"/>
      <c r="M93" s="318">
        <v>5.0000000000000001E-3</v>
      </c>
      <c r="N93" s="318"/>
      <c r="O93" s="239">
        <f>E93*J93</f>
        <v>0.1946</v>
      </c>
      <c r="P93" s="150" t="s">
        <v>397</v>
      </c>
      <c r="Q93" s="148" t="s">
        <v>496</v>
      </c>
      <c r="R93" s="147">
        <v>1</v>
      </c>
      <c r="S93" s="164">
        <v>0.03</v>
      </c>
      <c r="T93" s="147">
        <v>1</v>
      </c>
      <c r="U93" s="164">
        <f t="shared" si="7"/>
        <v>0.03</v>
      </c>
      <c r="V93" s="294"/>
      <c r="W93" s="232"/>
      <c r="X93" s="222"/>
      <c r="Y93" s="217"/>
    </row>
    <row r="94" spans="1:29">
      <c r="A94" s="241"/>
      <c r="B94" s="241"/>
      <c r="C94" s="241"/>
      <c r="D94" s="319"/>
      <c r="E94" s="319"/>
      <c r="F94" s="249"/>
      <c r="G94" s="280"/>
      <c r="H94" s="280"/>
      <c r="I94" s="280"/>
      <c r="J94" s="236"/>
      <c r="K94" s="236"/>
      <c r="L94" s="318"/>
      <c r="M94" s="318"/>
      <c r="N94" s="318"/>
      <c r="O94" s="239"/>
      <c r="P94" s="148" t="s">
        <v>462</v>
      </c>
      <c r="Q94" s="150">
        <v>4</v>
      </c>
      <c r="R94" s="147">
        <v>1</v>
      </c>
      <c r="S94" s="164">
        <v>0.28000000000000003</v>
      </c>
      <c r="T94" s="147">
        <v>1</v>
      </c>
      <c r="U94" s="164">
        <f t="shared" si="7"/>
        <v>0.28000000000000003</v>
      </c>
      <c r="V94" s="295"/>
      <c r="W94" s="232"/>
      <c r="X94" s="222"/>
      <c r="Y94" s="217"/>
    </row>
    <row r="95" spans="1:29">
      <c r="A95" s="263">
        <v>31</v>
      </c>
      <c r="B95" s="263" t="s">
        <v>121</v>
      </c>
      <c r="C95" s="263" t="s">
        <v>122</v>
      </c>
      <c r="D95" s="263"/>
      <c r="E95" s="263"/>
      <c r="F95" s="263" t="s">
        <v>445</v>
      </c>
      <c r="G95" s="263">
        <v>205</v>
      </c>
      <c r="H95" s="263">
        <v>130</v>
      </c>
      <c r="I95" s="263">
        <v>3</v>
      </c>
      <c r="J95" s="268">
        <v>4.5999999999999996</v>
      </c>
      <c r="K95" s="268">
        <v>2.5</v>
      </c>
      <c r="L95" s="263">
        <v>0.628</v>
      </c>
      <c r="M95" s="263">
        <v>0.28100000000000003</v>
      </c>
      <c r="N95" s="263">
        <v>0.34699999999999998</v>
      </c>
      <c r="O95" s="247">
        <f>J95*L95-K95*N95</f>
        <v>2.0213000000000001</v>
      </c>
      <c r="P95" s="48" t="s">
        <v>395</v>
      </c>
      <c r="Q95" s="48" t="s">
        <v>396</v>
      </c>
      <c r="R95" s="147">
        <v>1</v>
      </c>
      <c r="S95" s="111">
        <v>0.08</v>
      </c>
      <c r="T95" s="147">
        <v>1</v>
      </c>
      <c r="U95" s="164">
        <f t="shared" si="7"/>
        <v>0.08</v>
      </c>
      <c r="V95" s="229">
        <v>1.1200000000000001</v>
      </c>
      <c r="W95" s="232">
        <f>(O95+SUM(U95:U97))*V95</f>
        <v>2.4990560000000004</v>
      </c>
      <c r="X95" s="224">
        <v>2.5537999999999998</v>
      </c>
      <c r="Y95" s="214">
        <f>1-W95/X95</f>
        <v>2.1436291017307374E-2</v>
      </c>
      <c r="AC95" s="106"/>
    </row>
    <row r="96" spans="1:29">
      <c r="A96" s="264"/>
      <c r="B96" s="264"/>
      <c r="C96" s="264"/>
      <c r="D96" s="264"/>
      <c r="E96" s="264"/>
      <c r="F96" s="264"/>
      <c r="G96" s="264"/>
      <c r="H96" s="264"/>
      <c r="I96" s="264"/>
      <c r="J96" s="269"/>
      <c r="K96" s="269"/>
      <c r="L96" s="264"/>
      <c r="M96" s="264"/>
      <c r="N96" s="264"/>
      <c r="O96" s="254"/>
      <c r="P96" s="48" t="s">
        <v>397</v>
      </c>
      <c r="Q96" s="48" t="s">
        <v>398</v>
      </c>
      <c r="R96" s="147">
        <v>1</v>
      </c>
      <c r="S96" s="111">
        <v>0.05</v>
      </c>
      <c r="T96" s="147">
        <v>1</v>
      </c>
      <c r="U96" s="164">
        <f t="shared" si="7"/>
        <v>0.05</v>
      </c>
      <c r="V96" s="230"/>
      <c r="W96" s="232"/>
      <c r="X96" s="224"/>
      <c r="Y96" s="215"/>
      <c r="AC96" s="106"/>
    </row>
    <row r="97" spans="1:29">
      <c r="A97" s="265"/>
      <c r="B97" s="265"/>
      <c r="C97" s="265"/>
      <c r="D97" s="265"/>
      <c r="E97" s="265"/>
      <c r="F97" s="265"/>
      <c r="G97" s="265"/>
      <c r="H97" s="265"/>
      <c r="I97" s="265"/>
      <c r="J97" s="270"/>
      <c r="K97" s="270"/>
      <c r="L97" s="265"/>
      <c r="M97" s="265"/>
      <c r="N97" s="265"/>
      <c r="O97" s="248"/>
      <c r="P97" s="48" t="s">
        <v>399</v>
      </c>
      <c r="Q97" s="48" t="s">
        <v>396</v>
      </c>
      <c r="R97" s="147">
        <v>1</v>
      </c>
      <c r="S97" s="111">
        <v>0.08</v>
      </c>
      <c r="T97" s="147">
        <v>1</v>
      </c>
      <c r="U97" s="164">
        <f t="shared" si="7"/>
        <v>0.08</v>
      </c>
      <c r="V97" s="231"/>
      <c r="W97" s="232"/>
      <c r="X97" s="224"/>
      <c r="Y97" s="216"/>
      <c r="AC97" s="106"/>
    </row>
    <row r="98" spans="1:29">
      <c r="A98" s="263">
        <v>32</v>
      </c>
      <c r="B98" s="263" t="s">
        <v>126</v>
      </c>
      <c r="C98" s="263" t="s">
        <v>127</v>
      </c>
      <c r="D98" s="263"/>
      <c r="E98" s="263"/>
      <c r="F98" s="263" t="s">
        <v>445</v>
      </c>
      <c r="G98" s="263">
        <v>158</v>
      </c>
      <c r="H98" s="263">
        <v>98</v>
      </c>
      <c r="I98" s="263">
        <v>2.5</v>
      </c>
      <c r="J98" s="268">
        <v>4.5999999999999996</v>
      </c>
      <c r="K98" s="268">
        <v>2.5</v>
      </c>
      <c r="L98" s="263">
        <v>0.30399999999999999</v>
      </c>
      <c r="M98" s="263">
        <v>8.2000000000000003E-2</v>
      </c>
      <c r="N98" s="263">
        <v>0.22199999999999998</v>
      </c>
      <c r="O98" s="276">
        <f>J98*L98-K98*N98</f>
        <v>0.84339999999999993</v>
      </c>
      <c r="P98" s="48" t="s">
        <v>395</v>
      </c>
      <c r="Q98" s="48" t="s">
        <v>398</v>
      </c>
      <c r="R98" s="147">
        <v>1</v>
      </c>
      <c r="S98" s="111">
        <v>0.05</v>
      </c>
      <c r="T98" s="147">
        <v>1</v>
      </c>
      <c r="U98" s="164">
        <f t="shared" si="7"/>
        <v>0.05</v>
      </c>
      <c r="V98" s="229">
        <v>1.1200000000000001</v>
      </c>
      <c r="W98" s="232">
        <f>(O98+SUM(U98:U101))*V98</f>
        <v>1.1238079999999999</v>
      </c>
      <c r="X98" s="224">
        <v>1.4702</v>
      </c>
      <c r="Y98" s="217">
        <f>1-W98/X98</f>
        <v>0.23560876071282821</v>
      </c>
      <c r="AC98" s="106"/>
    </row>
    <row r="99" spans="1:29">
      <c r="A99" s="264"/>
      <c r="B99" s="264"/>
      <c r="C99" s="264"/>
      <c r="D99" s="264"/>
      <c r="E99" s="264"/>
      <c r="F99" s="264"/>
      <c r="G99" s="264"/>
      <c r="H99" s="264"/>
      <c r="I99" s="264"/>
      <c r="J99" s="269"/>
      <c r="K99" s="269"/>
      <c r="L99" s="264"/>
      <c r="M99" s="264"/>
      <c r="N99" s="264"/>
      <c r="O99" s="277"/>
      <c r="P99" s="48" t="s">
        <v>397</v>
      </c>
      <c r="Q99" s="48" t="s">
        <v>400</v>
      </c>
      <c r="R99" s="147">
        <v>1</v>
      </c>
      <c r="S99" s="111">
        <v>0.03</v>
      </c>
      <c r="T99" s="147">
        <v>1</v>
      </c>
      <c r="U99" s="164">
        <f t="shared" si="7"/>
        <v>0.03</v>
      </c>
      <c r="V99" s="230"/>
      <c r="W99" s="232"/>
      <c r="X99" s="224"/>
      <c r="Y99" s="217"/>
      <c r="AC99" s="106"/>
    </row>
    <row r="100" spans="1:29">
      <c r="A100" s="264"/>
      <c r="B100" s="264"/>
      <c r="C100" s="264"/>
      <c r="D100" s="264"/>
      <c r="E100" s="264"/>
      <c r="F100" s="264"/>
      <c r="G100" s="264"/>
      <c r="H100" s="264"/>
      <c r="I100" s="264"/>
      <c r="J100" s="269"/>
      <c r="K100" s="269"/>
      <c r="L100" s="264"/>
      <c r="M100" s="264"/>
      <c r="N100" s="264"/>
      <c r="O100" s="277"/>
      <c r="P100" s="48" t="s">
        <v>399</v>
      </c>
      <c r="Q100" s="48" t="s">
        <v>398</v>
      </c>
      <c r="R100" s="147">
        <v>1</v>
      </c>
      <c r="S100" s="111">
        <v>0.05</v>
      </c>
      <c r="T100" s="147">
        <v>1</v>
      </c>
      <c r="U100" s="164">
        <f t="shared" si="7"/>
        <v>0.05</v>
      </c>
      <c r="V100" s="230"/>
      <c r="W100" s="232"/>
      <c r="X100" s="224"/>
      <c r="Y100" s="217"/>
      <c r="AC100" s="106"/>
    </row>
    <row r="101" spans="1:29">
      <c r="A101" s="265"/>
      <c r="B101" s="265"/>
      <c r="C101" s="265"/>
      <c r="D101" s="265"/>
      <c r="E101" s="265"/>
      <c r="F101" s="265"/>
      <c r="G101" s="265"/>
      <c r="H101" s="265"/>
      <c r="I101" s="265"/>
      <c r="J101" s="270"/>
      <c r="K101" s="270"/>
      <c r="L101" s="265"/>
      <c r="M101" s="265"/>
      <c r="N101" s="265"/>
      <c r="O101" s="278"/>
      <c r="P101" s="48" t="s">
        <v>401</v>
      </c>
      <c r="Q101" s="48" t="s">
        <v>402</v>
      </c>
      <c r="R101" s="147">
        <v>1</v>
      </c>
      <c r="S101" s="111">
        <v>0.03</v>
      </c>
      <c r="T101" s="147">
        <v>1</v>
      </c>
      <c r="U101" s="164">
        <f t="shared" si="7"/>
        <v>0.03</v>
      </c>
      <c r="V101" s="231"/>
      <c r="W101" s="232"/>
      <c r="X101" s="224"/>
      <c r="Y101" s="217"/>
      <c r="AC101" s="106"/>
    </row>
    <row r="102" spans="1:29">
      <c r="A102" s="263">
        <v>33</v>
      </c>
      <c r="B102" s="263" t="s">
        <v>129</v>
      </c>
      <c r="C102" s="263" t="s">
        <v>130</v>
      </c>
      <c r="D102" s="263"/>
      <c r="E102" s="263"/>
      <c r="F102" s="263" t="s">
        <v>445</v>
      </c>
      <c r="G102" s="263">
        <v>158</v>
      </c>
      <c r="H102" s="263">
        <v>98</v>
      </c>
      <c r="I102" s="263">
        <v>2.5</v>
      </c>
      <c r="J102" s="268">
        <v>4.5999999999999996</v>
      </c>
      <c r="K102" s="268">
        <v>2.5</v>
      </c>
      <c r="L102" s="263">
        <v>0.30399999999999999</v>
      </c>
      <c r="M102" s="263">
        <v>8.2000000000000003E-2</v>
      </c>
      <c r="N102" s="263">
        <v>0.22199999999999998</v>
      </c>
      <c r="O102" s="276">
        <f>J102*L102-K102*N102</f>
        <v>0.84339999999999993</v>
      </c>
      <c r="P102" s="48" t="s">
        <v>395</v>
      </c>
      <c r="Q102" s="48" t="s">
        <v>398</v>
      </c>
      <c r="R102" s="147">
        <v>1</v>
      </c>
      <c r="S102" s="111">
        <v>0.05</v>
      </c>
      <c r="T102" s="147">
        <v>1</v>
      </c>
      <c r="U102" s="164">
        <f t="shared" si="7"/>
        <v>0.05</v>
      </c>
      <c r="V102" s="229">
        <v>1.1200000000000001</v>
      </c>
      <c r="W102" s="232">
        <f>(O102+SUM(U102:U105))*V102</f>
        <v>1.1238079999999999</v>
      </c>
      <c r="X102" s="224">
        <v>1.4702</v>
      </c>
      <c r="Y102" s="217">
        <f>1-W102/X102</f>
        <v>0.23560876071282821</v>
      </c>
    </row>
    <row r="103" spans="1:29">
      <c r="A103" s="264"/>
      <c r="B103" s="264"/>
      <c r="C103" s="264"/>
      <c r="D103" s="264"/>
      <c r="E103" s="264"/>
      <c r="F103" s="264"/>
      <c r="G103" s="264"/>
      <c r="H103" s="264"/>
      <c r="I103" s="264"/>
      <c r="J103" s="269"/>
      <c r="K103" s="269"/>
      <c r="L103" s="264"/>
      <c r="M103" s="264"/>
      <c r="N103" s="264"/>
      <c r="O103" s="277"/>
      <c r="P103" s="48" t="s">
        <v>397</v>
      </c>
      <c r="Q103" s="48" t="s">
        <v>400</v>
      </c>
      <c r="R103" s="147">
        <v>1</v>
      </c>
      <c r="S103" s="111">
        <v>0.03</v>
      </c>
      <c r="T103" s="147">
        <v>1</v>
      </c>
      <c r="U103" s="164">
        <f t="shared" si="7"/>
        <v>0.03</v>
      </c>
      <c r="V103" s="230"/>
      <c r="W103" s="232"/>
      <c r="X103" s="224"/>
      <c r="Y103" s="217"/>
    </row>
    <row r="104" spans="1:29">
      <c r="A104" s="264"/>
      <c r="B104" s="264"/>
      <c r="C104" s="264"/>
      <c r="D104" s="264"/>
      <c r="E104" s="264"/>
      <c r="F104" s="264"/>
      <c r="G104" s="264"/>
      <c r="H104" s="264"/>
      <c r="I104" s="264"/>
      <c r="J104" s="269"/>
      <c r="K104" s="269"/>
      <c r="L104" s="264"/>
      <c r="M104" s="264"/>
      <c r="N104" s="264"/>
      <c r="O104" s="277"/>
      <c r="P104" s="48" t="s">
        <v>399</v>
      </c>
      <c r="Q104" s="48" t="s">
        <v>398</v>
      </c>
      <c r="R104" s="147">
        <v>1</v>
      </c>
      <c r="S104" s="111">
        <v>0.05</v>
      </c>
      <c r="T104" s="147">
        <v>1</v>
      </c>
      <c r="U104" s="164">
        <f t="shared" si="7"/>
        <v>0.05</v>
      </c>
      <c r="V104" s="230"/>
      <c r="W104" s="232"/>
      <c r="X104" s="224"/>
      <c r="Y104" s="217"/>
    </row>
    <row r="105" spans="1:29">
      <c r="A105" s="265"/>
      <c r="B105" s="265"/>
      <c r="C105" s="265"/>
      <c r="D105" s="265"/>
      <c r="E105" s="265"/>
      <c r="F105" s="265"/>
      <c r="G105" s="265"/>
      <c r="H105" s="265"/>
      <c r="I105" s="265"/>
      <c r="J105" s="270"/>
      <c r="K105" s="270"/>
      <c r="L105" s="265"/>
      <c r="M105" s="265"/>
      <c r="N105" s="265"/>
      <c r="O105" s="278"/>
      <c r="P105" s="48" t="s">
        <v>401</v>
      </c>
      <c r="Q105" s="48" t="s">
        <v>402</v>
      </c>
      <c r="R105" s="147">
        <v>1</v>
      </c>
      <c r="S105" s="111">
        <v>0.03</v>
      </c>
      <c r="T105" s="147">
        <v>1</v>
      </c>
      <c r="U105" s="164">
        <f t="shared" si="7"/>
        <v>0.03</v>
      </c>
      <c r="V105" s="231"/>
      <c r="W105" s="232"/>
      <c r="X105" s="224"/>
      <c r="Y105" s="217"/>
    </row>
    <row r="106" spans="1:29">
      <c r="A106" s="263">
        <v>34</v>
      </c>
      <c r="B106" s="263" t="s">
        <v>132</v>
      </c>
      <c r="C106" s="263" t="s">
        <v>133</v>
      </c>
      <c r="D106" s="263"/>
      <c r="E106" s="263"/>
      <c r="F106" s="263" t="s">
        <v>445</v>
      </c>
      <c r="G106" s="263">
        <v>281</v>
      </c>
      <c r="H106" s="263">
        <v>190</v>
      </c>
      <c r="I106" s="263">
        <v>3</v>
      </c>
      <c r="J106" s="268">
        <v>4.5999999999999996</v>
      </c>
      <c r="K106" s="268">
        <v>2.5</v>
      </c>
      <c r="L106" s="263">
        <v>1.2569999999999999</v>
      </c>
      <c r="M106" s="263">
        <v>0.39</v>
      </c>
      <c r="N106" s="263">
        <v>0.86699999999999988</v>
      </c>
      <c r="O106" s="247">
        <f>J106*L106-K106*N106</f>
        <v>3.6146999999999991</v>
      </c>
      <c r="P106" s="48" t="s">
        <v>395</v>
      </c>
      <c r="Q106" s="48" t="s">
        <v>396</v>
      </c>
      <c r="R106" s="147">
        <v>1</v>
      </c>
      <c r="S106" s="111">
        <v>0.08</v>
      </c>
      <c r="T106" s="147">
        <v>1</v>
      </c>
      <c r="U106" s="164">
        <f t="shared" si="7"/>
        <v>0.08</v>
      </c>
      <c r="V106" s="229">
        <v>1.1200000000000001</v>
      </c>
      <c r="W106" s="232">
        <f>(O106+SUM(U106:U108))*V106</f>
        <v>4.2612639999999997</v>
      </c>
      <c r="X106" s="223">
        <v>5</v>
      </c>
      <c r="Y106" s="214">
        <f>1-W106/X106</f>
        <v>0.14774720000000008</v>
      </c>
      <c r="AC106" s="106"/>
    </row>
    <row r="107" spans="1:29">
      <c r="A107" s="264"/>
      <c r="B107" s="264"/>
      <c r="C107" s="264"/>
      <c r="D107" s="264"/>
      <c r="E107" s="264"/>
      <c r="F107" s="264"/>
      <c r="G107" s="264"/>
      <c r="H107" s="264"/>
      <c r="I107" s="264"/>
      <c r="J107" s="269"/>
      <c r="K107" s="269"/>
      <c r="L107" s="264"/>
      <c r="M107" s="264"/>
      <c r="N107" s="264"/>
      <c r="O107" s="254"/>
      <c r="P107" s="48" t="s">
        <v>397</v>
      </c>
      <c r="Q107" s="48" t="s">
        <v>400</v>
      </c>
      <c r="R107" s="147">
        <v>1</v>
      </c>
      <c r="S107" s="111">
        <v>0.03</v>
      </c>
      <c r="T107" s="147">
        <v>1</v>
      </c>
      <c r="U107" s="164">
        <f t="shared" si="7"/>
        <v>0.03</v>
      </c>
      <c r="V107" s="230"/>
      <c r="W107" s="232"/>
      <c r="X107" s="223"/>
      <c r="Y107" s="215"/>
      <c r="AC107" s="106"/>
    </row>
    <row r="108" spans="1:29">
      <c r="A108" s="265"/>
      <c r="B108" s="265"/>
      <c r="C108" s="265"/>
      <c r="D108" s="265"/>
      <c r="E108" s="265"/>
      <c r="F108" s="265"/>
      <c r="G108" s="265"/>
      <c r="H108" s="265"/>
      <c r="I108" s="265"/>
      <c r="J108" s="270"/>
      <c r="K108" s="270"/>
      <c r="L108" s="265"/>
      <c r="M108" s="265"/>
      <c r="N108" s="265"/>
      <c r="O108" s="248"/>
      <c r="P108" s="48" t="s">
        <v>399</v>
      </c>
      <c r="Q108" s="48" t="s">
        <v>396</v>
      </c>
      <c r="R108" s="147">
        <v>1</v>
      </c>
      <c r="S108" s="111">
        <v>0.08</v>
      </c>
      <c r="T108" s="147">
        <v>1</v>
      </c>
      <c r="U108" s="164">
        <f t="shared" si="7"/>
        <v>0.08</v>
      </c>
      <c r="V108" s="231"/>
      <c r="W108" s="232"/>
      <c r="X108" s="223"/>
      <c r="Y108" s="216"/>
      <c r="AC108" s="106"/>
    </row>
    <row r="109" spans="1:29">
      <c r="A109" s="263">
        <v>35</v>
      </c>
      <c r="B109" s="263" t="s">
        <v>135</v>
      </c>
      <c r="C109" s="263" t="s">
        <v>136</v>
      </c>
      <c r="D109" s="263"/>
      <c r="E109" s="263"/>
      <c r="F109" s="263" t="s">
        <v>445</v>
      </c>
      <c r="G109" s="263">
        <v>281</v>
      </c>
      <c r="H109" s="263">
        <v>190</v>
      </c>
      <c r="I109" s="263">
        <v>3</v>
      </c>
      <c r="J109" s="268">
        <v>4.5999999999999996</v>
      </c>
      <c r="K109" s="268">
        <v>2.5</v>
      </c>
      <c r="L109" s="263">
        <v>1.2569999999999999</v>
      </c>
      <c r="M109" s="263">
        <v>0.39</v>
      </c>
      <c r="N109" s="263">
        <v>0.86699999999999988</v>
      </c>
      <c r="O109" s="247">
        <f>J109*L109-K109*N109</f>
        <v>3.6146999999999991</v>
      </c>
      <c r="P109" s="48" t="s">
        <v>395</v>
      </c>
      <c r="Q109" s="48" t="s">
        <v>396</v>
      </c>
      <c r="R109" s="147">
        <v>1</v>
      </c>
      <c r="S109" s="111">
        <v>0.08</v>
      </c>
      <c r="T109" s="147">
        <v>1</v>
      </c>
      <c r="U109" s="164">
        <f t="shared" si="7"/>
        <v>0.08</v>
      </c>
      <c r="V109" s="229">
        <v>1.1200000000000001</v>
      </c>
      <c r="W109" s="232">
        <f>(O109+SUM(U109:U111))*V109</f>
        <v>4.2612639999999997</v>
      </c>
      <c r="X109" s="223">
        <v>5</v>
      </c>
      <c r="Y109" s="214">
        <f>1-W109/X109</f>
        <v>0.14774720000000008</v>
      </c>
    </row>
    <row r="110" spans="1:29">
      <c r="A110" s="264"/>
      <c r="B110" s="264"/>
      <c r="C110" s="264"/>
      <c r="D110" s="264"/>
      <c r="E110" s="264"/>
      <c r="F110" s="264"/>
      <c r="G110" s="264"/>
      <c r="H110" s="264"/>
      <c r="I110" s="264"/>
      <c r="J110" s="269"/>
      <c r="K110" s="269"/>
      <c r="L110" s="264"/>
      <c r="M110" s="264"/>
      <c r="N110" s="264"/>
      <c r="O110" s="254"/>
      <c r="P110" s="48" t="s">
        <v>397</v>
      </c>
      <c r="Q110" s="48" t="s">
        <v>400</v>
      </c>
      <c r="R110" s="147">
        <v>1</v>
      </c>
      <c r="S110" s="111">
        <v>0.03</v>
      </c>
      <c r="T110" s="147">
        <v>1</v>
      </c>
      <c r="U110" s="164">
        <f t="shared" si="7"/>
        <v>0.03</v>
      </c>
      <c r="V110" s="230"/>
      <c r="W110" s="232"/>
      <c r="X110" s="223"/>
      <c r="Y110" s="215"/>
    </row>
    <row r="111" spans="1:29">
      <c r="A111" s="265"/>
      <c r="B111" s="265"/>
      <c r="C111" s="265"/>
      <c r="D111" s="265"/>
      <c r="E111" s="265"/>
      <c r="F111" s="265"/>
      <c r="G111" s="265"/>
      <c r="H111" s="265"/>
      <c r="I111" s="265"/>
      <c r="J111" s="270"/>
      <c r="K111" s="270"/>
      <c r="L111" s="265"/>
      <c r="M111" s="265"/>
      <c r="N111" s="265"/>
      <c r="O111" s="248"/>
      <c r="P111" s="48" t="s">
        <v>399</v>
      </c>
      <c r="Q111" s="48" t="s">
        <v>396</v>
      </c>
      <c r="R111" s="147">
        <v>1</v>
      </c>
      <c r="S111" s="111">
        <v>0.08</v>
      </c>
      <c r="T111" s="147">
        <v>1</v>
      </c>
      <c r="U111" s="164">
        <f t="shared" si="7"/>
        <v>0.08</v>
      </c>
      <c r="V111" s="231"/>
      <c r="W111" s="232"/>
      <c r="X111" s="223"/>
      <c r="Y111" s="216"/>
    </row>
    <row r="112" spans="1:29" ht="14.25" customHeight="1">
      <c r="A112" s="241">
        <v>36</v>
      </c>
      <c r="B112" s="241" t="s">
        <v>138</v>
      </c>
      <c r="C112" s="241" t="s">
        <v>139</v>
      </c>
      <c r="D112" s="112" t="s">
        <v>406</v>
      </c>
      <c r="E112" s="159">
        <v>1</v>
      </c>
      <c r="F112" s="159">
        <v>440</v>
      </c>
      <c r="G112" s="112">
        <v>247</v>
      </c>
      <c r="H112" s="112">
        <v>70</v>
      </c>
      <c r="I112" s="112">
        <v>3</v>
      </c>
      <c r="J112" s="113">
        <v>4.5999999999999996</v>
      </c>
      <c r="K112" s="160">
        <v>2.5</v>
      </c>
      <c r="L112" s="112">
        <v>0.40699999999999997</v>
      </c>
      <c r="M112" s="159">
        <v>0.311</v>
      </c>
      <c r="N112" s="112">
        <v>9.5999999999999974E-2</v>
      </c>
      <c r="O112" s="172">
        <f>J112*L112-K112*N112</f>
        <v>1.6321999999999997</v>
      </c>
      <c r="P112" s="48" t="s">
        <v>395</v>
      </c>
      <c r="Q112" s="48" t="s">
        <v>396</v>
      </c>
      <c r="R112" s="147">
        <v>1</v>
      </c>
      <c r="S112" s="111">
        <v>0.08</v>
      </c>
      <c r="T112" s="147">
        <v>1</v>
      </c>
      <c r="U112" s="164">
        <f t="shared" si="7"/>
        <v>0.08</v>
      </c>
      <c r="V112" s="272">
        <v>1.1200000000000001</v>
      </c>
      <c r="W112" s="272">
        <f>(O112+SUM(U112:U116))*V112+SUM(O113:O115)*1.03</f>
        <v>3.1598239999999995</v>
      </c>
      <c r="X112" s="257">
        <v>4.3048000000000002</v>
      </c>
      <c r="Y112" s="219">
        <f>1-W112/X112</f>
        <v>0.2659765842780154</v>
      </c>
      <c r="AC112" s="106"/>
    </row>
    <row r="113" spans="1:29">
      <c r="A113" s="241"/>
      <c r="B113" s="241"/>
      <c r="C113" s="241"/>
      <c r="D113" s="107" t="s">
        <v>407</v>
      </c>
      <c r="E113" s="48">
        <v>2</v>
      </c>
      <c r="F113" s="48"/>
      <c r="G113" s="107"/>
      <c r="H113" s="107"/>
      <c r="I113" s="107"/>
      <c r="J113" s="111">
        <v>0.34100000000000003</v>
      </c>
      <c r="K113" s="111"/>
      <c r="L113" s="107"/>
      <c r="M113" s="107"/>
      <c r="N113" s="107"/>
      <c r="O113" s="173">
        <f>E113*J113</f>
        <v>0.68200000000000005</v>
      </c>
      <c r="P113" s="48" t="s">
        <v>397</v>
      </c>
      <c r="Q113" s="48" t="s">
        <v>398</v>
      </c>
      <c r="R113" s="147">
        <v>1</v>
      </c>
      <c r="S113" s="111">
        <v>0.05</v>
      </c>
      <c r="T113" s="147">
        <v>1</v>
      </c>
      <c r="U113" s="164">
        <f t="shared" si="7"/>
        <v>0.05</v>
      </c>
      <c r="V113" s="273"/>
      <c r="W113" s="273"/>
      <c r="X113" s="275"/>
      <c r="Y113" s="220"/>
      <c r="AC113" s="106"/>
    </row>
    <row r="114" spans="1:29">
      <c r="A114" s="241"/>
      <c r="B114" s="241"/>
      <c r="C114" s="241"/>
      <c r="D114" s="107" t="s">
        <v>408</v>
      </c>
      <c r="E114" s="48">
        <v>1</v>
      </c>
      <c r="F114" s="48"/>
      <c r="G114" s="107"/>
      <c r="H114" s="107"/>
      <c r="I114" s="107"/>
      <c r="J114" s="111">
        <v>0.28000000000000003</v>
      </c>
      <c r="K114" s="111"/>
      <c r="L114" s="107"/>
      <c r="M114" s="107"/>
      <c r="N114" s="107"/>
      <c r="O114" s="173">
        <f t="shared" ref="O114:O115" si="8">E114*J114</f>
        <v>0.28000000000000003</v>
      </c>
      <c r="P114" s="48" t="s">
        <v>399</v>
      </c>
      <c r="Q114" s="48" t="s">
        <v>398</v>
      </c>
      <c r="R114" s="147">
        <v>1</v>
      </c>
      <c r="S114" s="111">
        <v>0.05</v>
      </c>
      <c r="T114" s="147">
        <v>1</v>
      </c>
      <c r="U114" s="164">
        <f t="shared" si="7"/>
        <v>0.05</v>
      </c>
      <c r="V114" s="273"/>
      <c r="W114" s="273"/>
      <c r="X114" s="275"/>
      <c r="Y114" s="220"/>
      <c r="AC114" s="106"/>
    </row>
    <row r="115" spans="1:29">
      <c r="A115" s="241"/>
      <c r="B115" s="241"/>
      <c r="C115" s="241"/>
      <c r="D115" s="107" t="s">
        <v>409</v>
      </c>
      <c r="E115" s="48">
        <v>1</v>
      </c>
      <c r="F115" s="48"/>
      <c r="G115" s="107"/>
      <c r="H115" s="107"/>
      <c r="I115" s="107"/>
      <c r="J115" s="111">
        <v>7.0000000000000007E-2</v>
      </c>
      <c r="K115" s="111"/>
      <c r="L115" s="107"/>
      <c r="M115" s="107"/>
      <c r="N115" s="107"/>
      <c r="O115" s="173">
        <f t="shared" si="8"/>
        <v>7.0000000000000007E-2</v>
      </c>
      <c r="P115" s="48" t="s">
        <v>397</v>
      </c>
      <c r="Q115" s="48" t="s">
        <v>402</v>
      </c>
      <c r="R115" s="147">
        <v>1</v>
      </c>
      <c r="S115" s="111">
        <v>0.03</v>
      </c>
      <c r="T115" s="147">
        <v>1</v>
      </c>
      <c r="U115" s="164">
        <f t="shared" si="7"/>
        <v>0.03</v>
      </c>
      <c r="V115" s="273"/>
      <c r="W115" s="273"/>
      <c r="X115" s="275"/>
      <c r="Y115" s="220"/>
      <c r="AC115" s="106"/>
    </row>
    <row r="116" spans="1:29">
      <c r="A116" s="241"/>
      <c r="B116" s="241"/>
      <c r="C116" s="241"/>
      <c r="D116" s="107"/>
      <c r="E116" s="48"/>
      <c r="F116" s="48"/>
      <c r="G116" s="107"/>
      <c r="H116" s="107"/>
      <c r="I116" s="107"/>
      <c r="J116" s="111"/>
      <c r="K116" s="111"/>
      <c r="L116" s="107"/>
      <c r="M116" s="107"/>
      <c r="N116" s="107"/>
      <c r="O116" s="173"/>
      <c r="P116" s="48" t="s">
        <v>401</v>
      </c>
      <c r="Q116" s="48" t="s">
        <v>402</v>
      </c>
      <c r="R116" s="147">
        <v>1</v>
      </c>
      <c r="S116" s="111">
        <v>0.03</v>
      </c>
      <c r="T116" s="147">
        <v>1</v>
      </c>
      <c r="U116" s="164">
        <f t="shared" si="7"/>
        <v>0.03</v>
      </c>
      <c r="V116" s="274"/>
      <c r="W116" s="274"/>
      <c r="X116" s="258"/>
      <c r="Y116" s="221"/>
      <c r="Z116" s="106"/>
    </row>
    <row r="117" spans="1:29">
      <c r="A117" s="263">
        <v>37</v>
      </c>
      <c r="B117" s="263" t="s">
        <v>141</v>
      </c>
      <c r="C117" s="263" t="s">
        <v>142</v>
      </c>
      <c r="D117" s="263"/>
      <c r="E117" s="263"/>
      <c r="F117" s="263" t="s">
        <v>410</v>
      </c>
      <c r="G117" s="263">
        <v>84</v>
      </c>
      <c r="H117" s="263">
        <v>41</v>
      </c>
      <c r="I117" s="263">
        <v>2</v>
      </c>
      <c r="J117" s="268">
        <v>4.3</v>
      </c>
      <c r="K117" s="268">
        <v>2.5</v>
      </c>
      <c r="L117" s="263">
        <v>5.5E-2</v>
      </c>
      <c r="M117" s="263">
        <v>2.5000000000000001E-2</v>
      </c>
      <c r="N117" s="263">
        <v>0.03</v>
      </c>
      <c r="O117" s="239">
        <f>J117*L117-K117*N117</f>
        <v>0.16149999999999998</v>
      </c>
      <c r="P117" s="48" t="s">
        <v>395</v>
      </c>
      <c r="Q117" s="48" t="s">
        <v>400</v>
      </c>
      <c r="R117" s="147">
        <v>1</v>
      </c>
      <c r="S117" s="111">
        <v>0.03</v>
      </c>
      <c r="T117" s="147">
        <v>1</v>
      </c>
      <c r="U117" s="164">
        <f t="shared" si="7"/>
        <v>0.03</v>
      </c>
      <c r="V117" s="229">
        <v>1.18</v>
      </c>
      <c r="W117" s="232">
        <f>(O117+SUM(U117:U118))*V117</f>
        <v>0.26136999999999994</v>
      </c>
      <c r="X117" s="224">
        <v>0.27050000000000002</v>
      </c>
      <c r="Y117" s="218">
        <f>1-W117/X117</f>
        <v>3.3752310536044661E-2</v>
      </c>
      <c r="AC117" s="106"/>
    </row>
    <row r="118" spans="1:29">
      <c r="A118" s="265"/>
      <c r="B118" s="265"/>
      <c r="C118" s="265"/>
      <c r="D118" s="265"/>
      <c r="E118" s="265"/>
      <c r="F118" s="265"/>
      <c r="G118" s="265"/>
      <c r="H118" s="265"/>
      <c r="I118" s="265"/>
      <c r="J118" s="270"/>
      <c r="K118" s="270"/>
      <c r="L118" s="265"/>
      <c r="M118" s="265"/>
      <c r="N118" s="265"/>
      <c r="O118" s="239"/>
      <c r="P118" s="48" t="s">
        <v>399</v>
      </c>
      <c r="Q118" s="48" t="s">
        <v>402</v>
      </c>
      <c r="R118" s="147">
        <v>1</v>
      </c>
      <c r="S118" s="111">
        <v>0.03</v>
      </c>
      <c r="T118" s="147">
        <v>1</v>
      </c>
      <c r="U118" s="164">
        <f t="shared" si="7"/>
        <v>0.03</v>
      </c>
      <c r="V118" s="231"/>
      <c r="W118" s="232"/>
      <c r="X118" s="224"/>
      <c r="Y118" s="218"/>
      <c r="AC118" s="106"/>
    </row>
    <row r="119" spans="1:29">
      <c r="A119" s="263">
        <v>38</v>
      </c>
      <c r="B119" s="263" t="s">
        <v>144</v>
      </c>
      <c r="C119" s="263" t="s">
        <v>145</v>
      </c>
      <c r="D119" s="263"/>
      <c r="E119" s="263"/>
      <c r="F119" s="263" t="s">
        <v>410</v>
      </c>
      <c r="G119" s="263">
        <v>162</v>
      </c>
      <c r="H119" s="263">
        <v>107</v>
      </c>
      <c r="I119" s="263">
        <v>1</v>
      </c>
      <c r="J119" s="268">
        <v>4.3</v>
      </c>
      <c r="K119" s="268">
        <v>2.5</v>
      </c>
      <c r="L119" s="263">
        <v>0.13600000000000001</v>
      </c>
      <c r="M119" s="263">
        <v>7.5999999999999998E-2</v>
      </c>
      <c r="N119" s="263">
        <v>6.0000000000000012E-2</v>
      </c>
      <c r="O119" s="239">
        <f>J119*L119-K119*N119</f>
        <v>0.43479999999999996</v>
      </c>
      <c r="P119" s="48" t="s">
        <v>395</v>
      </c>
      <c r="Q119" s="48" t="s">
        <v>400</v>
      </c>
      <c r="R119" s="147">
        <v>1</v>
      </c>
      <c r="S119" s="111">
        <v>0.03</v>
      </c>
      <c r="T119" s="147">
        <v>1</v>
      </c>
      <c r="U119" s="164">
        <f t="shared" si="7"/>
        <v>0.03</v>
      </c>
      <c r="V119" s="229">
        <v>1.1200000000000001</v>
      </c>
      <c r="W119" s="232">
        <f>(O119+SUM(U119:U120))*V119</f>
        <v>0.554176</v>
      </c>
      <c r="X119" s="224">
        <v>0.60019999999999996</v>
      </c>
      <c r="Y119" s="218">
        <f>1-W119/X119</f>
        <v>7.6681106297900592E-2</v>
      </c>
      <c r="AC119" s="106"/>
    </row>
    <row r="120" spans="1:29">
      <c r="A120" s="265"/>
      <c r="B120" s="265"/>
      <c r="C120" s="265"/>
      <c r="D120" s="265"/>
      <c r="E120" s="265"/>
      <c r="F120" s="265"/>
      <c r="G120" s="265"/>
      <c r="H120" s="265"/>
      <c r="I120" s="265"/>
      <c r="J120" s="270"/>
      <c r="K120" s="270"/>
      <c r="L120" s="265"/>
      <c r="M120" s="265"/>
      <c r="N120" s="265"/>
      <c r="O120" s="239"/>
      <c r="P120" s="48" t="s">
        <v>399</v>
      </c>
      <c r="Q120" s="48" t="s">
        <v>400</v>
      </c>
      <c r="R120" s="147">
        <v>1</v>
      </c>
      <c r="S120" s="111">
        <v>0.03</v>
      </c>
      <c r="T120" s="147">
        <v>1</v>
      </c>
      <c r="U120" s="164">
        <f t="shared" si="7"/>
        <v>0.03</v>
      </c>
      <c r="V120" s="231"/>
      <c r="W120" s="232"/>
      <c r="X120" s="224"/>
      <c r="Y120" s="218"/>
      <c r="AC120" s="106"/>
    </row>
    <row r="121" spans="1:29">
      <c r="A121" s="263">
        <v>39</v>
      </c>
      <c r="B121" s="263" t="s">
        <v>147</v>
      </c>
      <c r="C121" s="263" t="s">
        <v>148</v>
      </c>
      <c r="D121" s="263"/>
      <c r="E121" s="263"/>
      <c r="F121" s="263" t="s">
        <v>445</v>
      </c>
      <c r="G121" s="263">
        <v>247</v>
      </c>
      <c r="H121" s="263">
        <v>90</v>
      </c>
      <c r="I121" s="263">
        <v>3</v>
      </c>
      <c r="J121" s="268">
        <v>4.5999999999999996</v>
      </c>
      <c r="K121" s="268">
        <v>2.5</v>
      </c>
      <c r="L121" s="263">
        <v>0.52300000000000002</v>
      </c>
      <c r="M121" s="263">
        <v>0.40600000000000003</v>
      </c>
      <c r="N121" s="263">
        <v>0.11699999999999999</v>
      </c>
      <c r="O121" s="247">
        <f>J121*L121-K121*N121</f>
        <v>2.1132999999999997</v>
      </c>
      <c r="P121" s="48" t="s">
        <v>395</v>
      </c>
      <c r="Q121" s="48" t="s">
        <v>396</v>
      </c>
      <c r="R121" s="147">
        <v>1</v>
      </c>
      <c r="S121" s="111">
        <v>0.08</v>
      </c>
      <c r="T121" s="147">
        <v>1</v>
      </c>
      <c r="U121" s="164">
        <f t="shared" si="7"/>
        <v>0.08</v>
      </c>
      <c r="V121" s="229">
        <v>1.1200000000000001</v>
      </c>
      <c r="W121" s="232">
        <f>(O121+SUM(U121:U123))*V121</f>
        <v>2.5684960000000001</v>
      </c>
      <c r="X121" s="224">
        <v>2.4975000000000001</v>
      </c>
      <c r="Y121" s="214">
        <f>1-W121/X121</f>
        <v>-2.8426826826826845E-2</v>
      </c>
      <c r="AC121" s="106"/>
    </row>
    <row r="122" spans="1:29">
      <c r="A122" s="264"/>
      <c r="B122" s="264"/>
      <c r="C122" s="264"/>
      <c r="D122" s="264"/>
      <c r="E122" s="264"/>
      <c r="F122" s="264"/>
      <c r="G122" s="264"/>
      <c r="H122" s="264"/>
      <c r="I122" s="264"/>
      <c r="J122" s="269"/>
      <c r="K122" s="269"/>
      <c r="L122" s="264"/>
      <c r="M122" s="264"/>
      <c r="N122" s="264"/>
      <c r="O122" s="254"/>
      <c r="P122" s="48" t="s">
        <v>397</v>
      </c>
      <c r="Q122" s="48" t="s">
        <v>398</v>
      </c>
      <c r="R122" s="147">
        <v>1</v>
      </c>
      <c r="S122" s="111">
        <v>0.05</v>
      </c>
      <c r="T122" s="147">
        <v>1</v>
      </c>
      <c r="U122" s="164">
        <f t="shared" si="7"/>
        <v>0.05</v>
      </c>
      <c r="V122" s="230"/>
      <c r="W122" s="232"/>
      <c r="X122" s="224"/>
      <c r="Y122" s="215"/>
      <c r="AC122" s="106"/>
    </row>
    <row r="123" spans="1:29">
      <c r="A123" s="265"/>
      <c r="B123" s="265"/>
      <c r="C123" s="265"/>
      <c r="D123" s="265"/>
      <c r="E123" s="265"/>
      <c r="F123" s="265"/>
      <c r="G123" s="265"/>
      <c r="H123" s="265"/>
      <c r="I123" s="265"/>
      <c r="J123" s="270"/>
      <c r="K123" s="270"/>
      <c r="L123" s="265"/>
      <c r="M123" s="265"/>
      <c r="N123" s="265"/>
      <c r="O123" s="248"/>
      <c r="P123" s="48" t="s">
        <v>399</v>
      </c>
      <c r="Q123" s="48" t="s">
        <v>398</v>
      </c>
      <c r="R123" s="147">
        <v>1</v>
      </c>
      <c r="S123" s="111">
        <v>0.05</v>
      </c>
      <c r="T123" s="147">
        <v>1</v>
      </c>
      <c r="U123" s="164">
        <f t="shared" si="7"/>
        <v>0.05</v>
      </c>
      <c r="V123" s="231"/>
      <c r="W123" s="232"/>
      <c r="X123" s="224"/>
      <c r="Y123" s="216"/>
      <c r="AC123" s="106"/>
    </row>
    <row r="124" spans="1:29">
      <c r="A124" s="263">
        <v>40</v>
      </c>
      <c r="B124" s="263" t="s">
        <v>76</v>
      </c>
      <c r="C124" s="263" t="s">
        <v>150</v>
      </c>
      <c r="D124" s="107" t="s">
        <v>411</v>
      </c>
      <c r="E124" s="48">
        <v>1</v>
      </c>
      <c r="F124" s="48"/>
      <c r="G124" s="107"/>
      <c r="H124" s="107"/>
      <c r="I124" s="107"/>
      <c r="J124" s="111">
        <f>W121</f>
        <v>2.5684960000000001</v>
      </c>
      <c r="K124" s="111"/>
      <c r="L124" s="107"/>
      <c r="M124" s="107"/>
      <c r="N124" s="107"/>
      <c r="O124" s="173">
        <f>E124*J124</f>
        <v>2.5684960000000001</v>
      </c>
      <c r="P124" s="259" t="s">
        <v>413</v>
      </c>
      <c r="Q124" s="259"/>
      <c r="R124" s="259">
        <v>4</v>
      </c>
      <c r="S124" s="261">
        <v>0.05</v>
      </c>
      <c r="T124" s="259">
        <v>1</v>
      </c>
      <c r="U124" s="261">
        <f t="shared" si="7"/>
        <v>0.2</v>
      </c>
      <c r="V124" s="229">
        <v>1.1200000000000001</v>
      </c>
      <c r="W124" s="232">
        <f>U124*V124+O124+O125*1.03</f>
        <v>3.4310960000000001</v>
      </c>
      <c r="X124" s="257">
        <v>3.9881000000000002</v>
      </c>
      <c r="Y124" s="218">
        <f>1-W124/X124</f>
        <v>0.13966650786088619</v>
      </c>
      <c r="AC124" s="106"/>
    </row>
    <row r="125" spans="1:29">
      <c r="A125" s="265"/>
      <c r="B125" s="265"/>
      <c r="C125" s="265"/>
      <c r="D125" s="107" t="s">
        <v>412</v>
      </c>
      <c r="E125" s="48">
        <v>2</v>
      </c>
      <c r="F125" s="48"/>
      <c r="G125" s="107"/>
      <c r="H125" s="107"/>
      <c r="I125" s="107"/>
      <c r="J125" s="111">
        <v>0.31</v>
      </c>
      <c r="K125" s="111"/>
      <c r="L125" s="107"/>
      <c r="M125" s="107"/>
      <c r="N125" s="107"/>
      <c r="O125" s="173">
        <f>E125*J125</f>
        <v>0.62</v>
      </c>
      <c r="P125" s="260"/>
      <c r="Q125" s="260"/>
      <c r="R125" s="260"/>
      <c r="S125" s="262"/>
      <c r="T125" s="260"/>
      <c r="U125" s="262"/>
      <c r="V125" s="231"/>
      <c r="W125" s="232"/>
      <c r="X125" s="258"/>
      <c r="Y125" s="218"/>
      <c r="AC125" s="106"/>
    </row>
    <row r="126" spans="1:29" ht="14.25" customHeight="1">
      <c r="A126" s="242">
        <v>41</v>
      </c>
      <c r="B126" s="242" t="s">
        <v>152</v>
      </c>
      <c r="C126" s="242" t="s">
        <v>153</v>
      </c>
      <c r="D126" s="266" t="s">
        <v>411</v>
      </c>
      <c r="E126" s="266">
        <v>1</v>
      </c>
      <c r="F126" s="266" t="s">
        <v>445</v>
      </c>
      <c r="G126" s="266">
        <v>247</v>
      </c>
      <c r="H126" s="266">
        <v>70</v>
      </c>
      <c r="I126" s="266">
        <v>3</v>
      </c>
      <c r="J126" s="267">
        <v>4.5999999999999996</v>
      </c>
      <c r="K126" s="267">
        <v>2.5</v>
      </c>
      <c r="L126" s="266">
        <v>0.40699999999999997</v>
      </c>
      <c r="M126" s="266">
        <v>0.311</v>
      </c>
      <c r="N126" s="266">
        <v>9.5999999999999974E-2</v>
      </c>
      <c r="O126" s="239">
        <f>J126*L126-K126*N126</f>
        <v>1.6321999999999997</v>
      </c>
      <c r="P126" s="48" t="s">
        <v>395</v>
      </c>
      <c r="Q126" s="48" t="s">
        <v>396</v>
      </c>
      <c r="R126" s="147">
        <v>1</v>
      </c>
      <c r="S126" s="111">
        <v>0.08</v>
      </c>
      <c r="T126" s="147">
        <v>1</v>
      </c>
      <c r="U126" s="164">
        <f t="shared" ref="U126:U164" si="9">R126*S126/T126</f>
        <v>0.08</v>
      </c>
      <c r="V126" s="233">
        <v>1.1200000000000001</v>
      </c>
      <c r="W126" s="229">
        <f>(O126+SUM(U126:U130))*V126+O128*1.03</f>
        <v>2.9258639999999998</v>
      </c>
      <c r="X126" s="233">
        <v>3.7639999999999998</v>
      </c>
      <c r="Y126" s="219">
        <f>1-W126/X126</f>
        <v>0.22267162592986189</v>
      </c>
      <c r="AA126" s="106"/>
    </row>
    <row r="127" spans="1:29">
      <c r="A127" s="255"/>
      <c r="B127" s="255"/>
      <c r="C127" s="255"/>
      <c r="D127" s="266"/>
      <c r="E127" s="266"/>
      <c r="F127" s="266"/>
      <c r="G127" s="266"/>
      <c r="H127" s="266"/>
      <c r="I127" s="266"/>
      <c r="J127" s="267"/>
      <c r="K127" s="267"/>
      <c r="L127" s="266"/>
      <c r="M127" s="266"/>
      <c r="N127" s="266"/>
      <c r="O127" s="239"/>
      <c r="P127" s="48" t="s">
        <v>397</v>
      </c>
      <c r="Q127" s="48" t="s">
        <v>398</v>
      </c>
      <c r="R127" s="147">
        <v>1</v>
      </c>
      <c r="S127" s="111">
        <v>0.05</v>
      </c>
      <c r="T127" s="147">
        <v>1</v>
      </c>
      <c r="U127" s="164">
        <f t="shared" si="9"/>
        <v>0.05</v>
      </c>
      <c r="V127" s="234"/>
      <c r="W127" s="230"/>
      <c r="X127" s="234"/>
      <c r="Y127" s="220"/>
      <c r="AA127" s="106"/>
    </row>
    <row r="128" spans="1:29">
      <c r="A128" s="255"/>
      <c r="B128" s="255"/>
      <c r="C128" s="255"/>
      <c r="D128" s="266" t="s">
        <v>412</v>
      </c>
      <c r="E128" s="266">
        <v>2</v>
      </c>
      <c r="F128" s="266"/>
      <c r="G128" s="266"/>
      <c r="H128" s="266"/>
      <c r="I128" s="266"/>
      <c r="J128" s="267">
        <v>0.31</v>
      </c>
      <c r="K128" s="267"/>
      <c r="L128" s="266"/>
      <c r="M128" s="266"/>
      <c r="N128" s="266"/>
      <c r="O128" s="271">
        <f>E128*J128</f>
        <v>0.62</v>
      </c>
      <c r="P128" s="48" t="s">
        <v>399</v>
      </c>
      <c r="Q128" s="48" t="s">
        <v>398</v>
      </c>
      <c r="R128" s="147">
        <v>1</v>
      </c>
      <c r="S128" s="111">
        <v>0.05</v>
      </c>
      <c r="T128" s="147">
        <v>1</v>
      </c>
      <c r="U128" s="164">
        <f t="shared" si="9"/>
        <v>0.05</v>
      </c>
      <c r="V128" s="234"/>
      <c r="W128" s="230"/>
      <c r="X128" s="234"/>
      <c r="Y128" s="220"/>
      <c r="AA128" s="106"/>
    </row>
    <row r="129" spans="1:29">
      <c r="A129" s="255"/>
      <c r="B129" s="255"/>
      <c r="C129" s="255"/>
      <c r="D129" s="266"/>
      <c r="E129" s="266"/>
      <c r="F129" s="266"/>
      <c r="G129" s="266"/>
      <c r="H129" s="266"/>
      <c r="I129" s="266"/>
      <c r="J129" s="267"/>
      <c r="K129" s="267"/>
      <c r="L129" s="266"/>
      <c r="M129" s="266"/>
      <c r="N129" s="266"/>
      <c r="O129" s="271"/>
      <c r="P129" s="48" t="s">
        <v>397</v>
      </c>
      <c r="Q129" s="48" t="s">
        <v>402</v>
      </c>
      <c r="R129" s="147">
        <v>1</v>
      </c>
      <c r="S129" s="111">
        <v>0.03</v>
      </c>
      <c r="T129" s="147">
        <v>1</v>
      </c>
      <c r="U129" s="164">
        <f t="shared" si="9"/>
        <v>0.03</v>
      </c>
      <c r="V129" s="234"/>
      <c r="W129" s="230"/>
      <c r="X129" s="234"/>
      <c r="Y129" s="220"/>
      <c r="AA129" s="106"/>
    </row>
    <row r="130" spans="1:29">
      <c r="A130" s="243"/>
      <c r="B130" s="243"/>
      <c r="C130" s="243"/>
      <c r="D130" s="99"/>
      <c r="E130" s="100"/>
      <c r="F130" s="100"/>
      <c r="G130" s="99"/>
      <c r="H130" s="99"/>
      <c r="I130" s="99"/>
      <c r="J130" s="99"/>
      <c r="K130" s="99"/>
      <c r="L130" s="99"/>
      <c r="M130" s="99"/>
      <c r="N130" s="99"/>
      <c r="O130" s="174"/>
      <c r="P130" s="95" t="s">
        <v>413</v>
      </c>
      <c r="Q130" s="100"/>
      <c r="R130" s="147">
        <v>4</v>
      </c>
      <c r="S130" s="168">
        <v>0.05</v>
      </c>
      <c r="T130" s="147">
        <v>1</v>
      </c>
      <c r="U130" s="164">
        <f t="shared" si="9"/>
        <v>0.2</v>
      </c>
      <c r="V130" s="235"/>
      <c r="W130" s="231"/>
      <c r="X130" s="235"/>
      <c r="Y130" s="221"/>
    </row>
    <row r="131" spans="1:29">
      <c r="A131" s="263">
        <v>42</v>
      </c>
      <c r="B131" s="263" t="s">
        <v>155</v>
      </c>
      <c r="C131" s="263" t="s">
        <v>156</v>
      </c>
      <c r="D131" s="263"/>
      <c r="E131" s="263"/>
      <c r="F131" s="263" t="s">
        <v>445</v>
      </c>
      <c r="G131" s="263">
        <v>266</v>
      </c>
      <c r="H131" s="263">
        <v>68</v>
      </c>
      <c r="I131" s="263">
        <v>3</v>
      </c>
      <c r="J131" s="268">
        <v>4.5999999999999996</v>
      </c>
      <c r="K131" s="268">
        <v>2.5</v>
      </c>
      <c r="L131" s="263">
        <v>0.42599999999999999</v>
      </c>
      <c r="M131" s="263">
        <v>0.32300000000000001</v>
      </c>
      <c r="N131" s="263">
        <v>0.10299999999999998</v>
      </c>
      <c r="O131" s="247">
        <f>J131*L131-K131*N131</f>
        <v>1.7020999999999997</v>
      </c>
      <c r="P131" s="48" t="s">
        <v>395</v>
      </c>
      <c r="Q131" s="48" t="s">
        <v>396</v>
      </c>
      <c r="R131" s="124">
        <v>1</v>
      </c>
      <c r="S131" s="111">
        <v>0.08</v>
      </c>
      <c r="T131" s="147">
        <v>1</v>
      </c>
      <c r="U131" s="164">
        <f t="shared" si="9"/>
        <v>0.08</v>
      </c>
      <c r="V131" s="229">
        <v>1.1200000000000001</v>
      </c>
      <c r="W131" s="232">
        <f>(O131+SUM(U131:U133))*V131</f>
        <v>2.0855519999999999</v>
      </c>
      <c r="X131" s="223">
        <v>2.0320999999999998</v>
      </c>
      <c r="Y131" s="214">
        <f>1-W131/X131</f>
        <v>-2.6303823630726919E-2</v>
      </c>
      <c r="AC131" s="106"/>
    </row>
    <row r="132" spans="1:29">
      <c r="A132" s="264"/>
      <c r="B132" s="264"/>
      <c r="C132" s="264"/>
      <c r="D132" s="264"/>
      <c r="E132" s="264"/>
      <c r="F132" s="264"/>
      <c r="G132" s="264"/>
      <c r="H132" s="264"/>
      <c r="I132" s="264"/>
      <c r="J132" s="269"/>
      <c r="K132" s="269"/>
      <c r="L132" s="264"/>
      <c r="M132" s="264"/>
      <c r="N132" s="264"/>
      <c r="O132" s="254"/>
      <c r="P132" s="48" t="s">
        <v>397</v>
      </c>
      <c r="Q132" s="48" t="s">
        <v>402</v>
      </c>
      <c r="R132" s="124">
        <v>1</v>
      </c>
      <c r="S132" s="111">
        <v>0.03</v>
      </c>
      <c r="T132" s="147">
        <v>1</v>
      </c>
      <c r="U132" s="164">
        <f t="shared" si="9"/>
        <v>0.03</v>
      </c>
      <c r="V132" s="230"/>
      <c r="W132" s="232"/>
      <c r="X132" s="223"/>
      <c r="Y132" s="215"/>
      <c r="AC132" s="106"/>
    </row>
    <row r="133" spans="1:29">
      <c r="A133" s="265"/>
      <c r="B133" s="265"/>
      <c r="C133" s="265"/>
      <c r="D133" s="265"/>
      <c r="E133" s="265"/>
      <c r="F133" s="265"/>
      <c r="G133" s="265"/>
      <c r="H133" s="265"/>
      <c r="I133" s="265"/>
      <c r="J133" s="270"/>
      <c r="K133" s="270"/>
      <c r="L133" s="265"/>
      <c r="M133" s="265"/>
      <c r="N133" s="265"/>
      <c r="O133" s="248"/>
      <c r="P133" s="48" t="s">
        <v>399</v>
      </c>
      <c r="Q133" s="48" t="s">
        <v>398</v>
      </c>
      <c r="R133" s="124">
        <v>1</v>
      </c>
      <c r="S133" s="111">
        <v>0.05</v>
      </c>
      <c r="T133" s="147">
        <v>1</v>
      </c>
      <c r="U133" s="164">
        <f t="shared" si="9"/>
        <v>0.05</v>
      </c>
      <c r="V133" s="231"/>
      <c r="W133" s="232"/>
      <c r="X133" s="223"/>
      <c r="Y133" s="216"/>
      <c r="AC133" s="106"/>
    </row>
    <row r="134" spans="1:29">
      <c r="A134" s="233">
        <v>43</v>
      </c>
      <c r="B134" s="233" t="s">
        <v>385</v>
      </c>
      <c r="C134" s="242" t="s">
        <v>386</v>
      </c>
      <c r="D134" s="233"/>
      <c r="E134" s="233"/>
      <c r="F134" s="233" t="s">
        <v>363</v>
      </c>
      <c r="G134" s="233">
        <v>271</v>
      </c>
      <c r="H134" s="233">
        <v>26</v>
      </c>
      <c r="I134" s="233">
        <v>2</v>
      </c>
      <c r="J134" s="229">
        <v>4.3</v>
      </c>
      <c r="K134" s="229">
        <v>2.5</v>
      </c>
      <c r="L134" s="245">
        <v>0.111</v>
      </c>
      <c r="M134" s="245">
        <v>7.3999999999999996E-2</v>
      </c>
      <c r="N134" s="245">
        <f>L134-M134</f>
        <v>3.7000000000000005E-2</v>
      </c>
      <c r="O134" s="247">
        <f>J134*L134-K134*N134</f>
        <v>0.38479999999999998</v>
      </c>
      <c r="P134" s="147" t="s">
        <v>364</v>
      </c>
      <c r="Q134" s="147" t="s">
        <v>383</v>
      </c>
      <c r="R134" s="147">
        <v>1</v>
      </c>
      <c r="S134" s="164">
        <v>0.05</v>
      </c>
      <c r="T134" s="147">
        <v>1</v>
      </c>
      <c r="U134" s="164">
        <f t="shared" si="9"/>
        <v>0.05</v>
      </c>
      <c r="V134" s="229">
        <v>1.1200000000000001</v>
      </c>
      <c r="W134" s="232">
        <f>(O134+SUM(U134:U136))*V134</f>
        <v>0.554176</v>
      </c>
      <c r="X134" s="250">
        <v>0.58409999999999995</v>
      </c>
      <c r="Y134" s="214">
        <f>1-W134/X134</f>
        <v>5.1230953603834894E-2</v>
      </c>
      <c r="AC134" s="106"/>
    </row>
    <row r="135" spans="1:29">
      <c r="A135" s="234"/>
      <c r="B135" s="234"/>
      <c r="C135" s="255"/>
      <c r="D135" s="234"/>
      <c r="E135" s="234"/>
      <c r="F135" s="234"/>
      <c r="G135" s="234"/>
      <c r="H135" s="234"/>
      <c r="I135" s="234"/>
      <c r="J135" s="230"/>
      <c r="K135" s="230"/>
      <c r="L135" s="253"/>
      <c r="M135" s="253"/>
      <c r="N135" s="253"/>
      <c r="O135" s="254"/>
      <c r="P135" s="147" t="s">
        <v>366</v>
      </c>
      <c r="Q135" s="147" t="s">
        <v>365</v>
      </c>
      <c r="R135" s="147">
        <v>1</v>
      </c>
      <c r="S135" s="164">
        <v>0.03</v>
      </c>
      <c r="T135" s="147">
        <v>1</v>
      </c>
      <c r="U135" s="164">
        <f t="shared" si="9"/>
        <v>0.03</v>
      </c>
      <c r="V135" s="230"/>
      <c r="W135" s="232"/>
      <c r="X135" s="251"/>
      <c r="Y135" s="215"/>
      <c r="AC135" s="106"/>
    </row>
    <row r="136" spans="1:29">
      <c r="A136" s="235"/>
      <c r="B136" s="235"/>
      <c r="C136" s="243"/>
      <c r="D136" s="235"/>
      <c r="E136" s="235"/>
      <c r="F136" s="235"/>
      <c r="G136" s="235"/>
      <c r="H136" s="235"/>
      <c r="I136" s="235"/>
      <c r="J136" s="231"/>
      <c r="K136" s="231"/>
      <c r="L136" s="246"/>
      <c r="M136" s="246"/>
      <c r="N136" s="246"/>
      <c r="O136" s="248"/>
      <c r="P136" s="147" t="s">
        <v>368</v>
      </c>
      <c r="Q136" s="147" t="s">
        <v>365</v>
      </c>
      <c r="R136" s="147">
        <v>1</v>
      </c>
      <c r="S136" s="164">
        <v>0.03</v>
      </c>
      <c r="T136" s="147">
        <v>1</v>
      </c>
      <c r="U136" s="164">
        <f t="shared" si="9"/>
        <v>0.03</v>
      </c>
      <c r="V136" s="231"/>
      <c r="W136" s="232"/>
      <c r="X136" s="252"/>
      <c r="Y136" s="216"/>
      <c r="AC136" s="106"/>
    </row>
    <row r="137" spans="1:29">
      <c r="A137" s="240">
        <v>44</v>
      </c>
      <c r="B137" s="240" t="s">
        <v>160</v>
      </c>
      <c r="C137" s="241" t="s">
        <v>161</v>
      </c>
      <c r="D137" s="241"/>
      <c r="E137" s="241"/>
      <c r="F137" s="249" t="s">
        <v>445</v>
      </c>
      <c r="G137" s="240">
        <v>120</v>
      </c>
      <c r="H137" s="240">
        <v>84</v>
      </c>
      <c r="I137" s="240">
        <v>3</v>
      </c>
      <c r="J137" s="232">
        <v>4.5999999999999996</v>
      </c>
      <c r="K137" s="232">
        <v>2.5</v>
      </c>
      <c r="L137" s="238">
        <v>0.23599999999999999</v>
      </c>
      <c r="M137" s="238">
        <v>0.16400000000000001</v>
      </c>
      <c r="N137" s="238">
        <f>L137-M137</f>
        <v>7.1999999999999981E-2</v>
      </c>
      <c r="O137" s="239">
        <f>J137*L137-K137*N137</f>
        <v>0.90559999999999996</v>
      </c>
      <c r="P137" s="147" t="s">
        <v>364</v>
      </c>
      <c r="Q137" s="147" t="s">
        <v>383</v>
      </c>
      <c r="R137" s="147">
        <v>1</v>
      </c>
      <c r="S137" s="164">
        <v>0.05</v>
      </c>
      <c r="T137" s="147">
        <v>1</v>
      </c>
      <c r="U137" s="164">
        <f t="shared" si="9"/>
        <v>0.05</v>
      </c>
      <c r="V137" s="229">
        <v>1.1200000000000001</v>
      </c>
      <c r="W137" s="232">
        <f>(O137+SUM(U137:U138))*V137</f>
        <v>1.1262720000000002</v>
      </c>
      <c r="X137" s="222">
        <v>1.1062000000000001</v>
      </c>
      <c r="Y137" s="218">
        <f>1-W137/X137</f>
        <v>-1.8145000903995845E-2</v>
      </c>
      <c r="AC137" s="106"/>
    </row>
    <row r="138" spans="1:29">
      <c r="A138" s="240"/>
      <c r="B138" s="240"/>
      <c r="C138" s="241"/>
      <c r="D138" s="241"/>
      <c r="E138" s="241"/>
      <c r="F138" s="241"/>
      <c r="G138" s="240"/>
      <c r="H138" s="240"/>
      <c r="I138" s="240"/>
      <c r="J138" s="232"/>
      <c r="K138" s="232"/>
      <c r="L138" s="238"/>
      <c r="M138" s="238"/>
      <c r="N138" s="238"/>
      <c r="O138" s="239"/>
      <c r="P138" s="147" t="s">
        <v>368</v>
      </c>
      <c r="Q138" s="147" t="s">
        <v>383</v>
      </c>
      <c r="R138" s="147">
        <v>1</v>
      </c>
      <c r="S138" s="164">
        <v>0.05</v>
      </c>
      <c r="T138" s="147">
        <v>1</v>
      </c>
      <c r="U138" s="164">
        <f t="shared" si="9"/>
        <v>0.05</v>
      </c>
      <c r="V138" s="231"/>
      <c r="W138" s="232"/>
      <c r="X138" s="222"/>
      <c r="Y138" s="218"/>
      <c r="AC138" s="106"/>
    </row>
    <row r="139" spans="1:29">
      <c r="A139" s="240">
        <v>45</v>
      </c>
      <c r="B139" s="240" t="s">
        <v>163</v>
      </c>
      <c r="C139" s="241" t="s">
        <v>164</v>
      </c>
      <c r="D139" s="241"/>
      <c r="E139" s="241"/>
      <c r="F139" s="249" t="s">
        <v>445</v>
      </c>
      <c r="G139" s="240">
        <v>120</v>
      </c>
      <c r="H139" s="240">
        <v>84</v>
      </c>
      <c r="I139" s="240">
        <v>3</v>
      </c>
      <c r="J139" s="232">
        <v>4.5999999999999996</v>
      </c>
      <c r="K139" s="232">
        <v>2.5</v>
      </c>
      <c r="L139" s="238">
        <v>0.23599999999999999</v>
      </c>
      <c r="M139" s="238">
        <v>0.16400000000000001</v>
      </c>
      <c r="N139" s="238">
        <f>L139-M139</f>
        <v>7.1999999999999981E-2</v>
      </c>
      <c r="O139" s="239">
        <f>J139*L139-K139*N139</f>
        <v>0.90559999999999996</v>
      </c>
      <c r="P139" s="147" t="s">
        <v>364</v>
      </c>
      <c r="Q139" s="147" t="s">
        <v>383</v>
      </c>
      <c r="R139" s="147">
        <v>1</v>
      </c>
      <c r="S139" s="164">
        <v>0.05</v>
      </c>
      <c r="T139" s="147">
        <v>1</v>
      </c>
      <c r="U139" s="164">
        <f t="shared" si="9"/>
        <v>0.05</v>
      </c>
      <c r="V139" s="229">
        <v>1.1200000000000001</v>
      </c>
      <c r="W139" s="232">
        <f>(O139+SUM(U139:U140))*V139</f>
        <v>1.1262720000000002</v>
      </c>
      <c r="X139" s="222">
        <v>1.1062000000000001</v>
      </c>
      <c r="Y139" s="218">
        <f>1-W139/X139</f>
        <v>-1.8145000903995845E-2</v>
      </c>
    </row>
    <row r="140" spans="1:29">
      <c r="A140" s="240"/>
      <c r="B140" s="240"/>
      <c r="C140" s="241"/>
      <c r="D140" s="241"/>
      <c r="E140" s="241"/>
      <c r="F140" s="241"/>
      <c r="G140" s="240"/>
      <c r="H140" s="240"/>
      <c r="I140" s="240"/>
      <c r="J140" s="232"/>
      <c r="K140" s="232"/>
      <c r="L140" s="238"/>
      <c r="M140" s="238"/>
      <c r="N140" s="238"/>
      <c r="O140" s="239"/>
      <c r="P140" s="147" t="s">
        <v>368</v>
      </c>
      <c r="Q140" s="147" t="s">
        <v>383</v>
      </c>
      <c r="R140" s="147">
        <v>1</v>
      </c>
      <c r="S140" s="164">
        <v>0.05</v>
      </c>
      <c r="T140" s="147">
        <v>1</v>
      </c>
      <c r="U140" s="164">
        <f t="shared" si="9"/>
        <v>0.05</v>
      </c>
      <c r="V140" s="231"/>
      <c r="W140" s="232"/>
      <c r="X140" s="222"/>
      <c r="Y140" s="218"/>
    </row>
    <row r="141" spans="1:29">
      <c r="A141" s="259">
        <v>46</v>
      </c>
      <c r="B141" s="259" t="s">
        <v>166</v>
      </c>
      <c r="C141" s="263" t="s">
        <v>167</v>
      </c>
      <c r="D141" s="259"/>
      <c r="E141" s="259"/>
      <c r="F141" s="259" t="s">
        <v>414</v>
      </c>
      <c r="G141" s="259">
        <v>72</v>
      </c>
      <c r="H141" s="259">
        <v>60</v>
      </c>
      <c r="I141" s="259">
        <v>3</v>
      </c>
      <c r="J141" s="261">
        <v>4.3</v>
      </c>
      <c r="K141" s="261">
        <v>2.5</v>
      </c>
      <c r="L141" s="259">
        <v>0.10199999999999999</v>
      </c>
      <c r="M141" s="259">
        <v>5.8000000000000003E-2</v>
      </c>
      <c r="N141" s="259">
        <v>4.3999999999999991E-2</v>
      </c>
      <c r="O141" s="239">
        <f>J141*L141-K141*N141</f>
        <v>0.32859999999999995</v>
      </c>
      <c r="P141" s="48" t="s">
        <v>395</v>
      </c>
      <c r="Q141" s="48" t="s">
        <v>398</v>
      </c>
      <c r="R141" s="124">
        <v>1</v>
      </c>
      <c r="S141" s="111">
        <v>0.05</v>
      </c>
      <c r="T141" s="147">
        <v>1</v>
      </c>
      <c r="U141" s="164">
        <f t="shared" si="9"/>
        <v>0.05</v>
      </c>
      <c r="V141" s="229">
        <v>1.1200000000000001</v>
      </c>
      <c r="W141" s="232">
        <f>(O141+SUM(U141:U142))*V141</f>
        <v>0.48003200000000001</v>
      </c>
      <c r="X141" s="257">
        <v>0.49480000000000002</v>
      </c>
      <c r="Y141" s="218">
        <f>1-W141/X141</f>
        <v>2.9846402586903853E-2</v>
      </c>
      <c r="AC141" s="106"/>
    </row>
    <row r="142" spans="1:29">
      <c r="A142" s="260"/>
      <c r="B142" s="260"/>
      <c r="C142" s="265"/>
      <c r="D142" s="260"/>
      <c r="E142" s="260"/>
      <c r="F142" s="260"/>
      <c r="G142" s="260"/>
      <c r="H142" s="260"/>
      <c r="I142" s="260"/>
      <c r="J142" s="262"/>
      <c r="K142" s="262"/>
      <c r="L142" s="260"/>
      <c r="M142" s="260"/>
      <c r="N142" s="260"/>
      <c r="O142" s="239"/>
      <c r="P142" s="48" t="s">
        <v>399</v>
      </c>
      <c r="Q142" s="48" t="s">
        <v>398</v>
      </c>
      <c r="R142" s="124">
        <v>1</v>
      </c>
      <c r="S142" s="111">
        <v>0.05</v>
      </c>
      <c r="T142" s="147">
        <v>1</v>
      </c>
      <c r="U142" s="164">
        <f t="shared" si="9"/>
        <v>0.05</v>
      </c>
      <c r="V142" s="231"/>
      <c r="W142" s="232"/>
      <c r="X142" s="258"/>
      <c r="Y142" s="218"/>
      <c r="AC142" s="106"/>
    </row>
    <row r="143" spans="1:29">
      <c r="A143" s="240">
        <v>47</v>
      </c>
      <c r="B143" s="240" t="s">
        <v>391</v>
      </c>
      <c r="C143" s="241" t="s">
        <v>392</v>
      </c>
      <c r="D143" s="240"/>
      <c r="E143" s="240"/>
      <c r="F143" s="240" t="s">
        <v>363</v>
      </c>
      <c r="G143" s="240">
        <v>55</v>
      </c>
      <c r="H143" s="240">
        <v>36</v>
      </c>
      <c r="I143" s="240">
        <v>3</v>
      </c>
      <c r="J143" s="232">
        <v>4.3</v>
      </c>
      <c r="K143" s="232">
        <v>2.5</v>
      </c>
      <c r="L143" s="238">
        <v>4.7E-2</v>
      </c>
      <c r="M143" s="238">
        <v>1.7000000000000001E-2</v>
      </c>
      <c r="N143" s="238">
        <f>L143-M143</f>
        <v>0.03</v>
      </c>
      <c r="O143" s="239">
        <f>J143*L143-K143*N143</f>
        <v>0.12709999999999999</v>
      </c>
      <c r="P143" s="147" t="s">
        <v>364</v>
      </c>
      <c r="Q143" s="147" t="s">
        <v>365</v>
      </c>
      <c r="R143" s="147">
        <v>1</v>
      </c>
      <c r="S143" s="164">
        <v>0.03</v>
      </c>
      <c r="T143" s="147">
        <v>1</v>
      </c>
      <c r="U143" s="164">
        <f t="shared" si="9"/>
        <v>0.03</v>
      </c>
      <c r="V143" s="229">
        <v>1.18</v>
      </c>
      <c r="W143" s="232">
        <f>(O143+SUM(U143:U144))*V143</f>
        <v>0.22077799999999997</v>
      </c>
      <c r="X143" s="222">
        <v>0.2009</v>
      </c>
      <c r="Y143" s="218">
        <f>1-W143/X143</f>
        <v>-9.8944748631159651E-2</v>
      </c>
      <c r="AC143" s="106"/>
    </row>
    <row r="144" spans="1:29">
      <c r="A144" s="240"/>
      <c r="B144" s="240"/>
      <c r="C144" s="241"/>
      <c r="D144" s="240"/>
      <c r="E144" s="240"/>
      <c r="F144" s="240"/>
      <c r="G144" s="240"/>
      <c r="H144" s="240"/>
      <c r="I144" s="240"/>
      <c r="J144" s="232"/>
      <c r="K144" s="232"/>
      <c r="L144" s="238"/>
      <c r="M144" s="238"/>
      <c r="N144" s="238"/>
      <c r="O144" s="239"/>
      <c r="P144" s="147" t="s">
        <v>366</v>
      </c>
      <c r="Q144" s="147" t="s">
        <v>365</v>
      </c>
      <c r="R144" s="147">
        <v>1</v>
      </c>
      <c r="S144" s="164">
        <v>0.03</v>
      </c>
      <c r="T144" s="147">
        <v>1</v>
      </c>
      <c r="U144" s="164">
        <f t="shared" si="9"/>
        <v>0.03</v>
      </c>
      <c r="V144" s="231"/>
      <c r="W144" s="232"/>
      <c r="X144" s="222"/>
      <c r="Y144" s="218"/>
      <c r="AC144" s="106"/>
    </row>
    <row r="145" spans="1:30">
      <c r="A145" s="233">
        <v>48</v>
      </c>
      <c r="B145" s="233" t="s">
        <v>389</v>
      </c>
      <c r="C145" s="242" t="s">
        <v>390</v>
      </c>
      <c r="D145" s="233"/>
      <c r="E145" s="233"/>
      <c r="F145" s="233" t="s">
        <v>363</v>
      </c>
      <c r="G145" s="233">
        <v>35</v>
      </c>
      <c r="H145" s="233">
        <v>35</v>
      </c>
      <c r="I145" s="233">
        <v>1</v>
      </c>
      <c r="J145" s="229">
        <v>4.3</v>
      </c>
      <c r="K145" s="229">
        <v>2.5</v>
      </c>
      <c r="L145" s="245">
        <v>8.9999999999999993E-3</v>
      </c>
      <c r="M145" s="245">
        <v>5.0000000000000001E-3</v>
      </c>
      <c r="N145" s="245">
        <f>L145-M145</f>
        <v>3.9999999999999992E-3</v>
      </c>
      <c r="O145" s="247">
        <f>J145*L145-K145*N145</f>
        <v>2.87E-2</v>
      </c>
      <c r="P145" s="147" t="s">
        <v>364</v>
      </c>
      <c r="Q145" s="147" t="s">
        <v>365</v>
      </c>
      <c r="R145" s="147">
        <v>1</v>
      </c>
      <c r="S145" s="164">
        <v>0.03</v>
      </c>
      <c r="T145" s="147">
        <v>1</v>
      </c>
      <c r="U145" s="164">
        <f t="shared" si="9"/>
        <v>0.03</v>
      </c>
      <c r="V145" s="229">
        <v>1.18</v>
      </c>
      <c r="W145" s="232">
        <f>(O145+SUM(U145:U147))*V145</f>
        <v>0.151866</v>
      </c>
      <c r="X145" s="222">
        <v>0.16009999999999999</v>
      </c>
      <c r="Y145" s="214">
        <f>1-W145/X145</f>
        <v>5.1430356027482804E-2</v>
      </c>
      <c r="AC145" s="106"/>
    </row>
    <row r="146" spans="1:30">
      <c r="A146" s="234"/>
      <c r="B146" s="234"/>
      <c r="C146" s="255"/>
      <c r="D146" s="234"/>
      <c r="E146" s="234"/>
      <c r="F146" s="234"/>
      <c r="G146" s="234"/>
      <c r="H146" s="234"/>
      <c r="I146" s="234"/>
      <c r="J146" s="230"/>
      <c r="K146" s="230"/>
      <c r="L146" s="253"/>
      <c r="M146" s="253"/>
      <c r="N146" s="253"/>
      <c r="O146" s="254"/>
      <c r="P146" s="147" t="s">
        <v>387</v>
      </c>
      <c r="Q146" s="147" t="s">
        <v>388</v>
      </c>
      <c r="R146" s="147">
        <v>1</v>
      </c>
      <c r="S146" s="164">
        <v>0.04</v>
      </c>
      <c r="T146" s="147">
        <v>1</v>
      </c>
      <c r="U146" s="164">
        <f t="shared" si="9"/>
        <v>0.04</v>
      </c>
      <c r="V146" s="230"/>
      <c r="W146" s="232"/>
      <c r="X146" s="222"/>
      <c r="Y146" s="215"/>
      <c r="AC146" s="106"/>
    </row>
    <row r="147" spans="1:30">
      <c r="A147" s="235"/>
      <c r="B147" s="235"/>
      <c r="C147" s="243"/>
      <c r="D147" s="235"/>
      <c r="E147" s="235"/>
      <c r="F147" s="235"/>
      <c r="G147" s="235"/>
      <c r="H147" s="235"/>
      <c r="I147" s="235"/>
      <c r="J147" s="231"/>
      <c r="K147" s="231"/>
      <c r="L147" s="246"/>
      <c r="M147" s="246"/>
      <c r="N147" s="246"/>
      <c r="O147" s="248"/>
      <c r="P147" s="147" t="s">
        <v>366</v>
      </c>
      <c r="Q147" s="147" t="s">
        <v>365</v>
      </c>
      <c r="R147" s="147">
        <v>1</v>
      </c>
      <c r="S147" s="164">
        <v>0.03</v>
      </c>
      <c r="T147" s="147">
        <v>1</v>
      </c>
      <c r="U147" s="164">
        <f t="shared" si="9"/>
        <v>0.03</v>
      </c>
      <c r="V147" s="231"/>
      <c r="W147" s="232"/>
      <c r="X147" s="222"/>
      <c r="Y147" s="216"/>
      <c r="AC147" s="106"/>
    </row>
    <row r="148" spans="1:30">
      <c r="A148" s="240">
        <v>49</v>
      </c>
      <c r="B148" s="240" t="s">
        <v>393</v>
      </c>
      <c r="C148" s="241" t="s">
        <v>394</v>
      </c>
      <c r="D148" s="240"/>
      <c r="E148" s="240"/>
      <c r="F148" s="240" t="s">
        <v>363</v>
      </c>
      <c r="G148" s="240">
        <v>35</v>
      </c>
      <c r="H148" s="240">
        <v>35</v>
      </c>
      <c r="I148" s="240">
        <v>2</v>
      </c>
      <c r="J148" s="232">
        <v>4.3</v>
      </c>
      <c r="K148" s="232">
        <v>2.5</v>
      </c>
      <c r="L148" s="238">
        <v>1.9E-2</v>
      </c>
      <c r="M148" s="238">
        <v>8.9999999999999993E-3</v>
      </c>
      <c r="N148" s="238">
        <f>L148-M148</f>
        <v>0.01</v>
      </c>
      <c r="O148" s="239">
        <f>J148*L148-K148*N148</f>
        <v>5.6699999999999993E-2</v>
      </c>
      <c r="P148" s="147" t="s">
        <v>364</v>
      </c>
      <c r="Q148" s="147" t="s">
        <v>388</v>
      </c>
      <c r="R148" s="147">
        <v>1</v>
      </c>
      <c r="S148" s="164">
        <v>0.04</v>
      </c>
      <c r="T148" s="147">
        <v>1</v>
      </c>
      <c r="U148" s="164">
        <f t="shared" si="9"/>
        <v>0.04</v>
      </c>
      <c r="V148" s="229">
        <v>1.18</v>
      </c>
      <c r="W148" s="232">
        <f>(O148+SUM(U148:U149))*V148</f>
        <v>0.16130599999999998</v>
      </c>
      <c r="X148" s="222">
        <v>0.15040000000000001</v>
      </c>
      <c r="Y148" s="218">
        <f>1-W148/X148</f>
        <v>-7.2513297872340177E-2</v>
      </c>
      <c r="AC148" s="106"/>
    </row>
    <row r="149" spans="1:30">
      <c r="A149" s="240"/>
      <c r="B149" s="240"/>
      <c r="C149" s="241"/>
      <c r="D149" s="240"/>
      <c r="E149" s="240"/>
      <c r="F149" s="240"/>
      <c r="G149" s="240"/>
      <c r="H149" s="240"/>
      <c r="I149" s="240"/>
      <c r="J149" s="232"/>
      <c r="K149" s="232"/>
      <c r="L149" s="238"/>
      <c r="M149" s="238"/>
      <c r="N149" s="238"/>
      <c r="O149" s="239"/>
      <c r="P149" s="147" t="s">
        <v>368</v>
      </c>
      <c r="Q149" s="147" t="s">
        <v>388</v>
      </c>
      <c r="R149" s="147">
        <v>1</v>
      </c>
      <c r="S149" s="164">
        <v>0.04</v>
      </c>
      <c r="T149" s="147">
        <v>1</v>
      </c>
      <c r="U149" s="164">
        <f t="shared" si="9"/>
        <v>0.04</v>
      </c>
      <c r="V149" s="231"/>
      <c r="W149" s="232"/>
      <c r="X149" s="222"/>
      <c r="Y149" s="218"/>
      <c r="AC149" s="106"/>
    </row>
    <row r="150" spans="1:30">
      <c r="A150" s="240">
        <v>61</v>
      </c>
      <c r="B150" s="240" t="s">
        <v>417</v>
      </c>
      <c r="C150" s="241" t="s">
        <v>418</v>
      </c>
      <c r="D150" s="241"/>
      <c r="E150" s="241"/>
      <c r="F150" s="233" t="s">
        <v>363</v>
      </c>
      <c r="G150" s="240">
        <v>79</v>
      </c>
      <c r="H150" s="240">
        <v>59</v>
      </c>
      <c r="I150" s="240">
        <v>4</v>
      </c>
      <c r="J150" s="232">
        <v>4.3</v>
      </c>
      <c r="K150" s="232">
        <v>2.5</v>
      </c>
      <c r="L150" s="238">
        <v>0.13400000000000001</v>
      </c>
      <c r="M150" s="238">
        <v>0.1</v>
      </c>
      <c r="N150" s="238">
        <f t="shared" ref="N150" si="10">L150-M150</f>
        <v>3.4000000000000002E-2</v>
      </c>
      <c r="O150" s="239">
        <f>L150*J150-N150*K150</f>
        <v>0.49120000000000003</v>
      </c>
      <c r="P150" s="115" t="s">
        <v>364</v>
      </c>
      <c r="Q150" s="115" t="s">
        <v>415</v>
      </c>
      <c r="R150" s="151">
        <v>1</v>
      </c>
      <c r="S150" s="164">
        <v>0.03</v>
      </c>
      <c r="T150" s="147">
        <v>1</v>
      </c>
      <c r="U150" s="164">
        <f t="shared" si="9"/>
        <v>0.03</v>
      </c>
      <c r="V150" s="229">
        <v>1.18</v>
      </c>
      <c r="W150" s="232">
        <f>(O150+SUM(U150:U151))*V150</f>
        <v>0.65041599999999999</v>
      </c>
      <c r="X150" s="240">
        <v>0.5171</v>
      </c>
      <c r="Y150" s="218">
        <f>1-W150/X150</f>
        <v>-0.25781473602784755</v>
      </c>
      <c r="AA150" s="106"/>
    </row>
    <row r="151" spans="1:30">
      <c r="A151" s="240"/>
      <c r="B151" s="240"/>
      <c r="C151" s="241"/>
      <c r="D151" s="241"/>
      <c r="E151" s="241"/>
      <c r="F151" s="235"/>
      <c r="G151" s="240"/>
      <c r="H151" s="240"/>
      <c r="I151" s="240"/>
      <c r="J151" s="232"/>
      <c r="K151" s="232"/>
      <c r="L151" s="238"/>
      <c r="M151" s="238"/>
      <c r="N151" s="238"/>
      <c r="O151" s="239"/>
      <c r="P151" s="148" t="s">
        <v>368</v>
      </c>
      <c r="Q151" s="148" t="s">
        <v>416</v>
      </c>
      <c r="R151" s="151">
        <v>1</v>
      </c>
      <c r="S151" s="171">
        <v>0.03</v>
      </c>
      <c r="T151" s="147">
        <v>1</v>
      </c>
      <c r="U151" s="164">
        <f t="shared" si="9"/>
        <v>0.03</v>
      </c>
      <c r="V151" s="231"/>
      <c r="W151" s="232"/>
      <c r="X151" s="240"/>
      <c r="Y151" s="218"/>
    </row>
    <row r="152" spans="1:30">
      <c r="A152" s="233">
        <v>62</v>
      </c>
      <c r="B152" s="233" t="s">
        <v>214</v>
      </c>
      <c r="C152" s="242" t="s">
        <v>215</v>
      </c>
      <c r="D152" s="233"/>
      <c r="E152" s="233"/>
      <c r="F152" s="232" t="s">
        <v>363</v>
      </c>
      <c r="G152" s="233">
        <v>150</v>
      </c>
      <c r="H152" s="233">
        <v>72</v>
      </c>
      <c r="I152" s="233">
        <v>1.5</v>
      </c>
      <c r="J152" s="229">
        <v>4.3</v>
      </c>
      <c r="K152" s="229">
        <v>2.5</v>
      </c>
      <c r="L152" s="233">
        <v>0.08</v>
      </c>
      <c r="M152" s="233">
        <v>5.2999999999999999E-2</v>
      </c>
      <c r="N152" s="233">
        <f t="shared" ref="N152" si="11">L152-M152</f>
        <v>2.7000000000000003E-2</v>
      </c>
      <c r="O152" s="247">
        <f>L152*J152-N152*K152</f>
        <v>0.27649999999999997</v>
      </c>
      <c r="P152" s="115" t="s">
        <v>364</v>
      </c>
      <c r="Q152" s="115" t="s">
        <v>415</v>
      </c>
      <c r="R152" s="151">
        <v>1</v>
      </c>
      <c r="S152" s="164">
        <v>0.03</v>
      </c>
      <c r="T152" s="147">
        <v>1</v>
      </c>
      <c r="U152" s="164">
        <f t="shared" si="9"/>
        <v>0.03</v>
      </c>
      <c r="V152" s="229">
        <v>1.18</v>
      </c>
      <c r="W152" s="232">
        <f>(O152+SUM(U152:U153))*V152+U154*1.03</f>
        <v>0.47431999999999991</v>
      </c>
      <c r="X152" s="233">
        <v>0.44319999999999998</v>
      </c>
      <c r="Y152" s="214">
        <f>1-W152/X152</f>
        <v>-7.0216606498194833E-2</v>
      </c>
      <c r="AA152" s="106"/>
    </row>
    <row r="153" spans="1:30">
      <c r="A153" s="234"/>
      <c r="B153" s="234"/>
      <c r="C153" s="255"/>
      <c r="D153" s="234"/>
      <c r="E153" s="234"/>
      <c r="F153" s="232"/>
      <c r="G153" s="234"/>
      <c r="H153" s="234"/>
      <c r="I153" s="234"/>
      <c r="J153" s="230"/>
      <c r="K153" s="230"/>
      <c r="L153" s="234"/>
      <c r="M153" s="234"/>
      <c r="N153" s="234"/>
      <c r="O153" s="254"/>
      <c r="P153" s="148" t="s">
        <v>368</v>
      </c>
      <c r="Q153" s="148" t="s">
        <v>416</v>
      </c>
      <c r="R153" s="151">
        <v>1</v>
      </c>
      <c r="S153" s="171">
        <v>0.03</v>
      </c>
      <c r="T153" s="147">
        <v>1</v>
      </c>
      <c r="U153" s="164">
        <f t="shared" si="9"/>
        <v>0.03</v>
      </c>
      <c r="V153" s="230"/>
      <c r="W153" s="232"/>
      <c r="X153" s="234"/>
      <c r="Y153" s="215"/>
    </row>
    <row r="154" spans="1:30">
      <c r="A154" s="235"/>
      <c r="B154" s="235"/>
      <c r="C154" s="243"/>
      <c r="D154" s="235"/>
      <c r="E154" s="235"/>
      <c r="F154" s="232"/>
      <c r="G154" s="235"/>
      <c r="H154" s="235"/>
      <c r="I154" s="235"/>
      <c r="J154" s="231"/>
      <c r="K154" s="231"/>
      <c r="L154" s="235"/>
      <c r="M154" s="235"/>
      <c r="N154" s="235"/>
      <c r="O154" s="248"/>
      <c r="P154" s="95" t="s">
        <v>419</v>
      </c>
      <c r="Q154" s="100"/>
      <c r="R154" s="151">
        <v>1</v>
      </c>
      <c r="S154" s="171">
        <v>7.4999999999999997E-2</v>
      </c>
      <c r="T154" s="147">
        <v>1</v>
      </c>
      <c r="U154" s="164">
        <f t="shared" si="9"/>
        <v>7.4999999999999997E-2</v>
      </c>
      <c r="V154" s="231"/>
      <c r="W154" s="232"/>
      <c r="X154" s="235"/>
      <c r="Y154" s="216"/>
    </row>
    <row r="155" spans="1:30">
      <c r="A155" s="240">
        <v>63</v>
      </c>
      <c r="B155" s="240" t="s">
        <v>217</v>
      </c>
      <c r="C155" s="241" t="s">
        <v>218</v>
      </c>
      <c r="D155" s="240"/>
      <c r="E155" s="240"/>
      <c r="F155" s="232" t="s">
        <v>363</v>
      </c>
      <c r="G155" s="240">
        <v>78</v>
      </c>
      <c r="H155" s="240">
        <v>21</v>
      </c>
      <c r="I155" s="240">
        <v>1.5</v>
      </c>
      <c r="J155" s="232">
        <v>4.3</v>
      </c>
      <c r="K155" s="232">
        <v>2.5</v>
      </c>
      <c r="L155" s="240">
        <v>1.2999999999999999E-2</v>
      </c>
      <c r="M155" s="240">
        <v>1.0999999999999999E-2</v>
      </c>
      <c r="N155" s="240">
        <f t="shared" ref="N155" si="12">L155-M155</f>
        <v>2E-3</v>
      </c>
      <c r="O155" s="239">
        <f>L155*J155-N155*K155</f>
        <v>5.0900000000000001E-2</v>
      </c>
      <c r="P155" s="95" t="s">
        <v>364</v>
      </c>
      <c r="Q155" s="95" t="s">
        <v>416</v>
      </c>
      <c r="R155" s="151">
        <v>1</v>
      </c>
      <c r="S155" s="169">
        <v>0.03</v>
      </c>
      <c r="T155" s="147">
        <v>1</v>
      </c>
      <c r="U155" s="164">
        <f t="shared" si="9"/>
        <v>0.03</v>
      </c>
      <c r="V155" s="229">
        <v>1.18</v>
      </c>
      <c r="W155" s="232">
        <f>(O155+SUM(U155:U157))*V155</f>
        <v>0.14266200000000001</v>
      </c>
      <c r="X155" s="240">
        <v>0.1231</v>
      </c>
      <c r="Y155" s="214">
        <f>1-W155/X155</f>
        <v>-0.15891145410235596</v>
      </c>
      <c r="AA155" s="106"/>
    </row>
    <row r="156" spans="1:30">
      <c r="A156" s="240"/>
      <c r="B156" s="240"/>
      <c r="C156" s="241"/>
      <c r="D156" s="240"/>
      <c r="E156" s="240"/>
      <c r="F156" s="232"/>
      <c r="G156" s="240"/>
      <c r="H156" s="240"/>
      <c r="I156" s="240"/>
      <c r="J156" s="232"/>
      <c r="K156" s="232"/>
      <c r="L156" s="240"/>
      <c r="M156" s="240"/>
      <c r="N156" s="240"/>
      <c r="O156" s="239"/>
      <c r="P156" s="95" t="s">
        <v>368</v>
      </c>
      <c r="Q156" s="95" t="s">
        <v>420</v>
      </c>
      <c r="R156" s="151">
        <v>1</v>
      </c>
      <c r="S156" s="168">
        <v>0.02</v>
      </c>
      <c r="T156" s="147">
        <v>1</v>
      </c>
      <c r="U156" s="164">
        <f t="shared" si="9"/>
        <v>0.02</v>
      </c>
      <c r="V156" s="230"/>
      <c r="W156" s="232"/>
      <c r="X156" s="240"/>
      <c r="Y156" s="215"/>
    </row>
    <row r="157" spans="1:30">
      <c r="A157" s="240"/>
      <c r="B157" s="240"/>
      <c r="C157" s="241"/>
      <c r="D157" s="240"/>
      <c r="E157" s="240"/>
      <c r="F157" s="232"/>
      <c r="G157" s="240"/>
      <c r="H157" s="240"/>
      <c r="I157" s="240"/>
      <c r="J157" s="232"/>
      <c r="K157" s="232"/>
      <c r="L157" s="240"/>
      <c r="M157" s="240"/>
      <c r="N157" s="240"/>
      <c r="O157" s="239"/>
      <c r="P157" s="95" t="s">
        <v>368</v>
      </c>
      <c r="Q157" s="95" t="s">
        <v>420</v>
      </c>
      <c r="R157" s="151">
        <v>1</v>
      </c>
      <c r="S157" s="168">
        <v>0.02</v>
      </c>
      <c r="T157" s="147">
        <v>1</v>
      </c>
      <c r="U157" s="164">
        <f t="shared" si="9"/>
        <v>0.02</v>
      </c>
      <c r="V157" s="231"/>
      <c r="W157" s="232"/>
      <c r="X157" s="240"/>
      <c r="Y157" s="216"/>
    </row>
    <row r="158" spans="1:30">
      <c r="A158" s="240">
        <v>64</v>
      </c>
      <c r="B158" s="240" t="s">
        <v>220</v>
      </c>
      <c r="C158" s="241" t="s">
        <v>221</v>
      </c>
      <c r="D158" s="117" t="s">
        <v>421</v>
      </c>
      <c r="E158" s="150">
        <v>1</v>
      </c>
      <c r="F158" s="150" t="s">
        <v>422</v>
      </c>
      <c r="G158" s="117">
        <v>41</v>
      </c>
      <c r="H158" s="117">
        <v>28</v>
      </c>
      <c r="I158" s="117">
        <v>2</v>
      </c>
      <c r="J158" s="164">
        <v>4.3</v>
      </c>
      <c r="K158" s="164">
        <v>2.5</v>
      </c>
      <c r="L158" s="120">
        <v>1.7999999999999999E-2</v>
      </c>
      <c r="M158" s="120">
        <v>1.4E-2</v>
      </c>
      <c r="N158" s="120">
        <f>L158-M158</f>
        <v>3.9999999999999983E-3</v>
      </c>
      <c r="O158" s="164">
        <f>J158*L158-K158*N158</f>
        <v>6.7400000000000002E-2</v>
      </c>
      <c r="P158" s="150" t="s">
        <v>364</v>
      </c>
      <c r="Q158" s="150" t="s">
        <v>367</v>
      </c>
      <c r="R158" s="151">
        <v>1</v>
      </c>
      <c r="S158" s="164">
        <v>0.03</v>
      </c>
      <c r="T158" s="147">
        <v>1</v>
      </c>
      <c r="U158" s="164">
        <f>R158*S158/T158</f>
        <v>0.03</v>
      </c>
      <c r="V158" s="233">
        <v>1.18</v>
      </c>
      <c r="W158" s="232">
        <f>(O158+SUM(U158:U161))*V158+O160*1.03</f>
        <v>0.36231200000000002</v>
      </c>
      <c r="X158" s="222">
        <v>0.27910000000000001</v>
      </c>
      <c r="Y158" s="217">
        <f>1-W158/X158</f>
        <v>-0.29814403439627379</v>
      </c>
      <c r="Z158" s="104"/>
      <c r="AD158" s="106"/>
    </row>
    <row r="159" spans="1:30">
      <c r="A159" s="240"/>
      <c r="B159" s="240"/>
      <c r="C159" s="241"/>
      <c r="D159" s="117"/>
      <c r="E159" s="150"/>
      <c r="F159" s="150"/>
      <c r="G159" s="117"/>
      <c r="H159" s="117"/>
      <c r="I159" s="117"/>
      <c r="J159" s="164"/>
      <c r="K159" s="164"/>
      <c r="L159" s="120"/>
      <c r="M159" s="120"/>
      <c r="N159" s="120"/>
      <c r="O159" s="164"/>
      <c r="P159" s="150" t="s">
        <v>366</v>
      </c>
      <c r="Q159" s="150" t="s">
        <v>367</v>
      </c>
      <c r="R159" s="151">
        <v>1</v>
      </c>
      <c r="S159" s="164">
        <v>0.03</v>
      </c>
      <c r="T159" s="147">
        <v>1</v>
      </c>
      <c r="U159" s="164">
        <f>R159*S159/T159</f>
        <v>0.03</v>
      </c>
      <c r="V159" s="234"/>
      <c r="W159" s="232"/>
      <c r="X159" s="222"/>
      <c r="Y159" s="217"/>
      <c r="Z159" s="104"/>
      <c r="AD159" s="106"/>
    </row>
    <row r="160" spans="1:30">
      <c r="A160" s="240"/>
      <c r="B160" s="240"/>
      <c r="C160" s="241"/>
      <c r="D160" s="117" t="s">
        <v>423</v>
      </c>
      <c r="E160" s="150">
        <v>1</v>
      </c>
      <c r="F160" s="150"/>
      <c r="G160" s="117"/>
      <c r="H160" s="117"/>
      <c r="I160" s="117"/>
      <c r="J160" s="164">
        <v>0.05</v>
      </c>
      <c r="K160" s="164"/>
      <c r="L160" s="120"/>
      <c r="M160" s="120"/>
      <c r="N160" s="120"/>
      <c r="O160" s="164">
        <v>0.05</v>
      </c>
      <c r="P160" s="150" t="s">
        <v>413</v>
      </c>
      <c r="Q160" s="150"/>
      <c r="R160" s="151">
        <v>2</v>
      </c>
      <c r="S160" s="164">
        <v>0.05</v>
      </c>
      <c r="T160" s="147">
        <v>1</v>
      </c>
      <c r="U160" s="164">
        <f>R160*S160/T160</f>
        <v>0.1</v>
      </c>
      <c r="V160" s="234"/>
      <c r="W160" s="232"/>
      <c r="X160" s="222"/>
      <c r="Y160" s="217"/>
      <c r="Z160" s="104"/>
      <c r="AD160" s="106"/>
    </row>
    <row r="161" spans="1:30">
      <c r="A161" s="240"/>
      <c r="B161" s="240"/>
      <c r="C161" s="241"/>
      <c r="D161" s="117"/>
      <c r="E161" s="150"/>
      <c r="F161" s="150"/>
      <c r="G161" s="117"/>
      <c r="H161" s="117"/>
      <c r="I161" s="117"/>
      <c r="J161" s="164"/>
      <c r="K161" s="164"/>
      <c r="L161" s="120"/>
      <c r="M161" s="120"/>
      <c r="N161" s="120"/>
      <c r="O161" s="164"/>
      <c r="P161" s="150" t="s">
        <v>419</v>
      </c>
      <c r="Q161" s="150">
        <v>1.7999999999999999E-2</v>
      </c>
      <c r="R161" s="151">
        <v>1</v>
      </c>
      <c r="S161" s="164">
        <v>3.5999999999999997E-2</v>
      </c>
      <c r="T161" s="147">
        <v>1</v>
      </c>
      <c r="U161" s="164">
        <f>R161*S161/T161</f>
        <v>3.5999999999999997E-2</v>
      </c>
      <c r="V161" s="235"/>
      <c r="W161" s="232"/>
      <c r="X161" s="222"/>
      <c r="Y161" s="217"/>
      <c r="Z161" s="104"/>
      <c r="AD161" s="106"/>
    </row>
    <row r="162" spans="1:30">
      <c r="A162" s="240">
        <v>65</v>
      </c>
      <c r="B162" s="240" t="s">
        <v>223</v>
      </c>
      <c r="C162" s="241" t="s">
        <v>224</v>
      </c>
      <c r="D162" s="240"/>
      <c r="E162" s="240"/>
      <c r="F162" s="240" t="s">
        <v>414</v>
      </c>
      <c r="G162" s="240">
        <v>46</v>
      </c>
      <c r="H162" s="240">
        <v>46</v>
      </c>
      <c r="I162" s="240">
        <v>2</v>
      </c>
      <c r="J162" s="232">
        <v>4.3</v>
      </c>
      <c r="K162" s="232">
        <v>2.5</v>
      </c>
      <c r="L162" s="256">
        <v>3.2000000000000001E-2</v>
      </c>
      <c r="M162" s="256">
        <v>1.0999999999999999E-2</v>
      </c>
      <c r="N162" s="256">
        <f t="shared" ref="N162" si="13">L162-M162</f>
        <v>2.1000000000000001E-2</v>
      </c>
      <c r="O162" s="239">
        <f>L162*J162-N162*K162</f>
        <v>8.5099999999999995E-2</v>
      </c>
      <c r="P162" s="119" t="s">
        <v>364</v>
      </c>
      <c r="Q162" s="119" t="s">
        <v>367</v>
      </c>
      <c r="R162" s="151">
        <v>1</v>
      </c>
      <c r="S162" s="147">
        <v>0.03</v>
      </c>
      <c r="T162" s="147">
        <v>1</v>
      </c>
      <c r="U162" s="164">
        <f t="shared" si="9"/>
        <v>0.03</v>
      </c>
      <c r="V162" s="232">
        <v>1.18</v>
      </c>
      <c r="W162" s="232">
        <f>(O162+SUM(U162:U164))*V162</f>
        <v>0.19481799999999999</v>
      </c>
      <c r="X162" s="240">
        <v>0.15590000000000001</v>
      </c>
      <c r="Y162" s="214">
        <f>1-W162/X162</f>
        <v>-0.24963438101347002</v>
      </c>
      <c r="AA162" s="106"/>
    </row>
    <row r="163" spans="1:30">
      <c r="A163" s="240"/>
      <c r="B163" s="240"/>
      <c r="C163" s="241"/>
      <c r="D163" s="240"/>
      <c r="E163" s="240"/>
      <c r="F163" s="240"/>
      <c r="G163" s="240"/>
      <c r="H163" s="240"/>
      <c r="I163" s="240"/>
      <c r="J163" s="232"/>
      <c r="K163" s="232"/>
      <c r="L163" s="256"/>
      <c r="M163" s="256"/>
      <c r="N163" s="256"/>
      <c r="O163" s="239"/>
      <c r="P163" s="95" t="s">
        <v>366</v>
      </c>
      <c r="Q163" s="95" t="s">
        <v>420</v>
      </c>
      <c r="R163" s="151">
        <v>1</v>
      </c>
      <c r="S163" s="164">
        <v>0.02</v>
      </c>
      <c r="T163" s="147">
        <v>1</v>
      </c>
      <c r="U163" s="164">
        <f t="shared" si="9"/>
        <v>0.02</v>
      </c>
      <c r="V163" s="232"/>
      <c r="W163" s="232"/>
      <c r="X163" s="240"/>
      <c r="Y163" s="215"/>
    </row>
    <row r="164" spans="1:30">
      <c r="A164" s="240"/>
      <c r="B164" s="240"/>
      <c r="C164" s="241"/>
      <c r="D164" s="240"/>
      <c r="E164" s="240"/>
      <c r="F164" s="240"/>
      <c r="G164" s="240"/>
      <c r="H164" s="240"/>
      <c r="I164" s="240"/>
      <c r="J164" s="232"/>
      <c r="K164" s="232"/>
      <c r="L164" s="256"/>
      <c r="M164" s="256"/>
      <c r="N164" s="256"/>
      <c r="O164" s="239"/>
      <c r="P164" s="95" t="s">
        <v>368</v>
      </c>
      <c r="Q164" s="95" t="s">
        <v>416</v>
      </c>
      <c r="R164" s="151">
        <v>1</v>
      </c>
      <c r="S164" s="164">
        <v>0.03</v>
      </c>
      <c r="T164" s="147">
        <v>1</v>
      </c>
      <c r="U164" s="164">
        <f t="shared" si="9"/>
        <v>0.03</v>
      </c>
      <c r="V164" s="232"/>
      <c r="W164" s="232"/>
      <c r="X164" s="240"/>
      <c r="Y164" s="216"/>
    </row>
    <row r="165" spans="1:30">
      <c r="A165" s="233">
        <v>67</v>
      </c>
      <c r="B165" s="233" t="s">
        <v>499</v>
      </c>
      <c r="C165" s="242" t="s">
        <v>500</v>
      </c>
      <c r="D165" s="242"/>
      <c r="E165" s="242"/>
      <c r="F165" s="244" t="s">
        <v>445</v>
      </c>
      <c r="G165" s="233">
        <v>186</v>
      </c>
      <c r="H165" s="233">
        <v>28</v>
      </c>
      <c r="I165" s="233">
        <v>5</v>
      </c>
      <c r="J165" s="229">
        <v>4.5999999999999996</v>
      </c>
      <c r="K165" s="229">
        <v>2.5</v>
      </c>
      <c r="L165" s="245">
        <v>0.20399999999999999</v>
      </c>
      <c r="M165" s="245">
        <v>0.13</v>
      </c>
      <c r="N165" s="245">
        <f>L165-M165</f>
        <v>7.3999999999999982E-2</v>
      </c>
      <c r="O165" s="247">
        <f>J165*L165-K165*N165</f>
        <v>0.75339999999999996</v>
      </c>
      <c r="P165" s="147" t="s">
        <v>436</v>
      </c>
      <c r="Q165" s="147" t="s">
        <v>501</v>
      </c>
      <c r="R165" s="147">
        <v>1</v>
      </c>
      <c r="S165" s="164">
        <v>0.1</v>
      </c>
      <c r="T165" s="147">
        <v>1</v>
      </c>
      <c r="U165" s="164">
        <f>R165*S165/T165</f>
        <v>0.1</v>
      </c>
      <c r="V165" s="229">
        <v>1.1200000000000001</v>
      </c>
      <c r="W165" s="232">
        <f>(O165+SUM(U165:U166))*V165</f>
        <v>1.011808</v>
      </c>
      <c r="X165" s="240">
        <v>1.2722</v>
      </c>
      <c r="Y165" s="218">
        <f>1-W165/X165</f>
        <v>0.20467850966829115</v>
      </c>
    </row>
    <row r="166" spans="1:30">
      <c r="A166" s="235"/>
      <c r="B166" s="235"/>
      <c r="C166" s="243"/>
      <c r="D166" s="243"/>
      <c r="E166" s="243"/>
      <c r="F166" s="243"/>
      <c r="G166" s="235"/>
      <c r="H166" s="235"/>
      <c r="I166" s="235"/>
      <c r="J166" s="231"/>
      <c r="K166" s="231"/>
      <c r="L166" s="246"/>
      <c r="M166" s="246"/>
      <c r="N166" s="246"/>
      <c r="O166" s="248"/>
      <c r="P166" s="147" t="s">
        <v>502</v>
      </c>
      <c r="Q166" s="147" t="s">
        <v>427</v>
      </c>
      <c r="R166" s="147">
        <v>1</v>
      </c>
      <c r="S166" s="164">
        <v>0.05</v>
      </c>
      <c r="T166" s="147">
        <v>1</v>
      </c>
      <c r="U166" s="164">
        <f>R166*S166/T166</f>
        <v>0.05</v>
      </c>
      <c r="V166" s="231"/>
      <c r="W166" s="232"/>
      <c r="X166" s="240"/>
      <c r="Y166" s="218"/>
    </row>
    <row r="167" spans="1:30">
      <c r="A167" s="233">
        <v>70</v>
      </c>
      <c r="B167" s="232" t="s">
        <v>516</v>
      </c>
      <c r="C167" s="237" t="s">
        <v>517</v>
      </c>
      <c r="D167" s="232"/>
      <c r="E167" s="232"/>
      <c r="F167" s="232" t="s">
        <v>457</v>
      </c>
      <c r="G167" s="222">
        <v>19</v>
      </c>
      <c r="H167" s="222">
        <v>1.5</v>
      </c>
      <c r="I167" s="222">
        <v>60</v>
      </c>
      <c r="J167" s="232">
        <v>4.34</v>
      </c>
      <c r="K167" s="232">
        <v>2.5</v>
      </c>
      <c r="L167" s="238">
        <v>3.1E-2</v>
      </c>
      <c r="M167" s="238">
        <v>2.7E-2</v>
      </c>
      <c r="N167" s="238">
        <f>L167-M167</f>
        <v>4.0000000000000001E-3</v>
      </c>
      <c r="O167" s="239">
        <f>J167*L167-K167*N167</f>
        <v>0.12454</v>
      </c>
      <c r="P167" s="147" t="s">
        <v>514</v>
      </c>
      <c r="Q167" s="147"/>
      <c r="R167" s="147">
        <v>1</v>
      </c>
      <c r="S167" s="164">
        <v>0.05</v>
      </c>
      <c r="T167" s="147">
        <v>1</v>
      </c>
      <c r="U167" s="164">
        <f>R167*S167/T167</f>
        <v>0.05</v>
      </c>
      <c r="V167" s="229">
        <v>1.18</v>
      </c>
      <c r="W167" s="232">
        <f>(O167+SUM(U167:U169))*V167</f>
        <v>0.27675720000000004</v>
      </c>
      <c r="X167" s="222">
        <v>0.37759999999999999</v>
      </c>
      <c r="Y167" s="214">
        <f>1-W167/X167</f>
        <v>0.26706249999999987</v>
      </c>
    </row>
    <row r="168" spans="1:30">
      <c r="A168" s="234"/>
      <c r="B168" s="232"/>
      <c r="C168" s="237"/>
      <c r="D168" s="232"/>
      <c r="E168" s="232"/>
      <c r="F168" s="232"/>
      <c r="G168" s="222"/>
      <c r="H168" s="222"/>
      <c r="I168" s="222"/>
      <c r="J168" s="232"/>
      <c r="K168" s="232"/>
      <c r="L168" s="238"/>
      <c r="M168" s="238"/>
      <c r="N168" s="238"/>
      <c r="O168" s="239"/>
      <c r="P168" s="147" t="s">
        <v>515</v>
      </c>
      <c r="Q168" s="147" t="s">
        <v>420</v>
      </c>
      <c r="R168" s="147">
        <v>1</v>
      </c>
      <c r="S168" s="164">
        <v>0.02</v>
      </c>
      <c r="T168" s="147">
        <v>1</v>
      </c>
      <c r="U168" s="164">
        <f>R168*S168/T168</f>
        <v>0.02</v>
      </c>
      <c r="V168" s="230"/>
      <c r="W168" s="232"/>
      <c r="X168" s="222"/>
      <c r="Y168" s="215"/>
    </row>
    <row r="169" spans="1:30">
      <c r="A169" s="235"/>
      <c r="B169" s="232"/>
      <c r="C169" s="237"/>
      <c r="D169" s="232"/>
      <c r="E169" s="232"/>
      <c r="F169" s="232"/>
      <c r="G169" s="222"/>
      <c r="H169" s="222"/>
      <c r="I169" s="222"/>
      <c r="J169" s="232"/>
      <c r="K169" s="232"/>
      <c r="L169" s="238"/>
      <c r="M169" s="238"/>
      <c r="N169" s="238"/>
      <c r="O169" s="239"/>
      <c r="P169" s="147" t="s">
        <v>518</v>
      </c>
      <c r="Q169" s="147"/>
      <c r="R169" s="147">
        <v>1</v>
      </c>
      <c r="S169" s="164">
        <v>0.04</v>
      </c>
      <c r="T169" s="147">
        <v>1</v>
      </c>
      <c r="U169" s="164">
        <f>R169*S169/T169</f>
        <v>0.04</v>
      </c>
      <c r="V169" s="231"/>
      <c r="W169" s="232"/>
      <c r="X169" s="222"/>
      <c r="Y169" s="216"/>
    </row>
    <row r="170" spans="1:30">
      <c r="A170" s="240">
        <v>71</v>
      </c>
      <c r="B170" s="240" t="s">
        <v>239</v>
      </c>
      <c r="C170" s="241" t="s">
        <v>240</v>
      </c>
      <c r="D170" s="240"/>
      <c r="E170" s="240"/>
      <c r="F170" s="280" t="s">
        <v>457</v>
      </c>
      <c r="G170" s="240">
        <v>42</v>
      </c>
      <c r="H170" s="240">
        <v>25</v>
      </c>
      <c r="I170" s="240">
        <v>3</v>
      </c>
      <c r="J170" s="232">
        <v>4.3</v>
      </c>
      <c r="K170" s="232">
        <v>2.5</v>
      </c>
      <c r="L170" s="240">
        <v>2.5000000000000001E-2</v>
      </c>
      <c r="M170" s="240">
        <v>1.4999999999999999E-2</v>
      </c>
      <c r="N170" s="240">
        <f t="shared" ref="N170" si="14">L170-M170</f>
        <v>1.0000000000000002E-2</v>
      </c>
      <c r="O170" s="239">
        <f t="shared" ref="O170" si="15">L170*J170-N170*K170</f>
        <v>8.249999999999999E-2</v>
      </c>
      <c r="P170" s="147" t="s">
        <v>364</v>
      </c>
      <c r="Q170" s="149" t="s">
        <v>416</v>
      </c>
      <c r="R170" s="147">
        <v>1</v>
      </c>
      <c r="S170" s="164">
        <v>0.03</v>
      </c>
      <c r="T170" s="147">
        <v>1</v>
      </c>
      <c r="U170" s="164">
        <f t="shared" ref="U170:U233" si="16">R170*S170/T170</f>
        <v>0.03</v>
      </c>
      <c r="V170" s="229">
        <v>1.18</v>
      </c>
      <c r="W170" s="232">
        <f>(O170+SUM(U170:U172))*V170</f>
        <v>0.17995</v>
      </c>
      <c r="X170" s="222">
        <v>0.1888</v>
      </c>
      <c r="Y170" s="214">
        <f>1-W170/X170</f>
        <v>4.6875E-2</v>
      </c>
      <c r="AA170" s="106"/>
    </row>
    <row r="171" spans="1:30">
      <c r="A171" s="240"/>
      <c r="B171" s="240"/>
      <c r="C171" s="241"/>
      <c r="D171" s="240"/>
      <c r="E171" s="240"/>
      <c r="F171" s="240"/>
      <c r="G171" s="240"/>
      <c r="H171" s="240"/>
      <c r="I171" s="240"/>
      <c r="J171" s="232"/>
      <c r="K171" s="232"/>
      <c r="L171" s="240"/>
      <c r="M171" s="240"/>
      <c r="N171" s="240"/>
      <c r="O171" s="239"/>
      <c r="P171" s="147" t="s">
        <v>366</v>
      </c>
      <c r="Q171" s="147" t="s">
        <v>370</v>
      </c>
      <c r="R171" s="147">
        <v>1</v>
      </c>
      <c r="S171" s="164">
        <v>0.02</v>
      </c>
      <c r="T171" s="147">
        <v>1</v>
      </c>
      <c r="U171" s="164">
        <f t="shared" si="16"/>
        <v>0.02</v>
      </c>
      <c r="V171" s="230"/>
      <c r="W171" s="232"/>
      <c r="X171" s="222"/>
      <c r="Y171" s="215"/>
    </row>
    <row r="172" spans="1:30">
      <c r="A172" s="240"/>
      <c r="B172" s="240"/>
      <c r="C172" s="241"/>
      <c r="D172" s="240"/>
      <c r="E172" s="240"/>
      <c r="F172" s="240"/>
      <c r="G172" s="240"/>
      <c r="H172" s="240"/>
      <c r="I172" s="240"/>
      <c r="J172" s="232"/>
      <c r="K172" s="232"/>
      <c r="L172" s="240"/>
      <c r="M172" s="240"/>
      <c r="N172" s="240"/>
      <c r="O172" s="239"/>
      <c r="P172" s="147" t="s">
        <v>368</v>
      </c>
      <c r="Q172" s="147" t="s">
        <v>370</v>
      </c>
      <c r="R172" s="147">
        <v>1</v>
      </c>
      <c r="S172" s="164">
        <v>0.02</v>
      </c>
      <c r="T172" s="147">
        <v>1</v>
      </c>
      <c r="U172" s="164">
        <f t="shared" si="16"/>
        <v>0.02</v>
      </c>
      <c r="V172" s="231"/>
      <c r="W172" s="232"/>
      <c r="X172" s="222"/>
      <c r="Y172" s="216"/>
    </row>
    <row r="173" spans="1:30">
      <c r="A173" s="233">
        <v>72</v>
      </c>
      <c r="B173" s="233" t="s">
        <v>430</v>
      </c>
      <c r="C173" s="242" t="s">
        <v>431</v>
      </c>
      <c r="D173" s="242"/>
      <c r="E173" s="242"/>
      <c r="F173" s="233" t="s">
        <v>425</v>
      </c>
      <c r="G173" s="233">
        <v>195</v>
      </c>
      <c r="H173" s="233">
        <v>20</v>
      </c>
      <c r="I173" s="233">
        <v>2</v>
      </c>
      <c r="J173" s="229">
        <v>4.3</v>
      </c>
      <c r="K173" s="229">
        <v>2.5</v>
      </c>
      <c r="L173" s="245">
        <v>0.183</v>
      </c>
      <c r="M173" s="245">
        <v>0.18</v>
      </c>
      <c r="N173" s="245">
        <f t="shared" ref="N173" si="17">L173-M173</f>
        <v>3.0000000000000027E-3</v>
      </c>
      <c r="O173" s="247">
        <f>L173*J173-N173*K173</f>
        <v>0.77939999999999987</v>
      </c>
      <c r="P173" s="95" t="s">
        <v>428</v>
      </c>
      <c r="Q173" s="115" t="s">
        <v>426</v>
      </c>
      <c r="R173" s="147">
        <v>1</v>
      </c>
      <c r="S173" s="164">
        <v>0.08</v>
      </c>
      <c r="T173" s="147">
        <v>1</v>
      </c>
      <c r="U173" s="171">
        <f t="shared" si="16"/>
        <v>0.08</v>
      </c>
      <c r="V173" s="229">
        <v>1.1200000000000001</v>
      </c>
      <c r="W173" s="232">
        <f>(O173+SUM(U173:U174))*V173</f>
        <v>1.0185279999999999</v>
      </c>
      <c r="X173" s="240">
        <v>0.75509999999999999</v>
      </c>
      <c r="Y173" s="218">
        <f>1-W173/X173</f>
        <v>-0.34886505098662424</v>
      </c>
      <c r="AA173" s="106"/>
    </row>
    <row r="174" spans="1:30">
      <c r="A174" s="235"/>
      <c r="B174" s="235"/>
      <c r="C174" s="243"/>
      <c r="D174" s="243"/>
      <c r="E174" s="243"/>
      <c r="F174" s="235"/>
      <c r="G174" s="235"/>
      <c r="H174" s="235"/>
      <c r="I174" s="235"/>
      <c r="J174" s="231"/>
      <c r="K174" s="231"/>
      <c r="L174" s="246"/>
      <c r="M174" s="246"/>
      <c r="N174" s="246"/>
      <c r="O174" s="248"/>
      <c r="P174" s="95" t="s">
        <v>366</v>
      </c>
      <c r="Q174" s="95" t="s">
        <v>427</v>
      </c>
      <c r="R174" s="147">
        <v>1</v>
      </c>
      <c r="S174" s="171">
        <v>0.05</v>
      </c>
      <c r="T174" s="147">
        <v>1</v>
      </c>
      <c r="U174" s="171">
        <f t="shared" si="16"/>
        <v>0.05</v>
      </c>
      <c r="V174" s="231"/>
      <c r="W174" s="232"/>
      <c r="X174" s="240"/>
      <c r="Y174" s="218"/>
    </row>
    <row r="175" spans="1:30">
      <c r="A175" s="233">
        <v>73</v>
      </c>
      <c r="B175" s="233" t="s">
        <v>512</v>
      </c>
      <c r="C175" s="242" t="s">
        <v>513</v>
      </c>
      <c r="D175" s="242"/>
      <c r="E175" s="242"/>
      <c r="F175" s="244" t="s">
        <v>363</v>
      </c>
      <c r="G175" s="233">
        <v>41</v>
      </c>
      <c r="H175" s="233">
        <v>28</v>
      </c>
      <c r="I175" s="233">
        <v>3</v>
      </c>
      <c r="J175" s="229">
        <v>4.3</v>
      </c>
      <c r="K175" s="229">
        <v>2.5</v>
      </c>
      <c r="L175" s="245">
        <v>2.7E-2</v>
      </c>
      <c r="M175" s="245">
        <v>1.4999999999999999E-2</v>
      </c>
      <c r="N175" s="245">
        <f>L175-M175</f>
        <v>1.2E-2</v>
      </c>
      <c r="O175" s="247">
        <f>L175*J175-N175*K175</f>
        <v>8.6099999999999996E-2</v>
      </c>
      <c r="P175" s="147" t="s">
        <v>364</v>
      </c>
      <c r="Q175" s="147" t="s">
        <v>416</v>
      </c>
      <c r="R175" s="147">
        <v>1</v>
      </c>
      <c r="S175" s="164">
        <v>0.03</v>
      </c>
      <c r="T175" s="147">
        <v>1</v>
      </c>
      <c r="U175" s="164">
        <f>R175*S175/T175</f>
        <v>0.03</v>
      </c>
      <c r="V175" s="229">
        <v>1.18</v>
      </c>
      <c r="W175" s="232">
        <f>(O175+SUM(U175:U176))*V175</f>
        <v>0.16059799999999999</v>
      </c>
      <c r="X175" s="240">
        <v>0.1149</v>
      </c>
      <c r="Y175" s="218">
        <f>1-W175/X175</f>
        <v>-0.39771975630983447</v>
      </c>
    </row>
    <row r="176" spans="1:30">
      <c r="A176" s="235"/>
      <c r="B176" s="235"/>
      <c r="C176" s="243"/>
      <c r="D176" s="243"/>
      <c r="E176" s="243"/>
      <c r="F176" s="243"/>
      <c r="G176" s="235"/>
      <c r="H176" s="235"/>
      <c r="I176" s="235"/>
      <c r="J176" s="231"/>
      <c r="K176" s="231"/>
      <c r="L176" s="246"/>
      <c r="M176" s="246"/>
      <c r="N176" s="246"/>
      <c r="O176" s="248"/>
      <c r="P176" s="147" t="s">
        <v>366</v>
      </c>
      <c r="Q176" s="147" t="s">
        <v>420</v>
      </c>
      <c r="R176" s="147">
        <v>1</v>
      </c>
      <c r="S176" s="164">
        <v>0.02</v>
      </c>
      <c r="T176" s="147">
        <v>1</v>
      </c>
      <c r="U176" s="164">
        <f>R176*S176/T176</f>
        <v>0.02</v>
      </c>
      <c r="V176" s="231"/>
      <c r="W176" s="232"/>
      <c r="X176" s="240"/>
      <c r="Y176" s="218"/>
    </row>
    <row r="177" spans="1:27">
      <c r="A177" s="233">
        <v>75</v>
      </c>
      <c r="B177" s="233" t="s">
        <v>433</v>
      </c>
      <c r="C177" s="242" t="s">
        <v>434</v>
      </c>
      <c r="D177" s="242"/>
      <c r="E177" s="242"/>
      <c r="F177" s="233" t="s">
        <v>414</v>
      </c>
      <c r="G177" s="233">
        <v>30</v>
      </c>
      <c r="H177" s="233">
        <v>30</v>
      </c>
      <c r="I177" s="233">
        <v>2</v>
      </c>
      <c r="J177" s="229">
        <v>4.3</v>
      </c>
      <c r="K177" s="229">
        <v>2.5</v>
      </c>
      <c r="L177" s="245">
        <v>1.4999999999999999E-2</v>
      </c>
      <c r="M177" s="245">
        <v>8.0000000000000002E-3</v>
      </c>
      <c r="N177" s="245">
        <f t="shared" ref="N177" si="18">L177-M177</f>
        <v>6.9999999999999993E-3</v>
      </c>
      <c r="O177" s="247">
        <f t="shared" ref="O177" si="19">L177*J177-N177*K177</f>
        <v>4.7E-2</v>
      </c>
      <c r="P177" s="147" t="s">
        <v>364</v>
      </c>
      <c r="Q177" s="149" t="s">
        <v>432</v>
      </c>
      <c r="R177" s="147">
        <v>1</v>
      </c>
      <c r="S177" s="164">
        <v>0.03</v>
      </c>
      <c r="T177" s="147">
        <v>1</v>
      </c>
      <c r="U177" s="164">
        <f t="shared" si="16"/>
        <v>0.03</v>
      </c>
      <c r="V177" s="229">
        <v>1.18</v>
      </c>
      <c r="W177" s="232">
        <f>(O177+SUM(U177:U178))*V177</f>
        <v>0.12625999999999998</v>
      </c>
      <c r="X177" s="240">
        <v>9.8500000000000004E-2</v>
      </c>
      <c r="Y177" s="218">
        <f>1-W177/X177</f>
        <v>-0.28182741116751253</v>
      </c>
      <c r="AA177" s="106"/>
    </row>
    <row r="178" spans="1:27">
      <c r="A178" s="235"/>
      <c r="B178" s="235"/>
      <c r="C178" s="243"/>
      <c r="D178" s="243"/>
      <c r="E178" s="243"/>
      <c r="F178" s="235"/>
      <c r="G178" s="235"/>
      <c r="H178" s="235"/>
      <c r="I178" s="235"/>
      <c r="J178" s="231"/>
      <c r="K178" s="231"/>
      <c r="L178" s="246"/>
      <c r="M178" s="246"/>
      <c r="N178" s="246"/>
      <c r="O178" s="248"/>
      <c r="P178" s="147" t="s">
        <v>368</v>
      </c>
      <c r="Q178" s="149" t="s">
        <v>435</v>
      </c>
      <c r="R178" s="147">
        <v>1</v>
      </c>
      <c r="S178" s="164">
        <v>0.03</v>
      </c>
      <c r="T178" s="147">
        <v>1</v>
      </c>
      <c r="U178" s="164">
        <f t="shared" si="16"/>
        <v>0.03</v>
      </c>
      <c r="V178" s="231"/>
      <c r="W178" s="232"/>
      <c r="X178" s="240"/>
      <c r="Y178" s="218"/>
    </row>
    <row r="179" spans="1:27" s="134" customFormat="1" ht="28.5">
      <c r="A179" s="150">
        <v>76</v>
      </c>
      <c r="B179" s="150" t="s">
        <v>254</v>
      </c>
      <c r="C179" s="162" t="s">
        <v>255</v>
      </c>
      <c r="D179" s="117"/>
      <c r="E179" s="150"/>
      <c r="F179" s="128" t="s">
        <v>414</v>
      </c>
      <c r="G179" s="128">
        <v>72</v>
      </c>
      <c r="H179" s="128">
        <v>19</v>
      </c>
      <c r="I179" s="128">
        <v>3</v>
      </c>
      <c r="J179" s="129">
        <v>4.3</v>
      </c>
      <c r="K179" s="129">
        <v>2.5</v>
      </c>
      <c r="L179" s="130">
        <v>3.2000000000000001E-2</v>
      </c>
      <c r="M179" s="130">
        <v>1.4999999999999999E-2</v>
      </c>
      <c r="N179" s="130">
        <f t="shared" ref="N179:N180" si="20">L179-M179</f>
        <v>1.7000000000000001E-2</v>
      </c>
      <c r="O179" s="164">
        <f t="shared" ref="O179:O180" si="21">L179*J179-N179*K179</f>
        <v>9.509999999999999E-2</v>
      </c>
      <c r="P179" s="148" t="s">
        <v>436</v>
      </c>
      <c r="Q179" s="133" t="s">
        <v>365</v>
      </c>
      <c r="R179" s="151">
        <v>1</v>
      </c>
      <c r="S179" s="147">
        <v>0.03</v>
      </c>
      <c r="T179" s="147">
        <v>1</v>
      </c>
      <c r="U179" s="171">
        <f t="shared" si="16"/>
        <v>0.03</v>
      </c>
      <c r="V179" s="150">
        <v>1.18</v>
      </c>
      <c r="W179" s="147">
        <f>(O179+U179)*V179</f>
        <v>0.14761799999999997</v>
      </c>
      <c r="X179" s="150">
        <v>0.1231</v>
      </c>
      <c r="Y179" s="166">
        <f>1-W179/X179</f>
        <v>-0.19917140536149458</v>
      </c>
      <c r="AA179" s="135"/>
    </row>
    <row r="180" spans="1:27">
      <c r="A180" s="240">
        <v>77</v>
      </c>
      <c r="B180" s="240" t="s">
        <v>257</v>
      </c>
      <c r="C180" s="241" t="s">
        <v>258</v>
      </c>
      <c r="D180" s="240"/>
      <c r="E180" s="240"/>
      <c r="F180" s="240" t="s">
        <v>414</v>
      </c>
      <c r="G180" s="240">
        <v>57</v>
      </c>
      <c r="H180" s="240">
        <v>29</v>
      </c>
      <c r="I180" s="240">
        <v>2</v>
      </c>
      <c r="J180" s="232">
        <v>4.3</v>
      </c>
      <c r="K180" s="232">
        <v>2.5</v>
      </c>
      <c r="L180" s="240">
        <v>2.8000000000000001E-2</v>
      </c>
      <c r="M180" s="240">
        <v>1.2E-2</v>
      </c>
      <c r="N180" s="240">
        <f t="shared" si="20"/>
        <v>1.6E-2</v>
      </c>
      <c r="O180" s="239">
        <f t="shared" si="21"/>
        <v>8.0399999999999999E-2</v>
      </c>
      <c r="P180" s="147" t="s">
        <v>364</v>
      </c>
      <c r="Q180" s="149" t="s">
        <v>416</v>
      </c>
      <c r="R180" s="147">
        <v>1</v>
      </c>
      <c r="S180" s="164">
        <v>0.03</v>
      </c>
      <c r="T180" s="147">
        <v>1</v>
      </c>
      <c r="U180" s="164">
        <f t="shared" si="16"/>
        <v>0.03</v>
      </c>
      <c r="V180" s="229">
        <v>1.18</v>
      </c>
      <c r="W180" s="232">
        <f>(O180+SUM(U180:U182))*V180</f>
        <v>0.18927199999999997</v>
      </c>
      <c r="X180" s="222">
        <v>0.1477</v>
      </c>
      <c r="Y180" s="214">
        <f>1-W180/X180</f>
        <v>-0.28146242383209197</v>
      </c>
      <c r="AA180" s="106"/>
    </row>
    <row r="181" spans="1:27">
      <c r="A181" s="240"/>
      <c r="B181" s="240"/>
      <c r="C181" s="241"/>
      <c r="D181" s="240"/>
      <c r="E181" s="240"/>
      <c r="F181" s="240"/>
      <c r="G181" s="240"/>
      <c r="H181" s="240"/>
      <c r="I181" s="240"/>
      <c r="J181" s="232"/>
      <c r="K181" s="232"/>
      <c r="L181" s="240"/>
      <c r="M181" s="240"/>
      <c r="N181" s="240"/>
      <c r="O181" s="239"/>
      <c r="P181" s="147" t="s">
        <v>366</v>
      </c>
      <c r="Q181" s="149" t="s">
        <v>416</v>
      </c>
      <c r="R181" s="147">
        <v>1</v>
      </c>
      <c r="S181" s="164">
        <v>0.03</v>
      </c>
      <c r="T181" s="147">
        <v>1</v>
      </c>
      <c r="U181" s="164">
        <f t="shared" si="16"/>
        <v>0.03</v>
      </c>
      <c r="V181" s="230"/>
      <c r="W181" s="232"/>
      <c r="X181" s="222"/>
      <c r="Y181" s="215"/>
    </row>
    <row r="182" spans="1:27">
      <c r="A182" s="240"/>
      <c r="B182" s="240"/>
      <c r="C182" s="241"/>
      <c r="D182" s="240"/>
      <c r="E182" s="240"/>
      <c r="F182" s="240"/>
      <c r="G182" s="240"/>
      <c r="H182" s="240"/>
      <c r="I182" s="240"/>
      <c r="J182" s="232"/>
      <c r="K182" s="232"/>
      <c r="L182" s="240"/>
      <c r="M182" s="240"/>
      <c r="N182" s="240"/>
      <c r="O182" s="239"/>
      <c r="P182" s="147" t="s">
        <v>368</v>
      </c>
      <c r="Q182" s="147" t="s">
        <v>370</v>
      </c>
      <c r="R182" s="147">
        <v>1</v>
      </c>
      <c r="S182" s="164">
        <v>0.02</v>
      </c>
      <c r="T182" s="147">
        <v>1</v>
      </c>
      <c r="U182" s="164">
        <f t="shared" si="16"/>
        <v>0.02</v>
      </c>
      <c r="V182" s="231"/>
      <c r="W182" s="232"/>
      <c r="X182" s="222"/>
      <c r="Y182" s="216"/>
    </row>
    <row r="183" spans="1:27">
      <c r="A183" s="240">
        <v>78</v>
      </c>
      <c r="B183" s="240" t="s">
        <v>257</v>
      </c>
      <c r="C183" s="249" t="s">
        <v>439</v>
      </c>
      <c r="D183" s="240"/>
      <c r="E183" s="240"/>
      <c r="F183" s="240" t="s">
        <v>414</v>
      </c>
      <c r="G183" s="240">
        <v>57</v>
      </c>
      <c r="H183" s="240">
        <v>29</v>
      </c>
      <c r="I183" s="240">
        <v>2</v>
      </c>
      <c r="J183" s="232">
        <v>4.3</v>
      </c>
      <c r="K183" s="232">
        <v>2.5</v>
      </c>
      <c r="L183" s="240">
        <v>2.8000000000000001E-2</v>
      </c>
      <c r="M183" s="240">
        <v>1.2E-2</v>
      </c>
      <c r="N183" s="240">
        <f t="shared" ref="N183" si="22">L183-M183</f>
        <v>1.6E-2</v>
      </c>
      <c r="O183" s="239">
        <f t="shared" ref="O183" si="23">L183*J183-N183*K183</f>
        <v>8.0399999999999999E-2</v>
      </c>
      <c r="P183" s="147" t="s">
        <v>364</v>
      </c>
      <c r="Q183" s="149" t="s">
        <v>416</v>
      </c>
      <c r="R183" s="147">
        <v>1</v>
      </c>
      <c r="S183" s="164">
        <v>0.03</v>
      </c>
      <c r="T183" s="147">
        <v>1</v>
      </c>
      <c r="U183" s="164">
        <f t="shared" si="16"/>
        <v>0.03</v>
      </c>
      <c r="V183" s="229">
        <v>1.18</v>
      </c>
      <c r="W183" s="232">
        <f>(O183+SUM(U183:U185))*V183</f>
        <v>0.18927199999999997</v>
      </c>
      <c r="X183" s="222">
        <v>0.1477</v>
      </c>
      <c r="Y183" s="214">
        <f>1-W183/X183</f>
        <v>-0.28146242383209197</v>
      </c>
    </row>
    <row r="184" spans="1:27">
      <c r="A184" s="240"/>
      <c r="B184" s="240"/>
      <c r="C184" s="241"/>
      <c r="D184" s="240"/>
      <c r="E184" s="240"/>
      <c r="F184" s="240"/>
      <c r="G184" s="240"/>
      <c r="H184" s="240"/>
      <c r="I184" s="240"/>
      <c r="J184" s="232"/>
      <c r="K184" s="232"/>
      <c r="L184" s="240"/>
      <c r="M184" s="240"/>
      <c r="N184" s="240"/>
      <c r="O184" s="239"/>
      <c r="P184" s="147" t="s">
        <v>366</v>
      </c>
      <c r="Q184" s="149" t="s">
        <v>416</v>
      </c>
      <c r="R184" s="147">
        <v>1</v>
      </c>
      <c r="S184" s="164">
        <v>0.03</v>
      </c>
      <c r="T184" s="147">
        <v>1</v>
      </c>
      <c r="U184" s="164">
        <f t="shared" si="16"/>
        <v>0.03</v>
      </c>
      <c r="V184" s="230"/>
      <c r="W184" s="232"/>
      <c r="X184" s="222"/>
      <c r="Y184" s="215"/>
    </row>
    <row r="185" spans="1:27">
      <c r="A185" s="240"/>
      <c r="B185" s="240"/>
      <c r="C185" s="241"/>
      <c r="D185" s="240"/>
      <c r="E185" s="240"/>
      <c r="F185" s="240"/>
      <c r="G185" s="240"/>
      <c r="H185" s="240"/>
      <c r="I185" s="240"/>
      <c r="J185" s="232"/>
      <c r="K185" s="232"/>
      <c r="L185" s="240"/>
      <c r="M185" s="240"/>
      <c r="N185" s="240"/>
      <c r="O185" s="239"/>
      <c r="P185" s="147" t="s">
        <v>368</v>
      </c>
      <c r="Q185" s="147" t="s">
        <v>370</v>
      </c>
      <c r="R185" s="147">
        <v>1</v>
      </c>
      <c r="S185" s="164">
        <v>0.02</v>
      </c>
      <c r="T185" s="147">
        <v>1</v>
      </c>
      <c r="U185" s="164">
        <f t="shared" si="16"/>
        <v>0.02</v>
      </c>
      <c r="V185" s="231"/>
      <c r="W185" s="232"/>
      <c r="X185" s="222"/>
      <c r="Y185" s="216"/>
    </row>
    <row r="186" spans="1:27">
      <c r="A186" s="233">
        <v>79</v>
      </c>
      <c r="B186" s="233" t="s">
        <v>442</v>
      </c>
      <c r="C186" s="242" t="s">
        <v>443</v>
      </c>
      <c r="D186" s="242"/>
      <c r="E186" s="242"/>
      <c r="F186" s="233" t="s">
        <v>414</v>
      </c>
      <c r="G186" s="233">
        <v>51</v>
      </c>
      <c r="H186" s="233">
        <v>21</v>
      </c>
      <c r="I186" s="233">
        <v>3</v>
      </c>
      <c r="J186" s="229">
        <v>4.3</v>
      </c>
      <c r="K186" s="229">
        <v>2.5</v>
      </c>
      <c r="L186" s="245">
        <v>0.03</v>
      </c>
      <c r="M186" s="245">
        <v>1.4999999999999999E-2</v>
      </c>
      <c r="N186" s="245">
        <f t="shared" ref="N186" si="24">L186-M186</f>
        <v>1.4999999999999999E-2</v>
      </c>
      <c r="O186" s="247">
        <f t="shared" ref="O186" si="25">L186*J186-N186*K186</f>
        <v>9.1499999999999998E-2</v>
      </c>
      <c r="P186" s="115" t="s">
        <v>364</v>
      </c>
      <c r="Q186" s="149" t="s">
        <v>416</v>
      </c>
      <c r="R186" s="147">
        <v>1</v>
      </c>
      <c r="S186" s="164">
        <v>0.03</v>
      </c>
      <c r="T186" s="147">
        <v>1</v>
      </c>
      <c r="U186" s="164">
        <f t="shared" si="16"/>
        <v>0.03</v>
      </c>
      <c r="V186" s="229">
        <v>1.18</v>
      </c>
      <c r="W186" s="232">
        <f>(O186+SUM(U186:U187))*V186</f>
        <v>0.17876999999999998</v>
      </c>
      <c r="X186" s="240">
        <v>0.13950000000000001</v>
      </c>
      <c r="Y186" s="218">
        <f>1-W186/X186</f>
        <v>-0.28150537634408579</v>
      </c>
      <c r="AA186" s="106"/>
    </row>
    <row r="187" spans="1:27">
      <c r="A187" s="235"/>
      <c r="B187" s="235"/>
      <c r="C187" s="243"/>
      <c r="D187" s="243"/>
      <c r="E187" s="243"/>
      <c r="F187" s="235"/>
      <c r="G187" s="235"/>
      <c r="H187" s="235"/>
      <c r="I187" s="235"/>
      <c r="J187" s="231"/>
      <c r="K187" s="231"/>
      <c r="L187" s="246"/>
      <c r="M187" s="246"/>
      <c r="N187" s="246"/>
      <c r="O187" s="248"/>
      <c r="P187" s="95" t="s">
        <v>368</v>
      </c>
      <c r="Q187" s="149" t="s">
        <v>416</v>
      </c>
      <c r="R187" s="147">
        <v>1</v>
      </c>
      <c r="S187" s="164">
        <v>0.03</v>
      </c>
      <c r="T187" s="147">
        <v>1</v>
      </c>
      <c r="U187" s="164">
        <f t="shared" si="16"/>
        <v>0.03</v>
      </c>
      <c r="V187" s="231"/>
      <c r="W187" s="232"/>
      <c r="X187" s="240"/>
      <c r="Y187" s="218"/>
    </row>
    <row r="188" spans="1:27">
      <c r="A188" s="233">
        <v>80</v>
      </c>
      <c r="B188" s="232" t="s">
        <v>371</v>
      </c>
      <c r="C188" s="237" t="s">
        <v>372</v>
      </c>
      <c r="D188" s="232"/>
      <c r="E188" s="232"/>
      <c r="F188" s="232" t="s">
        <v>363</v>
      </c>
      <c r="G188" s="222">
        <v>49</v>
      </c>
      <c r="H188" s="222">
        <v>24</v>
      </c>
      <c r="I188" s="222">
        <v>2</v>
      </c>
      <c r="J188" s="232">
        <v>4.3</v>
      </c>
      <c r="K188" s="232">
        <v>2.5</v>
      </c>
      <c r="L188" s="238">
        <v>1.7999999999999999E-2</v>
      </c>
      <c r="M188" s="238">
        <v>1.2E-2</v>
      </c>
      <c r="N188" s="238">
        <f>L188-M188</f>
        <v>5.9999999999999984E-3</v>
      </c>
      <c r="O188" s="239">
        <f>J188*L188-K188*N188</f>
        <v>6.2399999999999997E-2</v>
      </c>
      <c r="P188" s="147" t="s">
        <v>364</v>
      </c>
      <c r="Q188" s="147" t="s">
        <v>365</v>
      </c>
      <c r="R188" s="147">
        <v>1</v>
      </c>
      <c r="S188" s="164">
        <v>0.03</v>
      </c>
      <c r="T188" s="147">
        <v>1</v>
      </c>
      <c r="U188" s="164">
        <f t="shared" si="16"/>
        <v>0.03</v>
      </c>
      <c r="V188" s="229">
        <v>1.18</v>
      </c>
      <c r="W188" s="232">
        <f>(O188+SUM(U188:U190))*V188</f>
        <v>0.15623200000000001</v>
      </c>
      <c r="X188" s="222">
        <v>0.1477</v>
      </c>
      <c r="Y188" s="214">
        <f>1-W188/X188</f>
        <v>-5.7765741367637125E-2</v>
      </c>
    </row>
    <row r="189" spans="1:27">
      <c r="A189" s="234"/>
      <c r="B189" s="232"/>
      <c r="C189" s="237"/>
      <c r="D189" s="232"/>
      <c r="E189" s="232"/>
      <c r="F189" s="232"/>
      <c r="G189" s="222"/>
      <c r="H189" s="222"/>
      <c r="I189" s="222"/>
      <c r="J189" s="232"/>
      <c r="K189" s="232"/>
      <c r="L189" s="238"/>
      <c r="M189" s="238"/>
      <c r="N189" s="238"/>
      <c r="O189" s="239"/>
      <c r="P189" s="147" t="s">
        <v>366</v>
      </c>
      <c r="Q189" s="147" t="s">
        <v>370</v>
      </c>
      <c r="R189" s="147">
        <v>1</v>
      </c>
      <c r="S189" s="164">
        <v>0.02</v>
      </c>
      <c r="T189" s="147">
        <v>1</v>
      </c>
      <c r="U189" s="164">
        <f t="shared" si="16"/>
        <v>0.02</v>
      </c>
      <c r="V189" s="230"/>
      <c r="W189" s="232"/>
      <c r="X189" s="222"/>
      <c r="Y189" s="215"/>
    </row>
    <row r="190" spans="1:27">
      <c r="A190" s="235"/>
      <c r="B190" s="232"/>
      <c r="C190" s="237"/>
      <c r="D190" s="232"/>
      <c r="E190" s="232"/>
      <c r="F190" s="232"/>
      <c r="G190" s="222"/>
      <c r="H190" s="222"/>
      <c r="I190" s="222"/>
      <c r="J190" s="232"/>
      <c r="K190" s="232"/>
      <c r="L190" s="238"/>
      <c r="M190" s="238"/>
      <c r="N190" s="238"/>
      <c r="O190" s="239"/>
      <c r="P190" s="147" t="s">
        <v>368</v>
      </c>
      <c r="Q190" s="147" t="s">
        <v>370</v>
      </c>
      <c r="R190" s="147">
        <v>1</v>
      </c>
      <c r="S190" s="164">
        <v>0.02</v>
      </c>
      <c r="T190" s="147">
        <v>1</v>
      </c>
      <c r="U190" s="164">
        <f t="shared" si="16"/>
        <v>0.02</v>
      </c>
      <c r="V190" s="231"/>
      <c r="W190" s="232"/>
      <c r="X190" s="222"/>
      <c r="Y190" s="216"/>
    </row>
    <row r="191" spans="1:27">
      <c r="A191" s="240">
        <v>81</v>
      </c>
      <c r="B191" s="240" t="s">
        <v>269</v>
      </c>
      <c r="C191" s="249" t="s">
        <v>444</v>
      </c>
      <c r="D191" s="240"/>
      <c r="E191" s="240"/>
      <c r="F191" s="240" t="s">
        <v>414</v>
      </c>
      <c r="G191" s="240">
        <v>36</v>
      </c>
      <c r="H191" s="240">
        <v>20</v>
      </c>
      <c r="I191" s="240">
        <v>2</v>
      </c>
      <c r="J191" s="232">
        <v>4.3</v>
      </c>
      <c r="K191" s="232">
        <v>2.5</v>
      </c>
      <c r="L191" s="240">
        <v>1.0999999999999999E-2</v>
      </c>
      <c r="M191" s="240">
        <v>7.0000000000000001E-3</v>
      </c>
      <c r="N191" s="240">
        <f t="shared" ref="N191" si="26">L191-M191</f>
        <v>3.9999999999999992E-3</v>
      </c>
      <c r="O191" s="239">
        <f t="shared" ref="O191" si="27">L191*J191-N191*K191</f>
        <v>3.73E-2</v>
      </c>
      <c r="P191" s="147" t="s">
        <v>364</v>
      </c>
      <c r="Q191" s="149" t="s">
        <v>416</v>
      </c>
      <c r="R191" s="147">
        <v>1</v>
      </c>
      <c r="S191" s="164">
        <v>0.03</v>
      </c>
      <c r="T191" s="147">
        <v>1</v>
      </c>
      <c r="U191" s="164">
        <f t="shared" si="16"/>
        <v>0.03</v>
      </c>
      <c r="V191" s="229">
        <v>1.18</v>
      </c>
      <c r="W191" s="232">
        <f>(O191+SUM(U191:U193))*V191</f>
        <v>0.126614</v>
      </c>
      <c r="X191" s="222">
        <v>9.8500000000000004E-2</v>
      </c>
      <c r="Y191" s="214">
        <f>1-W191/X191</f>
        <v>-0.2854213197969544</v>
      </c>
      <c r="AA191" s="106"/>
    </row>
    <row r="192" spans="1:27">
      <c r="A192" s="240"/>
      <c r="B192" s="240"/>
      <c r="C192" s="241"/>
      <c r="D192" s="240"/>
      <c r="E192" s="240"/>
      <c r="F192" s="240"/>
      <c r="G192" s="240"/>
      <c r="H192" s="240"/>
      <c r="I192" s="240"/>
      <c r="J192" s="232"/>
      <c r="K192" s="232"/>
      <c r="L192" s="240"/>
      <c r="M192" s="240"/>
      <c r="N192" s="240"/>
      <c r="O192" s="239"/>
      <c r="P192" s="147" t="s">
        <v>366</v>
      </c>
      <c r="Q192" s="147" t="s">
        <v>370</v>
      </c>
      <c r="R192" s="147">
        <v>1</v>
      </c>
      <c r="S192" s="164">
        <v>0.02</v>
      </c>
      <c r="T192" s="147">
        <v>1</v>
      </c>
      <c r="U192" s="164">
        <f t="shared" si="16"/>
        <v>0.02</v>
      </c>
      <c r="V192" s="230"/>
      <c r="W192" s="232"/>
      <c r="X192" s="222"/>
      <c r="Y192" s="215"/>
    </row>
    <row r="193" spans="1:29">
      <c r="A193" s="240"/>
      <c r="B193" s="240"/>
      <c r="C193" s="241"/>
      <c r="D193" s="240"/>
      <c r="E193" s="240"/>
      <c r="F193" s="240"/>
      <c r="G193" s="240"/>
      <c r="H193" s="240"/>
      <c r="I193" s="240"/>
      <c r="J193" s="232"/>
      <c r="K193" s="232"/>
      <c r="L193" s="240"/>
      <c r="M193" s="240"/>
      <c r="N193" s="240"/>
      <c r="O193" s="239"/>
      <c r="P193" s="147" t="s">
        <v>368</v>
      </c>
      <c r="Q193" s="147" t="s">
        <v>370</v>
      </c>
      <c r="R193" s="147">
        <v>1</v>
      </c>
      <c r="S193" s="164">
        <v>0.02</v>
      </c>
      <c r="T193" s="147">
        <v>1</v>
      </c>
      <c r="U193" s="164">
        <f t="shared" si="16"/>
        <v>0.02</v>
      </c>
      <c r="V193" s="231"/>
      <c r="W193" s="232"/>
      <c r="X193" s="222"/>
      <c r="Y193" s="216"/>
    </row>
    <row r="194" spans="1:29">
      <c r="A194" s="240">
        <v>82</v>
      </c>
      <c r="B194" s="240" t="s">
        <v>272</v>
      </c>
      <c r="C194" s="241" t="s">
        <v>273</v>
      </c>
      <c r="D194" s="240"/>
      <c r="E194" s="240"/>
      <c r="F194" s="240" t="s">
        <v>363</v>
      </c>
      <c r="G194" s="240">
        <v>36</v>
      </c>
      <c r="H194" s="233">
        <v>24</v>
      </c>
      <c r="I194" s="233">
        <v>2</v>
      </c>
      <c r="J194" s="232">
        <v>4.3</v>
      </c>
      <c r="K194" s="232">
        <v>2.5</v>
      </c>
      <c r="L194" s="238">
        <v>1.4E-2</v>
      </c>
      <c r="M194" s="238">
        <v>6.0000000000000001E-3</v>
      </c>
      <c r="N194" s="238">
        <f>L194-M194</f>
        <v>8.0000000000000002E-3</v>
      </c>
      <c r="O194" s="239">
        <f>J194*L194-K194*N194</f>
        <v>4.02E-2</v>
      </c>
      <c r="P194" s="147" t="s">
        <v>364</v>
      </c>
      <c r="Q194" s="147" t="s">
        <v>365</v>
      </c>
      <c r="R194" s="147">
        <v>1</v>
      </c>
      <c r="S194" s="164">
        <v>0.03</v>
      </c>
      <c r="T194" s="147">
        <v>1</v>
      </c>
      <c r="U194" s="164">
        <f t="shared" si="16"/>
        <v>0.03</v>
      </c>
      <c r="V194" s="229">
        <v>1.18</v>
      </c>
      <c r="W194" s="232">
        <f>(O194+SUM(U194:U195))*V194</f>
        <v>0.106436</v>
      </c>
      <c r="X194" s="222">
        <v>0.1149</v>
      </c>
      <c r="Y194" s="218">
        <f>1-W194/X194</f>
        <v>7.3664055700609188E-2</v>
      </c>
      <c r="AC194" s="103"/>
    </row>
    <row r="195" spans="1:29">
      <c r="A195" s="240"/>
      <c r="B195" s="240"/>
      <c r="C195" s="241"/>
      <c r="D195" s="240"/>
      <c r="E195" s="240"/>
      <c r="F195" s="240"/>
      <c r="G195" s="240"/>
      <c r="H195" s="235"/>
      <c r="I195" s="235"/>
      <c r="J195" s="232"/>
      <c r="K195" s="232"/>
      <c r="L195" s="238"/>
      <c r="M195" s="238"/>
      <c r="N195" s="238"/>
      <c r="O195" s="239"/>
      <c r="P195" s="147" t="s">
        <v>366</v>
      </c>
      <c r="Q195" s="147" t="s">
        <v>370</v>
      </c>
      <c r="R195" s="147">
        <v>1</v>
      </c>
      <c r="S195" s="164">
        <v>0.02</v>
      </c>
      <c r="T195" s="147">
        <v>1</v>
      </c>
      <c r="U195" s="164">
        <f t="shared" si="16"/>
        <v>0.02</v>
      </c>
      <c r="V195" s="231"/>
      <c r="W195" s="232"/>
      <c r="X195" s="222"/>
      <c r="Y195" s="218"/>
      <c r="AC195" s="103"/>
    </row>
    <row r="196" spans="1:29">
      <c r="A196" s="233">
        <v>83</v>
      </c>
      <c r="B196" s="233" t="s">
        <v>275</v>
      </c>
      <c r="C196" s="242" t="s">
        <v>276</v>
      </c>
      <c r="D196" s="233"/>
      <c r="E196" s="233"/>
      <c r="F196" s="280" t="s">
        <v>363</v>
      </c>
      <c r="G196" s="240">
        <v>82</v>
      </c>
      <c r="H196" s="240">
        <v>67</v>
      </c>
      <c r="I196" s="240">
        <v>2</v>
      </c>
      <c r="J196" s="232">
        <v>4.3</v>
      </c>
      <c r="K196" s="232">
        <v>2.5</v>
      </c>
      <c r="L196" s="238">
        <v>8.5999999999999993E-2</v>
      </c>
      <c r="M196" s="238">
        <v>3.2000000000000001E-2</v>
      </c>
      <c r="N196" s="238">
        <f>L196-M196</f>
        <v>5.3999999999999992E-2</v>
      </c>
      <c r="O196" s="239">
        <f>J196*L196-K196*N196</f>
        <v>0.23479999999999998</v>
      </c>
      <c r="P196" s="147" t="s">
        <v>364</v>
      </c>
      <c r="Q196" s="147" t="s">
        <v>365</v>
      </c>
      <c r="R196" s="147">
        <v>1</v>
      </c>
      <c r="S196" s="164">
        <v>0.03</v>
      </c>
      <c r="T196" s="147">
        <v>1</v>
      </c>
      <c r="U196" s="164">
        <f t="shared" si="16"/>
        <v>0.03</v>
      </c>
      <c r="V196" s="229">
        <v>1.18</v>
      </c>
      <c r="W196" s="232">
        <f>(O196+SUM(U196:U199))*V196</f>
        <v>0.40686399999999995</v>
      </c>
      <c r="X196" s="222">
        <v>0.44319999999999998</v>
      </c>
      <c r="Y196" s="217">
        <f>1-W196/X196</f>
        <v>8.1985559566787103E-2</v>
      </c>
    </row>
    <row r="197" spans="1:29">
      <c r="A197" s="234"/>
      <c r="B197" s="234"/>
      <c r="C197" s="255"/>
      <c r="D197" s="234"/>
      <c r="E197" s="234"/>
      <c r="F197" s="240"/>
      <c r="G197" s="240"/>
      <c r="H197" s="240"/>
      <c r="I197" s="240"/>
      <c r="J197" s="232"/>
      <c r="K197" s="232"/>
      <c r="L197" s="238"/>
      <c r="M197" s="238"/>
      <c r="N197" s="238"/>
      <c r="O197" s="239"/>
      <c r="P197" s="147" t="s">
        <v>366</v>
      </c>
      <c r="Q197" s="147" t="s">
        <v>367</v>
      </c>
      <c r="R197" s="147">
        <v>1</v>
      </c>
      <c r="S197" s="164">
        <v>0.03</v>
      </c>
      <c r="T197" s="147">
        <v>1</v>
      </c>
      <c r="U197" s="164">
        <f t="shared" si="16"/>
        <v>0.03</v>
      </c>
      <c r="V197" s="230"/>
      <c r="W197" s="232"/>
      <c r="X197" s="222"/>
      <c r="Y197" s="217"/>
    </row>
    <row r="198" spans="1:29">
      <c r="A198" s="234"/>
      <c r="B198" s="234"/>
      <c r="C198" s="255"/>
      <c r="D198" s="234"/>
      <c r="E198" s="234"/>
      <c r="F198" s="240"/>
      <c r="G198" s="240"/>
      <c r="H198" s="240"/>
      <c r="I198" s="240"/>
      <c r="J198" s="232"/>
      <c r="K198" s="232"/>
      <c r="L198" s="238"/>
      <c r="M198" s="238"/>
      <c r="N198" s="238"/>
      <c r="O198" s="239"/>
      <c r="P198" s="147" t="s">
        <v>368</v>
      </c>
      <c r="Q198" s="147" t="s">
        <v>365</v>
      </c>
      <c r="R198" s="147">
        <v>1</v>
      </c>
      <c r="S198" s="164">
        <v>0.03</v>
      </c>
      <c r="T198" s="147">
        <v>1</v>
      </c>
      <c r="U198" s="164">
        <f t="shared" si="16"/>
        <v>0.03</v>
      </c>
      <c r="V198" s="230"/>
      <c r="W198" s="232"/>
      <c r="X198" s="222"/>
      <c r="Y198" s="217"/>
    </row>
    <row r="199" spans="1:29">
      <c r="A199" s="235"/>
      <c r="B199" s="235"/>
      <c r="C199" s="243"/>
      <c r="D199" s="235"/>
      <c r="E199" s="235"/>
      <c r="F199" s="240"/>
      <c r="G199" s="240"/>
      <c r="H199" s="240"/>
      <c r="I199" s="240"/>
      <c r="J199" s="232"/>
      <c r="K199" s="232"/>
      <c r="L199" s="238"/>
      <c r="M199" s="238"/>
      <c r="N199" s="238"/>
      <c r="O199" s="239"/>
      <c r="P199" s="147" t="s">
        <v>369</v>
      </c>
      <c r="Q199" s="147" t="s">
        <v>370</v>
      </c>
      <c r="R199" s="147">
        <v>1</v>
      </c>
      <c r="S199" s="164">
        <v>0.02</v>
      </c>
      <c r="T199" s="147">
        <v>1</v>
      </c>
      <c r="U199" s="164">
        <f t="shared" si="16"/>
        <v>0.02</v>
      </c>
      <c r="V199" s="231"/>
      <c r="W199" s="232"/>
      <c r="X199" s="222"/>
      <c r="Y199" s="217"/>
    </row>
    <row r="200" spans="1:29">
      <c r="A200" s="240">
        <v>84</v>
      </c>
      <c r="B200" s="240" t="s">
        <v>278</v>
      </c>
      <c r="C200" s="249" t="s">
        <v>446</v>
      </c>
      <c r="D200" s="240"/>
      <c r="E200" s="240"/>
      <c r="F200" s="241" t="s">
        <v>445</v>
      </c>
      <c r="G200" s="240">
        <v>160</v>
      </c>
      <c r="H200" s="240">
        <v>139</v>
      </c>
      <c r="I200" s="240">
        <v>3</v>
      </c>
      <c r="J200" s="232">
        <v>4.5999999999999996</v>
      </c>
      <c r="K200" s="232">
        <v>2.5</v>
      </c>
      <c r="L200" s="240">
        <v>0.52400000000000002</v>
      </c>
      <c r="M200" s="240">
        <v>0.30599999999999999</v>
      </c>
      <c r="N200" s="240">
        <f t="shared" ref="N200" si="28">L200-M200</f>
        <v>0.21800000000000003</v>
      </c>
      <c r="O200" s="239">
        <f t="shared" ref="O200" si="29">L200*J200-N200*K200</f>
        <v>1.8654000000000002</v>
      </c>
      <c r="P200" s="147" t="s">
        <v>364</v>
      </c>
      <c r="Q200" s="149" t="s">
        <v>426</v>
      </c>
      <c r="R200" s="147">
        <v>1</v>
      </c>
      <c r="S200" s="164">
        <v>0.08</v>
      </c>
      <c r="T200" s="147">
        <v>1</v>
      </c>
      <c r="U200" s="164">
        <f t="shared" si="16"/>
        <v>0.08</v>
      </c>
      <c r="V200" s="229">
        <v>1.1200000000000001</v>
      </c>
      <c r="W200" s="232">
        <f>(O200+SUM(U200:U202))*V200</f>
        <v>2.2908480000000004</v>
      </c>
      <c r="X200" s="222">
        <v>2.7837999999999998</v>
      </c>
      <c r="Y200" s="214">
        <f>1-W200/X200</f>
        <v>0.17707881313312712</v>
      </c>
      <c r="AA200" s="106"/>
    </row>
    <row r="201" spans="1:29">
      <c r="A201" s="240"/>
      <c r="B201" s="240"/>
      <c r="C201" s="241"/>
      <c r="D201" s="240"/>
      <c r="E201" s="240"/>
      <c r="F201" s="241"/>
      <c r="G201" s="240"/>
      <c r="H201" s="240"/>
      <c r="I201" s="240"/>
      <c r="J201" s="232"/>
      <c r="K201" s="232"/>
      <c r="L201" s="240"/>
      <c r="M201" s="240"/>
      <c r="N201" s="240"/>
      <c r="O201" s="239"/>
      <c r="P201" s="147" t="s">
        <v>368</v>
      </c>
      <c r="Q201" s="147" t="s">
        <v>427</v>
      </c>
      <c r="R201" s="147">
        <v>1</v>
      </c>
      <c r="S201" s="164">
        <v>0.05</v>
      </c>
      <c r="T201" s="147">
        <v>1</v>
      </c>
      <c r="U201" s="164">
        <f t="shared" si="16"/>
        <v>0.05</v>
      </c>
      <c r="V201" s="230"/>
      <c r="W201" s="232"/>
      <c r="X201" s="222"/>
      <c r="Y201" s="215"/>
    </row>
    <row r="202" spans="1:29">
      <c r="A202" s="240"/>
      <c r="B202" s="240"/>
      <c r="C202" s="241"/>
      <c r="D202" s="240"/>
      <c r="E202" s="240"/>
      <c r="F202" s="241"/>
      <c r="G202" s="240"/>
      <c r="H202" s="240"/>
      <c r="I202" s="240"/>
      <c r="J202" s="232"/>
      <c r="K202" s="232"/>
      <c r="L202" s="240"/>
      <c r="M202" s="240"/>
      <c r="N202" s="240"/>
      <c r="O202" s="239"/>
      <c r="P202" s="147" t="s">
        <v>368</v>
      </c>
      <c r="Q202" s="147" t="s">
        <v>427</v>
      </c>
      <c r="R202" s="147">
        <v>1</v>
      </c>
      <c r="S202" s="164">
        <v>0.05</v>
      </c>
      <c r="T202" s="147">
        <v>1</v>
      </c>
      <c r="U202" s="164">
        <f t="shared" si="16"/>
        <v>0.05</v>
      </c>
      <c r="V202" s="231"/>
      <c r="W202" s="232"/>
      <c r="X202" s="222"/>
      <c r="Y202" s="216"/>
    </row>
    <row r="203" spans="1:29">
      <c r="A203" s="240">
        <v>85</v>
      </c>
      <c r="B203" s="280" t="s">
        <v>449</v>
      </c>
      <c r="C203" s="249" t="s">
        <v>450</v>
      </c>
      <c r="D203" s="240"/>
      <c r="E203" s="240"/>
      <c r="F203" s="241" t="s">
        <v>445</v>
      </c>
      <c r="G203" s="240">
        <v>160</v>
      </c>
      <c r="H203" s="240">
        <v>139</v>
      </c>
      <c r="I203" s="240">
        <v>3</v>
      </c>
      <c r="J203" s="232">
        <v>4.5999999999999996</v>
      </c>
      <c r="K203" s="232">
        <v>2.5</v>
      </c>
      <c r="L203" s="240">
        <v>0.52400000000000002</v>
      </c>
      <c r="M203" s="240">
        <v>0.30599999999999999</v>
      </c>
      <c r="N203" s="240">
        <f t="shared" ref="N203" si="30">L203-M203</f>
        <v>0.21800000000000003</v>
      </c>
      <c r="O203" s="239">
        <f t="shared" ref="O203" si="31">L203*J203-N203*K203</f>
        <v>1.8654000000000002</v>
      </c>
      <c r="P203" s="147" t="s">
        <v>364</v>
      </c>
      <c r="Q203" s="149" t="s">
        <v>426</v>
      </c>
      <c r="R203" s="147">
        <v>1</v>
      </c>
      <c r="S203" s="164">
        <v>0.08</v>
      </c>
      <c r="T203" s="147">
        <v>1</v>
      </c>
      <c r="U203" s="164">
        <f t="shared" si="16"/>
        <v>0.08</v>
      </c>
      <c r="V203" s="229">
        <v>1.1200000000000001</v>
      </c>
      <c r="W203" s="232">
        <f>(O203+SUM(U203:U205))*V203</f>
        <v>2.2908480000000004</v>
      </c>
      <c r="X203" s="222">
        <v>2.7837999999999998</v>
      </c>
      <c r="Y203" s="214">
        <f>1-W203/X203</f>
        <v>0.17707881313312712</v>
      </c>
    </row>
    <row r="204" spans="1:29">
      <c r="A204" s="240"/>
      <c r="B204" s="240"/>
      <c r="C204" s="241"/>
      <c r="D204" s="240"/>
      <c r="E204" s="240"/>
      <c r="F204" s="241"/>
      <c r="G204" s="240"/>
      <c r="H204" s="240"/>
      <c r="I204" s="240"/>
      <c r="J204" s="232"/>
      <c r="K204" s="232"/>
      <c r="L204" s="240"/>
      <c r="M204" s="240"/>
      <c r="N204" s="240"/>
      <c r="O204" s="239"/>
      <c r="P204" s="147" t="s">
        <v>368</v>
      </c>
      <c r="Q204" s="147" t="s">
        <v>427</v>
      </c>
      <c r="R204" s="147">
        <v>1</v>
      </c>
      <c r="S204" s="164">
        <v>0.05</v>
      </c>
      <c r="T204" s="147">
        <v>1</v>
      </c>
      <c r="U204" s="164">
        <f t="shared" si="16"/>
        <v>0.05</v>
      </c>
      <c r="V204" s="230"/>
      <c r="W204" s="232"/>
      <c r="X204" s="222"/>
      <c r="Y204" s="215"/>
    </row>
    <row r="205" spans="1:29">
      <c r="A205" s="240"/>
      <c r="B205" s="240"/>
      <c r="C205" s="241"/>
      <c r="D205" s="240"/>
      <c r="E205" s="240"/>
      <c r="F205" s="241"/>
      <c r="G205" s="240"/>
      <c r="H205" s="240"/>
      <c r="I205" s="240"/>
      <c r="J205" s="232"/>
      <c r="K205" s="232"/>
      <c r="L205" s="240"/>
      <c r="M205" s="240"/>
      <c r="N205" s="240"/>
      <c r="O205" s="239"/>
      <c r="P205" s="147" t="s">
        <v>368</v>
      </c>
      <c r="Q205" s="147" t="s">
        <v>427</v>
      </c>
      <c r="R205" s="147">
        <v>1</v>
      </c>
      <c r="S205" s="164">
        <v>0.05</v>
      </c>
      <c r="T205" s="147">
        <v>1</v>
      </c>
      <c r="U205" s="164">
        <f t="shared" si="16"/>
        <v>0.05</v>
      </c>
      <c r="V205" s="231"/>
      <c r="W205" s="232"/>
      <c r="X205" s="222"/>
      <c r="Y205" s="216"/>
    </row>
    <row r="206" spans="1:29">
      <c r="A206" s="233">
        <v>86</v>
      </c>
      <c r="B206" s="233" t="s">
        <v>451</v>
      </c>
      <c r="C206" s="242" t="s">
        <v>452</v>
      </c>
      <c r="D206" s="242"/>
      <c r="E206" s="242"/>
      <c r="F206" s="233" t="s">
        <v>414</v>
      </c>
      <c r="G206" s="233">
        <v>81</v>
      </c>
      <c r="H206" s="233">
        <v>26</v>
      </c>
      <c r="I206" s="233">
        <v>2</v>
      </c>
      <c r="J206" s="229">
        <v>4.3</v>
      </c>
      <c r="K206" s="229">
        <v>2.5</v>
      </c>
      <c r="L206" s="245">
        <v>3.5000000000000003E-2</v>
      </c>
      <c r="M206" s="245">
        <v>2.5999999999999999E-2</v>
      </c>
      <c r="N206" s="245">
        <f t="shared" ref="N206" si="32">L206-M206</f>
        <v>9.0000000000000045E-3</v>
      </c>
      <c r="O206" s="247">
        <f>L206*J206-N206*K206</f>
        <v>0.12799999999999997</v>
      </c>
      <c r="P206" s="115" t="s">
        <v>364</v>
      </c>
      <c r="Q206" s="149" t="s">
        <v>416</v>
      </c>
      <c r="R206" s="147">
        <v>1</v>
      </c>
      <c r="S206" s="164">
        <v>0.03</v>
      </c>
      <c r="T206" s="147">
        <v>1</v>
      </c>
      <c r="U206" s="164">
        <f t="shared" si="16"/>
        <v>0.03</v>
      </c>
      <c r="V206" s="229">
        <v>1.18</v>
      </c>
      <c r="W206" s="232">
        <f>(O206+SUM(U206:U207))*V206</f>
        <v>0.21003999999999998</v>
      </c>
      <c r="X206" s="240">
        <v>0.1477</v>
      </c>
      <c r="Y206" s="218">
        <f>1-W206/X206</f>
        <v>-0.42207176709546368</v>
      </c>
      <c r="AA206" s="106"/>
    </row>
    <row r="207" spans="1:29">
      <c r="A207" s="235"/>
      <c r="B207" s="235"/>
      <c r="C207" s="243"/>
      <c r="D207" s="243"/>
      <c r="E207" s="243"/>
      <c r="F207" s="235"/>
      <c r="G207" s="235"/>
      <c r="H207" s="235"/>
      <c r="I207" s="235"/>
      <c r="J207" s="231"/>
      <c r="K207" s="231"/>
      <c r="L207" s="246"/>
      <c r="M207" s="246"/>
      <c r="N207" s="246"/>
      <c r="O207" s="248"/>
      <c r="P207" s="95" t="s">
        <v>368</v>
      </c>
      <c r="Q207" s="149" t="s">
        <v>370</v>
      </c>
      <c r="R207" s="147">
        <v>1</v>
      </c>
      <c r="S207" s="164">
        <v>0.02</v>
      </c>
      <c r="T207" s="147">
        <v>1</v>
      </c>
      <c r="U207" s="164">
        <f t="shared" si="16"/>
        <v>0.02</v>
      </c>
      <c r="V207" s="231"/>
      <c r="W207" s="232"/>
      <c r="X207" s="240"/>
      <c r="Y207" s="218"/>
    </row>
    <row r="208" spans="1:29">
      <c r="A208" s="240">
        <v>87</v>
      </c>
      <c r="B208" s="280" t="s">
        <v>453</v>
      </c>
      <c r="C208" s="249" t="s">
        <v>454</v>
      </c>
      <c r="D208" s="240"/>
      <c r="E208" s="240"/>
      <c r="F208" s="240" t="s">
        <v>414</v>
      </c>
      <c r="G208" s="240">
        <v>69</v>
      </c>
      <c r="H208" s="240">
        <v>48</v>
      </c>
      <c r="I208" s="240">
        <v>2</v>
      </c>
      <c r="J208" s="232">
        <v>4.3</v>
      </c>
      <c r="K208" s="232">
        <v>2.5</v>
      </c>
      <c r="L208" s="240">
        <v>5.1999999999999998E-2</v>
      </c>
      <c r="M208" s="240">
        <v>2.9000000000000001E-2</v>
      </c>
      <c r="N208" s="240">
        <f t="shared" ref="N208" si="33">L208-M208</f>
        <v>2.2999999999999996E-2</v>
      </c>
      <c r="O208" s="239">
        <f t="shared" ref="O208" si="34">L208*J208-N208*K208</f>
        <v>0.1661</v>
      </c>
      <c r="P208" s="147" t="s">
        <v>364</v>
      </c>
      <c r="Q208" s="149" t="s">
        <v>365</v>
      </c>
      <c r="R208" s="147">
        <v>1</v>
      </c>
      <c r="S208" s="164">
        <v>0.03</v>
      </c>
      <c r="T208" s="147">
        <v>1</v>
      </c>
      <c r="U208" s="164">
        <f t="shared" si="16"/>
        <v>0.03</v>
      </c>
      <c r="V208" s="229">
        <v>1.18</v>
      </c>
      <c r="W208" s="232">
        <f>(O208+SUM(U208:U210))*V208</f>
        <v>0.30219799999999997</v>
      </c>
      <c r="X208" s="222">
        <v>0.23799999999999999</v>
      </c>
      <c r="Y208" s="214">
        <f>1-W208/X208</f>
        <v>-0.26973949579831924</v>
      </c>
      <c r="AA208" s="106"/>
    </row>
    <row r="209" spans="1:29">
      <c r="A209" s="240"/>
      <c r="B209" s="240"/>
      <c r="C209" s="241"/>
      <c r="D209" s="240"/>
      <c r="E209" s="240"/>
      <c r="F209" s="240"/>
      <c r="G209" s="240"/>
      <c r="H209" s="240"/>
      <c r="I209" s="240"/>
      <c r="J209" s="232"/>
      <c r="K209" s="232"/>
      <c r="L209" s="240"/>
      <c r="M209" s="240"/>
      <c r="N209" s="240"/>
      <c r="O209" s="239"/>
      <c r="P209" s="147" t="s">
        <v>368</v>
      </c>
      <c r="Q209" s="149" t="s">
        <v>367</v>
      </c>
      <c r="R209" s="147">
        <v>1</v>
      </c>
      <c r="S209" s="164">
        <v>0.03</v>
      </c>
      <c r="T209" s="147">
        <v>1</v>
      </c>
      <c r="U209" s="164">
        <f t="shared" si="16"/>
        <v>0.03</v>
      </c>
      <c r="V209" s="230"/>
      <c r="W209" s="232"/>
      <c r="X209" s="222"/>
      <c r="Y209" s="215"/>
    </row>
    <row r="210" spans="1:29">
      <c r="A210" s="240"/>
      <c r="B210" s="240"/>
      <c r="C210" s="241"/>
      <c r="D210" s="240"/>
      <c r="E210" s="240"/>
      <c r="F210" s="240"/>
      <c r="G210" s="240"/>
      <c r="H210" s="240"/>
      <c r="I210" s="240"/>
      <c r="J210" s="232"/>
      <c r="K210" s="232"/>
      <c r="L210" s="240"/>
      <c r="M210" s="240"/>
      <c r="N210" s="240"/>
      <c r="O210" s="239"/>
      <c r="P210" s="147" t="s">
        <v>368</v>
      </c>
      <c r="Q210" s="149" t="s">
        <v>367</v>
      </c>
      <c r="R210" s="147">
        <v>1</v>
      </c>
      <c r="S210" s="137">
        <v>0.03</v>
      </c>
      <c r="T210" s="147">
        <v>1</v>
      </c>
      <c r="U210" s="164">
        <f t="shared" si="16"/>
        <v>0.03</v>
      </c>
      <c r="V210" s="231"/>
      <c r="W210" s="232"/>
      <c r="X210" s="222"/>
      <c r="Y210" s="216"/>
    </row>
    <row r="211" spans="1:29">
      <c r="A211" s="240">
        <v>88</v>
      </c>
      <c r="B211" s="280" t="s">
        <v>455</v>
      </c>
      <c r="C211" s="249" t="s">
        <v>456</v>
      </c>
      <c r="D211" s="240"/>
      <c r="E211" s="240"/>
      <c r="F211" s="240" t="s">
        <v>414</v>
      </c>
      <c r="G211" s="240">
        <v>48</v>
      </c>
      <c r="H211" s="240">
        <v>42</v>
      </c>
      <c r="I211" s="240">
        <v>2</v>
      </c>
      <c r="J211" s="232">
        <v>4.3</v>
      </c>
      <c r="K211" s="232">
        <v>2.5</v>
      </c>
      <c r="L211" s="240">
        <v>3.2000000000000001E-2</v>
      </c>
      <c r="M211" s="240">
        <v>1.2E-2</v>
      </c>
      <c r="N211" s="240">
        <f t="shared" ref="N211" si="35">L211-M211</f>
        <v>0.02</v>
      </c>
      <c r="O211" s="239">
        <f t="shared" ref="O211" si="36">L211*J211-N211*K211</f>
        <v>8.7599999999999997E-2</v>
      </c>
      <c r="P211" s="147" t="s">
        <v>364</v>
      </c>
      <c r="Q211" s="149" t="s">
        <v>365</v>
      </c>
      <c r="R211" s="147">
        <v>1</v>
      </c>
      <c r="S211" s="164">
        <v>0.03</v>
      </c>
      <c r="T211" s="147">
        <v>1</v>
      </c>
      <c r="U211" s="164">
        <f t="shared" si="16"/>
        <v>0.03</v>
      </c>
      <c r="V211" s="229">
        <v>1.18</v>
      </c>
      <c r="W211" s="232">
        <f>(O211+SUM(U211:U213))*V211</f>
        <v>0.20956799999999998</v>
      </c>
      <c r="X211" s="222">
        <v>0.16420000000000001</v>
      </c>
      <c r="Y211" s="214">
        <f>1-W211/X211</f>
        <v>-0.27629719853836754</v>
      </c>
      <c r="AA211" s="106"/>
    </row>
    <row r="212" spans="1:29">
      <c r="A212" s="240"/>
      <c r="B212" s="240"/>
      <c r="C212" s="241"/>
      <c r="D212" s="240"/>
      <c r="E212" s="240"/>
      <c r="F212" s="240"/>
      <c r="G212" s="240"/>
      <c r="H212" s="240"/>
      <c r="I212" s="240"/>
      <c r="J212" s="232"/>
      <c r="K212" s="232"/>
      <c r="L212" s="240"/>
      <c r="M212" s="240"/>
      <c r="N212" s="240"/>
      <c r="O212" s="239"/>
      <c r="P212" s="147" t="s">
        <v>368</v>
      </c>
      <c r="Q212" s="149" t="s">
        <v>367</v>
      </c>
      <c r="R212" s="147">
        <v>1</v>
      </c>
      <c r="S212" s="164">
        <v>0.03</v>
      </c>
      <c r="T212" s="147">
        <v>1</v>
      </c>
      <c r="U212" s="164">
        <f t="shared" si="16"/>
        <v>0.03</v>
      </c>
      <c r="V212" s="230"/>
      <c r="W212" s="232"/>
      <c r="X212" s="222"/>
      <c r="Y212" s="215"/>
    </row>
    <row r="213" spans="1:29">
      <c r="A213" s="240"/>
      <c r="B213" s="240"/>
      <c r="C213" s="241"/>
      <c r="D213" s="240"/>
      <c r="E213" s="240"/>
      <c r="F213" s="240"/>
      <c r="G213" s="240"/>
      <c r="H213" s="240"/>
      <c r="I213" s="240"/>
      <c r="J213" s="232"/>
      <c r="K213" s="232"/>
      <c r="L213" s="240"/>
      <c r="M213" s="240"/>
      <c r="N213" s="240"/>
      <c r="O213" s="239"/>
      <c r="P213" s="147" t="s">
        <v>368</v>
      </c>
      <c r="Q213" s="149" t="s">
        <v>367</v>
      </c>
      <c r="R213" s="147">
        <v>1</v>
      </c>
      <c r="S213" s="137">
        <v>0.03</v>
      </c>
      <c r="T213" s="147">
        <v>1</v>
      </c>
      <c r="U213" s="164">
        <f t="shared" si="16"/>
        <v>0.03</v>
      </c>
      <c r="V213" s="231"/>
      <c r="W213" s="232"/>
      <c r="X213" s="222"/>
      <c r="Y213" s="216"/>
    </row>
    <row r="214" spans="1:29">
      <c r="A214" s="233">
        <v>89</v>
      </c>
      <c r="B214" s="233" t="s">
        <v>376</v>
      </c>
      <c r="C214" s="242" t="s">
        <v>377</v>
      </c>
      <c r="D214" s="242"/>
      <c r="E214" s="242"/>
      <c r="F214" s="233" t="s">
        <v>363</v>
      </c>
      <c r="G214" s="233">
        <v>54</v>
      </c>
      <c r="H214" s="233">
        <v>36</v>
      </c>
      <c r="I214" s="233">
        <v>2</v>
      </c>
      <c r="J214" s="229">
        <v>4.3</v>
      </c>
      <c r="K214" s="229">
        <v>2.5</v>
      </c>
      <c r="L214" s="245">
        <v>3.1E-2</v>
      </c>
      <c r="M214" s="245">
        <v>1.7000000000000001E-2</v>
      </c>
      <c r="N214" s="245">
        <f>L214-M214</f>
        <v>1.3999999999999999E-2</v>
      </c>
      <c r="O214" s="247">
        <f>J214*L214-K214*N214</f>
        <v>9.8299999999999998E-2</v>
      </c>
      <c r="P214" s="147" t="s">
        <v>364</v>
      </c>
      <c r="Q214" s="147" t="s">
        <v>367</v>
      </c>
      <c r="R214" s="147">
        <v>1</v>
      </c>
      <c r="S214" s="164">
        <v>0.03</v>
      </c>
      <c r="T214" s="147">
        <v>1</v>
      </c>
      <c r="U214" s="164">
        <f t="shared" si="16"/>
        <v>0.03</v>
      </c>
      <c r="V214" s="229">
        <v>1.18</v>
      </c>
      <c r="W214" s="232">
        <f>(O214+SUM(U214:U217))*V214</f>
        <v>0.25759399999999999</v>
      </c>
      <c r="X214" s="222">
        <v>0.24840000000000001</v>
      </c>
      <c r="Y214" s="217">
        <f>1-W214/X214</f>
        <v>-3.7012882447664985E-2</v>
      </c>
      <c r="AC214" s="103"/>
    </row>
    <row r="215" spans="1:29">
      <c r="A215" s="234"/>
      <c r="B215" s="234"/>
      <c r="C215" s="255"/>
      <c r="D215" s="255"/>
      <c r="E215" s="255"/>
      <c r="F215" s="234"/>
      <c r="G215" s="234"/>
      <c r="H215" s="234"/>
      <c r="I215" s="234"/>
      <c r="J215" s="230"/>
      <c r="K215" s="230"/>
      <c r="L215" s="253"/>
      <c r="M215" s="253"/>
      <c r="N215" s="253"/>
      <c r="O215" s="254"/>
      <c r="P215" s="147" t="s">
        <v>366</v>
      </c>
      <c r="Q215" s="147" t="s">
        <v>367</v>
      </c>
      <c r="R215" s="147">
        <v>1</v>
      </c>
      <c r="S215" s="164">
        <v>0.03</v>
      </c>
      <c r="T215" s="147">
        <v>1</v>
      </c>
      <c r="U215" s="164">
        <f t="shared" si="16"/>
        <v>0.03</v>
      </c>
      <c r="V215" s="230"/>
      <c r="W215" s="232"/>
      <c r="X215" s="222"/>
      <c r="Y215" s="217"/>
      <c r="AC215" s="103"/>
    </row>
    <row r="216" spans="1:29">
      <c r="A216" s="234"/>
      <c r="B216" s="234"/>
      <c r="C216" s="255"/>
      <c r="D216" s="255"/>
      <c r="E216" s="255"/>
      <c r="F216" s="234"/>
      <c r="G216" s="234"/>
      <c r="H216" s="234"/>
      <c r="I216" s="234"/>
      <c r="J216" s="230"/>
      <c r="K216" s="230"/>
      <c r="L216" s="253"/>
      <c r="M216" s="253"/>
      <c r="N216" s="253"/>
      <c r="O216" s="254"/>
      <c r="P216" s="147" t="s">
        <v>368</v>
      </c>
      <c r="Q216" s="147" t="s">
        <v>365</v>
      </c>
      <c r="R216" s="147">
        <v>1</v>
      </c>
      <c r="S216" s="164">
        <v>0.03</v>
      </c>
      <c r="T216" s="147">
        <v>1</v>
      </c>
      <c r="U216" s="164">
        <f t="shared" si="16"/>
        <v>0.03</v>
      </c>
      <c r="V216" s="230"/>
      <c r="W216" s="232"/>
      <c r="X216" s="222"/>
      <c r="Y216" s="217"/>
      <c r="AC216" s="103"/>
    </row>
    <row r="217" spans="1:29">
      <c r="A217" s="235"/>
      <c r="B217" s="235"/>
      <c r="C217" s="243"/>
      <c r="D217" s="243"/>
      <c r="E217" s="243"/>
      <c r="F217" s="235"/>
      <c r="G217" s="235"/>
      <c r="H217" s="235"/>
      <c r="I217" s="235"/>
      <c r="J217" s="231"/>
      <c r="K217" s="231"/>
      <c r="L217" s="246"/>
      <c r="M217" s="246"/>
      <c r="N217" s="246"/>
      <c r="O217" s="248"/>
      <c r="P217" s="147" t="s">
        <v>375</v>
      </c>
      <c r="Q217" s="147" t="s">
        <v>367</v>
      </c>
      <c r="R217" s="147">
        <v>1</v>
      </c>
      <c r="S217" s="164">
        <v>0.03</v>
      </c>
      <c r="T217" s="147">
        <v>1</v>
      </c>
      <c r="U217" s="164">
        <f t="shared" si="16"/>
        <v>0.03</v>
      </c>
      <c r="V217" s="231"/>
      <c r="W217" s="232"/>
      <c r="X217" s="222"/>
      <c r="Y217" s="217"/>
      <c r="AC217" s="103"/>
    </row>
    <row r="218" spans="1:29">
      <c r="A218" s="233">
        <v>90</v>
      </c>
      <c r="B218" s="233" t="s">
        <v>378</v>
      </c>
      <c r="C218" s="242" t="s">
        <v>379</v>
      </c>
      <c r="D218" s="242"/>
      <c r="E218" s="242"/>
      <c r="F218" s="233" t="s">
        <v>363</v>
      </c>
      <c r="G218" s="233">
        <v>69</v>
      </c>
      <c r="H218" s="233">
        <v>27</v>
      </c>
      <c r="I218" s="233">
        <v>2</v>
      </c>
      <c r="J218" s="229">
        <v>4.3</v>
      </c>
      <c r="K218" s="229">
        <v>2.5</v>
      </c>
      <c r="L218" s="245">
        <v>2.9000000000000001E-2</v>
      </c>
      <c r="M218" s="245">
        <v>1.9E-2</v>
      </c>
      <c r="N218" s="245">
        <f>L218-M218</f>
        <v>1.0000000000000002E-2</v>
      </c>
      <c r="O218" s="247">
        <f>J218*L218-K218*N218</f>
        <v>9.9699999999999997E-2</v>
      </c>
      <c r="P218" s="147" t="s">
        <v>364</v>
      </c>
      <c r="Q218" s="147" t="s">
        <v>365</v>
      </c>
      <c r="R218" s="147">
        <v>1</v>
      </c>
      <c r="S218" s="164">
        <v>0.03</v>
      </c>
      <c r="T218" s="147">
        <v>1</v>
      </c>
      <c r="U218" s="164">
        <f t="shared" si="16"/>
        <v>0.03</v>
      </c>
      <c r="V218" s="229">
        <v>1.18</v>
      </c>
      <c r="W218" s="232">
        <f>(O218+SUM(U218:U219))*V218</f>
        <v>0.188446</v>
      </c>
      <c r="X218" s="222">
        <v>0.19869999999999999</v>
      </c>
      <c r="Y218" s="218">
        <f>1-W218/X218</f>
        <v>5.1605435329642568E-2</v>
      </c>
      <c r="AC218" s="106"/>
    </row>
    <row r="219" spans="1:29">
      <c r="A219" s="235"/>
      <c r="B219" s="235"/>
      <c r="C219" s="243"/>
      <c r="D219" s="243"/>
      <c r="E219" s="243"/>
      <c r="F219" s="235"/>
      <c r="G219" s="235"/>
      <c r="H219" s="235"/>
      <c r="I219" s="235"/>
      <c r="J219" s="231"/>
      <c r="K219" s="231"/>
      <c r="L219" s="246"/>
      <c r="M219" s="246"/>
      <c r="N219" s="246"/>
      <c r="O219" s="248"/>
      <c r="P219" s="147" t="s">
        <v>368</v>
      </c>
      <c r="Q219" s="147" t="s">
        <v>365</v>
      </c>
      <c r="R219" s="147">
        <v>1</v>
      </c>
      <c r="S219" s="164">
        <v>0.03</v>
      </c>
      <c r="T219" s="147">
        <v>1</v>
      </c>
      <c r="U219" s="164">
        <f t="shared" si="16"/>
        <v>0.03</v>
      </c>
      <c r="V219" s="231"/>
      <c r="W219" s="232"/>
      <c r="X219" s="222"/>
      <c r="Y219" s="218"/>
      <c r="AC219" s="106"/>
    </row>
    <row r="220" spans="1:29">
      <c r="A220" s="233">
        <v>91</v>
      </c>
      <c r="B220" s="233" t="s">
        <v>380</v>
      </c>
      <c r="C220" s="242" t="s">
        <v>381</v>
      </c>
      <c r="D220" s="242"/>
      <c r="E220" s="242"/>
      <c r="F220" s="279" t="s">
        <v>363</v>
      </c>
      <c r="G220" s="233">
        <v>58</v>
      </c>
      <c r="H220" s="233">
        <v>27</v>
      </c>
      <c r="I220" s="233">
        <v>2</v>
      </c>
      <c r="J220" s="229">
        <v>4.3</v>
      </c>
      <c r="K220" s="229">
        <v>2.5</v>
      </c>
      <c r="L220" s="245">
        <v>2.5000000000000001E-2</v>
      </c>
      <c r="M220" s="245">
        <v>1.6E-2</v>
      </c>
      <c r="N220" s="245">
        <f>L220-M220</f>
        <v>9.0000000000000011E-3</v>
      </c>
      <c r="O220" s="247">
        <f>J220*L220-K220*N220</f>
        <v>8.4999999999999992E-2</v>
      </c>
      <c r="P220" s="147" t="s">
        <v>364</v>
      </c>
      <c r="Q220" s="147" t="s">
        <v>365</v>
      </c>
      <c r="R220" s="147">
        <v>1</v>
      </c>
      <c r="S220" s="164">
        <v>0.03</v>
      </c>
      <c r="T220" s="147">
        <v>1</v>
      </c>
      <c r="U220" s="164">
        <f t="shared" si="16"/>
        <v>0.03</v>
      </c>
      <c r="V220" s="229">
        <v>1.18</v>
      </c>
      <c r="W220" s="232">
        <f>(O220+SUM(U220:U221))*V220</f>
        <v>0.17109999999999997</v>
      </c>
      <c r="X220" s="240">
        <v>0.18210000000000001</v>
      </c>
      <c r="Y220" s="218">
        <f>1-W220/X220</f>
        <v>6.0406370126304454E-2</v>
      </c>
      <c r="AB220" s="106"/>
    </row>
    <row r="221" spans="1:29">
      <c r="A221" s="235"/>
      <c r="B221" s="235"/>
      <c r="C221" s="243"/>
      <c r="D221" s="243"/>
      <c r="E221" s="243"/>
      <c r="F221" s="235"/>
      <c r="G221" s="235"/>
      <c r="H221" s="235"/>
      <c r="I221" s="235"/>
      <c r="J221" s="231"/>
      <c r="K221" s="231"/>
      <c r="L221" s="246"/>
      <c r="M221" s="246"/>
      <c r="N221" s="246"/>
      <c r="O221" s="248"/>
      <c r="P221" s="147" t="s">
        <v>368</v>
      </c>
      <c r="Q221" s="147" t="s">
        <v>365</v>
      </c>
      <c r="R221" s="147">
        <v>1</v>
      </c>
      <c r="S221" s="164">
        <v>0.03</v>
      </c>
      <c r="T221" s="147">
        <v>1</v>
      </c>
      <c r="U221" s="164">
        <f t="shared" si="16"/>
        <v>0.03</v>
      </c>
      <c r="V221" s="231"/>
      <c r="W221" s="232"/>
      <c r="X221" s="240"/>
      <c r="Y221" s="218"/>
      <c r="AB221" s="106"/>
    </row>
    <row r="222" spans="1:29">
      <c r="A222" s="233">
        <v>92</v>
      </c>
      <c r="B222" s="233" t="s">
        <v>302</v>
      </c>
      <c r="C222" s="242" t="s">
        <v>303</v>
      </c>
      <c r="D222" s="242"/>
      <c r="E222" s="242"/>
      <c r="F222" s="233">
        <v>420</v>
      </c>
      <c r="G222" s="233">
        <v>125</v>
      </c>
      <c r="H222" s="233">
        <v>71</v>
      </c>
      <c r="I222" s="233">
        <v>3.5</v>
      </c>
      <c r="J222" s="229">
        <v>5.15</v>
      </c>
      <c r="K222" s="229">
        <v>2.5</v>
      </c>
      <c r="L222" s="245">
        <v>0.24399999999999999</v>
      </c>
      <c r="M222" s="245">
        <v>0.14199999999999999</v>
      </c>
      <c r="N222" s="245">
        <f>L222-M222</f>
        <v>0.10200000000000001</v>
      </c>
      <c r="O222" s="247">
        <f>J222*L222-K222*N222</f>
        <v>1.0016000000000003</v>
      </c>
      <c r="P222" s="147" t="s">
        <v>364</v>
      </c>
      <c r="Q222" s="147" t="s">
        <v>382</v>
      </c>
      <c r="R222" s="147">
        <v>1</v>
      </c>
      <c r="S222" s="164">
        <v>0.08</v>
      </c>
      <c r="T222" s="147">
        <v>1</v>
      </c>
      <c r="U222" s="164">
        <f t="shared" si="16"/>
        <v>0.08</v>
      </c>
      <c r="V222" s="229">
        <v>1.1200000000000001</v>
      </c>
      <c r="W222" s="232">
        <f>(O222+SUM(U222:U224))*V222</f>
        <v>1.3569920000000004</v>
      </c>
      <c r="X222" s="250">
        <v>1.4487000000000001</v>
      </c>
      <c r="Y222" s="214">
        <f>1-W222/X222</f>
        <v>6.3303651549664997E-2</v>
      </c>
      <c r="AC222" s="106"/>
    </row>
    <row r="223" spans="1:29">
      <c r="A223" s="234"/>
      <c r="B223" s="234"/>
      <c r="C223" s="255"/>
      <c r="D223" s="255"/>
      <c r="E223" s="255"/>
      <c r="F223" s="234"/>
      <c r="G223" s="234"/>
      <c r="H223" s="234"/>
      <c r="I223" s="234"/>
      <c r="J223" s="230"/>
      <c r="K223" s="230"/>
      <c r="L223" s="253"/>
      <c r="M223" s="253"/>
      <c r="N223" s="253"/>
      <c r="O223" s="254"/>
      <c r="P223" s="147" t="s">
        <v>368</v>
      </c>
      <c r="Q223" s="147" t="s">
        <v>382</v>
      </c>
      <c r="R223" s="147">
        <v>1</v>
      </c>
      <c r="S223" s="164">
        <v>0.08</v>
      </c>
      <c r="T223" s="147">
        <v>1</v>
      </c>
      <c r="U223" s="164">
        <f t="shared" si="16"/>
        <v>0.08</v>
      </c>
      <c r="V223" s="230"/>
      <c r="W223" s="232"/>
      <c r="X223" s="251"/>
      <c r="Y223" s="215"/>
      <c r="AC223" s="106"/>
    </row>
    <row r="224" spans="1:29">
      <c r="A224" s="235"/>
      <c r="B224" s="235"/>
      <c r="C224" s="243"/>
      <c r="D224" s="243"/>
      <c r="E224" s="243"/>
      <c r="F224" s="235"/>
      <c r="G224" s="235"/>
      <c r="H224" s="235"/>
      <c r="I224" s="235"/>
      <c r="J224" s="231"/>
      <c r="K224" s="231"/>
      <c r="L224" s="246"/>
      <c r="M224" s="246"/>
      <c r="N224" s="246"/>
      <c r="O224" s="248"/>
      <c r="P224" s="147" t="s">
        <v>366</v>
      </c>
      <c r="Q224" s="147" t="s">
        <v>383</v>
      </c>
      <c r="R224" s="147">
        <v>1</v>
      </c>
      <c r="S224" s="164">
        <v>0.05</v>
      </c>
      <c r="T224" s="147">
        <v>1</v>
      </c>
      <c r="U224" s="164">
        <f t="shared" si="16"/>
        <v>0.05</v>
      </c>
      <c r="V224" s="231"/>
      <c r="W224" s="232"/>
      <c r="X224" s="252"/>
      <c r="Y224" s="216"/>
      <c r="AC224" s="106"/>
    </row>
    <row r="225" spans="1:29">
      <c r="A225" s="233">
        <v>93</v>
      </c>
      <c r="B225" s="232" t="s">
        <v>373</v>
      </c>
      <c r="C225" s="237" t="s">
        <v>374</v>
      </c>
      <c r="D225" s="232"/>
      <c r="E225" s="232"/>
      <c r="F225" s="232" t="s">
        <v>363</v>
      </c>
      <c r="G225" s="222">
        <v>40</v>
      </c>
      <c r="H225" s="222">
        <v>24</v>
      </c>
      <c r="I225" s="222">
        <v>2</v>
      </c>
      <c r="J225" s="232">
        <v>4.3</v>
      </c>
      <c r="K225" s="232">
        <v>2.5</v>
      </c>
      <c r="L225" s="238">
        <v>1.4999999999999999E-2</v>
      </c>
      <c r="M225" s="238">
        <v>0.01</v>
      </c>
      <c r="N225" s="238">
        <f>L225-M225</f>
        <v>4.9999999999999992E-3</v>
      </c>
      <c r="O225" s="239">
        <f>J225*L225-K225*N225</f>
        <v>5.2000000000000005E-2</v>
      </c>
      <c r="P225" s="147" t="s">
        <v>364</v>
      </c>
      <c r="Q225" s="147" t="s">
        <v>365</v>
      </c>
      <c r="R225" s="147">
        <v>1</v>
      </c>
      <c r="S225" s="164">
        <v>0.04</v>
      </c>
      <c r="T225" s="147">
        <v>1</v>
      </c>
      <c r="U225" s="164">
        <f t="shared" si="16"/>
        <v>0.04</v>
      </c>
      <c r="V225" s="229">
        <v>1.18</v>
      </c>
      <c r="W225" s="232">
        <f>(O225+SUM(U225:U227))*V225</f>
        <v>0.15576000000000001</v>
      </c>
      <c r="X225" s="222">
        <v>0.13950000000000001</v>
      </c>
      <c r="Y225" s="214">
        <f>1-W225/X225</f>
        <v>-0.11655913978494614</v>
      </c>
      <c r="AC225" s="103"/>
    </row>
    <row r="226" spans="1:29">
      <c r="A226" s="234"/>
      <c r="B226" s="232"/>
      <c r="C226" s="237"/>
      <c r="D226" s="232"/>
      <c r="E226" s="232"/>
      <c r="F226" s="232"/>
      <c r="G226" s="222"/>
      <c r="H226" s="222"/>
      <c r="I226" s="222"/>
      <c r="J226" s="232"/>
      <c r="K226" s="232"/>
      <c r="L226" s="238"/>
      <c r="M226" s="238"/>
      <c r="N226" s="238"/>
      <c r="O226" s="239"/>
      <c r="P226" s="147" t="s">
        <v>366</v>
      </c>
      <c r="Q226" s="147" t="s">
        <v>370</v>
      </c>
      <c r="R226" s="147">
        <v>1</v>
      </c>
      <c r="S226" s="164">
        <v>0.02</v>
      </c>
      <c r="T226" s="147">
        <v>1</v>
      </c>
      <c r="U226" s="164">
        <f t="shared" si="16"/>
        <v>0.02</v>
      </c>
      <c r="V226" s="230"/>
      <c r="W226" s="232"/>
      <c r="X226" s="222"/>
      <c r="Y226" s="215"/>
      <c r="AC226" s="103"/>
    </row>
    <row r="227" spans="1:29">
      <c r="A227" s="235"/>
      <c r="B227" s="232"/>
      <c r="C227" s="237"/>
      <c r="D227" s="232"/>
      <c r="E227" s="232"/>
      <c r="F227" s="232"/>
      <c r="G227" s="222"/>
      <c r="H227" s="222"/>
      <c r="I227" s="222"/>
      <c r="J227" s="232"/>
      <c r="K227" s="232"/>
      <c r="L227" s="238"/>
      <c r="M227" s="238"/>
      <c r="N227" s="238"/>
      <c r="O227" s="239"/>
      <c r="P227" s="147" t="s">
        <v>368</v>
      </c>
      <c r="Q227" s="147" t="s">
        <v>370</v>
      </c>
      <c r="R227" s="147">
        <v>1</v>
      </c>
      <c r="S227" s="164">
        <v>0.02</v>
      </c>
      <c r="T227" s="147">
        <v>1</v>
      </c>
      <c r="U227" s="164">
        <f t="shared" si="16"/>
        <v>0.02</v>
      </c>
      <c r="V227" s="231"/>
      <c r="W227" s="232"/>
      <c r="X227" s="222"/>
      <c r="Y227" s="216"/>
      <c r="AC227" s="103"/>
    </row>
    <row r="228" spans="1:29">
      <c r="A228" s="233">
        <v>94</v>
      </c>
      <c r="B228" s="236" t="s">
        <v>519</v>
      </c>
      <c r="C228" s="237" t="s">
        <v>520</v>
      </c>
      <c r="D228" s="232"/>
      <c r="E228" s="232"/>
      <c r="F228" s="237" t="s">
        <v>445</v>
      </c>
      <c r="G228" s="222">
        <v>228</v>
      </c>
      <c r="H228" s="222">
        <v>50</v>
      </c>
      <c r="I228" s="222">
        <v>4</v>
      </c>
      <c r="J228" s="232">
        <v>4.5999999999999996</v>
      </c>
      <c r="K228" s="232">
        <v>2.5</v>
      </c>
      <c r="L228" s="238">
        <v>0.35799999999999998</v>
      </c>
      <c r="M228" s="238">
        <v>0.317</v>
      </c>
      <c r="N228" s="238">
        <f>L228-M228</f>
        <v>4.0999999999999981E-2</v>
      </c>
      <c r="O228" s="239">
        <f>J228*L228-K228*N228</f>
        <v>1.5442999999999998</v>
      </c>
      <c r="P228" s="147" t="s">
        <v>364</v>
      </c>
      <c r="Q228" s="147" t="s">
        <v>501</v>
      </c>
      <c r="R228" s="147">
        <v>1</v>
      </c>
      <c r="S228" s="164">
        <v>0.1</v>
      </c>
      <c r="T228" s="147">
        <v>1</v>
      </c>
      <c r="U228" s="164">
        <f>R228*S228/T228</f>
        <v>0.1</v>
      </c>
      <c r="V228" s="229">
        <v>1.1200000000000001</v>
      </c>
      <c r="W228" s="232">
        <f>(O228+SUM(U228:U230))*V228</f>
        <v>1.998416</v>
      </c>
      <c r="X228" s="222">
        <v>2.2770000000000001</v>
      </c>
      <c r="Y228" s="214">
        <f>1-W228/X228</f>
        <v>0.12234694773825217</v>
      </c>
    </row>
    <row r="229" spans="1:29">
      <c r="A229" s="234"/>
      <c r="B229" s="232"/>
      <c r="C229" s="237"/>
      <c r="D229" s="232"/>
      <c r="E229" s="232"/>
      <c r="F229" s="237"/>
      <c r="G229" s="222"/>
      <c r="H229" s="222"/>
      <c r="I229" s="222"/>
      <c r="J229" s="232"/>
      <c r="K229" s="232"/>
      <c r="L229" s="238"/>
      <c r="M229" s="238"/>
      <c r="N229" s="238"/>
      <c r="O229" s="239"/>
      <c r="P229" s="147" t="s">
        <v>366</v>
      </c>
      <c r="Q229" s="147" t="s">
        <v>511</v>
      </c>
      <c r="R229" s="147">
        <v>1</v>
      </c>
      <c r="S229" s="164">
        <v>0.04</v>
      </c>
      <c r="T229" s="147">
        <v>1</v>
      </c>
      <c r="U229" s="164">
        <f>R229*S229/T229</f>
        <v>0.04</v>
      </c>
      <c r="V229" s="230"/>
      <c r="W229" s="232"/>
      <c r="X229" s="222"/>
      <c r="Y229" s="215"/>
    </row>
    <row r="230" spans="1:29">
      <c r="A230" s="235"/>
      <c r="B230" s="232"/>
      <c r="C230" s="237"/>
      <c r="D230" s="232"/>
      <c r="E230" s="232"/>
      <c r="F230" s="237"/>
      <c r="G230" s="222"/>
      <c r="H230" s="222"/>
      <c r="I230" s="222"/>
      <c r="J230" s="232"/>
      <c r="K230" s="232"/>
      <c r="L230" s="238"/>
      <c r="M230" s="238"/>
      <c r="N230" s="238"/>
      <c r="O230" s="239"/>
      <c r="P230" s="147" t="s">
        <v>368</v>
      </c>
      <c r="Q230" s="147" t="s">
        <v>501</v>
      </c>
      <c r="R230" s="147">
        <v>1</v>
      </c>
      <c r="S230" s="164">
        <v>0.1</v>
      </c>
      <c r="T230" s="147">
        <v>1</v>
      </c>
      <c r="U230" s="164">
        <f>R230*S230/T230</f>
        <v>0.1</v>
      </c>
      <c r="V230" s="231"/>
      <c r="W230" s="232"/>
      <c r="X230" s="222"/>
      <c r="Y230" s="216"/>
    </row>
    <row r="231" spans="1:29">
      <c r="A231" s="233">
        <v>95</v>
      </c>
      <c r="B231" s="233" t="s">
        <v>310</v>
      </c>
      <c r="C231" s="242" t="s">
        <v>311</v>
      </c>
      <c r="D231" s="242"/>
      <c r="E231" s="242"/>
      <c r="F231" s="244" t="s">
        <v>445</v>
      </c>
      <c r="G231" s="233">
        <v>209</v>
      </c>
      <c r="H231" s="233">
        <v>112</v>
      </c>
      <c r="I231" s="233">
        <v>2.2999999999999998</v>
      </c>
      <c r="J231" s="229">
        <v>4.5999999999999996</v>
      </c>
      <c r="K231" s="229">
        <v>2.5</v>
      </c>
      <c r="L231" s="245">
        <v>0.42299999999999999</v>
      </c>
      <c r="M231" s="245">
        <v>0.17</v>
      </c>
      <c r="N231" s="238">
        <f>L231-M231</f>
        <v>0.253</v>
      </c>
      <c r="O231" s="239">
        <f>J231*L231-K231*N231</f>
        <v>1.3132999999999997</v>
      </c>
      <c r="P231" s="147" t="s">
        <v>364</v>
      </c>
      <c r="Q231" s="149" t="s">
        <v>506</v>
      </c>
      <c r="R231" s="147">
        <v>1</v>
      </c>
      <c r="S231" s="164">
        <v>7.0000000000000007E-2</v>
      </c>
      <c r="T231" s="147">
        <v>1</v>
      </c>
      <c r="U231" s="164">
        <f t="shared" si="16"/>
        <v>7.0000000000000007E-2</v>
      </c>
      <c r="V231" s="229">
        <v>1.1200000000000001</v>
      </c>
      <c r="W231" s="232">
        <f>(O231+SUM(U231:U233))*V231</f>
        <v>1.6836959999999999</v>
      </c>
      <c r="X231" s="250">
        <v>1.792</v>
      </c>
      <c r="Y231" s="214">
        <f>1-W231/X231</f>
        <v>6.0437500000000144E-2</v>
      </c>
    </row>
    <row r="232" spans="1:29">
      <c r="A232" s="234"/>
      <c r="B232" s="234"/>
      <c r="C232" s="255"/>
      <c r="D232" s="255"/>
      <c r="E232" s="255"/>
      <c r="F232" s="255"/>
      <c r="G232" s="234"/>
      <c r="H232" s="234"/>
      <c r="I232" s="234"/>
      <c r="J232" s="230"/>
      <c r="K232" s="230"/>
      <c r="L232" s="253"/>
      <c r="M232" s="253"/>
      <c r="N232" s="238"/>
      <c r="O232" s="239"/>
      <c r="P232" s="147" t="s">
        <v>366</v>
      </c>
      <c r="Q232" s="149" t="s">
        <v>383</v>
      </c>
      <c r="R232" s="147">
        <v>1</v>
      </c>
      <c r="S232" s="164">
        <v>0.05</v>
      </c>
      <c r="T232" s="147">
        <v>1</v>
      </c>
      <c r="U232" s="164">
        <f t="shared" si="16"/>
        <v>0.05</v>
      </c>
      <c r="V232" s="230"/>
      <c r="W232" s="232"/>
      <c r="X232" s="251"/>
      <c r="Y232" s="215"/>
    </row>
    <row r="233" spans="1:29">
      <c r="A233" s="235"/>
      <c r="B233" s="235"/>
      <c r="C233" s="243"/>
      <c r="D233" s="243"/>
      <c r="E233" s="243"/>
      <c r="F233" s="243"/>
      <c r="G233" s="235"/>
      <c r="H233" s="235"/>
      <c r="I233" s="235"/>
      <c r="J233" s="231"/>
      <c r="K233" s="231"/>
      <c r="L233" s="246"/>
      <c r="M233" s="246"/>
      <c r="N233" s="238"/>
      <c r="O233" s="239"/>
      <c r="P233" s="147" t="s">
        <v>368</v>
      </c>
      <c r="Q233" s="149" t="s">
        <v>506</v>
      </c>
      <c r="R233" s="147">
        <v>1</v>
      </c>
      <c r="S233" s="164">
        <v>7.0000000000000007E-2</v>
      </c>
      <c r="T233" s="147">
        <v>1</v>
      </c>
      <c r="U233" s="164">
        <f t="shared" si="16"/>
        <v>7.0000000000000007E-2</v>
      </c>
      <c r="V233" s="231"/>
      <c r="W233" s="232"/>
      <c r="X233" s="252"/>
      <c r="Y233" s="216"/>
    </row>
    <row r="234" spans="1:29">
      <c r="A234" s="240">
        <v>97</v>
      </c>
      <c r="B234" s="241" t="s">
        <v>316</v>
      </c>
      <c r="C234" s="241" t="s">
        <v>317</v>
      </c>
      <c r="D234" s="241" t="s">
        <v>508</v>
      </c>
      <c r="E234" s="241">
        <v>1</v>
      </c>
      <c r="F234" s="249" t="s">
        <v>445</v>
      </c>
      <c r="G234" s="240">
        <v>189</v>
      </c>
      <c r="H234" s="240">
        <v>43</v>
      </c>
      <c r="I234" s="240">
        <v>3</v>
      </c>
      <c r="J234" s="232">
        <v>4.5999999999999996</v>
      </c>
      <c r="K234" s="232">
        <v>2.5</v>
      </c>
      <c r="L234" s="238">
        <v>0.192</v>
      </c>
      <c r="M234" s="238">
        <v>0.154</v>
      </c>
      <c r="N234" s="238">
        <f>L234-M234</f>
        <v>3.8000000000000006E-2</v>
      </c>
      <c r="O234" s="239">
        <f>J234*L234-K234*N234</f>
        <v>0.78820000000000001</v>
      </c>
      <c r="P234" s="95" t="s">
        <v>364</v>
      </c>
      <c r="Q234" s="95" t="s">
        <v>506</v>
      </c>
      <c r="R234" s="151">
        <v>1</v>
      </c>
      <c r="S234" s="171">
        <v>7.0000000000000007E-2</v>
      </c>
      <c r="T234" s="151">
        <v>1</v>
      </c>
      <c r="U234" s="171">
        <f t="shared" ref="U234:U237" si="37">R234*S234/T234</f>
        <v>7.0000000000000007E-2</v>
      </c>
      <c r="V234" s="233">
        <v>1.1200000000000001</v>
      </c>
      <c r="W234" s="229">
        <f>(O234+SUM(U234:U236))*V234+(O236+U237)*1.03</f>
        <v>1.3091840000000001</v>
      </c>
      <c r="X234" s="233">
        <v>1.3620000000000001</v>
      </c>
      <c r="Y234" s="217">
        <f>1-W234/X234</f>
        <v>3.8778267254038212E-2</v>
      </c>
    </row>
    <row r="235" spans="1:29">
      <c r="A235" s="240"/>
      <c r="B235" s="241"/>
      <c r="C235" s="241"/>
      <c r="D235" s="241"/>
      <c r="E235" s="241"/>
      <c r="F235" s="241"/>
      <c r="G235" s="240"/>
      <c r="H235" s="240"/>
      <c r="I235" s="240"/>
      <c r="J235" s="232"/>
      <c r="K235" s="232"/>
      <c r="L235" s="238"/>
      <c r="M235" s="238"/>
      <c r="N235" s="238"/>
      <c r="O235" s="239"/>
      <c r="P235" s="95" t="s">
        <v>366</v>
      </c>
      <c r="Q235" s="95" t="s">
        <v>511</v>
      </c>
      <c r="R235" s="151">
        <v>1</v>
      </c>
      <c r="S235" s="171">
        <v>0.04</v>
      </c>
      <c r="T235" s="151">
        <v>1</v>
      </c>
      <c r="U235" s="171">
        <f t="shared" si="37"/>
        <v>0.04</v>
      </c>
      <c r="V235" s="234"/>
      <c r="W235" s="230"/>
      <c r="X235" s="234"/>
      <c r="Y235" s="217"/>
    </row>
    <row r="236" spans="1:29">
      <c r="A236" s="240"/>
      <c r="B236" s="241"/>
      <c r="C236" s="241"/>
      <c r="D236" s="241" t="s">
        <v>510</v>
      </c>
      <c r="E236" s="241">
        <v>2</v>
      </c>
      <c r="F236" s="249"/>
      <c r="G236" s="240"/>
      <c r="H236" s="240"/>
      <c r="I236" s="240"/>
      <c r="J236" s="232">
        <v>0.05</v>
      </c>
      <c r="K236" s="232"/>
      <c r="L236" s="238"/>
      <c r="M236" s="238"/>
      <c r="N236" s="238"/>
      <c r="O236" s="239">
        <f>E236*J236</f>
        <v>0.1</v>
      </c>
      <c r="P236" s="95" t="s">
        <v>368</v>
      </c>
      <c r="Q236" s="95" t="s">
        <v>427</v>
      </c>
      <c r="R236" s="151">
        <v>1</v>
      </c>
      <c r="S236" s="171">
        <v>0.05</v>
      </c>
      <c r="T236" s="151">
        <v>1</v>
      </c>
      <c r="U236" s="171">
        <f t="shared" si="37"/>
        <v>0.05</v>
      </c>
      <c r="V236" s="234"/>
      <c r="W236" s="230"/>
      <c r="X236" s="234"/>
      <c r="Y236" s="217"/>
    </row>
    <row r="237" spans="1:29">
      <c r="A237" s="240"/>
      <c r="B237" s="241"/>
      <c r="C237" s="241"/>
      <c r="D237" s="241"/>
      <c r="E237" s="241"/>
      <c r="F237" s="241"/>
      <c r="G237" s="240"/>
      <c r="H237" s="240"/>
      <c r="I237" s="240"/>
      <c r="J237" s="232"/>
      <c r="K237" s="232"/>
      <c r="L237" s="238"/>
      <c r="M237" s="238"/>
      <c r="N237" s="238"/>
      <c r="O237" s="239"/>
      <c r="P237" s="95" t="s">
        <v>413</v>
      </c>
      <c r="Q237" s="100"/>
      <c r="R237" s="151">
        <v>2</v>
      </c>
      <c r="S237" s="171">
        <v>7.0000000000000007E-2</v>
      </c>
      <c r="T237" s="151">
        <v>1</v>
      </c>
      <c r="U237" s="171">
        <f t="shared" si="37"/>
        <v>0.14000000000000001</v>
      </c>
      <c r="V237" s="235"/>
      <c r="W237" s="231"/>
      <c r="X237" s="235"/>
      <c r="Y237" s="217"/>
    </row>
  </sheetData>
  <mergeCells count="1549">
    <mergeCell ref="Y234:Y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4:M235"/>
    <mergeCell ref="N234:N235"/>
    <mergeCell ref="O234:O235"/>
    <mergeCell ref="V234:V237"/>
    <mergeCell ref="W234:W237"/>
    <mergeCell ref="X234:X237"/>
    <mergeCell ref="M236:M237"/>
    <mergeCell ref="N236:N237"/>
    <mergeCell ref="O236:O237"/>
    <mergeCell ref="G234:G235"/>
    <mergeCell ref="H234:H235"/>
    <mergeCell ref="I234:I235"/>
    <mergeCell ref="J234:J235"/>
    <mergeCell ref="K234:K235"/>
    <mergeCell ref="L234:L235"/>
    <mergeCell ref="V231:V233"/>
    <mergeCell ref="W231:W233"/>
    <mergeCell ref="X231:X233"/>
    <mergeCell ref="Y231:Y233"/>
    <mergeCell ref="A234:A237"/>
    <mergeCell ref="B234:B237"/>
    <mergeCell ref="C234:C237"/>
    <mergeCell ref="D234:D235"/>
    <mergeCell ref="E234:E235"/>
    <mergeCell ref="F234:F235"/>
    <mergeCell ref="J231:J233"/>
    <mergeCell ref="K231:K233"/>
    <mergeCell ref="L231:L233"/>
    <mergeCell ref="M231:M233"/>
    <mergeCell ref="N231:N233"/>
    <mergeCell ref="O231:O233"/>
    <mergeCell ref="Y228:Y230"/>
    <mergeCell ref="A231:A233"/>
    <mergeCell ref="B231:B233"/>
    <mergeCell ref="C231:C233"/>
    <mergeCell ref="D231:D233"/>
    <mergeCell ref="E231:E233"/>
    <mergeCell ref="F231:F233"/>
    <mergeCell ref="G231:G233"/>
    <mergeCell ref="H231:H233"/>
    <mergeCell ref="I231:I233"/>
    <mergeCell ref="M228:M230"/>
    <mergeCell ref="N228:N230"/>
    <mergeCell ref="O228:O230"/>
    <mergeCell ref="V228:V230"/>
    <mergeCell ref="W228:W230"/>
    <mergeCell ref="X228:X230"/>
    <mergeCell ref="G228:G230"/>
    <mergeCell ref="H228:H230"/>
    <mergeCell ref="I228:I230"/>
    <mergeCell ref="J228:J230"/>
    <mergeCell ref="K228:K230"/>
    <mergeCell ref="L228:L230"/>
    <mergeCell ref="V225:V227"/>
    <mergeCell ref="W225:W227"/>
    <mergeCell ref="X225:X227"/>
    <mergeCell ref="Y225:Y227"/>
    <mergeCell ref="A228:A230"/>
    <mergeCell ref="B228:B230"/>
    <mergeCell ref="C228:C230"/>
    <mergeCell ref="D228:D230"/>
    <mergeCell ref="E228:E230"/>
    <mergeCell ref="F228:F230"/>
    <mergeCell ref="J225:J227"/>
    <mergeCell ref="K225:K227"/>
    <mergeCell ref="L225:L227"/>
    <mergeCell ref="M225:M227"/>
    <mergeCell ref="N225:N227"/>
    <mergeCell ref="O225:O227"/>
    <mergeCell ref="Y222:Y224"/>
    <mergeCell ref="A225:A227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M222:M224"/>
    <mergeCell ref="N222:N224"/>
    <mergeCell ref="O222:O224"/>
    <mergeCell ref="V222:V224"/>
    <mergeCell ref="W222:W224"/>
    <mergeCell ref="X222:X224"/>
    <mergeCell ref="G222:G224"/>
    <mergeCell ref="H222:H224"/>
    <mergeCell ref="I222:I224"/>
    <mergeCell ref="J222:J224"/>
    <mergeCell ref="K222:K224"/>
    <mergeCell ref="L222:L224"/>
    <mergeCell ref="V220:V221"/>
    <mergeCell ref="W220:W221"/>
    <mergeCell ref="X220:X221"/>
    <mergeCell ref="Y220:Y221"/>
    <mergeCell ref="A222:A224"/>
    <mergeCell ref="B222:B224"/>
    <mergeCell ref="C222:C224"/>
    <mergeCell ref="D222:D224"/>
    <mergeCell ref="E222:E224"/>
    <mergeCell ref="F222:F224"/>
    <mergeCell ref="J220:J221"/>
    <mergeCell ref="K220:K221"/>
    <mergeCell ref="L220:L221"/>
    <mergeCell ref="M220:M221"/>
    <mergeCell ref="N220:N221"/>
    <mergeCell ref="O220:O221"/>
    <mergeCell ref="Y218:Y219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M218:M219"/>
    <mergeCell ref="N218:N219"/>
    <mergeCell ref="O218:O219"/>
    <mergeCell ref="V218:V219"/>
    <mergeCell ref="W218:W219"/>
    <mergeCell ref="X218:X219"/>
    <mergeCell ref="G218:G219"/>
    <mergeCell ref="H218:H219"/>
    <mergeCell ref="I218:I219"/>
    <mergeCell ref="J218:J219"/>
    <mergeCell ref="K218:K219"/>
    <mergeCell ref="L218:L219"/>
    <mergeCell ref="V214:V217"/>
    <mergeCell ref="W214:W217"/>
    <mergeCell ref="X214:X217"/>
    <mergeCell ref="Y214:Y217"/>
    <mergeCell ref="A218:A219"/>
    <mergeCell ref="B218:B219"/>
    <mergeCell ref="C218:C219"/>
    <mergeCell ref="D218:D219"/>
    <mergeCell ref="E218:E219"/>
    <mergeCell ref="F218:F219"/>
    <mergeCell ref="J214:J217"/>
    <mergeCell ref="K214:K217"/>
    <mergeCell ref="L214:L217"/>
    <mergeCell ref="M214:M217"/>
    <mergeCell ref="N214:N217"/>
    <mergeCell ref="O214:O217"/>
    <mergeCell ref="Y211:Y213"/>
    <mergeCell ref="A214:A217"/>
    <mergeCell ref="B214:B217"/>
    <mergeCell ref="C214:C217"/>
    <mergeCell ref="D214:D217"/>
    <mergeCell ref="E214:E217"/>
    <mergeCell ref="F214:F217"/>
    <mergeCell ref="G214:G217"/>
    <mergeCell ref="H214:H217"/>
    <mergeCell ref="I214:I217"/>
    <mergeCell ref="M211:M213"/>
    <mergeCell ref="N211:N213"/>
    <mergeCell ref="O211:O213"/>
    <mergeCell ref="V211:V213"/>
    <mergeCell ref="W211:W213"/>
    <mergeCell ref="X211:X213"/>
    <mergeCell ref="G211:G213"/>
    <mergeCell ref="H211:H213"/>
    <mergeCell ref="I211:I213"/>
    <mergeCell ref="J211:J213"/>
    <mergeCell ref="K211:K213"/>
    <mergeCell ref="L211:L213"/>
    <mergeCell ref="V208:V210"/>
    <mergeCell ref="W208:W210"/>
    <mergeCell ref="X208:X210"/>
    <mergeCell ref="Y208:Y210"/>
    <mergeCell ref="A211:A213"/>
    <mergeCell ref="B211:B213"/>
    <mergeCell ref="C211:C213"/>
    <mergeCell ref="D211:D213"/>
    <mergeCell ref="E211:E213"/>
    <mergeCell ref="F211:F213"/>
    <mergeCell ref="J208:J210"/>
    <mergeCell ref="K208:K210"/>
    <mergeCell ref="L208:L210"/>
    <mergeCell ref="M208:M210"/>
    <mergeCell ref="N208:N210"/>
    <mergeCell ref="O208:O210"/>
    <mergeCell ref="Y206:Y207"/>
    <mergeCell ref="A208:A210"/>
    <mergeCell ref="B208:B210"/>
    <mergeCell ref="C208:C210"/>
    <mergeCell ref="D208:D210"/>
    <mergeCell ref="E208:E210"/>
    <mergeCell ref="F208:F210"/>
    <mergeCell ref="G208:G210"/>
    <mergeCell ref="H208:H210"/>
    <mergeCell ref="I208:I210"/>
    <mergeCell ref="M206:M207"/>
    <mergeCell ref="N206:N207"/>
    <mergeCell ref="O206:O207"/>
    <mergeCell ref="V206:V207"/>
    <mergeCell ref="W206:W207"/>
    <mergeCell ref="X206:X207"/>
    <mergeCell ref="G206:G207"/>
    <mergeCell ref="H206:H207"/>
    <mergeCell ref="I206:I207"/>
    <mergeCell ref="J206:J207"/>
    <mergeCell ref="K206:K207"/>
    <mergeCell ref="L206:L207"/>
    <mergeCell ref="V203:V205"/>
    <mergeCell ref="W203:W205"/>
    <mergeCell ref="X203:X205"/>
    <mergeCell ref="Y203:Y205"/>
    <mergeCell ref="A206:A207"/>
    <mergeCell ref="B206:B207"/>
    <mergeCell ref="C206:C207"/>
    <mergeCell ref="D206:D207"/>
    <mergeCell ref="E206:E207"/>
    <mergeCell ref="F206:F207"/>
    <mergeCell ref="J203:J205"/>
    <mergeCell ref="K203:K205"/>
    <mergeCell ref="L203:L205"/>
    <mergeCell ref="M203:M205"/>
    <mergeCell ref="N203:N205"/>
    <mergeCell ref="O203:O205"/>
    <mergeCell ref="Y200:Y202"/>
    <mergeCell ref="A203:A205"/>
    <mergeCell ref="B203:B205"/>
    <mergeCell ref="C203:C205"/>
    <mergeCell ref="D203:D205"/>
    <mergeCell ref="E203:E205"/>
    <mergeCell ref="F203:F205"/>
    <mergeCell ref="G203:G205"/>
    <mergeCell ref="H203:H205"/>
    <mergeCell ref="I203:I205"/>
    <mergeCell ref="M200:M202"/>
    <mergeCell ref="N200:N202"/>
    <mergeCell ref="O200:O202"/>
    <mergeCell ref="V200:V202"/>
    <mergeCell ref="W200:W202"/>
    <mergeCell ref="X200:X202"/>
    <mergeCell ref="G200:G202"/>
    <mergeCell ref="H200:H202"/>
    <mergeCell ref="I200:I202"/>
    <mergeCell ref="J200:J202"/>
    <mergeCell ref="K200:K202"/>
    <mergeCell ref="L200:L202"/>
    <mergeCell ref="V196:V199"/>
    <mergeCell ref="W196:W199"/>
    <mergeCell ref="X196:X199"/>
    <mergeCell ref="Y196:Y199"/>
    <mergeCell ref="A200:A202"/>
    <mergeCell ref="B200:B202"/>
    <mergeCell ref="C200:C202"/>
    <mergeCell ref="D200:D202"/>
    <mergeCell ref="E200:E202"/>
    <mergeCell ref="F200:F202"/>
    <mergeCell ref="J196:J199"/>
    <mergeCell ref="K196:K199"/>
    <mergeCell ref="L196:L199"/>
    <mergeCell ref="M196:M199"/>
    <mergeCell ref="N196:N199"/>
    <mergeCell ref="O196:O199"/>
    <mergeCell ref="Y194:Y195"/>
    <mergeCell ref="A196:A199"/>
    <mergeCell ref="B196:B199"/>
    <mergeCell ref="C196:C199"/>
    <mergeCell ref="D196:D199"/>
    <mergeCell ref="E196:E199"/>
    <mergeCell ref="F196:F199"/>
    <mergeCell ref="G196:G199"/>
    <mergeCell ref="H196:H199"/>
    <mergeCell ref="I196:I199"/>
    <mergeCell ref="M194:M195"/>
    <mergeCell ref="N194:N195"/>
    <mergeCell ref="O194:O195"/>
    <mergeCell ref="V194:V195"/>
    <mergeCell ref="W194:W195"/>
    <mergeCell ref="X194:X195"/>
    <mergeCell ref="G194:G195"/>
    <mergeCell ref="H194:H195"/>
    <mergeCell ref="I194:I195"/>
    <mergeCell ref="J194:J195"/>
    <mergeCell ref="K194:K195"/>
    <mergeCell ref="L194:L195"/>
    <mergeCell ref="V191:V193"/>
    <mergeCell ref="W191:W193"/>
    <mergeCell ref="X191:X193"/>
    <mergeCell ref="Y191:Y193"/>
    <mergeCell ref="A194:A195"/>
    <mergeCell ref="B194:B195"/>
    <mergeCell ref="C194:C195"/>
    <mergeCell ref="D194:D195"/>
    <mergeCell ref="E194:E195"/>
    <mergeCell ref="F194:F195"/>
    <mergeCell ref="J191:J193"/>
    <mergeCell ref="K191:K193"/>
    <mergeCell ref="L191:L193"/>
    <mergeCell ref="M191:M193"/>
    <mergeCell ref="N191:N193"/>
    <mergeCell ref="O191:O193"/>
    <mergeCell ref="Y188:Y190"/>
    <mergeCell ref="A191:A193"/>
    <mergeCell ref="B191:B193"/>
    <mergeCell ref="C191:C193"/>
    <mergeCell ref="D191:D193"/>
    <mergeCell ref="E191:E193"/>
    <mergeCell ref="F191:F193"/>
    <mergeCell ref="G191:G193"/>
    <mergeCell ref="H191:H193"/>
    <mergeCell ref="I191:I193"/>
    <mergeCell ref="M188:M190"/>
    <mergeCell ref="N188:N190"/>
    <mergeCell ref="O188:O190"/>
    <mergeCell ref="V188:V190"/>
    <mergeCell ref="W188:W190"/>
    <mergeCell ref="X188:X190"/>
    <mergeCell ref="G188:G190"/>
    <mergeCell ref="H188:H190"/>
    <mergeCell ref="I188:I190"/>
    <mergeCell ref="J188:J190"/>
    <mergeCell ref="K188:K190"/>
    <mergeCell ref="L188:L190"/>
    <mergeCell ref="V186:V187"/>
    <mergeCell ref="W186:W187"/>
    <mergeCell ref="X186:X187"/>
    <mergeCell ref="Y186:Y187"/>
    <mergeCell ref="A188:A190"/>
    <mergeCell ref="B188:B190"/>
    <mergeCell ref="C188:C190"/>
    <mergeCell ref="D188:D190"/>
    <mergeCell ref="E188:E190"/>
    <mergeCell ref="F188:F190"/>
    <mergeCell ref="J186:J187"/>
    <mergeCell ref="K186:K187"/>
    <mergeCell ref="L186:L187"/>
    <mergeCell ref="M186:M187"/>
    <mergeCell ref="N186:N187"/>
    <mergeCell ref="O186:O187"/>
    <mergeCell ref="Y183:Y185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M183:M185"/>
    <mergeCell ref="N183:N185"/>
    <mergeCell ref="O183:O185"/>
    <mergeCell ref="V183:V185"/>
    <mergeCell ref="W183:W185"/>
    <mergeCell ref="X183:X185"/>
    <mergeCell ref="G183:G185"/>
    <mergeCell ref="H183:H185"/>
    <mergeCell ref="I183:I185"/>
    <mergeCell ref="J183:J185"/>
    <mergeCell ref="K183:K185"/>
    <mergeCell ref="L183:L185"/>
    <mergeCell ref="V180:V182"/>
    <mergeCell ref="W180:W182"/>
    <mergeCell ref="X180:X182"/>
    <mergeCell ref="Y180:Y182"/>
    <mergeCell ref="A183:A185"/>
    <mergeCell ref="B183:B185"/>
    <mergeCell ref="C183:C185"/>
    <mergeCell ref="D183:D185"/>
    <mergeCell ref="E183:E185"/>
    <mergeCell ref="F183:F185"/>
    <mergeCell ref="J180:J182"/>
    <mergeCell ref="K180:K182"/>
    <mergeCell ref="L180:L182"/>
    <mergeCell ref="M180:M182"/>
    <mergeCell ref="N180:N182"/>
    <mergeCell ref="O180:O182"/>
    <mergeCell ref="Y177:Y178"/>
    <mergeCell ref="A180:A182"/>
    <mergeCell ref="B180:B182"/>
    <mergeCell ref="C180:C182"/>
    <mergeCell ref="D180:D182"/>
    <mergeCell ref="E180:E182"/>
    <mergeCell ref="F180:F182"/>
    <mergeCell ref="G180:G182"/>
    <mergeCell ref="H180:H182"/>
    <mergeCell ref="I180:I182"/>
    <mergeCell ref="M177:M178"/>
    <mergeCell ref="N177:N178"/>
    <mergeCell ref="O177:O178"/>
    <mergeCell ref="V177:V178"/>
    <mergeCell ref="W177:W178"/>
    <mergeCell ref="X177:X178"/>
    <mergeCell ref="G177:G178"/>
    <mergeCell ref="H177:H178"/>
    <mergeCell ref="I177:I178"/>
    <mergeCell ref="J177:J178"/>
    <mergeCell ref="K177:K178"/>
    <mergeCell ref="L177:L178"/>
    <mergeCell ref="V175:V176"/>
    <mergeCell ref="W175:W176"/>
    <mergeCell ref="X175:X176"/>
    <mergeCell ref="Y175:Y176"/>
    <mergeCell ref="A177:A178"/>
    <mergeCell ref="B177:B178"/>
    <mergeCell ref="C177:C178"/>
    <mergeCell ref="D177:D178"/>
    <mergeCell ref="E177:E178"/>
    <mergeCell ref="F177:F178"/>
    <mergeCell ref="J175:J176"/>
    <mergeCell ref="K175:K176"/>
    <mergeCell ref="L175:L176"/>
    <mergeCell ref="M175:M176"/>
    <mergeCell ref="N175:N176"/>
    <mergeCell ref="O175:O176"/>
    <mergeCell ref="Y173:Y174"/>
    <mergeCell ref="A175:A176"/>
    <mergeCell ref="B175:B176"/>
    <mergeCell ref="C175:C176"/>
    <mergeCell ref="D175:D176"/>
    <mergeCell ref="E175:E176"/>
    <mergeCell ref="F175:F176"/>
    <mergeCell ref="G175:G176"/>
    <mergeCell ref="H175:H176"/>
    <mergeCell ref="I175:I176"/>
    <mergeCell ref="M173:M174"/>
    <mergeCell ref="N173:N174"/>
    <mergeCell ref="O173:O174"/>
    <mergeCell ref="V173:V174"/>
    <mergeCell ref="W173:W174"/>
    <mergeCell ref="X173:X174"/>
    <mergeCell ref="G173:G174"/>
    <mergeCell ref="H173:H174"/>
    <mergeCell ref="I173:I174"/>
    <mergeCell ref="J173:J174"/>
    <mergeCell ref="K173:K174"/>
    <mergeCell ref="L173:L174"/>
    <mergeCell ref="V170:V172"/>
    <mergeCell ref="W170:W172"/>
    <mergeCell ref="X170:X172"/>
    <mergeCell ref="Y170:Y172"/>
    <mergeCell ref="A173:A174"/>
    <mergeCell ref="B173:B174"/>
    <mergeCell ref="C173:C174"/>
    <mergeCell ref="D173:D174"/>
    <mergeCell ref="E173:E174"/>
    <mergeCell ref="F173:F174"/>
    <mergeCell ref="J170:J172"/>
    <mergeCell ref="K170:K172"/>
    <mergeCell ref="L170:L172"/>
    <mergeCell ref="M170:M172"/>
    <mergeCell ref="N170:N172"/>
    <mergeCell ref="O170:O172"/>
    <mergeCell ref="Y167:Y169"/>
    <mergeCell ref="A170:A172"/>
    <mergeCell ref="B170:B172"/>
    <mergeCell ref="C170:C172"/>
    <mergeCell ref="D170:D172"/>
    <mergeCell ref="E170:E172"/>
    <mergeCell ref="F170:F172"/>
    <mergeCell ref="G170:G172"/>
    <mergeCell ref="H170:H172"/>
    <mergeCell ref="I170:I172"/>
    <mergeCell ref="M167:M169"/>
    <mergeCell ref="N167:N169"/>
    <mergeCell ref="O167:O169"/>
    <mergeCell ref="V167:V169"/>
    <mergeCell ref="W167:W169"/>
    <mergeCell ref="X167:X169"/>
    <mergeCell ref="G167:G169"/>
    <mergeCell ref="H167:H169"/>
    <mergeCell ref="I167:I169"/>
    <mergeCell ref="J167:J169"/>
    <mergeCell ref="K167:K169"/>
    <mergeCell ref="L167:L169"/>
    <mergeCell ref="V165:V166"/>
    <mergeCell ref="W165:W166"/>
    <mergeCell ref="X165:X166"/>
    <mergeCell ref="Y165:Y166"/>
    <mergeCell ref="A167:A169"/>
    <mergeCell ref="B167:B169"/>
    <mergeCell ref="C167:C169"/>
    <mergeCell ref="D167:D169"/>
    <mergeCell ref="E167:E169"/>
    <mergeCell ref="F167:F169"/>
    <mergeCell ref="J165:J166"/>
    <mergeCell ref="K165:K166"/>
    <mergeCell ref="L165:L166"/>
    <mergeCell ref="M165:M166"/>
    <mergeCell ref="N165:N166"/>
    <mergeCell ref="O165:O166"/>
    <mergeCell ref="Y162:Y164"/>
    <mergeCell ref="A165:A166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M162:M164"/>
    <mergeCell ref="N162:N164"/>
    <mergeCell ref="O162:O164"/>
    <mergeCell ref="V162:V164"/>
    <mergeCell ref="W162:W164"/>
    <mergeCell ref="X162:X164"/>
    <mergeCell ref="G162:G164"/>
    <mergeCell ref="H162:H164"/>
    <mergeCell ref="I162:I164"/>
    <mergeCell ref="J162:J164"/>
    <mergeCell ref="K162:K164"/>
    <mergeCell ref="L162:L164"/>
    <mergeCell ref="A162:A164"/>
    <mergeCell ref="B162:B164"/>
    <mergeCell ref="C162:C164"/>
    <mergeCell ref="D162:D164"/>
    <mergeCell ref="E162:E164"/>
    <mergeCell ref="F162:F164"/>
    <mergeCell ref="Y155:Y157"/>
    <mergeCell ref="A158:A161"/>
    <mergeCell ref="B158:B161"/>
    <mergeCell ref="C158:C161"/>
    <mergeCell ref="V158:V161"/>
    <mergeCell ref="W158:W161"/>
    <mergeCell ref="X158:X161"/>
    <mergeCell ref="Y158:Y161"/>
    <mergeCell ref="M155:M157"/>
    <mergeCell ref="N155:N157"/>
    <mergeCell ref="O155:O157"/>
    <mergeCell ref="V155:V157"/>
    <mergeCell ref="W155:W157"/>
    <mergeCell ref="X155:X157"/>
    <mergeCell ref="G155:G157"/>
    <mergeCell ref="H155:H157"/>
    <mergeCell ref="I155:I157"/>
    <mergeCell ref="J155:J157"/>
    <mergeCell ref="K155:K157"/>
    <mergeCell ref="L155:L157"/>
    <mergeCell ref="V152:V154"/>
    <mergeCell ref="W152:W154"/>
    <mergeCell ref="X152:X154"/>
    <mergeCell ref="Y152:Y154"/>
    <mergeCell ref="A155:A157"/>
    <mergeCell ref="B155:B157"/>
    <mergeCell ref="C155:C157"/>
    <mergeCell ref="D155:D157"/>
    <mergeCell ref="E155:E157"/>
    <mergeCell ref="F155:F157"/>
    <mergeCell ref="J152:J154"/>
    <mergeCell ref="K152:K154"/>
    <mergeCell ref="L152:L154"/>
    <mergeCell ref="M152:M154"/>
    <mergeCell ref="N152:N154"/>
    <mergeCell ref="O152:O154"/>
    <mergeCell ref="Y150:Y151"/>
    <mergeCell ref="A152:A154"/>
    <mergeCell ref="B152:B154"/>
    <mergeCell ref="C152:C154"/>
    <mergeCell ref="D152:D154"/>
    <mergeCell ref="E152:E154"/>
    <mergeCell ref="F152:F154"/>
    <mergeCell ref="G152:G154"/>
    <mergeCell ref="H152:H154"/>
    <mergeCell ref="I152:I154"/>
    <mergeCell ref="M150:M151"/>
    <mergeCell ref="N150:N151"/>
    <mergeCell ref="O150:O151"/>
    <mergeCell ref="V150:V151"/>
    <mergeCell ref="W150:W151"/>
    <mergeCell ref="X150:X151"/>
    <mergeCell ref="G150:G151"/>
    <mergeCell ref="H150:H151"/>
    <mergeCell ref="I150:I151"/>
    <mergeCell ref="J150:J151"/>
    <mergeCell ref="K150:K151"/>
    <mergeCell ref="L150:L151"/>
    <mergeCell ref="V148:V149"/>
    <mergeCell ref="W148:W149"/>
    <mergeCell ref="X148:X149"/>
    <mergeCell ref="Y148:Y149"/>
    <mergeCell ref="A150:A151"/>
    <mergeCell ref="B150:B151"/>
    <mergeCell ref="C150:C151"/>
    <mergeCell ref="D150:D151"/>
    <mergeCell ref="E150:E151"/>
    <mergeCell ref="F150:F151"/>
    <mergeCell ref="J148:J149"/>
    <mergeCell ref="K148:K149"/>
    <mergeCell ref="L148:L149"/>
    <mergeCell ref="M148:M149"/>
    <mergeCell ref="N148:N149"/>
    <mergeCell ref="O148:O149"/>
    <mergeCell ref="Y145:Y14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M145:M147"/>
    <mergeCell ref="N145:N147"/>
    <mergeCell ref="O145:O147"/>
    <mergeCell ref="V145:V147"/>
    <mergeCell ref="W145:W147"/>
    <mergeCell ref="X145:X147"/>
    <mergeCell ref="G145:G147"/>
    <mergeCell ref="H145:H147"/>
    <mergeCell ref="I145:I147"/>
    <mergeCell ref="J145:J147"/>
    <mergeCell ref="K145:K147"/>
    <mergeCell ref="L145:L147"/>
    <mergeCell ref="V143:V144"/>
    <mergeCell ref="W143:W144"/>
    <mergeCell ref="X143:X144"/>
    <mergeCell ref="Y143:Y144"/>
    <mergeCell ref="A145:A147"/>
    <mergeCell ref="B145:B147"/>
    <mergeCell ref="C145:C147"/>
    <mergeCell ref="D145:D147"/>
    <mergeCell ref="E145:E147"/>
    <mergeCell ref="F145:F147"/>
    <mergeCell ref="J143:J144"/>
    <mergeCell ref="K143:K144"/>
    <mergeCell ref="L143:L144"/>
    <mergeCell ref="M143:M144"/>
    <mergeCell ref="N143:N144"/>
    <mergeCell ref="O143:O144"/>
    <mergeCell ref="Y141:Y142"/>
    <mergeCell ref="A143:A144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M141:M142"/>
    <mergeCell ref="N141:N142"/>
    <mergeCell ref="O141:O142"/>
    <mergeCell ref="V141:V142"/>
    <mergeCell ref="W141:W142"/>
    <mergeCell ref="X141:X142"/>
    <mergeCell ref="G141:G142"/>
    <mergeCell ref="H141:H142"/>
    <mergeCell ref="I141:I142"/>
    <mergeCell ref="J141:J142"/>
    <mergeCell ref="K141:K142"/>
    <mergeCell ref="L141:L142"/>
    <mergeCell ref="V139:V140"/>
    <mergeCell ref="W139:W140"/>
    <mergeCell ref="X139:X140"/>
    <mergeCell ref="Y139:Y140"/>
    <mergeCell ref="A141:A142"/>
    <mergeCell ref="B141:B142"/>
    <mergeCell ref="C141:C142"/>
    <mergeCell ref="D141:D142"/>
    <mergeCell ref="E141:E142"/>
    <mergeCell ref="F141:F142"/>
    <mergeCell ref="J139:J140"/>
    <mergeCell ref="K139:K140"/>
    <mergeCell ref="L139:L140"/>
    <mergeCell ref="M139:M140"/>
    <mergeCell ref="N139:N140"/>
    <mergeCell ref="O139:O140"/>
    <mergeCell ref="Y137:Y138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M137:M138"/>
    <mergeCell ref="N137:N138"/>
    <mergeCell ref="O137:O138"/>
    <mergeCell ref="V137:V138"/>
    <mergeCell ref="W137:W138"/>
    <mergeCell ref="X137:X138"/>
    <mergeCell ref="G137:G138"/>
    <mergeCell ref="H137:H138"/>
    <mergeCell ref="I137:I138"/>
    <mergeCell ref="J137:J138"/>
    <mergeCell ref="K137:K138"/>
    <mergeCell ref="L137:L138"/>
    <mergeCell ref="V134:V136"/>
    <mergeCell ref="W134:W136"/>
    <mergeCell ref="X134:X136"/>
    <mergeCell ref="Y134:Y136"/>
    <mergeCell ref="A137:A138"/>
    <mergeCell ref="B137:B138"/>
    <mergeCell ref="C137:C138"/>
    <mergeCell ref="D137:D138"/>
    <mergeCell ref="E137:E138"/>
    <mergeCell ref="F137:F138"/>
    <mergeCell ref="J134:J136"/>
    <mergeCell ref="K134:K136"/>
    <mergeCell ref="L134:L136"/>
    <mergeCell ref="M134:M136"/>
    <mergeCell ref="N134:N136"/>
    <mergeCell ref="O134:O136"/>
    <mergeCell ref="Y131:Y133"/>
    <mergeCell ref="A134:A136"/>
    <mergeCell ref="B134:B136"/>
    <mergeCell ref="C134:C136"/>
    <mergeCell ref="D134:D136"/>
    <mergeCell ref="E134:E136"/>
    <mergeCell ref="F134:F136"/>
    <mergeCell ref="G134:G136"/>
    <mergeCell ref="H134:H136"/>
    <mergeCell ref="I134:I136"/>
    <mergeCell ref="M131:M133"/>
    <mergeCell ref="N131:N133"/>
    <mergeCell ref="O131:O133"/>
    <mergeCell ref="V131:V133"/>
    <mergeCell ref="W131:W133"/>
    <mergeCell ref="X131:X133"/>
    <mergeCell ref="G131:G133"/>
    <mergeCell ref="H131:H133"/>
    <mergeCell ref="I131:I133"/>
    <mergeCell ref="J131:J133"/>
    <mergeCell ref="K131:K133"/>
    <mergeCell ref="L131:L133"/>
    <mergeCell ref="A131:A133"/>
    <mergeCell ref="B131:B133"/>
    <mergeCell ref="C131:C133"/>
    <mergeCell ref="D131:D133"/>
    <mergeCell ref="E131:E133"/>
    <mergeCell ref="F131:F133"/>
    <mergeCell ref="Y126:Y130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6:M127"/>
    <mergeCell ref="N126:N127"/>
    <mergeCell ref="O126:O127"/>
    <mergeCell ref="V126:V130"/>
    <mergeCell ref="W126:W130"/>
    <mergeCell ref="X126:X130"/>
    <mergeCell ref="M128:M129"/>
    <mergeCell ref="N128:N129"/>
    <mergeCell ref="O128:O129"/>
    <mergeCell ref="G126:G127"/>
    <mergeCell ref="H126:H127"/>
    <mergeCell ref="I126:I127"/>
    <mergeCell ref="J126:J127"/>
    <mergeCell ref="K126:K127"/>
    <mergeCell ref="L126:L127"/>
    <mergeCell ref="V124:V125"/>
    <mergeCell ref="W124:W125"/>
    <mergeCell ref="X124:X125"/>
    <mergeCell ref="Y124:Y125"/>
    <mergeCell ref="A126:A130"/>
    <mergeCell ref="B126:B130"/>
    <mergeCell ref="C126:C130"/>
    <mergeCell ref="D126:D127"/>
    <mergeCell ref="E126:E127"/>
    <mergeCell ref="F126:F127"/>
    <mergeCell ref="Y121:Y123"/>
    <mergeCell ref="A124:A125"/>
    <mergeCell ref="B124:B125"/>
    <mergeCell ref="C124:C125"/>
    <mergeCell ref="P124:P125"/>
    <mergeCell ref="Q124:Q125"/>
    <mergeCell ref="R124:R125"/>
    <mergeCell ref="S124:S125"/>
    <mergeCell ref="T124:T125"/>
    <mergeCell ref="U124:U125"/>
    <mergeCell ref="M121:M123"/>
    <mergeCell ref="N121:N123"/>
    <mergeCell ref="O121:O123"/>
    <mergeCell ref="V121:V123"/>
    <mergeCell ref="W121:W123"/>
    <mergeCell ref="X121:X123"/>
    <mergeCell ref="G121:G123"/>
    <mergeCell ref="H121:H123"/>
    <mergeCell ref="I121:I123"/>
    <mergeCell ref="J121:J123"/>
    <mergeCell ref="K121:K123"/>
    <mergeCell ref="L121:L123"/>
    <mergeCell ref="V119:V120"/>
    <mergeCell ref="W119:W120"/>
    <mergeCell ref="X119:X120"/>
    <mergeCell ref="Y119:Y120"/>
    <mergeCell ref="A121:A123"/>
    <mergeCell ref="B121:B123"/>
    <mergeCell ref="C121:C123"/>
    <mergeCell ref="D121:D123"/>
    <mergeCell ref="E121:E123"/>
    <mergeCell ref="F121:F123"/>
    <mergeCell ref="J119:J120"/>
    <mergeCell ref="K119:K120"/>
    <mergeCell ref="L119:L120"/>
    <mergeCell ref="M119:M120"/>
    <mergeCell ref="N119:N120"/>
    <mergeCell ref="O119:O120"/>
    <mergeCell ref="Y117:Y118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M117:M118"/>
    <mergeCell ref="N117:N118"/>
    <mergeCell ref="O117:O118"/>
    <mergeCell ref="V117:V118"/>
    <mergeCell ref="W117:W118"/>
    <mergeCell ref="X117:X118"/>
    <mergeCell ref="G117:G118"/>
    <mergeCell ref="H117:H118"/>
    <mergeCell ref="I117:I118"/>
    <mergeCell ref="J117:J118"/>
    <mergeCell ref="K117:K118"/>
    <mergeCell ref="L117:L118"/>
    <mergeCell ref="A117:A118"/>
    <mergeCell ref="B117:B118"/>
    <mergeCell ref="C117:C118"/>
    <mergeCell ref="D117:D118"/>
    <mergeCell ref="E117:E118"/>
    <mergeCell ref="F117:F118"/>
    <mergeCell ref="Y109:Y111"/>
    <mergeCell ref="A112:A116"/>
    <mergeCell ref="B112:B116"/>
    <mergeCell ref="C112:C116"/>
    <mergeCell ref="V112:V116"/>
    <mergeCell ref="W112:W116"/>
    <mergeCell ref="X112:X116"/>
    <mergeCell ref="Y112:Y116"/>
    <mergeCell ref="M109:M111"/>
    <mergeCell ref="N109:N111"/>
    <mergeCell ref="O109:O111"/>
    <mergeCell ref="V109:V111"/>
    <mergeCell ref="W109:W111"/>
    <mergeCell ref="X109:X111"/>
    <mergeCell ref="G109:G111"/>
    <mergeCell ref="H109:H111"/>
    <mergeCell ref="I109:I111"/>
    <mergeCell ref="J109:J111"/>
    <mergeCell ref="K109:K111"/>
    <mergeCell ref="L109:L111"/>
    <mergeCell ref="V106:V108"/>
    <mergeCell ref="W106:W108"/>
    <mergeCell ref="X106:X108"/>
    <mergeCell ref="Y106:Y108"/>
    <mergeCell ref="A109:A111"/>
    <mergeCell ref="B109:B111"/>
    <mergeCell ref="C109:C111"/>
    <mergeCell ref="D109:D111"/>
    <mergeCell ref="E109:E111"/>
    <mergeCell ref="F109:F111"/>
    <mergeCell ref="J106:J108"/>
    <mergeCell ref="K106:K108"/>
    <mergeCell ref="L106:L108"/>
    <mergeCell ref="M106:M108"/>
    <mergeCell ref="N106:N108"/>
    <mergeCell ref="O106:O108"/>
    <mergeCell ref="Y102:Y105"/>
    <mergeCell ref="A106:A108"/>
    <mergeCell ref="B106:B108"/>
    <mergeCell ref="C106:C108"/>
    <mergeCell ref="D106:D108"/>
    <mergeCell ref="E106:E108"/>
    <mergeCell ref="F106:F108"/>
    <mergeCell ref="G106:G108"/>
    <mergeCell ref="H106:H108"/>
    <mergeCell ref="I106:I108"/>
    <mergeCell ref="M102:M105"/>
    <mergeCell ref="N102:N105"/>
    <mergeCell ref="O102:O105"/>
    <mergeCell ref="V102:V105"/>
    <mergeCell ref="W102:W105"/>
    <mergeCell ref="X102:X105"/>
    <mergeCell ref="G102:G105"/>
    <mergeCell ref="H102:H105"/>
    <mergeCell ref="I102:I105"/>
    <mergeCell ref="J102:J105"/>
    <mergeCell ref="K102:K105"/>
    <mergeCell ref="L102:L105"/>
    <mergeCell ref="V98:V101"/>
    <mergeCell ref="W98:W101"/>
    <mergeCell ref="X98:X101"/>
    <mergeCell ref="Y98:Y101"/>
    <mergeCell ref="A102:A105"/>
    <mergeCell ref="B102:B105"/>
    <mergeCell ref="C102:C105"/>
    <mergeCell ref="D102:D105"/>
    <mergeCell ref="E102:E105"/>
    <mergeCell ref="F102:F105"/>
    <mergeCell ref="J98:J101"/>
    <mergeCell ref="K98:K101"/>
    <mergeCell ref="L98:L101"/>
    <mergeCell ref="M98:M101"/>
    <mergeCell ref="N98:N101"/>
    <mergeCell ref="O98:O101"/>
    <mergeCell ref="Y95:Y97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I101"/>
    <mergeCell ref="M95:M97"/>
    <mergeCell ref="N95:N97"/>
    <mergeCell ref="O95:O97"/>
    <mergeCell ref="V95:V97"/>
    <mergeCell ref="W95:W97"/>
    <mergeCell ref="X95:X97"/>
    <mergeCell ref="G95:G97"/>
    <mergeCell ref="H95:H97"/>
    <mergeCell ref="I95:I97"/>
    <mergeCell ref="J95:J97"/>
    <mergeCell ref="K95:K97"/>
    <mergeCell ref="L95:L97"/>
    <mergeCell ref="A95:A97"/>
    <mergeCell ref="B95:B97"/>
    <mergeCell ref="C95:C97"/>
    <mergeCell ref="D95:D97"/>
    <mergeCell ref="E95:E97"/>
    <mergeCell ref="F95:F97"/>
    <mergeCell ref="G93:G94"/>
    <mergeCell ref="H93:H94"/>
    <mergeCell ref="I93:I94"/>
    <mergeCell ref="J93:J94"/>
    <mergeCell ref="K93:K94"/>
    <mergeCell ref="L93:L94"/>
    <mergeCell ref="M91:M92"/>
    <mergeCell ref="N91:N92"/>
    <mergeCell ref="O91:O92"/>
    <mergeCell ref="V91:V94"/>
    <mergeCell ref="W91:W94"/>
    <mergeCell ref="X91:X94"/>
    <mergeCell ref="M93:M94"/>
    <mergeCell ref="N93:N94"/>
    <mergeCell ref="O93:O94"/>
    <mergeCell ref="G91:G92"/>
    <mergeCell ref="H91:H92"/>
    <mergeCell ref="I91:I92"/>
    <mergeCell ref="J91:J92"/>
    <mergeCell ref="K91:K92"/>
    <mergeCell ref="L91:L92"/>
    <mergeCell ref="A91:A94"/>
    <mergeCell ref="B91:B94"/>
    <mergeCell ref="C91:C94"/>
    <mergeCell ref="D91:D92"/>
    <mergeCell ref="E91:E92"/>
    <mergeCell ref="F91:F92"/>
    <mergeCell ref="J89:J90"/>
    <mergeCell ref="K89:K90"/>
    <mergeCell ref="L89:L90"/>
    <mergeCell ref="M89:M90"/>
    <mergeCell ref="N89:N90"/>
    <mergeCell ref="O89:O90"/>
    <mergeCell ref="V87:V90"/>
    <mergeCell ref="W87:W90"/>
    <mergeCell ref="X87:X90"/>
    <mergeCell ref="Y87:Y90"/>
    <mergeCell ref="D89:D90"/>
    <mergeCell ref="E89:E90"/>
    <mergeCell ref="F89:F90"/>
    <mergeCell ref="G89:G90"/>
    <mergeCell ref="H89:H90"/>
    <mergeCell ref="I89:I90"/>
    <mergeCell ref="J87:J88"/>
    <mergeCell ref="K87:K88"/>
    <mergeCell ref="L87:L88"/>
    <mergeCell ref="M87:M88"/>
    <mergeCell ref="N87:N88"/>
    <mergeCell ref="O87:O88"/>
    <mergeCell ref="Y91:Y94"/>
    <mergeCell ref="D93:D94"/>
    <mergeCell ref="E93:E94"/>
    <mergeCell ref="F93:F94"/>
    <mergeCell ref="Y84:Y86"/>
    <mergeCell ref="A87:A90"/>
    <mergeCell ref="B87:B90"/>
    <mergeCell ref="C87:C90"/>
    <mergeCell ref="D87:D88"/>
    <mergeCell ref="E87:E88"/>
    <mergeCell ref="F87:F88"/>
    <mergeCell ref="G87:G88"/>
    <mergeCell ref="H87:H88"/>
    <mergeCell ref="I87:I88"/>
    <mergeCell ref="M84:M86"/>
    <mergeCell ref="N84:N86"/>
    <mergeCell ref="O84:O86"/>
    <mergeCell ref="V84:V86"/>
    <mergeCell ref="W84:W86"/>
    <mergeCell ref="X84:X86"/>
    <mergeCell ref="G84:G86"/>
    <mergeCell ref="H84:H86"/>
    <mergeCell ref="I84:I86"/>
    <mergeCell ref="J84:J86"/>
    <mergeCell ref="K84:K86"/>
    <mergeCell ref="L84:L86"/>
    <mergeCell ref="V81:V83"/>
    <mergeCell ref="W81:W83"/>
    <mergeCell ref="X81:X83"/>
    <mergeCell ref="Y81:Y83"/>
    <mergeCell ref="A84:A86"/>
    <mergeCell ref="B84:B86"/>
    <mergeCell ref="C84:C86"/>
    <mergeCell ref="D84:D86"/>
    <mergeCell ref="E84:E86"/>
    <mergeCell ref="F84:F86"/>
    <mergeCell ref="J81:J83"/>
    <mergeCell ref="K81:K83"/>
    <mergeCell ref="L81:L83"/>
    <mergeCell ref="M81:M83"/>
    <mergeCell ref="N81:N83"/>
    <mergeCell ref="O81:O83"/>
    <mergeCell ref="Y78:Y80"/>
    <mergeCell ref="A81:A83"/>
    <mergeCell ref="B81:B83"/>
    <mergeCell ref="C81:C83"/>
    <mergeCell ref="D81:D83"/>
    <mergeCell ref="E81:E83"/>
    <mergeCell ref="F81:F83"/>
    <mergeCell ref="G81:G83"/>
    <mergeCell ref="H81:H83"/>
    <mergeCell ref="I81:I83"/>
    <mergeCell ref="M78:M80"/>
    <mergeCell ref="N78:N80"/>
    <mergeCell ref="O78:O80"/>
    <mergeCell ref="V78:V80"/>
    <mergeCell ref="W78:W80"/>
    <mergeCell ref="X78:X80"/>
    <mergeCell ref="G78:G80"/>
    <mergeCell ref="H78:H80"/>
    <mergeCell ref="I78:I80"/>
    <mergeCell ref="J78:J80"/>
    <mergeCell ref="K78:K80"/>
    <mergeCell ref="L78:L80"/>
    <mergeCell ref="V75:V77"/>
    <mergeCell ref="W75:W77"/>
    <mergeCell ref="X75:X77"/>
    <mergeCell ref="Y75:Y77"/>
    <mergeCell ref="A78:A80"/>
    <mergeCell ref="B78:B80"/>
    <mergeCell ref="C78:C80"/>
    <mergeCell ref="D78:D80"/>
    <mergeCell ref="E78:E80"/>
    <mergeCell ref="F78:F80"/>
    <mergeCell ref="J75:J77"/>
    <mergeCell ref="K75:K77"/>
    <mergeCell ref="L75:L77"/>
    <mergeCell ref="M75:M77"/>
    <mergeCell ref="N75:N77"/>
    <mergeCell ref="O75:O77"/>
    <mergeCell ref="Y72:Y73"/>
    <mergeCell ref="A75:A77"/>
    <mergeCell ref="B75:B77"/>
    <mergeCell ref="C75:C77"/>
    <mergeCell ref="D75:D77"/>
    <mergeCell ref="E75:E77"/>
    <mergeCell ref="F75:F77"/>
    <mergeCell ref="G75:G77"/>
    <mergeCell ref="H75:H77"/>
    <mergeCell ref="I75:I77"/>
    <mergeCell ref="M72:M73"/>
    <mergeCell ref="N72:N73"/>
    <mergeCell ref="O72:O73"/>
    <mergeCell ref="V72:V73"/>
    <mergeCell ref="W72:W73"/>
    <mergeCell ref="X72:X73"/>
    <mergeCell ref="G72:G73"/>
    <mergeCell ref="H72:H73"/>
    <mergeCell ref="I72:I73"/>
    <mergeCell ref="J72:J73"/>
    <mergeCell ref="K72:K73"/>
    <mergeCell ref="L72:L73"/>
    <mergeCell ref="V69:V71"/>
    <mergeCell ref="W69:W71"/>
    <mergeCell ref="X69:X71"/>
    <mergeCell ref="Y69:Y71"/>
    <mergeCell ref="A72:A73"/>
    <mergeCell ref="B72:B73"/>
    <mergeCell ref="C72:C73"/>
    <mergeCell ref="D72:D73"/>
    <mergeCell ref="E72:E73"/>
    <mergeCell ref="F72:F73"/>
    <mergeCell ref="J69:J71"/>
    <mergeCell ref="K69:K71"/>
    <mergeCell ref="L69:L71"/>
    <mergeCell ref="M69:M71"/>
    <mergeCell ref="N69:N71"/>
    <mergeCell ref="O69:O71"/>
    <mergeCell ref="Y66:Y68"/>
    <mergeCell ref="A69:A71"/>
    <mergeCell ref="B69:B71"/>
    <mergeCell ref="C69:C71"/>
    <mergeCell ref="D69:D71"/>
    <mergeCell ref="E69:E71"/>
    <mergeCell ref="F69:F71"/>
    <mergeCell ref="G69:G71"/>
    <mergeCell ref="H69:H71"/>
    <mergeCell ref="I69:I71"/>
    <mergeCell ref="M66:M68"/>
    <mergeCell ref="N66:N68"/>
    <mergeCell ref="O66:O68"/>
    <mergeCell ref="V66:V68"/>
    <mergeCell ref="W66:W68"/>
    <mergeCell ref="X66:X68"/>
    <mergeCell ref="G66:G68"/>
    <mergeCell ref="H66:H68"/>
    <mergeCell ref="I66:I68"/>
    <mergeCell ref="J66:J68"/>
    <mergeCell ref="K66:K68"/>
    <mergeCell ref="L66:L68"/>
    <mergeCell ref="V63:V65"/>
    <mergeCell ref="W63:W65"/>
    <mergeCell ref="X63:X65"/>
    <mergeCell ref="Y63:Y65"/>
    <mergeCell ref="A66:A68"/>
    <mergeCell ref="B66:B68"/>
    <mergeCell ref="C66:C68"/>
    <mergeCell ref="D66:D68"/>
    <mergeCell ref="E66:E68"/>
    <mergeCell ref="F66:F68"/>
    <mergeCell ref="J63:J65"/>
    <mergeCell ref="K63:K65"/>
    <mergeCell ref="L63:L65"/>
    <mergeCell ref="M63:M65"/>
    <mergeCell ref="N63:N65"/>
    <mergeCell ref="O63:O65"/>
    <mergeCell ref="Y60:Y62"/>
    <mergeCell ref="A63:A65"/>
    <mergeCell ref="B63:B65"/>
    <mergeCell ref="C63:C65"/>
    <mergeCell ref="D63:D65"/>
    <mergeCell ref="E63:E65"/>
    <mergeCell ref="F63:F65"/>
    <mergeCell ref="G63:G65"/>
    <mergeCell ref="H63:H65"/>
    <mergeCell ref="I63:I65"/>
    <mergeCell ref="M60:M62"/>
    <mergeCell ref="N60:N62"/>
    <mergeCell ref="O60:O62"/>
    <mergeCell ref="V60:V62"/>
    <mergeCell ref="W60:W62"/>
    <mergeCell ref="X60:X62"/>
    <mergeCell ref="G60:G62"/>
    <mergeCell ref="H60:H62"/>
    <mergeCell ref="I60:I62"/>
    <mergeCell ref="J60:J62"/>
    <mergeCell ref="K60:K62"/>
    <mergeCell ref="L60:L62"/>
    <mergeCell ref="V56:V59"/>
    <mergeCell ref="W56:W59"/>
    <mergeCell ref="X56:X59"/>
    <mergeCell ref="Y56:Y59"/>
    <mergeCell ref="A60:A62"/>
    <mergeCell ref="B60:B62"/>
    <mergeCell ref="C60:C62"/>
    <mergeCell ref="D60:D62"/>
    <mergeCell ref="E60:E62"/>
    <mergeCell ref="F60:F62"/>
    <mergeCell ref="J56:J59"/>
    <mergeCell ref="K56:K59"/>
    <mergeCell ref="L56:L59"/>
    <mergeCell ref="M56:M59"/>
    <mergeCell ref="N56:N59"/>
    <mergeCell ref="O56:O59"/>
    <mergeCell ref="Y54:Y55"/>
    <mergeCell ref="A56:A59"/>
    <mergeCell ref="B56:B59"/>
    <mergeCell ref="C56:C59"/>
    <mergeCell ref="D56:D59"/>
    <mergeCell ref="E56:E59"/>
    <mergeCell ref="F56:F59"/>
    <mergeCell ref="G56:G59"/>
    <mergeCell ref="H56:H59"/>
    <mergeCell ref="I56:I59"/>
    <mergeCell ref="M54:M55"/>
    <mergeCell ref="N54:N55"/>
    <mergeCell ref="O54:O55"/>
    <mergeCell ref="V54:V55"/>
    <mergeCell ref="W54:W55"/>
    <mergeCell ref="X54:X55"/>
    <mergeCell ref="G54:G55"/>
    <mergeCell ref="H54:H55"/>
    <mergeCell ref="I54:I55"/>
    <mergeCell ref="J54:J55"/>
    <mergeCell ref="K54:K55"/>
    <mergeCell ref="L54:L55"/>
    <mergeCell ref="V52:V53"/>
    <mergeCell ref="W52:W53"/>
    <mergeCell ref="X52:X53"/>
    <mergeCell ref="Y52:Y53"/>
    <mergeCell ref="A54:A55"/>
    <mergeCell ref="B54:B55"/>
    <mergeCell ref="C54:C55"/>
    <mergeCell ref="D54:D55"/>
    <mergeCell ref="E54:E55"/>
    <mergeCell ref="F54:F55"/>
    <mergeCell ref="J52:J53"/>
    <mergeCell ref="K52:K53"/>
    <mergeCell ref="L52:L53"/>
    <mergeCell ref="M52:M53"/>
    <mergeCell ref="N52:N53"/>
    <mergeCell ref="O52:O53"/>
    <mergeCell ref="Y50:Y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M50:M51"/>
    <mergeCell ref="N50:N51"/>
    <mergeCell ref="O50:O51"/>
    <mergeCell ref="V50:V51"/>
    <mergeCell ref="W50:W51"/>
    <mergeCell ref="X50:X51"/>
    <mergeCell ref="G50:G51"/>
    <mergeCell ref="H50:H51"/>
    <mergeCell ref="I50:I51"/>
    <mergeCell ref="J50:J51"/>
    <mergeCell ref="K50:K51"/>
    <mergeCell ref="L50:L51"/>
    <mergeCell ref="V48:V49"/>
    <mergeCell ref="W48:W49"/>
    <mergeCell ref="X48:X49"/>
    <mergeCell ref="Y48:Y49"/>
    <mergeCell ref="A50:A51"/>
    <mergeCell ref="B50:B51"/>
    <mergeCell ref="C50:C51"/>
    <mergeCell ref="D50:D51"/>
    <mergeCell ref="E50:E51"/>
    <mergeCell ref="F50:F51"/>
    <mergeCell ref="J48:J49"/>
    <mergeCell ref="K48:K49"/>
    <mergeCell ref="L48:L49"/>
    <mergeCell ref="M48:M49"/>
    <mergeCell ref="N48:N49"/>
    <mergeCell ref="O48:O49"/>
    <mergeCell ref="Y44:Y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M44:M47"/>
    <mergeCell ref="N44:N47"/>
    <mergeCell ref="O44:O47"/>
    <mergeCell ref="V44:V47"/>
    <mergeCell ref="W44:W47"/>
    <mergeCell ref="X44:X47"/>
    <mergeCell ref="G44:G47"/>
    <mergeCell ref="H44:H47"/>
    <mergeCell ref="I44:I47"/>
    <mergeCell ref="J44:J47"/>
    <mergeCell ref="K44:K47"/>
    <mergeCell ref="L44:L47"/>
    <mergeCell ref="A44:A47"/>
    <mergeCell ref="B44:B47"/>
    <mergeCell ref="C44:C47"/>
    <mergeCell ref="D44:D47"/>
    <mergeCell ref="E44:E47"/>
    <mergeCell ref="F44:F47"/>
    <mergeCell ref="J40:J43"/>
    <mergeCell ref="K40:K43"/>
    <mergeCell ref="L40:L43"/>
    <mergeCell ref="M40:M43"/>
    <mergeCell ref="N40:N43"/>
    <mergeCell ref="O40:O43"/>
    <mergeCell ref="D40:D43"/>
    <mergeCell ref="E40:E43"/>
    <mergeCell ref="F40:F43"/>
    <mergeCell ref="G40:G43"/>
    <mergeCell ref="H40:H43"/>
    <mergeCell ref="I40:I43"/>
    <mergeCell ref="Y34:Y43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4:M37"/>
    <mergeCell ref="N34:N37"/>
    <mergeCell ref="O34:O37"/>
    <mergeCell ref="V34:V43"/>
    <mergeCell ref="W34:W43"/>
    <mergeCell ref="X34:X43"/>
    <mergeCell ref="M38:M39"/>
    <mergeCell ref="N38:N39"/>
    <mergeCell ref="O38:O39"/>
    <mergeCell ref="G34:G37"/>
    <mergeCell ref="H34:H37"/>
    <mergeCell ref="I34:I37"/>
    <mergeCell ref="J34:J37"/>
    <mergeCell ref="K34:K37"/>
    <mergeCell ref="L34:L37"/>
    <mergeCell ref="V31:V33"/>
    <mergeCell ref="W31:W33"/>
    <mergeCell ref="X31:X33"/>
    <mergeCell ref="Y31:Y33"/>
    <mergeCell ref="A34:A43"/>
    <mergeCell ref="B34:B43"/>
    <mergeCell ref="C34:C43"/>
    <mergeCell ref="D34:D37"/>
    <mergeCell ref="E34:E37"/>
    <mergeCell ref="F34:F37"/>
    <mergeCell ref="J31:J33"/>
    <mergeCell ref="K31:K33"/>
    <mergeCell ref="L31:L33"/>
    <mergeCell ref="M31:M33"/>
    <mergeCell ref="N31:N33"/>
    <mergeCell ref="O31:O33"/>
    <mergeCell ref="Y28:Y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M28:M30"/>
    <mergeCell ref="N28:N30"/>
    <mergeCell ref="O28:O30"/>
    <mergeCell ref="V28:V30"/>
    <mergeCell ref="W28:W30"/>
    <mergeCell ref="X28:X30"/>
    <mergeCell ref="G28:G30"/>
    <mergeCell ref="H28:H30"/>
    <mergeCell ref="I28:I30"/>
    <mergeCell ref="J28:J30"/>
    <mergeCell ref="K28:K30"/>
    <mergeCell ref="L28:L30"/>
    <mergeCell ref="V25:V27"/>
    <mergeCell ref="W25:W27"/>
    <mergeCell ref="X25:X27"/>
    <mergeCell ref="Y25:Y27"/>
    <mergeCell ref="A28:A30"/>
    <mergeCell ref="B28:B30"/>
    <mergeCell ref="C28:C30"/>
    <mergeCell ref="D28:D30"/>
    <mergeCell ref="E28:E30"/>
    <mergeCell ref="F28:F30"/>
    <mergeCell ref="J25:J27"/>
    <mergeCell ref="K25:K27"/>
    <mergeCell ref="L25:L27"/>
    <mergeCell ref="M25:M27"/>
    <mergeCell ref="N25:N27"/>
    <mergeCell ref="O25:O27"/>
    <mergeCell ref="Y22:Y24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M22:M24"/>
    <mergeCell ref="N22:N24"/>
    <mergeCell ref="O22:O24"/>
    <mergeCell ref="V22:V24"/>
    <mergeCell ref="W22:W24"/>
    <mergeCell ref="X22:X24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E22:E24"/>
    <mergeCell ref="F22:F24"/>
    <mergeCell ref="Y16:Y21"/>
    <mergeCell ref="D19:D21"/>
    <mergeCell ref="E19:E21"/>
    <mergeCell ref="F19:F21"/>
    <mergeCell ref="G19:G21"/>
    <mergeCell ref="H19:H21"/>
    <mergeCell ref="I19:I21"/>
    <mergeCell ref="J19:J21"/>
    <mergeCell ref="K19:K21"/>
    <mergeCell ref="L19:L21"/>
    <mergeCell ref="M16:M18"/>
    <mergeCell ref="N16:N18"/>
    <mergeCell ref="O16:O18"/>
    <mergeCell ref="V16:V21"/>
    <mergeCell ref="W16:W21"/>
    <mergeCell ref="X16:X21"/>
    <mergeCell ref="M19:M21"/>
    <mergeCell ref="N19:N21"/>
    <mergeCell ref="O19:O21"/>
    <mergeCell ref="G16:G18"/>
    <mergeCell ref="H16:H18"/>
    <mergeCell ref="I16:I18"/>
    <mergeCell ref="J16:J18"/>
    <mergeCell ref="K16:K18"/>
    <mergeCell ref="L16:L18"/>
    <mergeCell ref="V13:V15"/>
    <mergeCell ref="W13:W15"/>
    <mergeCell ref="X13:X15"/>
    <mergeCell ref="Y13:Y15"/>
    <mergeCell ref="A16:A21"/>
    <mergeCell ref="B16:B21"/>
    <mergeCell ref="C16:C21"/>
    <mergeCell ref="D16:D18"/>
    <mergeCell ref="E16:E18"/>
    <mergeCell ref="F16:F18"/>
    <mergeCell ref="J13:J15"/>
    <mergeCell ref="K13:K15"/>
    <mergeCell ref="L13:L15"/>
    <mergeCell ref="M13:M15"/>
    <mergeCell ref="N13:N15"/>
    <mergeCell ref="O13:O15"/>
    <mergeCell ref="Y11:Y12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M11:M12"/>
    <mergeCell ref="N11:N12"/>
    <mergeCell ref="O11:O12"/>
    <mergeCell ref="V11:V12"/>
    <mergeCell ref="W11:W12"/>
    <mergeCell ref="X11:X12"/>
    <mergeCell ref="G11:G12"/>
    <mergeCell ref="H11:H12"/>
    <mergeCell ref="I11:I12"/>
    <mergeCell ref="J11:J12"/>
    <mergeCell ref="K11:K12"/>
    <mergeCell ref="L11:L12"/>
    <mergeCell ref="V8:V10"/>
    <mergeCell ref="W8:W10"/>
    <mergeCell ref="X8:X10"/>
    <mergeCell ref="Y8:Y10"/>
    <mergeCell ref="A11:A12"/>
    <mergeCell ref="B11:B12"/>
    <mergeCell ref="C11:C12"/>
    <mergeCell ref="D11:D12"/>
    <mergeCell ref="E11:E12"/>
    <mergeCell ref="F11:F12"/>
    <mergeCell ref="J8:J10"/>
    <mergeCell ref="K8:K10"/>
    <mergeCell ref="L8:L10"/>
    <mergeCell ref="M8:M10"/>
    <mergeCell ref="N8:N10"/>
    <mergeCell ref="O8:O10"/>
    <mergeCell ref="Y6:Y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M6:M7"/>
    <mergeCell ref="N6:N7"/>
    <mergeCell ref="O6:O7"/>
    <mergeCell ref="V6:V7"/>
    <mergeCell ref="W6:W7"/>
    <mergeCell ref="X6:X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1:X1"/>
    <mergeCell ref="B2:B3"/>
    <mergeCell ref="C2:C3"/>
    <mergeCell ref="D2:E2"/>
    <mergeCell ref="F2:F3"/>
    <mergeCell ref="G2:I2"/>
    <mergeCell ref="J2:K2"/>
    <mergeCell ref="L2:N2"/>
    <mergeCell ref="O2:O3"/>
    <mergeCell ref="P2:U2"/>
    <mergeCell ref="N4:N5"/>
    <mergeCell ref="O4:O5"/>
    <mergeCell ref="V4:V5"/>
    <mergeCell ref="W4:W5"/>
    <mergeCell ref="X4:X5"/>
    <mergeCell ref="Y4:Y5"/>
    <mergeCell ref="H4:H5"/>
    <mergeCell ref="I4:I5"/>
    <mergeCell ref="J4:J5"/>
    <mergeCell ref="K4:K5"/>
    <mergeCell ref="L4:L5"/>
    <mergeCell ref="M4:M5"/>
    <mergeCell ref="V2:V3"/>
    <mergeCell ref="W2:X2"/>
    <mergeCell ref="Y2:Y3"/>
    <mergeCell ref="A4:A5"/>
    <mergeCell ref="B4:B5"/>
    <mergeCell ref="C4:C5"/>
    <mergeCell ref="D4:D5"/>
    <mergeCell ref="E4:E5"/>
    <mergeCell ref="F4:F5"/>
    <mergeCell ref="G4:G5"/>
  </mergeCells>
  <phoneticPr fontId="14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7DF6B-1A4C-4CDE-A603-671156D46A42}">
  <dimension ref="A1:U13"/>
  <sheetViews>
    <sheetView tabSelected="1" workbookViewId="0">
      <selection activeCell="Y11" sqref="Y11"/>
    </sheetView>
  </sheetViews>
  <sheetFormatPr defaultRowHeight="14.25"/>
  <cols>
    <col min="1" max="1" width="3.375" bestFit="1" customWidth="1"/>
    <col min="2" max="2" width="10.125" bestFit="1" customWidth="1"/>
    <col min="3" max="3" width="9.625" bestFit="1" customWidth="1"/>
    <col min="4" max="4" width="7.125" bestFit="1" customWidth="1"/>
    <col min="5" max="5" width="5.25" bestFit="1" customWidth="1"/>
    <col min="6" max="8" width="6.625" bestFit="1" customWidth="1"/>
    <col min="9" max="10" width="5.875" bestFit="1" customWidth="1"/>
    <col min="11" max="12" width="6.75" bestFit="1" customWidth="1"/>
    <col min="13" max="13" width="7.5" bestFit="1" customWidth="1"/>
    <col min="14" max="14" width="7.125" bestFit="1" customWidth="1"/>
    <col min="15" max="16" width="5.25" bestFit="1" customWidth="1"/>
    <col min="17" max="18" width="7.125" bestFit="1" customWidth="1"/>
    <col min="19" max="19" width="5.375" bestFit="1" customWidth="1"/>
    <col min="20" max="20" width="5.25" bestFit="1" customWidth="1"/>
    <col min="21" max="21" width="7.625" bestFit="1" customWidth="1"/>
  </cols>
  <sheetData>
    <row r="1" spans="1:21" ht="18">
      <c r="A1" s="331" t="s">
        <v>523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</row>
    <row r="2" spans="1:21">
      <c r="A2" s="177" t="s">
        <v>335</v>
      </c>
      <c r="B2" s="266" t="s">
        <v>524</v>
      </c>
      <c r="C2" s="332" t="s">
        <v>525</v>
      </c>
      <c r="D2" s="266" t="s">
        <v>526</v>
      </c>
      <c r="E2" s="327" t="s">
        <v>345</v>
      </c>
      <c r="F2" s="329" t="s">
        <v>527</v>
      </c>
      <c r="G2" s="329"/>
      <c r="H2" s="329"/>
      <c r="I2" s="320" t="s">
        <v>528</v>
      </c>
      <c r="J2" s="320"/>
      <c r="K2" s="330" t="s">
        <v>340</v>
      </c>
      <c r="L2" s="330"/>
      <c r="M2" s="330"/>
      <c r="N2" s="320" t="s">
        <v>341</v>
      </c>
      <c r="O2" s="320" t="s">
        <v>342</v>
      </c>
      <c r="P2" s="320"/>
      <c r="Q2" s="320"/>
      <c r="R2" s="320"/>
      <c r="S2" s="320"/>
      <c r="T2" s="320" t="s">
        <v>529</v>
      </c>
      <c r="U2" s="321" t="s">
        <v>530</v>
      </c>
    </row>
    <row r="3" spans="1:21">
      <c r="A3" s="178" t="s">
        <v>344</v>
      </c>
      <c r="B3" s="266"/>
      <c r="C3" s="332"/>
      <c r="D3" s="266"/>
      <c r="E3" s="328"/>
      <c r="F3" s="179" t="s">
        <v>531</v>
      </c>
      <c r="G3" s="179" t="s">
        <v>532</v>
      </c>
      <c r="H3" s="179" t="s">
        <v>533</v>
      </c>
      <c r="I3" s="124" t="s">
        <v>349</v>
      </c>
      <c r="J3" s="124" t="s">
        <v>350</v>
      </c>
      <c r="K3" s="180" t="s">
        <v>351</v>
      </c>
      <c r="L3" s="180" t="s">
        <v>352</v>
      </c>
      <c r="M3" s="180" t="s">
        <v>350</v>
      </c>
      <c r="N3" s="320"/>
      <c r="O3" s="124" t="s">
        <v>353</v>
      </c>
      <c r="P3" s="124" t="s">
        <v>354</v>
      </c>
      <c r="Q3" s="124" t="s">
        <v>356</v>
      </c>
      <c r="R3" s="181" t="s">
        <v>534</v>
      </c>
      <c r="S3" s="182" t="s">
        <v>358</v>
      </c>
      <c r="T3" s="320"/>
      <c r="U3" s="321"/>
    </row>
    <row r="4" spans="1:21">
      <c r="A4" s="322">
        <v>1</v>
      </c>
      <c r="B4" s="183" t="s">
        <v>535</v>
      </c>
      <c r="C4" s="183" t="s">
        <v>536</v>
      </c>
      <c r="D4" s="183">
        <v>1</v>
      </c>
      <c r="E4" s="184">
        <v>440</v>
      </c>
      <c r="F4" s="185">
        <v>81</v>
      </c>
      <c r="G4" s="185">
        <v>77</v>
      </c>
      <c r="H4" s="185">
        <v>3</v>
      </c>
      <c r="I4" s="186">
        <v>4.5999999999999996</v>
      </c>
      <c r="J4" s="186">
        <v>2.5</v>
      </c>
      <c r="K4" s="187">
        <f>F4*G4*H4*0.00000785</f>
        <v>0.14688134999999999</v>
      </c>
      <c r="L4" s="188">
        <v>9.4E-2</v>
      </c>
      <c r="M4" s="189">
        <f>K4-L4</f>
        <v>5.2881349999999994E-2</v>
      </c>
      <c r="N4" s="186">
        <f>I4*K4-J4*M4</f>
        <v>0.54345083499999991</v>
      </c>
      <c r="O4" s="190" t="s">
        <v>395</v>
      </c>
      <c r="P4" s="191" t="s">
        <v>543</v>
      </c>
      <c r="Q4" s="192">
        <v>0.04</v>
      </c>
      <c r="R4" s="194">
        <v>1</v>
      </c>
      <c r="S4" s="192">
        <f t="shared" ref="S4:S5" si="0">Q4/R4</f>
        <v>0.04</v>
      </c>
      <c r="T4" s="325">
        <v>1.18</v>
      </c>
      <c r="U4" s="326">
        <f>(N6+S6)*T4</f>
        <v>0.73567198529999978</v>
      </c>
    </row>
    <row r="5" spans="1:21">
      <c r="A5" s="323"/>
      <c r="B5" s="117"/>
      <c r="C5" s="117"/>
      <c r="D5" s="117"/>
      <c r="E5" s="117"/>
      <c r="F5" s="193"/>
      <c r="G5" s="193"/>
      <c r="H5" s="193"/>
      <c r="I5" s="176"/>
      <c r="J5" s="176"/>
      <c r="K5" s="120"/>
      <c r="L5" s="120"/>
      <c r="M5" s="120"/>
      <c r="N5" s="176"/>
      <c r="O5" s="190" t="s">
        <v>537</v>
      </c>
      <c r="P5" s="191" t="s">
        <v>543</v>
      </c>
      <c r="Q5" s="192">
        <v>0.04</v>
      </c>
      <c r="R5" s="194">
        <v>1</v>
      </c>
      <c r="S5" s="192">
        <f t="shared" si="0"/>
        <v>0.04</v>
      </c>
      <c r="T5" s="325"/>
      <c r="U5" s="326"/>
    </row>
    <row r="6" spans="1:21">
      <c r="A6" s="324"/>
      <c r="B6" s="240" t="s">
        <v>538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176">
        <f>N4</f>
        <v>0.54345083499999991</v>
      </c>
      <c r="O6" s="240" t="s">
        <v>539</v>
      </c>
      <c r="P6" s="240"/>
      <c r="Q6" s="240"/>
      <c r="R6" s="240"/>
      <c r="S6" s="195">
        <f>SUM(S4:S5)</f>
        <v>0.08</v>
      </c>
      <c r="T6" s="325"/>
      <c r="U6" s="326"/>
    </row>
    <row r="7" spans="1:21" ht="18">
      <c r="A7" s="331" t="s">
        <v>540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</row>
    <row r="8" spans="1:21">
      <c r="A8" s="177" t="s">
        <v>335</v>
      </c>
      <c r="B8" s="266" t="s">
        <v>524</v>
      </c>
      <c r="C8" s="332" t="s">
        <v>525</v>
      </c>
      <c r="D8" s="266" t="s">
        <v>526</v>
      </c>
      <c r="E8" s="327" t="s">
        <v>345</v>
      </c>
      <c r="F8" s="329" t="s">
        <v>527</v>
      </c>
      <c r="G8" s="329"/>
      <c r="H8" s="329"/>
      <c r="I8" s="320" t="s">
        <v>528</v>
      </c>
      <c r="J8" s="320"/>
      <c r="K8" s="330" t="s">
        <v>340</v>
      </c>
      <c r="L8" s="330"/>
      <c r="M8" s="330"/>
      <c r="N8" s="320" t="s">
        <v>341</v>
      </c>
      <c r="O8" s="320" t="s">
        <v>342</v>
      </c>
      <c r="P8" s="320"/>
      <c r="Q8" s="320"/>
      <c r="R8" s="320"/>
      <c r="S8" s="320"/>
      <c r="T8" s="320" t="s">
        <v>529</v>
      </c>
      <c r="U8" s="321" t="s">
        <v>530</v>
      </c>
    </row>
    <row r="9" spans="1:21">
      <c r="A9" s="178" t="s">
        <v>344</v>
      </c>
      <c r="B9" s="266"/>
      <c r="C9" s="332"/>
      <c r="D9" s="266"/>
      <c r="E9" s="328"/>
      <c r="F9" s="179" t="s">
        <v>531</v>
      </c>
      <c r="G9" s="179" t="s">
        <v>532</v>
      </c>
      <c r="H9" s="179" t="s">
        <v>533</v>
      </c>
      <c r="I9" s="124" t="s">
        <v>349</v>
      </c>
      <c r="J9" s="124" t="s">
        <v>350</v>
      </c>
      <c r="K9" s="180" t="s">
        <v>351</v>
      </c>
      <c r="L9" s="180" t="s">
        <v>352</v>
      </c>
      <c r="M9" s="180" t="s">
        <v>350</v>
      </c>
      <c r="N9" s="320"/>
      <c r="O9" s="124" t="s">
        <v>353</v>
      </c>
      <c r="P9" s="124" t="s">
        <v>354</v>
      </c>
      <c r="Q9" s="124" t="s">
        <v>356</v>
      </c>
      <c r="R9" s="181" t="s">
        <v>534</v>
      </c>
      <c r="S9" s="182" t="s">
        <v>358</v>
      </c>
      <c r="T9" s="320"/>
      <c r="U9" s="321"/>
    </row>
    <row r="10" spans="1:21">
      <c r="A10" s="322">
        <v>2</v>
      </c>
      <c r="B10" s="183" t="s">
        <v>541</v>
      </c>
      <c r="C10" s="183" t="s">
        <v>542</v>
      </c>
      <c r="D10" s="183">
        <v>1</v>
      </c>
      <c r="E10" s="184">
        <v>440</v>
      </c>
      <c r="F10" s="185">
        <v>81</v>
      </c>
      <c r="G10" s="185">
        <v>77</v>
      </c>
      <c r="H10" s="185">
        <v>3</v>
      </c>
      <c r="I10" s="186">
        <v>4.5999999999999996</v>
      </c>
      <c r="J10" s="186">
        <v>2.5</v>
      </c>
      <c r="K10" s="187">
        <f>F10*G10*H10*0.00000785</f>
        <v>0.14688134999999999</v>
      </c>
      <c r="L10" s="188">
        <v>9.0999999999999998E-2</v>
      </c>
      <c r="M10" s="189">
        <f>K10-L10</f>
        <v>5.5881349999999996E-2</v>
      </c>
      <c r="N10" s="186">
        <f>I10*K10-J10*M10</f>
        <v>0.53595083499999996</v>
      </c>
      <c r="O10" s="190" t="s">
        <v>395</v>
      </c>
      <c r="P10" s="191" t="s">
        <v>543</v>
      </c>
      <c r="Q10" s="192">
        <v>0.04</v>
      </c>
      <c r="R10" s="194">
        <v>1</v>
      </c>
      <c r="S10" s="192">
        <f t="shared" ref="S10:S12" si="1">Q10/R10</f>
        <v>0.04</v>
      </c>
      <c r="T10" s="325">
        <v>1.18</v>
      </c>
      <c r="U10" s="326">
        <f>(N13+S13)*T10</f>
        <v>0.76222198529999985</v>
      </c>
    </row>
    <row r="11" spans="1:21">
      <c r="A11" s="323"/>
      <c r="B11" s="117"/>
      <c r="C11" s="117"/>
      <c r="D11" s="117"/>
      <c r="E11" s="117"/>
      <c r="F11" s="193"/>
      <c r="G11" s="193"/>
      <c r="H11" s="193"/>
      <c r="I11" s="176"/>
      <c r="J11" s="176"/>
      <c r="K11" s="120"/>
      <c r="L11" s="120"/>
      <c r="M11" s="120"/>
      <c r="N11" s="176"/>
      <c r="O11" s="190" t="s">
        <v>537</v>
      </c>
      <c r="P11" s="191" t="s">
        <v>543</v>
      </c>
      <c r="Q11" s="192">
        <v>0.04</v>
      </c>
      <c r="R11" s="194">
        <v>1</v>
      </c>
      <c r="S11" s="192">
        <f t="shared" si="1"/>
        <v>0.04</v>
      </c>
      <c r="T11" s="325"/>
      <c r="U11" s="326"/>
    </row>
    <row r="12" spans="1:21">
      <c r="A12" s="323"/>
      <c r="B12" s="117"/>
      <c r="C12" s="117"/>
      <c r="D12" s="117"/>
      <c r="E12" s="117"/>
      <c r="F12" s="193"/>
      <c r="G12" s="193"/>
      <c r="H12" s="193"/>
      <c r="I12" s="176"/>
      <c r="J12" s="176"/>
      <c r="K12" s="120"/>
      <c r="L12" s="120"/>
      <c r="M12" s="120"/>
      <c r="N12" s="176"/>
      <c r="O12" s="190" t="s">
        <v>397</v>
      </c>
      <c r="P12" s="191" t="s">
        <v>400</v>
      </c>
      <c r="Q12" s="192">
        <v>0.03</v>
      </c>
      <c r="R12" s="194">
        <v>1</v>
      </c>
      <c r="S12" s="192">
        <f t="shared" si="1"/>
        <v>0.03</v>
      </c>
      <c r="T12" s="325"/>
      <c r="U12" s="326"/>
    </row>
    <row r="13" spans="1:21">
      <c r="A13" s="324"/>
      <c r="B13" s="240" t="s">
        <v>538</v>
      </c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176">
        <f>N10</f>
        <v>0.53595083499999996</v>
      </c>
      <c r="O13" s="240" t="s">
        <v>539</v>
      </c>
      <c r="P13" s="240"/>
      <c r="Q13" s="240"/>
      <c r="R13" s="240"/>
      <c r="S13" s="195">
        <f>SUM(S10:S12)</f>
        <v>0.11</v>
      </c>
      <c r="T13" s="325"/>
      <c r="U13" s="326"/>
    </row>
  </sheetData>
  <mergeCells count="34">
    <mergeCell ref="A1:U1"/>
    <mergeCell ref="B2:B3"/>
    <mergeCell ref="C2:C3"/>
    <mergeCell ref="D2:D3"/>
    <mergeCell ref="E2:E3"/>
    <mergeCell ref="F2:H2"/>
    <mergeCell ref="I2:J2"/>
    <mergeCell ref="K2:M2"/>
    <mergeCell ref="N2:N3"/>
    <mergeCell ref="O2:S2"/>
    <mergeCell ref="T2:T3"/>
    <mergeCell ref="U2:U3"/>
    <mergeCell ref="U4:U6"/>
    <mergeCell ref="B6:M6"/>
    <mergeCell ref="O6:R6"/>
    <mergeCell ref="A7:U7"/>
    <mergeCell ref="B8:B9"/>
    <mergeCell ref="C8:C9"/>
    <mergeCell ref="D8:D9"/>
    <mergeCell ref="A4:A6"/>
    <mergeCell ref="T4:T6"/>
    <mergeCell ref="T8:T9"/>
    <mergeCell ref="U8:U9"/>
    <mergeCell ref="A10:A13"/>
    <mergeCell ref="T10:T13"/>
    <mergeCell ref="U10:U13"/>
    <mergeCell ref="B13:M13"/>
    <mergeCell ref="O13:R13"/>
    <mergeCell ref="E8:E9"/>
    <mergeCell ref="F8:H8"/>
    <mergeCell ref="I8:J8"/>
    <mergeCell ref="K8:M8"/>
    <mergeCell ref="N8:N9"/>
    <mergeCell ref="O8:S8"/>
  </mergeCells>
  <phoneticPr fontId="14" type="noConversion"/>
  <conditionalFormatting sqref="F4:H4">
    <cfRule type="duplicateValues" dxfId="3" priority="8"/>
  </conditionalFormatting>
  <conditionalFormatting sqref="F10:H10">
    <cfRule type="duplicateValues" dxfId="2" priority="4"/>
  </conditionalFormatting>
  <conditionalFormatting sqref="B2:B3">
    <cfRule type="duplicateValues" dxfId="1" priority="6"/>
  </conditionalFormatting>
  <conditionalFormatting sqref="B8:B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</vt:lpstr>
      <vt:lpstr>核算表</vt:lpstr>
      <vt:lpstr>核算表 (2)</vt:lpstr>
      <vt:lpstr>2024.1.13</vt:lpstr>
      <vt:lpstr>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dcterms:created xsi:type="dcterms:W3CDTF">2015-06-05T18:19:00Z</dcterms:created>
  <dcterms:modified xsi:type="dcterms:W3CDTF">2024-01-31T05:51:58Z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2A47CC1C5CFB45D1B28B62FE9F52F7B2_12</vt:lpwstr>
  </property>
  <property fmtid="{D5CDD505-2E9C-101B-9397-08002B2CF9AE}" pid="4" name="KSOProductBuildVer">
    <vt:lpwstr>2052-12.1.0.15933</vt:lpwstr>
  </property>
</Properties>
</file>