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27.xml" ContentType="application/vnd.openxmlformats-officedocument.drawing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资料\河北光华荣昌采购工作\"/>
    </mc:Choice>
  </mc:AlternateContent>
  <xr:revisionPtr revIDLastSave="0" documentId="13_ncr:1_{0CAD7931-55B6-4DDD-AD4E-5F30195BBE93}" xr6:coauthVersionLast="47" xr6:coauthVersionMax="47" xr10:uidLastSave="{00000000-0000-0000-0000-000000000000}"/>
  <bookViews>
    <workbookView xWindow="-108" yWindow="-108" windowWidth="23256" windowHeight="12456" firstSheet="63" activeTab="65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物料及工装采购价格审批表 (11)" sheetId="12" state="hidden" r:id="rId10"/>
    <sheet name="物料及工装采购价格审批表 (12)" sheetId="13" state="hidden" r:id="rId11"/>
    <sheet name="物料及工装采购价格审批表 (13)" sheetId="14" r:id="rId12"/>
    <sheet name="物料及工装采购价格审批表 (14)" sheetId="15" state="hidden" r:id="rId13"/>
    <sheet name="物料及工装采购价格审批表-河北利达H6底支架" sheetId="16" state="hidden" r:id="rId14"/>
    <sheet name="物料及工装采购价格审批表 (天丰冲压件定标)" sheetId="17" r:id="rId15"/>
    <sheet name="物料及工装采购价格审批表 (塑料滚轮验证)" sheetId="18" r:id="rId16"/>
    <sheet name="物料及工装采购价格审批表 (临时机加) " sheetId="19" r:id="rId17"/>
    <sheet name="物料及工装采购价格审批表 (天津凌派等项目冷镦件）" sheetId="20" r:id="rId18"/>
    <sheet name="物料及工装采购价格审批表 (H6项目临时机加件）" sheetId="22" r:id="rId19"/>
    <sheet name="物料及工装采购价格审批表 (保定京苑转潍坊）" sheetId="23" r:id="rId20"/>
    <sheet name="物料及工装采购价格审批表 (江苏力乐)" sheetId="24" r:id="rId21"/>
    <sheet name="物料及工装采购价格审批表 (天丰冲压件重新定标)" sheetId="25" r:id="rId22"/>
    <sheet name="物料及工装采购价格审批表 (黄骅成卓-前横梁焊接总成）" sheetId="26" r:id="rId23"/>
    <sheet name="物料及工装采购价格审批表 (江苏凌派临时机加）" sheetId="27" r:id="rId24"/>
    <sheet name="物料及工装采购价格审批表 （海兴中盛-铁马） (2)" sheetId="28" r:id="rId25"/>
    <sheet name="物料及工装采购价格审批表 （天津沛衡） (3)" sheetId="29" r:id="rId26"/>
    <sheet name="物料及工装采购价格审批表 （恒伟五金K1)" sheetId="30" r:id="rId27"/>
    <sheet name="物料及工装采购价格审批表 （黄骅鑫昌)" sheetId="31" r:id="rId28"/>
    <sheet name="物料及工装采购价格审批表 （潍坊K1头枕杆) (2)" sheetId="32" r:id="rId29"/>
    <sheet name="物料及工装采购价格审批表 （欧马可升级模具改造)" sheetId="33" r:id="rId30"/>
    <sheet name="物料及工装采购价格审批表 （欧马可升级模具改造) (黄骅源宏）" sheetId="34" r:id="rId31"/>
    <sheet name="物料及工装采购价格审批表 （安路普H6项目圆销柱）" sheetId="35" r:id="rId32"/>
    <sheet name="物料及工装采购价格审批表 （沧州啸宇欧马可)" sheetId="36" r:id="rId33"/>
    <sheet name="物料及工装采购价格审批表 （J6L扭力杆-沛衡)" sheetId="37" r:id="rId34"/>
    <sheet name="物料及工装采购价格审批表 （江苏力乐K1半成品)" sheetId="38" r:id="rId35"/>
    <sheet name="物料及工装采购价格审批表 （江苏凌派)" sheetId="39" r:id="rId36"/>
    <sheet name="物料及工装采购价格审批表 （L6000海兴中盛" sheetId="40" r:id="rId37"/>
    <sheet name="物料及工装采购价格审批表 （恒伟五金K1) (2)" sheetId="41" r:id="rId38"/>
    <sheet name="物料及工装采购价格审批表 （旭兴)" sheetId="42" r:id="rId39"/>
    <sheet name="物料采购价格审批表-黄骅宏达" sheetId="43" r:id="rId40"/>
    <sheet name="物料采购价格审批表-天津沛衡扭力弹簧" sheetId="44" r:id="rId41"/>
    <sheet name="物料采购价格审批表-江苏凌派欧马可" sheetId="45" r:id="rId42"/>
    <sheet name="物料采购价格审批表-沧州智凯" sheetId="46" r:id="rId43"/>
    <sheet name="物料采购价格审批表-沧州宇诺" sheetId="47" r:id="rId44"/>
    <sheet name="物料采购价格审批表-转盘-霸州政锦" sheetId="48" r:id="rId45"/>
    <sheet name="物料采购价格审批表-欧马可涡簧-中盛及万金" sheetId="49" r:id="rId46"/>
    <sheet name="物料采购价格审批表-泊头捷润TF" sheetId="50" r:id="rId47"/>
    <sheet name="物料采购价格审批表-黄骅长生J6L坐盆" sheetId="51" r:id="rId48"/>
    <sheet name="物料采购价格审批表-黄骅新强力与长春" sheetId="52" r:id="rId49"/>
    <sheet name="物料采购价格审批表-沧州宇诺1.0" sheetId="53" r:id="rId50"/>
    <sheet name="物料采购价格审批表-霸州政锦" sheetId="54" r:id="rId51"/>
    <sheet name="物料采购价格审批表-黄骅鑫昌防尘罩支架" sheetId="56" r:id="rId52"/>
    <sheet name="物料采购价格审批表-吉林智恒J6L" sheetId="58" r:id="rId53"/>
    <sheet name="物料采购价格审批表-福田大黄蜂-黄骅成卓" sheetId="59" r:id="rId54"/>
    <sheet name="物料及工装采购价格审批表 (江苏凌派-欧马可）" sheetId="60" r:id="rId55"/>
    <sheet name="物料采购价格审批表-泊头捷润" sheetId="62" r:id="rId56"/>
    <sheet name="物料采购价格审批表-黄骅兴岳" sheetId="63" r:id="rId57"/>
    <sheet name="物料采购价格审批表-黄骅旭兴" sheetId="64" r:id="rId58"/>
    <sheet name="物料采购价格审批表-泊头鑫洪" sheetId="65" r:id="rId59"/>
    <sheet name="物料采购价格审批表-河北沁园" sheetId="66" r:id="rId60"/>
    <sheet name="物料采购价格审批表-黄骅富邑" sheetId="67" r:id="rId61"/>
    <sheet name="物料采购价格审批表-黄骅成卓" sheetId="68" r:id="rId62"/>
    <sheet name="物料采购价格审批表-海兴中盛" sheetId="69" r:id="rId63"/>
    <sheet name="物料采购价格审批表-垫片" sheetId="70" r:id="rId64"/>
    <sheet name="物料采购价格审批表-霸州政锦11" sheetId="71" r:id="rId65"/>
    <sheet name="物料采购价格审批表-黄骅成卓3.18" sheetId="72" r:id="rId66"/>
    <sheet name="Sheet1" sheetId="1" r:id="rId67"/>
    <sheet name="Sheet2" sheetId="57" r:id="rId68"/>
  </sheets>
  <externalReferences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_xlnm._FilterDatabase" localSheetId="18" hidden="1">'物料及工装采购价格审批表 (H6项目临时机加件）'!$A$3:$M$9</definedName>
    <definedName name="_xlnm._FilterDatabase" localSheetId="33" hidden="1">'物料及工装采购价格审批表 （J6L扭力杆-沛衡)'!$A$3:$M$8</definedName>
    <definedName name="_xlnm._FilterDatabase" localSheetId="36" hidden="1">'物料及工装采购价格审批表 （L6000海兴中盛'!$A$3:$M$8</definedName>
    <definedName name="_xlnm._FilterDatabase" localSheetId="31" hidden="1">'物料及工装采购价格审批表 （安路普H6项目圆销柱）'!$A$3:$M$8</definedName>
    <definedName name="_xlnm._FilterDatabase" localSheetId="19" hidden="1">'物料及工装采购价格审批表 (保定京苑转潍坊）'!$A$3:$M$11</definedName>
    <definedName name="_xlnm._FilterDatabase" localSheetId="32" hidden="1">'物料及工装采购价格审批表 （沧州啸宇欧马可)'!$A$3:$M$10</definedName>
    <definedName name="_xlnm._FilterDatabase" localSheetId="24" hidden="1">'物料及工装采购价格审批表 （海兴中盛-铁马） (2)'!$A$3:$M$9</definedName>
    <definedName name="_xlnm._FilterDatabase" localSheetId="26" hidden="1">'物料及工装采购价格审批表 （恒伟五金K1)'!$A$3:$M$26</definedName>
    <definedName name="_xlnm._FilterDatabase" localSheetId="37" hidden="1">'物料及工装采购价格审批表 （恒伟五金K1) (2)'!$A$3:$M$26</definedName>
    <definedName name="_xlnm._FilterDatabase" localSheetId="22" hidden="1">'物料及工装采购价格审批表 (黄骅成卓-前横梁焊接总成）'!$A$3:$M$8</definedName>
    <definedName name="_xlnm._FilterDatabase" localSheetId="27" hidden="1">'物料及工装采购价格审批表 （黄骅鑫昌)'!$A$3:$M$11</definedName>
    <definedName name="_xlnm._FilterDatabase" localSheetId="20" hidden="1">'物料及工装采购价格审批表 (江苏力乐)'!$A$3:$M$29</definedName>
    <definedName name="_xlnm._FilterDatabase" localSheetId="34" hidden="1">'物料及工装采购价格审批表 （江苏力乐K1半成品)'!$A$3:$Q$44</definedName>
    <definedName name="_xlnm._FilterDatabase" localSheetId="35" hidden="1">'物料及工装采购价格审批表 （江苏凌派)'!$A$3:$M$8</definedName>
    <definedName name="_xlnm._FilterDatabase" localSheetId="23" hidden="1">'物料及工装采购价格审批表 (江苏凌派临时机加）'!$A$3:$M$9</definedName>
    <definedName name="_xlnm._FilterDatabase" localSheetId="54" hidden="1">'物料及工装采购价格审批表 (江苏凌派-欧马可）'!$A$3:$M$9</definedName>
    <definedName name="_xlnm._FilterDatabase" localSheetId="16" hidden="1">'物料及工装采购价格审批表 (临时机加) '!$A$3:$M$8</definedName>
    <definedName name="_xlnm._FilterDatabase" localSheetId="29" hidden="1">'物料及工装采购价格审批表 （欧马可升级模具改造)'!$A$3:$M$11</definedName>
    <definedName name="_xlnm._FilterDatabase" localSheetId="30" hidden="1">'物料及工装采购价格审批表 （欧马可升级模具改造) (黄骅源宏）'!$A$3:$M$10</definedName>
    <definedName name="_xlnm._FilterDatabase" localSheetId="15" hidden="1">'物料及工装采购价格审批表 (塑料滚轮验证)'!$A$3:$M$7</definedName>
    <definedName name="_xlnm._FilterDatabase" localSheetId="14" hidden="1">'物料及工装采购价格审批表 (天丰冲压件定标)'!$A$3:$Q$41</definedName>
    <definedName name="_xlnm._FilterDatabase" localSheetId="21" hidden="1">'物料及工装采购价格审批表 (天丰冲压件重新定标)'!$A$3:$R$42</definedName>
    <definedName name="_xlnm._FilterDatabase" localSheetId="17" hidden="1">'物料及工装采购价格审批表 (天津凌派等项目冷镦件）'!$A$3:$P$21</definedName>
    <definedName name="_xlnm._FilterDatabase" localSheetId="25" hidden="1">'物料及工装采购价格审批表 （天津沛衡） (3)'!$A$3:$M$29</definedName>
    <definedName name="_xlnm._FilterDatabase" localSheetId="28" hidden="1">'物料及工装采购价格审批表 （潍坊K1头枕杆) (2)'!$A$3:$M$11</definedName>
    <definedName name="_xlnm._FilterDatabase" localSheetId="38" hidden="1">'物料及工装采购价格审批表 （旭兴)'!$A$3:$M$17</definedName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71" l="1"/>
  <c r="R7" i="71"/>
  <c r="R8" i="71"/>
  <c r="R5" i="71"/>
  <c r="U5" i="20" l="1"/>
  <c r="U6" i="20"/>
  <c r="U7" i="20"/>
  <c r="U8" i="20"/>
  <c r="U9" i="20"/>
  <c r="U10" i="20"/>
  <c r="U11" i="20"/>
  <c r="U12" i="20"/>
  <c r="U13" i="20"/>
  <c r="U4" i="20"/>
  <c r="S5" i="20"/>
  <c r="S6" i="20"/>
  <c r="S7" i="20"/>
  <c r="S8" i="20"/>
  <c r="S9" i="20"/>
  <c r="S10" i="20"/>
  <c r="S12" i="20"/>
  <c r="S14" i="20"/>
  <c r="S15" i="20"/>
  <c r="S16" i="20"/>
  <c r="S17" i="20"/>
  <c r="S4" i="20"/>
  <c r="Q5" i="20"/>
  <c r="Q6" i="20"/>
  <c r="Q7" i="20"/>
  <c r="Q8" i="20"/>
  <c r="Q9" i="20"/>
  <c r="Q10" i="20"/>
  <c r="Q11" i="20"/>
  <c r="Q12" i="20"/>
  <c r="Q13" i="20"/>
  <c r="Q14" i="20"/>
  <c r="Q15" i="20"/>
  <c r="Q16" i="20"/>
  <c r="Q17" i="20"/>
  <c r="Q4" i="20"/>
  <c r="T6" i="67"/>
  <c r="T7" i="67"/>
  <c r="T8" i="67"/>
  <c r="T9" i="67"/>
  <c r="T5" i="67"/>
  <c r="S6" i="66"/>
  <c r="S7" i="66"/>
  <c r="S5" i="66"/>
  <c r="R8" i="63"/>
  <c r="R7" i="63"/>
  <c r="R6" i="63"/>
  <c r="R5" i="63"/>
  <c r="O7" i="60"/>
  <c r="O5" i="60"/>
  <c r="O6" i="60"/>
  <c r="O4" i="60"/>
  <c r="N5" i="59"/>
  <c r="F5" i="59" l="1"/>
  <c r="L5" i="59"/>
  <c r="N9" i="58"/>
  <c r="M9" i="58"/>
  <c r="M7" i="58"/>
  <c r="N7" i="58" s="1"/>
  <c r="M6" i="58" l="1"/>
  <c r="N6" i="58" s="1"/>
  <c r="L6" i="58"/>
  <c r="F6" i="58" s="1"/>
  <c r="L5" i="58"/>
  <c r="F5" i="58" s="1"/>
  <c r="E6" i="58"/>
  <c r="N5" i="58" l="1"/>
  <c r="N6" i="56"/>
  <c r="N7" i="56"/>
  <c r="N8" i="56"/>
  <c r="N9" i="56"/>
  <c r="N5" i="56"/>
  <c r="F6" i="56" l="1"/>
  <c r="F7" i="56"/>
  <c r="F8" i="56"/>
  <c r="F9" i="56"/>
  <c r="F5" i="56"/>
  <c r="H11" i="1" l="1"/>
  <c r="F11" i="1"/>
  <c r="N5" i="54" l="1"/>
  <c r="L10" i="53"/>
  <c r="L9" i="53"/>
  <c r="Z10" i="53"/>
  <c r="Z9" i="53"/>
  <c r="F10" i="53" l="1"/>
  <c r="F9" i="53"/>
  <c r="F6" i="53"/>
  <c r="F7" i="53"/>
  <c r="F8" i="53"/>
  <c r="F5" i="53"/>
  <c r="N6" i="53"/>
  <c r="N7" i="53"/>
  <c r="N8" i="53"/>
  <c r="N10" i="53"/>
  <c r="N5" i="53"/>
  <c r="R6" i="52"/>
  <c r="R5" i="52"/>
  <c r="R6" i="51"/>
  <c r="R7" i="51"/>
  <c r="R5" i="51"/>
  <c r="N9" i="53" l="1"/>
  <c r="L5" i="47"/>
  <c r="F5" i="47"/>
  <c r="M7" i="46"/>
  <c r="N7" i="46" s="1"/>
  <c r="N6" i="46"/>
  <c r="M6" i="46"/>
  <c r="K9" i="45" l="1"/>
  <c r="K8" i="45"/>
  <c r="K5" i="45"/>
  <c r="K7" i="45"/>
  <c r="K6" i="45"/>
  <c r="L6" i="45" l="1"/>
  <c r="F6" i="45"/>
  <c r="L9" i="45"/>
  <c r="L8" i="45"/>
  <c r="L7" i="45"/>
  <c r="F5" i="45"/>
  <c r="E5" i="45"/>
  <c r="F8" i="45"/>
  <c r="E8" i="45"/>
  <c r="F7" i="45"/>
  <c r="F9" i="45"/>
  <c r="E7" i="45"/>
  <c r="E9" i="45"/>
  <c r="E6" i="45"/>
  <c r="I5" i="41" l="1"/>
  <c r="J5" i="41" s="1"/>
  <c r="I6" i="41"/>
  <c r="J6" i="41" s="1"/>
  <c r="I7" i="41"/>
  <c r="J7" i="41" s="1"/>
  <c r="I8" i="41"/>
  <c r="J8" i="41" s="1"/>
  <c r="I9" i="41"/>
  <c r="J9" i="41" s="1"/>
  <c r="I10" i="41"/>
  <c r="J10" i="41" s="1"/>
  <c r="I11" i="41"/>
  <c r="J11" i="41" s="1"/>
  <c r="I12" i="41"/>
  <c r="J12" i="41" s="1"/>
  <c r="I13" i="41"/>
  <c r="J13" i="41" s="1"/>
  <c r="I14" i="41"/>
  <c r="J14" i="41" s="1"/>
  <c r="I15" i="41"/>
  <c r="J15" i="41" s="1"/>
  <c r="I16" i="41"/>
  <c r="J16" i="41" s="1"/>
  <c r="I17" i="41"/>
  <c r="J17" i="41" s="1"/>
  <c r="I18" i="41"/>
  <c r="J18" i="41" s="1"/>
  <c r="I19" i="41"/>
  <c r="J19" i="41" s="1"/>
  <c r="I20" i="41"/>
  <c r="J20" i="41" s="1"/>
  <c r="I21" i="41"/>
  <c r="J21" i="41" s="1"/>
  <c r="I22" i="41"/>
  <c r="J22" i="41" s="1"/>
  <c r="I23" i="41"/>
  <c r="J23" i="41" s="1"/>
  <c r="I4" i="41"/>
  <c r="J4" i="41" s="1"/>
  <c r="H4" i="40" l="1"/>
  <c r="N20" i="29"/>
  <c r="N21" i="29"/>
  <c r="N22" i="29"/>
  <c r="N23" i="29"/>
  <c r="N25" i="29"/>
  <c r="N19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4" i="29"/>
  <c r="H41" i="38" l="1"/>
  <c r="L41" i="38"/>
  <c r="L35" i="38"/>
  <c r="L5" i="38"/>
  <c r="L6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2" i="38"/>
  <c r="L33" i="38"/>
  <c r="L34" i="38"/>
  <c r="L36" i="38"/>
  <c r="L37" i="38"/>
  <c r="L38" i="38"/>
  <c r="L39" i="38"/>
  <c r="L40" i="38"/>
  <c r="L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" i="38"/>
  <c r="J4" i="34"/>
  <c r="I4" i="34"/>
  <c r="F4" i="34"/>
  <c r="O26" i="29"/>
  <c r="O4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F5" i="31"/>
  <c r="F4" i="31"/>
  <c r="I5" i="30" l="1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4" i="30"/>
  <c r="J4" i="28"/>
  <c r="J5" i="27"/>
  <c r="J6" i="27"/>
  <c r="J4" i="27"/>
  <c r="N39" i="25"/>
  <c r="M39" i="25"/>
  <c r="L39" i="25"/>
  <c r="K39" i="25"/>
  <c r="J39" i="25"/>
  <c r="I39" i="25"/>
  <c r="N38" i="25"/>
  <c r="M38" i="25"/>
  <c r="L38" i="25"/>
  <c r="K38" i="25"/>
  <c r="J38" i="25"/>
  <c r="I38" i="25"/>
  <c r="N37" i="25"/>
  <c r="M37" i="25"/>
  <c r="L37" i="25"/>
  <c r="K37" i="25"/>
  <c r="J37" i="25"/>
  <c r="I37" i="25"/>
  <c r="N35" i="25"/>
  <c r="M35" i="25"/>
  <c r="L35" i="25"/>
  <c r="K35" i="25"/>
  <c r="J35" i="25"/>
  <c r="I35" i="25"/>
  <c r="N34" i="25"/>
  <c r="M34" i="25"/>
  <c r="L34" i="25"/>
  <c r="K34" i="25"/>
  <c r="J34" i="25"/>
  <c r="I34" i="25"/>
  <c r="J33" i="25"/>
  <c r="I33" i="25"/>
  <c r="N32" i="25"/>
  <c r="M32" i="25"/>
  <c r="L32" i="25"/>
  <c r="K32" i="25"/>
  <c r="J32" i="25"/>
  <c r="I32" i="25"/>
  <c r="N31" i="25"/>
  <c r="M31" i="25"/>
  <c r="L31" i="25"/>
  <c r="K31" i="25"/>
  <c r="J31" i="25"/>
  <c r="I31" i="25"/>
  <c r="N30" i="25"/>
  <c r="M30" i="25"/>
  <c r="L30" i="25"/>
  <c r="K30" i="25"/>
  <c r="J30" i="25"/>
  <c r="I30" i="25"/>
  <c r="N29" i="25"/>
  <c r="M29" i="25"/>
  <c r="L29" i="25"/>
  <c r="K29" i="25"/>
  <c r="J29" i="25"/>
  <c r="I29" i="25"/>
  <c r="N28" i="25"/>
  <c r="M28" i="25"/>
  <c r="L28" i="25"/>
  <c r="K28" i="25"/>
  <c r="J28" i="25"/>
  <c r="I28" i="25"/>
  <c r="N27" i="25"/>
  <c r="M27" i="25"/>
  <c r="L27" i="25"/>
  <c r="K27" i="25"/>
  <c r="J27" i="25"/>
  <c r="I27" i="25"/>
  <c r="N26" i="25"/>
  <c r="M26" i="25"/>
  <c r="L26" i="25"/>
  <c r="K26" i="25"/>
  <c r="J26" i="25"/>
  <c r="I26" i="25"/>
  <c r="N25" i="25"/>
  <c r="M25" i="25"/>
  <c r="L25" i="25"/>
  <c r="K25" i="25"/>
  <c r="J25" i="25"/>
  <c r="I25" i="25"/>
  <c r="N24" i="25"/>
  <c r="M24" i="25"/>
  <c r="L24" i="25"/>
  <c r="K24" i="25"/>
  <c r="J24" i="25"/>
  <c r="I24" i="25"/>
  <c r="N23" i="25"/>
  <c r="M23" i="25"/>
  <c r="L23" i="25"/>
  <c r="K23" i="25"/>
  <c r="J23" i="25"/>
  <c r="I23" i="25"/>
  <c r="J22" i="25"/>
  <c r="I22" i="25"/>
  <c r="N21" i="25"/>
  <c r="M21" i="25"/>
  <c r="L21" i="25"/>
  <c r="K21" i="25"/>
  <c r="J21" i="25"/>
  <c r="I21" i="25"/>
  <c r="N20" i="25"/>
  <c r="M20" i="25"/>
  <c r="L20" i="25"/>
  <c r="K20" i="25"/>
  <c r="J20" i="25"/>
  <c r="I20" i="25"/>
  <c r="N19" i="25"/>
  <c r="M19" i="25"/>
  <c r="L19" i="25"/>
  <c r="K19" i="25"/>
  <c r="J19" i="25"/>
  <c r="I19" i="25"/>
  <c r="N18" i="25"/>
  <c r="M18" i="25"/>
  <c r="L18" i="25"/>
  <c r="K18" i="25"/>
  <c r="J18" i="25"/>
  <c r="I18" i="25"/>
  <c r="N17" i="25"/>
  <c r="M17" i="25"/>
  <c r="L17" i="25"/>
  <c r="K17" i="25"/>
  <c r="J17" i="25"/>
  <c r="I17" i="25"/>
  <c r="N16" i="25"/>
  <c r="M16" i="25"/>
  <c r="L16" i="25"/>
  <c r="K16" i="25"/>
  <c r="J16" i="25"/>
  <c r="I16" i="25"/>
  <c r="J15" i="25"/>
  <c r="I15" i="25"/>
  <c r="N13" i="25"/>
  <c r="M13" i="25"/>
  <c r="L13" i="25"/>
  <c r="K13" i="25"/>
  <c r="J13" i="25"/>
  <c r="I13" i="25"/>
  <c r="N12" i="25"/>
  <c r="M12" i="25"/>
  <c r="L12" i="25"/>
  <c r="K12" i="25"/>
  <c r="J12" i="25"/>
  <c r="I12" i="25"/>
  <c r="J11" i="25"/>
  <c r="I11" i="25"/>
  <c r="N10" i="25"/>
  <c r="M10" i="25"/>
  <c r="L10" i="25"/>
  <c r="K10" i="25"/>
  <c r="J10" i="25"/>
  <c r="I10" i="25"/>
  <c r="N8" i="25"/>
  <c r="M8" i="25"/>
  <c r="L8" i="25"/>
  <c r="K8" i="25"/>
  <c r="J8" i="25"/>
  <c r="I8" i="25"/>
  <c r="J6" i="25"/>
  <c r="I6" i="25"/>
  <c r="G6" i="25"/>
  <c r="N6" i="25" s="1"/>
  <c r="F6" i="25"/>
  <c r="K6" i="25" s="1"/>
  <c r="N5" i="25"/>
  <c r="M5" i="25"/>
  <c r="L5" i="25"/>
  <c r="K5" i="25"/>
  <c r="J5" i="25"/>
  <c r="I5" i="25"/>
  <c r="N4" i="25"/>
  <c r="M4" i="25"/>
  <c r="L4" i="25"/>
  <c r="K4" i="25"/>
  <c r="J4" i="25"/>
  <c r="I4" i="25"/>
  <c r="I4" i="22"/>
  <c r="J4" i="22"/>
  <c r="P5" i="20"/>
  <c r="R5" i="20" s="1"/>
  <c r="P6" i="20"/>
  <c r="R6" i="20" s="1"/>
  <c r="P7" i="20"/>
  <c r="R7" i="20" s="1"/>
  <c r="P8" i="20"/>
  <c r="R8" i="20" s="1"/>
  <c r="P9" i="20"/>
  <c r="R9" i="20" s="1"/>
  <c r="P10" i="20"/>
  <c r="R10" i="20" s="1"/>
  <c r="P11" i="20"/>
  <c r="R11" i="20" s="1"/>
  <c r="P12" i="20"/>
  <c r="R12" i="20" s="1"/>
  <c r="P13" i="20"/>
  <c r="R13" i="20" s="1"/>
  <c r="P14" i="20"/>
  <c r="R14" i="20" s="1"/>
  <c r="P15" i="20"/>
  <c r="R15" i="20" s="1"/>
  <c r="P16" i="20"/>
  <c r="R16" i="20" s="1"/>
  <c r="P17" i="20"/>
  <c r="R17" i="20" s="1"/>
  <c r="P4" i="20"/>
  <c r="R4" i="20" s="1"/>
  <c r="M6" i="20"/>
  <c r="M11" i="20"/>
  <c r="M14" i="20"/>
  <c r="M15" i="20"/>
  <c r="K5" i="20"/>
  <c r="M5" i="20" s="1"/>
  <c r="K6" i="20"/>
  <c r="K7" i="20"/>
  <c r="M7" i="20" s="1"/>
  <c r="K8" i="20"/>
  <c r="M8" i="20" s="1"/>
  <c r="K9" i="20"/>
  <c r="M9" i="20" s="1"/>
  <c r="K10" i="20"/>
  <c r="M10" i="20" s="1"/>
  <c r="K11" i="20"/>
  <c r="K12" i="20"/>
  <c r="M12" i="20" s="1"/>
  <c r="K13" i="20"/>
  <c r="M13" i="20" s="1"/>
  <c r="K14" i="20"/>
  <c r="K15" i="20"/>
  <c r="K16" i="20"/>
  <c r="M16" i="20" s="1"/>
  <c r="K17" i="20"/>
  <c r="M17" i="20" s="1"/>
  <c r="K4" i="20"/>
  <c r="M4" i="20" s="1"/>
  <c r="J4" i="19"/>
  <c r="I4" i="19"/>
  <c r="H4" i="19"/>
  <c r="J5" i="19"/>
  <c r="I5" i="19"/>
  <c r="H5" i="19"/>
  <c r="Y4" i="18"/>
  <c r="W4" i="18"/>
  <c r="U4" i="18"/>
  <c r="S4" i="18"/>
  <c r="J4" i="18"/>
  <c r="I4" i="18"/>
  <c r="H4" i="18"/>
  <c r="F23" i="11"/>
  <c r="M23" i="11" s="1"/>
  <c r="F22" i="11"/>
  <c r="M22" i="11" s="1"/>
  <c r="F21" i="11"/>
  <c r="F18" i="11"/>
  <c r="F19" i="11"/>
  <c r="K19" i="11" s="1"/>
  <c r="F20" i="11"/>
  <c r="F17" i="11"/>
  <c r="M17" i="11" s="1"/>
  <c r="F14" i="11"/>
  <c r="M14" i="11" s="1"/>
  <c r="F13" i="11"/>
  <c r="M13" i="11" s="1"/>
  <c r="F12" i="11"/>
  <c r="M12" i="11" s="1"/>
  <c r="F11" i="11"/>
  <c r="F8" i="11"/>
  <c r="F5" i="11"/>
  <c r="K5" i="11" s="1"/>
  <c r="F4" i="11"/>
  <c r="M4" i="11" s="1"/>
  <c r="F38" i="11"/>
  <c r="M38" i="11" s="1"/>
  <c r="F37" i="11"/>
  <c r="M37" i="11" s="1"/>
  <c r="F36" i="11"/>
  <c r="M36" i="11" s="1"/>
  <c r="F35" i="11"/>
  <c r="K35" i="11" s="1"/>
  <c r="F34" i="11"/>
  <c r="F33" i="11"/>
  <c r="K33" i="11" s="1"/>
  <c r="F32" i="11"/>
  <c r="K32" i="11" s="1"/>
  <c r="F31" i="11"/>
  <c r="F30" i="11"/>
  <c r="M30" i="11" s="1"/>
  <c r="F29" i="11"/>
  <c r="K29" i="11" s="1"/>
  <c r="F28" i="11"/>
  <c r="K28" i="11" s="1"/>
  <c r="F27" i="11"/>
  <c r="M27" i="11" s="1"/>
  <c r="F26" i="11"/>
  <c r="F25" i="11"/>
  <c r="F24" i="11"/>
  <c r="K24" i="11" s="1"/>
  <c r="F16" i="11"/>
  <c r="M16" i="11" s="1"/>
  <c r="F15" i="11"/>
  <c r="K15" i="11" s="1"/>
  <c r="F10" i="11"/>
  <c r="M10" i="11" s="1"/>
  <c r="F9" i="11"/>
  <c r="K9" i="11" s="1"/>
  <c r="F6" i="11"/>
  <c r="M6" i="11" s="1"/>
  <c r="F7" i="11"/>
  <c r="F23" i="10"/>
  <c r="F22" i="10"/>
  <c r="K22" i="10" s="1"/>
  <c r="M22" i="10" s="1"/>
  <c r="F21" i="10"/>
  <c r="K21" i="10" s="1"/>
  <c r="M21" i="10" s="1"/>
  <c r="F18" i="10"/>
  <c r="F19" i="10"/>
  <c r="K19" i="10" s="1"/>
  <c r="M19" i="10" s="1"/>
  <c r="F20" i="10"/>
  <c r="K20" i="10" s="1"/>
  <c r="M20" i="10" s="1"/>
  <c r="F17" i="10"/>
  <c r="K17" i="10" s="1"/>
  <c r="M17" i="10" s="1"/>
  <c r="F14" i="10"/>
  <c r="F13" i="10"/>
  <c r="K13" i="10" s="1"/>
  <c r="M13" i="10" s="1"/>
  <c r="F12" i="10"/>
  <c r="K12" i="10" s="1"/>
  <c r="M12" i="10" s="1"/>
  <c r="F11" i="10"/>
  <c r="K11" i="10" s="1"/>
  <c r="M11" i="10" s="1"/>
  <c r="F8" i="10"/>
  <c r="K8" i="10" s="1"/>
  <c r="M8" i="10" s="1"/>
  <c r="F5" i="10"/>
  <c r="K5" i="10" s="1"/>
  <c r="M5" i="10" s="1"/>
  <c r="F4" i="10"/>
  <c r="K4" i="10" s="1"/>
  <c r="M4" i="10" s="1"/>
  <c r="F38" i="10"/>
  <c r="K38" i="10" s="1"/>
  <c r="M38" i="10" s="1"/>
  <c r="F37" i="10"/>
  <c r="F36" i="10"/>
  <c r="F35" i="10"/>
  <c r="K35" i="10" s="1"/>
  <c r="M35" i="10" s="1"/>
  <c r="F34" i="10"/>
  <c r="K34" i="10" s="1"/>
  <c r="M34" i="10" s="1"/>
  <c r="F33" i="10"/>
  <c r="K33" i="10" s="1"/>
  <c r="M33" i="10" s="1"/>
  <c r="F32" i="10"/>
  <c r="K32" i="10" s="1"/>
  <c r="M32" i="10" s="1"/>
  <c r="F31" i="10"/>
  <c r="K31" i="10" s="1"/>
  <c r="M31" i="10" s="1"/>
  <c r="F30" i="10"/>
  <c r="K30" i="10" s="1"/>
  <c r="M30" i="10" s="1"/>
  <c r="F29" i="10"/>
  <c r="K29" i="10" s="1"/>
  <c r="M29" i="10" s="1"/>
  <c r="F28" i="10"/>
  <c r="K28" i="10" s="1"/>
  <c r="M28" i="10" s="1"/>
  <c r="F27" i="10"/>
  <c r="K27" i="10" s="1"/>
  <c r="M27" i="10" s="1"/>
  <c r="F26" i="10"/>
  <c r="K26" i="10" s="1"/>
  <c r="M26" i="10" s="1"/>
  <c r="F25" i="10"/>
  <c r="K25" i="10" s="1"/>
  <c r="M25" i="10" s="1"/>
  <c r="F24" i="10"/>
  <c r="K24" i="10" s="1"/>
  <c r="M24" i="10" s="1"/>
  <c r="F16" i="10"/>
  <c r="K16" i="10" s="1"/>
  <c r="M16" i="10" s="1"/>
  <c r="F15" i="10"/>
  <c r="K15" i="10" s="1"/>
  <c r="M15" i="10" s="1"/>
  <c r="F10" i="10"/>
  <c r="F9" i="10"/>
  <c r="K9" i="10" s="1"/>
  <c r="M9" i="10" s="1"/>
  <c r="F6" i="10"/>
  <c r="K6" i="10" s="1"/>
  <c r="M6" i="10" s="1"/>
  <c r="F7" i="10"/>
  <c r="K7" i="10" s="1"/>
  <c r="M7" i="10" s="1"/>
  <c r="N38" i="17"/>
  <c r="M38" i="17"/>
  <c r="L38" i="17"/>
  <c r="K38" i="17"/>
  <c r="J38" i="17"/>
  <c r="I38" i="17"/>
  <c r="N37" i="17"/>
  <c r="M37" i="17"/>
  <c r="L37" i="17"/>
  <c r="K37" i="17"/>
  <c r="J37" i="17"/>
  <c r="I37" i="17"/>
  <c r="N36" i="17"/>
  <c r="M36" i="17"/>
  <c r="L36" i="17"/>
  <c r="K36" i="17"/>
  <c r="J36" i="17"/>
  <c r="I36" i="17"/>
  <c r="N35" i="17"/>
  <c r="M35" i="17"/>
  <c r="L35" i="17"/>
  <c r="K35" i="17"/>
  <c r="J35" i="17"/>
  <c r="I35" i="17"/>
  <c r="N34" i="17"/>
  <c r="M34" i="17"/>
  <c r="L34" i="17"/>
  <c r="K34" i="17"/>
  <c r="J34" i="17"/>
  <c r="I34" i="17"/>
  <c r="J33" i="17"/>
  <c r="I33" i="17"/>
  <c r="N32" i="17"/>
  <c r="M32" i="17"/>
  <c r="L32" i="17"/>
  <c r="K32" i="17"/>
  <c r="J32" i="17"/>
  <c r="I32" i="17"/>
  <c r="N31" i="17"/>
  <c r="M31" i="17"/>
  <c r="L31" i="17"/>
  <c r="K31" i="17"/>
  <c r="J31" i="17"/>
  <c r="I31" i="17"/>
  <c r="N30" i="17"/>
  <c r="M30" i="17"/>
  <c r="L30" i="17"/>
  <c r="K30" i="17"/>
  <c r="J30" i="17"/>
  <c r="I30" i="17"/>
  <c r="N29" i="17"/>
  <c r="M29" i="17"/>
  <c r="L29" i="17"/>
  <c r="K29" i="17"/>
  <c r="J29" i="17"/>
  <c r="I29" i="17"/>
  <c r="N28" i="17"/>
  <c r="M28" i="17"/>
  <c r="L28" i="17"/>
  <c r="K28" i="17"/>
  <c r="J28" i="17"/>
  <c r="I28" i="17"/>
  <c r="N27" i="17"/>
  <c r="M27" i="17"/>
  <c r="L27" i="17"/>
  <c r="K27" i="17"/>
  <c r="J27" i="17"/>
  <c r="I27" i="17"/>
  <c r="N26" i="17"/>
  <c r="M26" i="17"/>
  <c r="L26" i="17"/>
  <c r="K26" i="17"/>
  <c r="J26" i="17"/>
  <c r="I26" i="17"/>
  <c r="N25" i="17"/>
  <c r="M25" i="17"/>
  <c r="L25" i="17"/>
  <c r="K25" i="17"/>
  <c r="J25" i="17"/>
  <c r="I25" i="17"/>
  <c r="N24" i="17"/>
  <c r="M24" i="17"/>
  <c r="L24" i="17"/>
  <c r="K24" i="17"/>
  <c r="J24" i="17"/>
  <c r="I24" i="17"/>
  <c r="N23" i="17"/>
  <c r="M23" i="17"/>
  <c r="L23" i="17"/>
  <c r="K23" i="17"/>
  <c r="J23" i="17"/>
  <c r="I23" i="17"/>
  <c r="J22" i="17"/>
  <c r="I22" i="17"/>
  <c r="N21" i="17"/>
  <c r="M21" i="17"/>
  <c r="L21" i="17"/>
  <c r="K21" i="17"/>
  <c r="J21" i="17"/>
  <c r="I21" i="17"/>
  <c r="N20" i="17"/>
  <c r="M20" i="17"/>
  <c r="L20" i="17"/>
  <c r="K20" i="17"/>
  <c r="J20" i="17"/>
  <c r="I20" i="17"/>
  <c r="N19" i="17"/>
  <c r="M19" i="17"/>
  <c r="L19" i="17"/>
  <c r="K19" i="17"/>
  <c r="J19" i="17"/>
  <c r="I19" i="17"/>
  <c r="N18" i="17"/>
  <c r="M18" i="17"/>
  <c r="L18" i="17"/>
  <c r="K18" i="17"/>
  <c r="J18" i="17"/>
  <c r="I18" i="17"/>
  <c r="N17" i="17"/>
  <c r="M17" i="17"/>
  <c r="L17" i="17"/>
  <c r="K17" i="17"/>
  <c r="J17" i="17"/>
  <c r="I17" i="17"/>
  <c r="N16" i="17"/>
  <c r="M16" i="17"/>
  <c r="L16" i="17"/>
  <c r="K16" i="17"/>
  <c r="J16" i="17"/>
  <c r="I16" i="17"/>
  <c r="J15" i="17"/>
  <c r="I15" i="17"/>
  <c r="N13" i="17"/>
  <c r="M13" i="17"/>
  <c r="L13" i="17"/>
  <c r="K13" i="17"/>
  <c r="J13" i="17"/>
  <c r="I13" i="17"/>
  <c r="N12" i="17"/>
  <c r="M12" i="17"/>
  <c r="L12" i="17"/>
  <c r="K12" i="17"/>
  <c r="J12" i="17"/>
  <c r="I12" i="17"/>
  <c r="J11" i="17"/>
  <c r="I11" i="17"/>
  <c r="N10" i="17"/>
  <c r="M10" i="17"/>
  <c r="L10" i="17"/>
  <c r="K10" i="17"/>
  <c r="J10" i="17"/>
  <c r="I10" i="17"/>
  <c r="N8" i="17"/>
  <c r="M8" i="17"/>
  <c r="L8" i="17"/>
  <c r="K8" i="17"/>
  <c r="J8" i="17"/>
  <c r="I8" i="17"/>
  <c r="G6" i="17"/>
  <c r="N6" i="17" s="1"/>
  <c r="F6" i="17"/>
  <c r="M6" i="17" s="1"/>
  <c r="J6" i="17"/>
  <c r="I6" i="17"/>
  <c r="N5" i="17"/>
  <c r="M5" i="17"/>
  <c r="L5" i="17"/>
  <c r="K5" i="17"/>
  <c r="J5" i="17"/>
  <c r="I5" i="17"/>
  <c r="N4" i="17"/>
  <c r="M4" i="17"/>
  <c r="L4" i="17"/>
  <c r="K4" i="17"/>
  <c r="J4" i="17"/>
  <c r="I4" i="17"/>
  <c r="G5" i="14"/>
  <c r="G6" i="14"/>
  <c r="G7" i="14"/>
  <c r="G8" i="14"/>
  <c r="G9" i="14"/>
  <c r="G10" i="14"/>
  <c r="G11" i="14"/>
  <c r="G12" i="14"/>
  <c r="G4" i="14"/>
  <c r="G9" i="10"/>
  <c r="L9" i="10" s="1"/>
  <c r="N9" i="10" s="1"/>
  <c r="G15" i="10"/>
  <c r="L15" i="10" s="1"/>
  <c r="N15" i="10" s="1"/>
  <c r="G16" i="10"/>
  <c r="L16" i="10" s="1"/>
  <c r="N16" i="10" s="1"/>
  <c r="G24" i="10"/>
  <c r="L24" i="10" s="1"/>
  <c r="N24" i="10" s="1"/>
  <c r="G25" i="10"/>
  <c r="L25" i="10" s="1"/>
  <c r="N25" i="10" s="1"/>
  <c r="G26" i="10"/>
  <c r="L26" i="10" s="1"/>
  <c r="N26" i="10" s="1"/>
  <c r="G27" i="10"/>
  <c r="L27" i="10" s="1"/>
  <c r="N27" i="10" s="1"/>
  <c r="G28" i="10"/>
  <c r="L28" i="10" s="1"/>
  <c r="N28" i="10" s="1"/>
  <c r="G29" i="10"/>
  <c r="L29" i="10" s="1"/>
  <c r="N29" i="10" s="1"/>
  <c r="G30" i="10"/>
  <c r="L30" i="10" s="1"/>
  <c r="N30" i="10" s="1"/>
  <c r="G31" i="10"/>
  <c r="L31" i="10" s="1"/>
  <c r="N31" i="10" s="1"/>
  <c r="G32" i="10"/>
  <c r="L32" i="10" s="1"/>
  <c r="N32" i="10" s="1"/>
  <c r="G33" i="10"/>
  <c r="L33" i="10" s="1"/>
  <c r="N33" i="10" s="1"/>
  <c r="G34" i="10"/>
  <c r="L34" i="10" s="1"/>
  <c r="N34" i="10" s="1"/>
  <c r="G35" i="10"/>
  <c r="L35" i="10" s="1"/>
  <c r="N35" i="10" s="1"/>
  <c r="K36" i="10"/>
  <c r="M36" i="10" s="1"/>
  <c r="G36" i="10"/>
  <c r="L36" i="10" s="1"/>
  <c r="N36" i="10" s="1"/>
  <c r="K37" i="10"/>
  <c r="M37" i="10" s="1"/>
  <c r="G37" i="10"/>
  <c r="L37" i="10" s="1"/>
  <c r="N37" i="10" s="1"/>
  <c r="G38" i="10"/>
  <c r="L38" i="10" s="1"/>
  <c r="N38" i="10" s="1"/>
  <c r="G6" i="10"/>
  <c r="L6" i="10" s="1"/>
  <c r="N6" i="10" s="1"/>
  <c r="G4" i="10"/>
  <c r="L4" i="10" s="1"/>
  <c r="N4" i="10" s="1"/>
  <c r="G5" i="10"/>
  <c r="L5" i="10" s="1"/>
  <c r="N5" i="10" s="1"/>
  <c r="G8" i="10"/>
  <c r="L8" i="10" s="1"/>
  <c r="N8" i="10" s="1"/>
  <c r="G11" i="10"/>
  <c r="L11" i="10" s="1"/>
  <c r="N11" i="10" s="1"/>
  <c r="G12" i="10"/>
  <c r="L12" i="10" s="1"/>
  <c r="N12" i="10" s="1"/>
  <c r="G13" i="10"/>
  <c r="L13" i="10" s="1"/>
  <c r="N13" i="10" s="1"/>
  <c r="K14" i="10"/>
  <c r="M14" i="10" s="1"/>
  <c r="G14" i="10"/>
  <c r="L14" i="10" s="1"/>
  <c r="N14" i="10" s="1"/>
  <c r="G17" i="10"/>
  <c r="L17" i="10" s="1"/>
  <c r="N17" i="10" s="1"/>
  <c r="G20" i="10"/>
  <c r="L20" i="10" s="1"/>
  <c r="N20" i="10" s="1"/>
  <c r="G19" i="10"/>
  <c r="L19" i="10" s="1"/>
  <c r="N19" i="10" s="1"/>
  <c r="K18" i="10"/>
  <c r="M18" i="10" s="1"/>
  <c r="G18" i="10"/>
  <c r="L18" i="10" s="1"/>
  <c r="N18" i="10" s="1"/>
  <c r="G21" i="10"/>
  <c r="L21" i="10" s="1"/>
  <c r="N21" i="10" s="1"/>
  <c r="G22" i="10"/>
  <c r="L22" i="10" s="1"/>
  <c r="N22" i="10" s="1"/>
  <c r="K23" i="10"/>
  <c r="M23" i="10" s="1"/>
  <c r="G23" i="10"/>
  <c r="L23" i="10" s="1"/>
  <c r="N23" i="10" s="1"/>
  <c r="K10" i="10"/>
  <c r="M10" i="10" s="1"/>
  <c r="G10" i="10"/>
  <c r="L10" i="10" s="1"/>
  <c r="N10" i="10" s="1"/>
  <c r="G7" i="10"/>
  <c r="L7" i="10" s="1"/>
  <c r="N7" i="10" s="1"/>
  <c r="G6" i="13"/>
  <c r="G10" i="13"/>
  <c r="I4" i="12"/>
  <c r="H4" i="12"/>
  <c r="E4" i="12"/>
  <c r="G5" i="13"/>
  <c r="G8" i="13"/>
  <c r="G7" i="13"/>
  <c r="G9" i="13"/>
  <c r="G4" i="13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N5" i="11" s="1"/>
  <c r="G6" i="11"/>
  <c r="N6" i="11" s="1"/>
  <c r="G7" i="11"/>
  <c r="N7" i="11" s="1"/>
  <c r="G8" i="11"/>
  <c r="L8" i="11" s="1"/>
  <c r="G9" i="11"/>
  <c r="G10" i="11"/>
  <c r="N10" i="11" s="1"/>
  <c r="G11" i="11"/>
  <c r="N11" i="11" s="1"/>
  <c r="G12" i="11"/>
  <c r="N12" i="11" s="1"/>
  <c r="G13" i="11"/>
  <c r="L13" i="11" s="1"/>
  <c r="G14" i="11"/>
  <c r="L14" i="11" s="1"/>
  <c r="G15" i="11"/>
  <c r="N15" i="11" s="1"/>
  <c r="G16" i="11"/>
  <c r="N16" i="11" s="1"/>
  <c r="G17" i="11"/>
  <c r="N17" i="11" s="1"/>
  <c r="G18" i="11"/>
  <c r="N18" i="11" s="1"/>
  <c r="G19" i="11"/>
  <c r="N19" i="11" s="1"/>
  <c r="G20" i="11"/>
  <c r="L20" i="11" s="1"/>
  <c r="N20" i="11"/>
  <c r="G21" i="11"/>
  <c r="L21" i="11" s="1"/>
  <c r="G22" i="11"/>
  <c r="L22" i="11" s="1"/>
  <c r="G23" i="11"/>
  <c r="L23" i="11" s="1"/>
  <c r="G24" i="11"/>
  <c r="N24" i="11" s="1"/>
  <c r="G25" i="11"/>
  <c r="L25" i="11" s="1"/>
  <c r="G26" i="11"/>
  <c r="L26" i="11" s="1"/>
  <c r="G27" i="11"/>
  <c r="N27" i="11" s="1"/>
  <c r="G28" i="11"/>
  <c r="N28" i="11" s="1"/>
  <c r="G29" i="11"/>
  <c r="L29" i="11" s="1"/>
  <c r="G30" i="11"/>
  <c r="N30" i="11" s="1"/>
  <c r="G31" i="11"/>
  <c r="L31" i="11" s="1"/>
  <c r="G32" i="11"/>
  <c r="L32" i="11" s="1"/>
  <c r="G33" i="11"/>
  <c r="N33" i="11" s="1"/>
  <c r="G34" i="11"/>
  <c r="N34" i="11" s="1"/>
  <c r="G35" i="11"/>
  <c r="N35" i="11" s="1"/>
  <c r="G36" i="11"/>
  <c r="N36" i="11" s="1"/>
  <c r="G37" i="11"/>
  <c r="N37" i="11" s="1"/>
  <c r="G38" i="11"/>
  <c r="L38" i="11" s="1"/>
  <c r="G4" i="11"/>
  <c r="N4" i="11" s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L9" i="11"/>
  <c r="K7" i="11"/>
  <c r="K8" i="11"/>
  <c r="M11" i="11"/>
  <c r="K16" i="11"/>
  <c r="M18" i="11"/>
  <c r="M20" i="11"/>
  <c r="M21" i="11"/>
  <c r="K25" i="11"/>
  <c r="M26" i="11"/>
  <c r="K31" i="11"/>
  <c r="M34" i="11"/>
  <c r="K38" i="11"/>
  <c r="M33" i="11"/>
  <c r="M25" i="11"/>
  <c r="K21" i="11"/>
  <c r="K20" i="11"/>
  <c r="M8" i="11"/>
  <c r="K11" i="11"/>
  <c r="M31" i="11"/>
  <c r="M7" i="11"/>
  <c r="N9" i="11"/>
  <c r="K34" i="11"/>
  <c r="K26" i="11"/>
  <c r="K18" i="11"/>
  <c r="N8" i="11"/>
  <c r="K13" i="11"/>
  <c r="K36" i="11"/>
  <c r="M28" i="11"/>
  <c r="K10" i="11"/>
  <c r="L12" i="11"/>
  <c r="L6" i="17"/>
  <c r="N14" i="11" l="1"/>
  <c r="K6" i="11"/>
  <c r="L7" i="11"/>
  <c r="M29" i="11"/>
  <c r="N13" i="11"/>
  <c r="L5" i="11"/>
  <c r="N31" i="11"/>
  <c r="M32" i="11"/>
  <c r="M5" i="11"/>
  <c r="M24" i="11"/>
  <c r="M19" i="11"/>
  <c r="N25" i="11"/>
  <c r="K30" i="11"/>
  <c r="L18" i="11"/>
  <c r="K17" i="11"/>
  <c r="K37" i="11"/>
  <c r="K22" i="11"/>
  <c r="L16" i="11"/>
  <c r="L10" i="11"/>
  <c r="M15" i="11"/>
  <c r="K6" i="17"/>
  <c r="L27" i="11"/>
  <c r="L37" i="11"/>
  <c r="L19" i="11"/>
  <c r="N26" i="11"/>
  <c r="N29" i="11"/>
  <c r="L11" i="11"/>
  <c r="L35" i="11"/>
  <c r="L4" i="11"/>
  <c r="N32" i="11"/>
  <c r="L24" i="11"/>
  <c r="L17" i="11"/>
  <c r="K12" i="11"/>
  <c r="M35" i="11"/>
  <c r="N38" i="11"/>
  <c r="L36" i="11"/>
  <c r="N21" i="11"/>
  <c r="N23" i="11"/>
  <c r="L28" i="11"/>
  <c r="N22" i="11"/>
  <c r="L33" i="11"/>
  <c r="L30" i="11"/>
  <c r="L6" i="11"/>
  <c r="K4" i="11"/>
  <c r="K14" i="11"/>
  <c r="L34" i="11"/>
  <c r="L6" i="25"/>
  <c r="K23" i="11"/>
  <c r="M9" i="11"/>
  <c r="K27" i="11"/>
  <c r="L15" i="11"/>
  <c r="M6" i="25"/>
  <c r="L31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4" authorId="0" shapeId="0" xr:uid="{5FE0DD5C-2E7E-4495-9550-FFA71D10B6F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以A点天龙得价格作为目标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B75BDF4E-6354-459D-802D-2F14318C4DB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4C06C02-DD6C-4063-BB8B-FC3F9A9BF3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87720EA-0658-4152-94A4-FA8D4663120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41B00E4-C860-4D44-B19A-EC4AFF08049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FD56B0F-BAA9-40A9-9964-00766AF56AE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8F7F256-A7CB-44E5-9FDF-EBD33F58C7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37FF338-BB75-487B-9486-70A95C582F9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96F5B06-F555-4158-AC75-540E0F8958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DF7DEDE-66BB-4397-BAD9-75F40B4DF74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6EB0C89-454D-467D-AE49-29434916CE6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CAB5A2A-2972-41DB-9EFC-847B2E3980A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4A0ED16-DBEB-4AF7-860D-D0F76A2C7C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212C680-35F8-49D3-A578-FF3D2CFD100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FED3D2D-6080-4456-ADDC-AA84610E619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B24B726-965D-42F1-A8B1-2BFFA7EF9C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942EE7E-F64C-4E9D-9562-54F27ABC4FC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4AA3EF8-0BF4-45A1-B1AB-27B99B83E93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FD09A06-0E85-4C95-AD7A-0225D71DC5D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F657C1B-4648-4337-BEC0-131C8FAF41A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082700E-DA3B-4D7B-94ED-7FFC9A59E09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4" authorId="0" shapeId="0" xr:uid="{FC5DAA2C-0455-4AD4-897C-41BEFDF939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降本后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CEBB3B0-4D8B-4999-93B7-3A20071A7E2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9458441-DAD9-43A5-B32D-3FC4A3963B0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E44567B-CF9A-4347-94CF-D4749D001F6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803F328-BD9A-4521-9C81-013C56D4B6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FA61550-AF6B-482C-B15C-CB1C0AD12B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C1DACFB-1A2B-4F6D-A977-8E6E8CA0E72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21E6EAF-CE68-41BE-877B-C7A3686C0F8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BA44BE2C-2EC6-4F49-B439-DCB161394F8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564F8B0-85D9-40F9-B344-5D80DC4D03B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3C034609-274C-4CE1-8738-6D3E61319B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80C1EF4-748B-4FA4-B271-368AB3FFB1E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E79BFAB-D216-44F6-BBBF-7EA8C512995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6FF54B3E-75E1-4987-A245-6D77000D1BB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AFB9F37-5942-4958-93D9-E92E55355F2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369345A-3D01-41C9-8204-0D179C7108C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B96FC59-7281-4460-9664-A1748F80643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81C7F5A0-75B0-4BE1-B3E1-48E7E85B420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DA5CA8A-AE0B-4830-95C0-136A77EE9C2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FCD292B-6B13-4616-8625-F01C4B0772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AF0B94D5-B40A-413D-A49C-BF9B6EB7EEA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C47EC97-A91B-472E-A3FB-3960222E45F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DAE290E-97FD-49C1-86C5-60A1B0527A3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69F7A06-2FC7-49E7-A31E-2E001597904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0894B-67EB-45D0-936D-DAD368D148E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B377633-2C2B-4CD6-946A-AE506744A7A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04B5683-2540-4E2D-AEA9-5E7783AAD6F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815221C-A159-4E62-A042-3AE86BDCF7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0F105E-DF44-43C7-81B2-287601CF32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99E3506-C491-4809-8249-C041AAB6363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6AF32E3B-31AD-4DE8-B9E0-8149A125661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7C4D3CF-C313-4535-9E4B-589C8E6BC9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F36A2F1-DEE3-47EA-B249-ECA3683114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<sst xmlns="http://schemas.openxmlformats.org/spreadsheetml/2006/main" count="4028" uniqueCount="967">
  <si>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</si>
  <si>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</si>
  <si>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</si>
  <si>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</si>
  <si>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</si>
  <si>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</si>
  <si>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</si>
  <si>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</si>
  <si>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</si>
  <si>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</si>
  <si>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</si>
  <si>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</si>
  <si>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</si>
  <si>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</si>
  <si>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</si>
  <si>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</si>
  <si>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</si>
  <si>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</si>
  <si>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</si>
  <si>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</si>
  <si>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</si>
  <si>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</si>
  <si>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</si>
  <si>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</si>
  <si>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</si>
  <si>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</si>
  <si>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</si>
  <si>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</si>
  <si>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</si>
  <si>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</si>
  <si>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</si>
  <si>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</si>
  <si>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</si>
  <si>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</si>
  <si>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</si>
  <si>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</si>
  <si>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</si>
  <si>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</si>
  <si>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</si>
  <si>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</si>
  <si>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</si>
  <si>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</si>
  <si>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</si>
  <si>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</si>
  <si>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</si>
  <si>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</si>
  <si>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</si>
  <si>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</si>
  <si>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</si>
  <si>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</si>
  <si>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</si>
  <si>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</si>
  <si>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</si>
  <si>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</si>
  <si>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</si>
  <si>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</si>
  <si>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</si>
  <si>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</si>
  <si>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</si>
  <si>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</si>
  <si>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</si>
  <si>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</si>
  <si>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</si>
  <si>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</si>
  <si>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</si>
  <si>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</si>
  <si>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</si>
  <si>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</si>
  <si>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</si>
  <si>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</si>
  <si>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</si>
  <si>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</si>
  <si>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</si>
  <si>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</si>
  <si>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</si>
  <si>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</si>
  <si>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</si>
  <si>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</si>
  <si>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</si>
  <si>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</si>
  <si>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</si>
  <si>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</si>
  <si>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</si>
  <si>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</si>
  <si>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</si>
  <si>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</si>
  <si>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</si>
  <si>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</si>
  <si>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</si>
  <si>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</si>
  <si>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</si>
  <si>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</si>
  <si>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</si>
  <si>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</si>
  <si>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</si>
  <si>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</si>
  <si>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</si>
  <si>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</si>
  <si>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</si>
  <si>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</si>
  <si>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</si>
  <si>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</si>
  <si>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</si>
  <si>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</si>
  <si>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</si>
  <si>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</si>
  <si>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</si>
  <si>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</si>
  <si>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</si>
  <si>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</si>
  <si>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</si>
  <si>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</si>
  <si>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</si>
  <si>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</si>
  <si>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</si>
  <si>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</si>
  <si>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</si>
  <si>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</si>
  <si>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</si>
  <si>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</si>
  <si>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</si>
  <si>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</si>
  <si>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</si>
  <si>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</si>
  <si>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</si>
  <si>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</si>
  <si>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</si>
  <si>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</si>
  <si>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</si>
  <si>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</si>
  <si>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</si>
  <si>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</si>
  <si>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</si>
  <si>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</si>
  <si>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</si>
  <si>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</si>
  <si>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</si>
  <si>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</si>
  <si>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</si>
  <si>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</si>
  <si>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</si>
  <si>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</si>
  <si>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</si>
  <si>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</si>
  <si>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</si>
  <si>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</si>
  <si>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</si>
  <si>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</si>
  <si>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</si>
  <si>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</si>
  <si>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</si>
  <si>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</si>
  <si>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</si>
  <si>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</si>
  <si>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</si>
  <si>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</si>
  <si>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</si>
  <si>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</si>
  <si>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</si>
  <si>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</si>
  <si>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</si>
  <si>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</si>
  <si>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</si>
  <si>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</si>
  <si>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</si>
  <si>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</si>
  <si>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</si>
  <si>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</si>
  <si>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</si>
  <si>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</si>
  <si>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</si>
  <si>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</si>
  <si>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</si>
  <si>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</si>
  <si>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</si>
  <si>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</si>
  <si>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</si>
  <si>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</si>
  <si>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</si>
  <si>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</si>
  <si>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</si>
  <si>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</si>
  <si>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</si>
  <si>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</si>
  <si>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</si>
  <si>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</si>
  <si>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</si>
  <si>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</si>
  <si>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</si>
  <si>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</si>
  <si>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</si>
  <si>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</si>
  <si>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</si>
  <si>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</si>
  <si>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</si>
  <si>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</si>
  <si>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</si>
  <si>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</si>
  <si>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</si>
  <si>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</si>
  <si>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</si>
  <si>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</si>
  <si>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</si>
  <si>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</si>
  <si>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</si>
  <si>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</si>
  <si>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</si>
  <si>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</si>
  <si>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</si>
  <si>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</si>
  <si>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</si>
  <si>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</si>
  <si>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</si>
  <si>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</si>
  <si>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</si>
  <si>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</si>
  <si>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</si>
  <si>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</si>
  <si>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</si>
  <si>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</si>
  <si>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</si>
  <si>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</si>
  <si>
    <t>SHT0010465</t>
    <phoneticPr fontId="3" type="noConversion"/>
  </si>
  <si>
    <t>气管防护弹簧</t>
    <phoneticPr fontId="3" type="noConversion"/>
  </si>
  <si>
    <t>SHT0014490</t>
  </si>
  <si>
    <t>驾驶员下安全带导向钢丝</t>
  </si>
  <si>
    <t>SHT0014491</t>
  </si>
  <si>
    <t>副驾驶员下安全带导向钢丝</t>
  </si>
  <si>
    <t>重卡骨架VAVE专项</t>
    <phoneticPr fontId="3" type="noConversion"/>
  </si>
  <si>
    <t>说明：
此新增件于2022年4月提出，当时双方就价格未达成一致，海兴中盛仍坚持按照包工包料未税9元/kg，现已同意按照7.965元/kg计算（仅限Q235材质）</t>
    <phoneticPr fontId="4" type="noConversion"/>
  </si>
  <si>
    <t>BSP0010016</t>
    <phoneticPr fontId="3" type="noConversion"/>
  </si>
  <si>
    <t>扶手手轮弹簧</t>
  </si>
  <si>
    <t>SHT0013729</t>
    <phoneticPr fontId="3" type="noConversion"/>
  </si>
  <si>
    <t>1.2022年1月1日至6月30日价格
2.此状态在2022年1月20日前还有供货，至2022年1月20日后取消此状态
3.在2022年QAD系统中，体现02.03.37.029B状态</t>
    <phoneticPr fontId="3" type="noConversion"/>
  </si>
  <si>
    <t>02.03.09.024</t>
    <phoneticPr fontId="3" type="noConversion"/>
  </si>
  <si>
    <t>SHT0011031</t>
    <phoneticPr fontId="3" type="noConversion"/>
  </si>
  <si>
    <t>H6副司机座椅底支架上板</t>
    <phoneticPr fontId="3" type="noConversion"/>
  </si>
  <si>
    <t>河北利达金属制品有限公司</t>
    <phoneticPr fontId="3" type="noConversion"/>
  </si>
  <si>
    <t>说明：
1.前期H6项目有4个产品无价格（含1种新增件），H4-2.2、L6000及安路普腰托阀有5种新增件需要定价，共计9种产品需要定价
2.经过与海兴中盛沟通，其中3种产品高于目标价，厂家反馈已是最低价，并有详细报价，见附件。
3.针对与价格差异，我司再次寻源，咨询到天津沛衡弹簧厂，为丰田、长城等企业供货，得到报价均高于我司目标及海兴最低价，详见附件。</t>
    <phoneticPr fontId="4" type="noConversion"/>
  </si>
  <si>
    <t>坐垫翻折限位钣金回位簧</t>
    <phoneticPr fontId="3" type="noConversion"/>
  </si>
  <si>
    <t>航天宏达</t>
  </si>
  <si>
    <t>航天宏达</t>
    <phoneticPr fontId="3" type="noConversion"/>
  </si>
  <si>
    <t>南皮宇诺</t>
  </si>
  <si>
    <t>南皮宇诺</t>
    <phoneticPr fontId="3" type="noConversion"/>
  </si>
  <si>
    <t>自制</t>
    <phoneticPr fontId="3" type="noConversion"/>
  </si>
  <si>
    <t>黄骅成卓已经买走模具，为河北光华荣昌供应调角器连接板总成</t>
    <phoneticPr fontId="3" type="noConversion"/>
  </si>
  <si>
    <t>厂家报价-不含模摊(11月-12月)</t>
    <phoneticPr fontId="4" type="noConversion"/>
  </si>
  <si>
    <t>厂家报价-含模摊(11月-12月)</t>
    <phoneticPr fontId="4" type="noConversion"/>
  </si>
  <si>
    <t>设变，此状态取消</t>
  </si>
  <si>
    <t>设变，此状态取消</t>
    <phoneticPr fontId="3" type="noConversion"/>
  </si>
  <si>
    <t>取消</t>
    <phoneticPr fontId="3" type="noConversion"/>
  </si>
  <si>
    <t>2022年11月1日至12月31日价格</t>
  </si>
  <si>
    <t>2022年11月1日至12月31日价格</t>
    <phoneticPr fontId="3" type="noConversion"/>
  </si>
  <si>
    <t>自制转沧州宇诺，因与B40L仰卧器总成一同使用</t>
    <phoneticPr fontId="3" type="noConversion"/>
  </si>
  <si>
    <t>说明：
1.根据《关于天丰合作情况说明》的审批结果，黄骅天丰共计35种产品，其中3种产品设变，旧状态取消、1种产品的模具已转移至黄骅成卓（发生在2021年）、6种产品前期已收回自制。
2.剩余25种进行招标，结果为：天丰有6种产品价格低于投标单位的，转为河北光华荣昌自制；剩余19种产品，天丰价格高于中标单位的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3.现与航天宏达和南皮宇诺签订价格协议。</t>
    <phoneticPr fontId="4" type="noConversion"/>
  </si>
  <si>
    <t>SHT0014500</t>
    <phoneticPr fontId="3" type="noConversion"/>
  </si>
  <si>
    <t>POM滚轮</t>
    <phoneticPr fontId="3" type="noConversion"/>
  </si>
  <si>
    <t>料棒规格</t>
    <phoneticPr fontId="3" type="noConversion"/>
  </si>
  <si>
    <t>料棒材质</t>
    <phoneticPr fontId="3" type="noConversion"/>
  </si>
  <si>
    <t>POM</t>
    <phoneticPr fontId="3" type="noConversion"/>
  </si>
  <si>
    <t>1米/根</t>
    <phoneticPr fontId="3" type="noConversion"/>
  </si>
  <si>
    <t>出件数量</t>
    <phoneticPr fontId="3" type="noConversion"/>
  </si>
  <si>
    <t>材料费</t>
    <phoneticPr fontId="3" type="noConversion"/>
  </si>
  <si>
    <t>棒料未税单价</t>
    <phoneticPr fontId="3" type="noConversion"/>
  </si>
  <si>
    <t>30-40</t>
    <phoneticPr fontId="3" type="noConversion"/>
  </si>
  <si>
    <t>加工费</t>
    <phoneticPr fontId="3" type="noConversion"/>
  </si>
  <si>
    <t>断料</t>
    <phoneticPr fontId="3" type="noConversion"/>
  </si>
  <si>
    <t>车床削圆</t>
    <phoneticPr fontId="3" type="noConversion"/>
  </si>
  <si>
    <t>倒角</t>
    <phoneticPr fontId="3" type="noConversion"/>
  </si>
  <si>
    <t>钻孔</t>
    <phoneticPr fontId="3" type="noConversion"/>
  </si>
  <si>
    <t>系数</t>
    <phoneticPr fontId="3" type="noConversion"/>
  </si>
  <si>
    <t>合计</t>
    <phoneticPr fontId="3" type="noConversion"/>
  </si>
  <si>
    <t>备注</t>
    <phoneticPr fontId="3" type="noConversion"/>
  </si>
  <si>
    <t>北京材料厂不开票</t>
    <phoneticPr fontId="3" type="noConversion"/>
  </si>
  <si>
    <t>32-35</t>
    <phoneticPr fontId="3" type="noConversion"/>
  </si>
  <si>
    <t>说明：
1.接到技术部需求，为降低成本，现对原金属滚轮进行优化，预改成POM滚轮。
2.现不能锁定POM滚轮是否可以达到预期效果，故临时采用机加方式，单次调取560件用于小批市场验证。调取方式为由机加工厂分别从我司指定的材料厂（北京大兴华塑料制品有限公司）调取棒料，制作460件滚轮，另从市场上购入相同材质棒料制作100件滚轮。
3.现我部联系机加工件厂霸州政锦，提报价格为未税1.8元/件，560件滚轮共计未税1008元。沧州旭兴未税2.8元/件，560件滚轮共计未税1568元。
4.现申请由霸州政锦制作，如后期验证POM滚轮可行，再与技术部进一步讨论是否可以通过注塑方式制作。</t>
    <phoneticPr fontId="4" type="noConversion"/>
  </si>
  <si>
    <t>BFA0010063</t>
    <phoneticPr fontId="3" type="noConversion"/>
  </si>
  <si>
    <t>内六花台阶螺栓</t>
    <phoneticPr fontId="3" type="noConversion"/>
  </si>
  <si>
    <t>江苏凌派通信科技有限公司</t>
    <phoneticPr fontId="3" type="noConversion"/>
  </si>
  <si>
    <t>临时机加工100件</t>
    <phoneticPr fontId="3" type="noConversion"/>
  </si>
  <si>
    <t>SHT0010208</t>
    <phoneticPr fontId="3" type="noConversion"/>
  </si>
  <si>
    <t>减震器上框支架T型焊接螺母</t>
    <phoneticPr fontId="3" type="noConversion"/>
  </si>
  <si>
    <t>临时机加工2000件</t>
    <phoneticPr fontId="3" type="noConversion"/>
  </si>
  <si>
    <t>说明：
1.由于前期对账、结算等问题，天龙得合作出现异常，厂家表示不再合作，经过10月12日，苏总与我到天龙得洽谈，暂时稳定合作。
2.但与天龙得的合作关系随时发生破裂，并且天龙得反馈需要我司给定3个月的生产周期，此期间无库存的产品我司无法获取。
3.我司目前紧急开发B点中，目前江苏凌派通信科技有限公司产品价格较为合适（见对比表），目前与我司SQE准备本周三前往审核。
3.现我司成都王牌项目急需BFA0010063内六花台阶螺栓100件、H6项目急需SHT0010208减震器上框支架T型焊接螺母2000件，天龙得无库存，生产周期至少40天。故紧急申请从B点江苏凌派以机加工方式按时调货，BFA0010063机加未税价10元/件（后续冷镦件未税价为1.25元/件（不含模摊）），SHT0010208机加未税1.8元/件（后续冷镦件未税价为0.3863元/件（不含模摊））。
4.编号Of202210240007的工作联系函需求种类及数量有误，本次重新提报</t>
    <phoneticPr fontId="4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</si>
  <si>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</si>
  <si>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</si>
  <si>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</si>
  <si>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</si>
  <si>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</si>
  <si>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</si>
  <si>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</si>
  <si>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</si>
  <si>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</si>
  <si>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</si>
  <si>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</si>
  <si>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</si>
  <si>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</si>
  <si>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</si>
  <si>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</si>
  <si>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</si>
  <si>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</si>
  <si>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</si>
  <si>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</si>
  <si>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</si>
  <si>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</si>
  <si>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</si>
  <si>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</si>
  <si>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</si>
  <si>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</si>
  <si>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</si>
  <si>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</si>
  <si>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</si>
  <si>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奔驰H6项目</t>
  </si>
  <si>
    <t>1.0平台升级</t>
  </si>
  <si>
    <t>H4A</t>
  </si>
  <si>
    <t>T5项目</t>
  </si>
  <si>
    <t>未税模具费</t>
    <phoneticPr fontId="3" type="noConversion"/>
  </si>
  <si>
    <t>厂家报价-不含模摊</t>
    <phoneticPr fontId="4" type="noConversion"/>
  </si>
  <si>
    <t>天龙得未税单价-不含模摊</t>
    <phoneticPr fontId="3" type="noConversion"/>
  </si>
  <si>
    <t>凌派对比天龙得</t>
    <phoneticPr fontId="3" type="noConversion"/>
  </si>
  <si>
    <t>说明：
1.上述产品，原由天龙得为我司供应，但因前期对账、货款等问题，天龙得停货，并表示退出。2022年10月12日，经苏总到天龙得现场沟通，承诺10月底将账务对清，并支付货款，双方关系才有所缓解。
2.但截至目前，接到河北生产管理部反馈，天龙得的前期货款仍未解决，极大可能月底无法支付货款，进而将造成天龙得关系破裂，不再合作。
3.我司目前开发B点为江苏凌派通信科技有限公司，整体价格较天龙得低(其中两个件高出天龙得价格，协商已是最低价)，且接受3个月账期（电汇无扣点或承兑），与天龙得的账期相同。冷镦模具费用同意按照15万件/种分摊。
4.我司前期垫付给天龙得模具费，如天龙得能继续供货，则到2023年返还模具费。如不能继续合作，我司有B点供货，有缓冲期和天龙得周旋或将模具委托C点。
5.原则上冷镦件厂的排产周期长，至少一个月，并且我司用量不足以制约供应商，因此有必要形成2家供货，AB点或BC点供货，这样才能减少供货风险。</t>
    <phoneticPr fontId="4" type="noConversion"/>
  </si>
  <si>
    <t>SHT0010829</t>
    <phoneticPr fontId="3" type="noConversion"/>
  </si>
  <si>
    <t>仰角小齿板连接螺母</t>
    <phoneticPr fontId="3" type="noConversion"/>
  </si>
  <si>
    <t>黄骅市兴岳五金制品有限公司</t>
    <phoneticPr fontId="3" type="noConversion"/>
  </si>
  <si>
    <t>1.临时加工费
2.只更改本批3500件旧库存</t>
    <phoneticPr fontId="3" type="noConversion"/>
  </si>
  <si>
    <t>说明：
1.前期北京技术部提出H6-仰角小齿板固定螺母设变，因天龙得合作异常，故天龙得不予设变。随后我司联系到上海纳特开发，但开发出的产品有些问题需要改进。
2.现我司还有3500件旧状态库存，并且上海纳特的产品供应不上，所以需要对旧状态进行临时机加。
3.经过咨询，沧州旭兴报价为0.7元/件加工费，不含税，但暂无时间修改，具体时间待定。黄骅兴岳报价0.5元/件加工费，后商谈至0.3元/件。预计加工周期为11月5日前交付。霸州政锦由于货款问题，暂停报价。
4.由于我司急需补充新状态产品，故申请由黄骅兴岳就本批3500件产品进行临时加工，货到票到30天内付款，走北京研发费用。</t>
    <phoneticPr fontId="4" type="noConversion"/>
  </si>
  <si>
    <t>BFA0000030</t>
  </si>
  <si>
    <t>M8螺栓</t>
  </si>
  <si>
    <t>BFA0000038</t>
  </si>
  <si>
    <t>销轴（跨坐用）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</si>
  <si>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</si>
  <si>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</si>
  <si>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</si>
  <si>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</si>
  <si>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</si>
  <si>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</si>
  <si>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保定市京苑汽车装饰配件厂</t>
    <phoneticPr fontId="3" type="noConversion"/>
  </si>
  <si>
    <t>1.20年潍坊价格与21年河北价格相同
2.本次价格与上述价格一致，无变化</t>
    <phoneticPr fontId="3" type="noConversion"/>
  </si>
  <si>
    <t>说明：
1.现我司K1产品转移回潍坊工厂生产，从10月1日开始，算入潍坊工厂结算。
2.经过与保定京苑协商，可以维持潍坊、河北前期的价格维持不变。但是需要河北工厂将前期货款结算完毕。
3.现申请签订潍坊工厂与保定京苑的价格协议</t>
    <phoneticPr fontId="4" type="noConversion"/>
  </si>
  <si>
    <t>BSP0000109</t>
  </si>
  <si>
    <t>K1正副司机拉簧</t>
  </si>
  <si>
    <t>BSP0000110</t>
  </si>
  <si>
    <t>K1正副司机盘簧</t>
  </si>
  <si>
    <t>BAS0000081</t>
  </si>
  <si>
    <t>中心轴套</t>
  </si>
  <si>
    <t>SLT0002795</t>
  </si>
  <si>
    <t>正副司机座左圆盘（主动）</t>
  </si>
  <si>
    <t>SLT0002796</t>
  </si>
  <si>
    <t>正副司机座右圆盘（主动）</t>
  </si>
  <si>
    <t>SLT0002797</t>
  </si>
  <si>
    <t>正副司机座左圆盘（被动）</t>
  </si>
  <si>
    <t>SLT0002798</t>
  </si>
  <si>
    <t>正副司机座右圆盘（被动）</t>
  </si>
  <si>
    <t>SLT0002800</t>
  </si>
  <si>
    <t>后排单/双人座左圆盘（主动）</t>
  </si>
  <si>
    <t>SLT0002801</t>
  </si>
  <si>
    <t>后排单/双人座右圆盘（主动）</t>
  </si>
  <si>
    <t>BSP0000111</t>
  </si>
  <si>
    <t>扭簧左</t>
  </si>
  <si>
    <t>BSP0000112</t>
  </si>
  <si>
    <t>扭簧右</t>
  </si>
  <si>
    <t>BSP0000113</t>
  </si>
  <si>
    <t>K1后排盘簧</t>
  </si>
  <si>
    <t>SLT0002802</t>
  </si>
  <si>
    <t>空心核心件</t>
  </si>
  <si>
    <t>SLT0002803</t>
  </si>
  <si>
    <t>翻折左座圆盘（主动）</t>
  </si>
  <si>
    <t>SLT0002804</t>
  </si>
  <si>
    <t>翻折右座圆盘（主动）</t>
  </si>
  <si>
    <t>SLT0002805</t>
  </si>
  <si>
    <t>翻折左座圆盘（被动）</t>
  </si>
  <si>
    <t>SLT0002806</t>
  </si>
  <si>
    <t>翻折右座圆盘（被动）</t>
  </si>
  <si>
    <t>BFA0000859</t>
  </si>
  <si>
    <t>限位销</t>
  </si>
  <si>
    <t>SLT0002807</t>
  </si>
  <si>
    <t>操纵柄</t>
  </si>
  <si>
    <t>BFA0000860</t>
  </si>
  <si>
    <t>固定铆钉</t>
  </si>
  <si>
    <t>BSP0000114</t>
  </si>
  <si>
    <t>6480连接板拉簧</t>
  </si>
  <si>
    <t>SLT0002808</t>
  </si>
  <si>
    <t>中心轴</t>
  </si>
  <si>
    <t>BFA0000861</t>
  </si>
  <si>
    <t>定位铆钉</t>
  </si>
  <si>
    <t>江苏力乐汽车部件股份有限公司</t>
    <phoneticPr fontId="3" type="noConversion"/>
  </si>
  <si>
    <t>说明：
1.根据公司指示，我司从江苏力乐将K1调角器相关模具转移回河北工厂，不再由江苏力乐供应总成。
2.其中涉及到圆盘、限位销等内部零件（无图纸及数据），仍需要从江苏力乐采购。
3.现江苏力乐已提报价格，协商后无降低空间，故此提报。</t>
    <phoneticPr fontId="4" type="noConversion"/>
  </si>
  <si>
    <t>10.14会议后中标供应商</t>
    <phoneticPr fontId="3" type="noConversion"/>
  </si>
  <si>
    <t>黄骅鑫昌</t>
    <phoneticPr fontId="3" type="noConversion"/>
  </si>
  <si>
    <t>自制</t>
  </si>
  <si>
    <t>SCS0004397</t>
    <phoneticPr fontId="3" type="noConversion"/>
  </si>
  <si>
    <t>左座椅左侧地锁安装支架-2总成（中期改款）</t>
    <phoneticPr fontId="3" type="noConversion"/>
  </si>
  <si>
    <t>招标时遗漏，本次添加，和SCS0004395是对称件，共用1套模具</t>
    <phoneticPr fontId="3" type="noConversion"/>
  </si>
  <si>
    <t>2022年7月已回收自制</t>
  </si>
  <si>
    <t>2022年7月已回收自制</t>
    <phoneticPr fontId="3" type="noConversion"/>
  </si>
  <si>
    <t>取消生产</t>
    <phoneticPr fontId="3" type="noConversion"/>
  </si>
  <si>
    <t>黄骅成卓已经买走模具，为河北光华荣昌供应调角器连接板总成</t>
  </si>
  <si>
    <t>说明：
1.根据《关于天丰合作情况说明》的审批结果，黄骅天丰共计36种产品，其中3种产品设变，旧状态取消、1种产品的模具已转移至黄骅成卓（发生在2021年）、6种产品前期已收回自制。
2.剩余26种根据2022年9月21日的招标结果为：天丰有6种产品价格低于投标单位的，转为河北光华荣昌自制；剩余20种产品，中标单位价格低于天丰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3.2022年10月14日，河北工厂王总组织会议，重新研讨定标事宜，反馈因南皮宇诺及航天宏达距离较远，并且天丰的模具存在问题，我司维修成本较高，故建议黄骅鑫昌承接。4.会议上，黄骅鑫昌挑选10个大件，基本上将航天宏达的产品全部选走（航天宏达剩余3个小件，表示不再承接）。南皮宇诺被选走2个件，影响不大。5.目前我司已从黄骅天丰转移回2种产品，其中B40L地脚连接板模具已在黄骅鑫昌生产中。6.黄骅鑫昌挑选的10种产品，均是按照最低价执行的，现申请定价。
4.以上价格审批表中的厂家及价格是最终定标结果</t>
    <phoneticPr fontId="4" type="noConversion"/>
  </si>
  <si>
    <t>9.21日原中标供应商</t>
    <phoneticPr fontId="4" type="noConversion"/>
  </si>
  <si>
    <t>SHT0014640</t>
    <phoneticPr fontId="3" type="noConversion"/>
  </si>
  <si>
    <t>前横梁焊接总成</t>
    <phoneticPr fontId="3" type="noConversion"/>
  </si>
  <si>
    <t>黄骅市成卓汽车部件厂</t>
    <phoneticPr fontId="3" type="noConversion"/>
  </si>
  <si>
    <t>说明：
1.我司J6L 低配、L6000、王牌V5V7项目使用到前横梁总成，此件分为1个前横梁+2个轴套焊接。
2.前期，前横梁是由黄骅成卓供货、轴套由黄骅创合供货，自J6L等项目开发后，我司要求黄骅成卓提供总成。
3.黄骅成卓报价未税4.322元，经过双方协商，按照未税4.122元进行，其中焊接费用按照0.4元（成卓委外焊接，相比自行焊接，需要增加外协户的运输、利润等成本</t>
    <phoneticPr fontId="4" type="noConversion"/>
  </si>
  <si>
    <t>SHT0010218</t>
    <phoneticPr fontId="3" type="noConversion"/>
  </si>
  <si>
    <t>减震器连接异形螺母</t>
    <phoneticPr fontId="3" type="noConversion"/>
  </si>
  <si>
    <t>SHT0010319</t>
    <phoneticPr fontId="3" type="noConversion"/>
  </si>
  <si>
    <t>H6减震器上框连接螺栓</t>
    <phoneticPr fontId="3" type="noConversion"/>
  </si>
  <si>
    <t>SHT0010315</t>
    <phoneticPr fontId="3" type="noConversion"/>
  </si>
  <si>
    <t>座框减震器连接轴</t>
    <phoneticPr fontId="3" type="noConversion"/>
  </si>
  <si>
    <t>说明：
1.2022年11月5日，河北生产管理部再次对天龙得的冷镦件报缺，分别为SHT0010218、SHT0010319、SHT0010315三种产品，要求10号到达2000件/种。
2.天龙得无件不再加工，B点江苏凌派冷镦模具开发中，无法短时间内完成。
3.经过与江苏凌派沟通，继续使用临时机加工方式进行，经过确认最快于11月15日加工完毕。
4.为保证H6项目正常生产，故申请继续由江苏凌派临时机加工，SHT0010218未税价2.496元/件、SHT0010319未税价4.425元/件、SHT0010315未税价4.867元/件。共计23576元。
5.属于项目风险管控，继续申请走北京项目预算，货到票到30天内电汇支付。</t>
    <phoneticPr fontId="4" type="noConversion"/>
  </si>
  <si>
    <t>SLT0011628</t>
    <phoneticPr fontId="3" type="noConversion"/>
  </si>
  <si>
    <t>驾驶员坐垫框架总成</t>
    <phoneticPr fontId="3" type="noConversion"/>
  </si>
  <si>
    <t>说明：
1.重庆铁马项目策划初期，我司直接从厂家采购座垫钢丝焊接总成，由于时间紧急，我司从海兴中盛调取25件样品。
2.现项目已策划，由成都工厂直接从发泡厂家采购坐垫泡沫总成（泡沫+坐垫钢丝焊接总成），不再由我司与海兴中盛结算。
3.现申请将前期从海兴中盛调取的25套产品进行定价结算，海兴中盛未税26.96元/件，经过核算协商最终按照未税22.69元/件执行</t>
    <phoneticPr fontId="4" type="noConversion"/>
  </si>
  <si>
    <t>送至文安县</t>
    <phoneticPr fontId="3" type="noConversion"/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</si>
  <si>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</si>
  <si>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</si>
  <si>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</si>
  <si>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</si>
  <si>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</si>
  <si>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</si>
  <si>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</si>
  <si>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</si>
  <si>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</si>
  <si>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</si>
  <si>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</si>
  <si>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</si>
  <si>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</si>
  <si>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</si>
  <si>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</si>
  <si>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</si>
  <si>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</si>
  <si>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</si>
  <si>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</si>
  <si>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</si>
  <si>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</si>
  <si>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</si>
  <si>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</si>
  <si>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</si>
  <si>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</si>
  <si>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</si>
  <si>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</si>
  <si>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</si>
  <si>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</si>
  <si>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</si>
  <si>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</si>
  <si>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</si>
  <si>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</si>
  <si>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</si>
  <si>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</si>
  <si>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</si>
  <si>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</si>
  <si>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</si>
  <si>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</si>
  <si>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靠背肩部钢丝</t>
  </si>
  <si>
    <t>3GD手柄弹簧</t>
  </si>
  <si>
    <t>天津沛衡五金弹簧有限公司</t>
    <phoneticPr fontId="3" type="noConversion"/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</si>
  <si>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2.通过31种产品价格对比，天津沛衡共计23种产品价格低于海兴中盛。其中涉及H6座椅、奥杰座椅、济南重汽、L6000座椅及大众后视镜的钢丝/弹簧。
3.现申请由天津沛衡作为B点进行开发，账期90天，电汇扣3%或承兑，入库结算</t>
    <phoneticPr fontId="4" type="noConversion"/>
  </si>
  <si>
    <t>SLT0000408</t>
  </si>
  <si>
    <t>K1单人背（带头枕）</t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</si>
  <si>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</si>
  <si>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</si>
  <si>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</si>
  <si>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</si>
  <si>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</si>
  <si>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</si>
  <si>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</si>
  <si>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</si>
  <si>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</si>
  <si>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</si>
  <si>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</si>
  <si>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</si>
  <si>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</si>
  <si>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</si>
  <si>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</si>
  <si>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</si>
  <si>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</si>
  <si>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</si>
  <si>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</si>
  <si>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</si>
  <si>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</si>
  <si>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</si>
  <si>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</si>
  <si>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</si>
  <si>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</si>
  <si>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</si>
  <si>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</si>
  <si>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</si>
  <si>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</si>
  <si>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</si>
  <si>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</si>
  <si>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</si>
  <si>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</si>
  <si>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</si>
  <si>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</si>
  <si>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</si>
  <si>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SLT0001035</t>
  </si>
  <si>
    <t>宽车一排三人联体背无头枕骨架(无头枕）骨架</t>
  </si>
  <si>
    <t>黄骅市恒伟五金制品有限公司</t>
    <phoneticPr fontId="3" type="noConversion"/>
  </si>
  <si>
    <t>送至潍坊</t>
    <phoneticPr fontId="3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</si>
  <si>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2.我部与恒伟五金商谈恢复20年潍坊价格（21年潍坊转入河北价格不变，22年上调），但恒伟五金在商谈过程中，表示未定价前，暂不再供应潍坊。
3.我部联系工艺部、河北技术部查找图纸，获取8种产品图纸（无编制、无受控章，不能完全确认准确性），通过图纸及部分实物核算，恒伟五金提报转移潍坊的价格较为符合事实。
4.为保证准确性，我部分别从两个维度核算，a.以20年Q195焊管材料价格为基础，21年差价+1100元/吨，22年差价+550元/吨，因此转移到潍坊22年价格相比20年高，比21年底，但本年度油价上涨，故综合算出：22年转移潍坊价格比河北价格基本持平，略有增长。b.结合图纸及实物测量，通过成本核算，产品价格对比补差价价格更高。具体见附件。
5.现申请按照补差价方式，确定转移潍坊的产品价格，同时请成本部协助复核。</t>
    <phoneticPr fontId="4" type="noConversion"/>
  </si>
  <si>
    <t>SHT0013818</t>
  </si>
  <si>
    <t>防尘罩前支架（M3000-S）</t>
  </si>
  <si>
    <t>SHT0013820</t>
  </si>
  <si>
    <t>防尘罩前支架</t>
  </si>
  <si>
    <t>SHT0013819</t>
  </si>
  <si>
    <t>防尘罩侧支架（M3000-S）</t>
  </si>
  <si>
    <t>SHT0013821</t>
  </si>
  <si>
    <t>防尘罩侧支架</t>
  </si>
  <si>
    <t>SHT0013822</t>
  </si>
  <si>
    <t>说明：
1.前期我司为实现2.0平台防尘罩状态统一，新开了5种防尘罩，前期已定点鑫昌并审批了模具费用；
2.现对价格进行审批</t>
    <phoneticPr fontId="4" type="noConversion"/>
  </si>
  <si>
    <t>SLT0002298</t>
    <phoneticPr fontId="3" type="noConversion"/>
  </si>
  <si>
    <t>K1头枕骨架</t>
    <phoneticPr fontId="3" type="noConversion"/>
  </si>
  <si>
    <t>潍坊振晟汽车零部件有限公司</t>
    <phoneticPr fontId="3" type="noConversion"/>
  </si>
  <si>
    <t>说明：
1.河北将K1产品转回潍坊生产，其中涉及到潍坊振晟的头枕杆（SLT0002298）。
2.潍坊20年价格为4.32元，21年1-10月份价格为5.1元。河北工厂2021年10月-12月按照5.1元价格执行的。
3.现转至潍坊工厂，经过沟通，不能恢复至20年潍坊价格，仍按照21年潍坊与河北的价格执行（此件是由振晟送至日照联成，运输距离无变化）。
4.账期及结算方式仍按照货到，票到60天结算，承兑结算。</t>
    <phoneticPr fontId="4" type="noConversion"/>
  </si>
  <si>
    <t>SLT0011003</t>
  </si>
  <si>
    <t>SLT0011004</t>
  </si>
  <si>
    <t>SLT0011042</t>
  </si>
  <si>
    <t>SLT0011046</t>
  </si>
  <si>
    <t>SLT0011048</t>
  </si>
  <si>
    <t>背板支撑板A冲压模具改造</t>
    <phoneticPr fontId="3" type="noConversion"/>
  </si>
  <si>
    <t>背板支撑板B冲压模具改造</t>
    <phoneticPr fontId="3" type="noConversion"/>
  </si>
  <si>
    <t>副驾背板支撑钣金A冲压模具改造</t>
    <phoneticPr fontId="3" type="noConversion"/>
  </si>
  <si>
    <t>副驾背板支撑钣金C冲压模具改造</t>
    <phoneticPr fontId="3" type="noConversion"/>
  </si>
  <si>
    <t>副驾背板支撑钣金B冲压模具改造</t>
    <phoneticPr fontId="3" type="noConversion"/>
  </si>
  <si>
    <t>套</t>
    <phoneticPr fontId="3" type="noConversion"/>
  </si>
  <si>
    <t>沧州森德奥机械制造有限公司</t>
    <phoneticPr fontId="3" type="noConversion"/>
  </si>
  <si>
    <t>孔径设变+TD</t>
    <phoneticPr fontId="3" type="noConversion"/>
  </si>
  <si>
    <t>说明：
1.接到技术部通知，欧马可升级项目部分产品需要设变，其中涉及到沧州森德奥制作的5种产品模具全部设变。
2.另前期模具开发时未提及模具做TD，现要求模具需要做TD。
3.结合上述信息，厂家报价共计29087元（含13%增值税），经过协商按照25000元（含13%增值税）。
4.付款方式为电汇，模具改造完成,在森德奥验收完成后支付。</t>
    <phoneticPr fontId="4" type="noConversion"/>
  </si>
  <si>
    <t>海兴中盛</t>
    <phoneticPr fontId="3" type="noConversion"/>
  </si>
  <si>
    <t>沛衡对比海兴中盛</t>
    <phoneticPr fontId="3" type="noConversion"/>
  </si>
  <si>
    <t>SHT0010286</t>
    <phoneticPr fontId="3" type="noConversion"/>
  </si>
  <si>
    <t>A点是新强力的</t>
    <phoneticPr fontId="3" type="noConversion"/>
  </si>
  <si>
    <t>SLT0011308</t>
  </si>
  <si>
    <t>SLT0011105</t>
  </si>
  <si>
    <t>SLT0011109</t>
  </si>
  <si>
    <t>黄骅市源宏模具厂</t>
    <phoneticPr fontId="3" type="noConversion"/>
  </si>
  <si>
    <t>1.其中压爪+切爪模具已经完成，未税5436.90元
2.落料模具，模具材料已经备好，厂家收取未税2000元
3.原模具合同中，整套模具为未税10097.09元</t>
    <phoneticPr fontId="3" type="noConversion"/>
  </si>
  <si>
    <t>孔径设变，更改冲孔模具</t>
    <phoneticPr fontId="3" type="noConversion"/>
  </si>
  <si>
    <t>安全上挂钩冲压模具</t>
    <phoneticPr fontId="3" type="noConversion"/>
  </si>
  <si>
    <t>小背背板支撑板B冲压模具</t>
    <phoneticPr fontId="3" type="noConversion"/>
  </si>
  <si>
    <t>小背背板支撑板D冲压模具</t>
    <phoneticPr fontId="3" type="noConversion"/>
  </si>
  <si>
    <t>批</t>
    <phoneticPr fontId="3" type="noConversion"/>
  </si>
  <si>
    <t>10月需求的制作的样品，加工费</t>
    <phoneticPr fontId="3" type="noConversion"/>
  </si>
  <si>
    <t>欧马可项目样品加工费（二级调节调角器上连接板LH38件+小背背板支撑板B37件+小背背板支撑板D37件）</t>
    <phoneticPr fontId="3" type="noConversion"/>
  </si>
  <si>
    <t>说明：
1.2022.11.18接到项目组通知，现将黄骅源宏前期制作的SLT0011308安全上挂钩模具取消。当前黄骅源宏的进度为：a.压爪模具和切爪模具合并成了一序，均已经开发完毕，费用共计含3%增值税5600元，需要我司支付。b.落料模具虽未开发，但是材料已经备好，材料费为含税2060元（未税2000元）。故本次安全上挂钩取消，需要我司支付含税7660元（原合同金额为含税10400元）。
2.2022年10月31日，项目组通知，欧马可项目设变，产品孔径加大，其中涉及到黄骅源宏的另2种产品模具，分别为SLT0011105小背背板支撑板B和SLT0011109小背背板支撑板D模具，源宏需要修改2付落料模具，费用共计为含税2060元（未税2000元）。
3.2022年10月21日我司需要37台欧马可座椅，其中涉及黄骅源宏3种样品（不含安全上挂钩），厂家表示本次不能再免费制作，往返拉料及送货、模具拆装打件，共计收取含税1030元（未税1000元）。4.上述费用为协商后的费用，现申请签订补充协议及样品合同</t>
    <phoneticPr fontId="4" type="noConversion"/>
  </si>
  <si>
    <t>SHT0014408</t>
    <phoneticPr fontId="3" type="noConversion"/>
  </si>
  <si>
    <t>滚花圆销柱</t>
    <phoneticPr fontId="3" type="noConversion"/>
  </si>
  <si>
    <t>霸州市鑫锐亿科金属制品有限公司</t>
    <phoneticPr fontId="3" type="noConversion"/>
  </si>
  <si>
    <t>说明：
接到北京技术部通知，北京安路普工厂需要开发一款H6项目使用的滚花圆柱销，经过咨询，霸州政锦未税0.38元，江苏凌派未税0.5元，上海振高未税2.57元，霸州鑫锐0.2832元。综上，霸州鑫锐价格相对较低，并且是北京安路普体系内厂家，故推荐其制作。</t>
    <phoneticPr fontId="4" type="noConversion"/>
  </si>
  <si>
    <t>SLT0010906</t>
    <phoneticPr fontId="3" type="noConversion"/>
  </si>
  <si>
    <t>SLT0010909</t>
    <phoneticPr fontId="3" type="noConversion"/>
  </si>
  <si>
    <t>沧州啸宇模具科技有限公司</t>
    <phoneticPr fontId="3" type="noConversion"/>
  </si>
  <si>
    <t>SLT0010902</t>
    <phoneticPr fontId="3" type="noConversion"/>
  </si>
  <si>
    <t>SLT0011005-SLT0011006</t>
    <phoneticPr fontId="3" type="noConversion"/>
  </si>
  <si>
    <t>设变孔径的费用1000元，不再收取</t>
    <phoneticPr fontId="3" type="noConversion"/>
  </si>
  <si>
    <t>说明：
1.接到技术部通知，欧马可项目部分冲压件设变，其中涉及到沧州啸宇为我司制作的冲压模具需要改造。
2.同时我司要求对模具进行TD处理。
3.经过与沧州啸宇确认，TD费用共计未税4760元（含税5378.80元），由于是外发至热处理厂制作，沧州啸宇不能制作，故费用不再降低，可以减免SLT0011005背板支撑板C及SLT0011006背板支撑板D模具的改造费用。
4.本次费用按照电汇无扣点（如扣点加5%费用），模具TD处理完毕后在沧州啸宇验收后付款。</t>
    <phoneticPr fontId="4" type="noConversion"/>
  </si>
  <si>
    <t>二级调节上连接板RH冲压模具</t>
    <phoneticPr fontId="3" type="noConversion"/>
  </si>
  <si>
    <t>扶手固定板冲压模具</t>
    <phoneticPr fontId="3" type="noConversion"/>
  </si>
  <si>
    <t>背板支撑板C-背板支撑板D冲压模具</t>
    <phoneticPr fontId="3" type="noConversion"/>
  </si>
  <si>
    <t>一级调节上连接板RH冲压模具</t>
    <phoneticPr fontId="3" type="noConversion"/>
  </si>
  <si>
    <t>SHT0014975</t>
    <phoneticPr fontId="3" type="noConversion"/>
  </si>
  <si>
    <t>扭力杆</t>
    <phoneticPr fontId="3" type="noConversion"/>
  </si>
  <si>
    <t>天津沛衡五金弹簧有限公司</t>
  </si>
  <si>
    <t>说明：
1.接到技术部通知，J6L项目A9版新开件清单中，新增1款扭力杆，65Mn材质的钢丝折弯。
2.经过咨询，海中中盛报价未税3.8262元，天津沛衡未税3.69元。经过二次议价，海兴中盛未税3.5元，天津沛衡未税3.00元/件。
3.故此推荐天津沛衡制作，本件是送至长春工厂。</t>
    <phoneticPr fontId="4" type="noConversion"/>
  </si>
  <si>
    <t>送至长春工厂</t>
    <phoneticPr fontId="3" type="noConversion"/>
  </si>
  <si>
    <t>6480被动固定板</t>
  </si>
  <si>
    <t>6480限位块</t>
  </si>
  <si>
    <t>6480主动固定板</t>
  </si>
  <si>
    <t>K1被动核心件空心</t>
  </si>
  <si>
    <t>K1乘客双人座上板冲压件</t>
  </si>
  <si>
    <t>K1乘客双人座下板冲压件</t>
  </si>
  <si>
    <t>K1乘客主动左手柄</t>
  </si>
  <si>
    <t>K1乘客座手柄右</t>
  </si>
  <si>
    <t>K1乘客座双人左被动</t>
  </si>
  <si>
    <t>K1乘客座双人座下板</t>
  </si>
  <si>
    <t>K1单人座主动外盘簧支架</t>
  </si>
  <si>
    <t>K1单人座主动下板</t>
  </si>
  <si>
    <t>K1单人座左主动核心件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</si>
  <si>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</si>
  <si>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</si>
  <si>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</si>
  <si>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</si>
  <si>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</si>
  <si>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</si>
  <si>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</si>
  <si>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</si>
  <si>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</si>
  <si>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</si>
  <si>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</si>
  <si>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K1司机座上板组件右被动轴套</t>
  </si>
  <si>
    <t>K1司机座上板左</t>
  </si>
  <si>
    <t>K1司机座手柄右</t>
  </si>
  <si>
    <t>K1司机座外盘簧支架</t>
  </si>
  <si>
    <t>K1司机座右被动上板组件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</si>
  <si>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</si>
  <si>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</si>
  <si>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</si>
  <si>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</si>
  <si>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</si>
  <si>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</si>
  <si>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>数量</t>
    <phoneticPr fontId="3" type="noConversion"/>
  </si>
  <si>
    <t>只</t>
    <phoneticPr fontId="3" type="noConversion"/>
  </si>
  <si>
    <t>厂家报价-单价</t>
    <phoneticPr fontId="4" type="noConversion"/>
  </si>
  <si>
    <t>厂家报价-总价</t>
    <phoneticPr fontId="4" type="noConversion"/>
  </si>
  <si>
    <t>报批价格-总价</t>
    <phoneticPr fontId="4" type="noConversion"/>
  </si>
  <si>
    <t>审批价格-总价</t>
    <phoneticPr fontId="4" type="noConversion"/>
  </si>
  <si>
    <t>报批价格-单价</t>
    <phoneticPr fontId="4" type="noConversion"/>
  </si>
  <si>
    <t>审批价格-单价</t>
    <phoneticPr fontId="4" type="noConversion"/>
  </si>
  <si>
    <t>说明：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4" type="noConversion"/>
  </si>
  <si>
    <t>送至成都工厂（其中不含0.08元模摊费，模摊费由河北工厂摊销）</t>
    <phoneticPr fontId="3" type="noConversion"/>
  </si>
  <si>
    <t>说明：
1.成都王牌项目，借用到河北工厂T5项目中的BFA0010063内六花台阶螺栓，此螺栓前期有天龙得制作，但河北工厂与之合作出现异常，天龙得也表示现只和河北工厂合作，不再与光华荣昌其他工厂合作。
2.随后我司开发B点江苏凌派，现成都王牌项目上量，我部建议由成都工厂直接从江苏凌派调货。
3.故申请成都工厂与天津凌派签订年度合同及价格协议，价格及结算方式与河北相同</t>
    <phoneticPr fontId="4" type="noConversion"/>
  </si>
  <si>
    <t>SHT0015145</t>
    <phoneticPr fontId="3" type="noConversion"/>
  </si>
  <si>
    <t>座垫前横梁钢丝</t>
    <phoneticPr fontId="3" type="noConversion"/>
  </si>
  <si>
    <t>送至河北工厂</t>
    <phoneticPr fontId="3" type="noConversion"/>
  </si>
  <si>
    <t>说明：
1.L6000项目前横梁总成，新增1款钢丝（SHT0015145，座垫前横梁钢丝）。
2.现咨询海兴中盛未税价为0.3元，天津沛衡未税价为0.52元，
3.材质为Q235，图纸净重为0.0342kg，实际重量为0.37kg，目标价0.037*7.96=0.2945元。经协商海兴中盛可以按此目标执行</t>
    <phoneticPr fontId="4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</si>
  <si>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2.我部与恒伟五金商谈恢复20年潍坊价格（21年潍坊转入河北价格不变，22年上调），但恒伟五金在商谈过程中，表示未定价前，暂不再供应潍坊,并提出在河北工厂价格基础上再增加运费。
3.2022年12月1日，与成本部孙工再次前往恒伟五金，沟通过程中，恒伟五金现场停货，随后双方再次沟通，最好结果为维持河北工厂22年价格，现申请以河北工厂22年价格，签订潍坊2022年10月-2023年12月31日的价格。</t>
    <phoneticPr fontId="4" type="noConversion"/>
  </si>
  <si>
    <t>SHT0001189</t>
  </si>
  <si>
    <t>调节器连接杆</t>
  </si>
  <si>
    <t>H4副司机台阶螺栓</t>
  </si>
  <si>
    <t>BAS0000035</t>
  </si>
  <si>
    <t>右靠背板衬套</t>
  </si>
  <si>
    <t>SHT0001190</t>
  </si>
  <si>
    <t>调节螺杆</t>
  </si>
  <si>
    <t>SLT0002016</t>
  </si>
  <si>
    <t>转向销</t>
  </si>
  <si>
    <t>SHT0014206</t>
  </si>
  <si>
    <t>下框连接螺母柱</t>
  </si>
  <si>
    <t>BFA0000412</t>
  </si>
  <si>
    <t>内绞架滑动轴新</t>
  </si>
  <si>
    <t>SHT0001107</t>
  </si>
  <si>
    <t>调节器连接轴</t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</si>
  <si>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</si>
  <si>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</si>
  <si>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</si>
  <si>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</si>
  <si>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</si>
  <si>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</si>
  <si>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说明：
1.沧州旭兴部分产品，生产调货未定价，现梳理出7种产品，需要定价，经过双方多次协商，最终部分达成一致，部分偏离目标。
2.沧州旭兴同时表示前期定价的4种产品亏损，需重新定价。
3.关于未定价产品：a偏离目标价，但低于A点的价格继续与旭兴签订,b.高于A点的价格（高唐强盛除外，高唐强盛已经不供货），签订到22年，23年不再签订。
4.关于旭兴表示亏损的产品，签订10月份到12月的价格协议，同步开发B点，根据对比情况再确认是否签订23年协议。</t>
    <phoneticPr fontId="4" type="noConversion"/>
  </si>
  <si>
    <t>沧州旭兴五金制品有限公司</t>
    <phoneticPr fontId="3" type="noConversion"/>
  </si>
  <si>
    <t>23年继续签订</t>
  </si>
  <si>
    <t>A点价格</t>
    <phoneticPr fontId="10" type="noConversion"/>
  </si>
  <si>
    <t>厂家</t>
    <phoneticPr fontId="10" type="noConversion"/>
  </si>
  <si>
    <t>说明</t>
    <phoneticPr fontId="10" type="noConversion"/>
  </si>
  <si>
    <t>B点价格</t>
    <phoneticPr fontId="10" type="noConversion"/>
  </si>
  <si>
    <t>高唐强盛</t>
    <phoneticPr fontId="10" type="noConversion"/>
  </si>
  <si>
    <t>沧州智凯</t>
    <phoneticPr fontId="10" type="noConversion"/>
  </si>
  <si>
    <t>23年继续签订</t>
    <phoneticPr fontId="10" type="noConversion"/>
  </si>
  <si>
    <t>天龙得</t>
    <phoneticPr fontId="10" type="noConversion"/>
  </si>
  <si>
    <t>不含模摊</t>
    <phoneticPr fontId="10" type="noConversion"/>
  </si>
  <si>
    <t>凌派</t>
    <phoneticPr fontId="10" type="noConversion"/>
  </si>
  <si>
    <t>含模摊</t>
    <phoneticPr fontId="10" type="noConversion"/>
  </si>
  <si>
    <t>23年不再签订，通知生产禁止私自调货</t>
    <phoneticPr fontId="10" type="noConversion"/>
  </si>
  <si>
    <t>沧州旭兴</t>
    <phoneticPr fontId="10" type="noConversion"/>
  </si>
  <si>
    <t>表示亏损</t>
    <phoneticPr fontId="10" type="noConversion"/>
  </si>
  <si>
    <t>开发B点对比</t>
    <phoneticPr fontId="10" type="noConversion"/>
  </si>
  <si>
    <t>黄骅创合</t>
    <phoneticPr fontId="10" type="noConversion"/>
  </si>
  <si>
    <t>使用黄骅创合，通知生产禁止私自调货</t>
    <phoneticPr fontId="10" type="noConversion"/>
  </si>
  <si>
    <t>使用沧州智凯，通知生产禁止私自调货</t>
    <phoneticPr fontId="10" type="noConversion"/>
  </si>
  <si>
    <t>创合提报价为3.3</t>
    <phoneticPr fontId="10" type="noConversion"/>
  </si>
  <si>
    <t>RIM0000010</t>
  </si>
  <si>
    <t>物料采购价格审批表（未税、元）</t>
    <phoneticPr fontId="4" type="noConversion"/>
  </si>
  <si>
    <t>采购工厂：河北光华荣昌汽车部件有限公司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</si>
  <si>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</si>
  <si>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</si>
  <si>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</si>
  <si>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目标价格（不含模摊）</t>
    <phoneticPr fontId="4" type="noConversion"/>
  </si>
  <si>
    <t>单件模摊</t>
    <phoneticPr fontId="4" type="noConversion"/>
  </si>
  <si>
    <t>供应商全称</t>
    <phoneticPr fontId="4" type="noConversion"/>
  </si>
  <si>
    <t>备注（如模具总价及分摊数量）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</si>
  <si>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</si>
  <si>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</si>
  <si>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</si>
  <si>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</si>
  <si>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</si>
  <si>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</si>
  <si>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说明（模具费评审、支付等情况）：2021潍坊使用布料。</t>
    <phoneticPr fontId="4" type="noConversion"/>
  </si>
  <si>
    <t>黄骅市宏达五金厂</t>
    <phoneticPr fontId="3" type="noConversion"/>
  </si>
  <si>
    <t>减震扣拉簧</t>
  </si>
  <si>
    <t>BSP0000046</t>
    <phoneticPr fontId="3" type="noConversion"/>
  </si>
  <si>
    <t>SHT0015136</t>
    <phoneticPr fontId="3" type="noConversion"/>
  </si>
  <si>
    <t>扭力弹簧</t>
    <phoneticPr fontId="3" type="noConversion"/>
  </si>
  <si>
    <t>SWPB</t>
    <phoneticPr fontId="3" type="noConversion"/>
  </si>
  <si>
    <t>说明（模具费评审、支付等情况）：
我司转盘项目中新开发一种扭力弹簧，现经报价对比，天津沛衡报价未税0.21元，海兴中盛报价未税0.3元。现申请由天津沛衡制作</t>
    <phoneticPr fontId="4" type="noConversion"/>
  </si>
  <si>
    <t>座椅靠背调节限位柱B</t>
  </si>
  <si>
    <t>SLT0010889</t>
  </si>
  <si>
    <t>靠背锁付阶梯螺栓</t>
  </si>
  <si>
    <t>SLT0010910</t>
  </si>
  <si>
    <t>扶手旋转轴</t>
  </si>
  <si>
    <t>座椅靠背调节限位柱A</t>
  </si>
  <si>
    <t>SLT0011113</t>
  </si>
  <si>
    <t>解锁旋转轴</t>
  </si>
  <si>
    <t>SLT0010893</t>
    <phoneticPr fontId="3" type="noConversion"/>
  </si>
  <si>
    <t>模具与SLT0010893共用</t>
    <phoneticPr fontId="3" type="noConversion"/>
  </si>
  <si>
    <t>模具费13000</t>
    <phoneticPr fontId="3" type="noConversion"/>
  </si>
  <si>
    <t>模具费4500</t>
    <phoneticPr fontId="3" type="noConversion"/>
  </si>
  <si>
    <t>模具费7500</t>
    <phoneticPr fontId="3" type="noConversion"/>
  </si>
  <si>
    <t>后期量产后，此件和钣金件，由外协厂供总成</t>
    <phoneticPr fontId="3" type="noConversion"/>
  </si>
  <si>
    <t>模具费9000</t>
    <phoneticPr fontId="3" type="noConversion"/>
  </si>
  <si>
    <t>SLT0010907</t>
    <phoneticPr fontId="3" type="noConversion"/>
  </si>
  <si>
    <t>45#</t>
    <phoneticPr fontId="3" type="noConversion"/>
  </si>
  <si>
    <t>Q235</t>
    <phoneticPr fontId="3" type="noConversion"/>
  </si>
  <si>
    <t>说明（模具费评审、支付等情况）：
1.欧马可项目开发初期，我司通过招标选定由沧州旭兴承接5种产品（冷镦件）
2.初期先由沧州旭兴以机加工方式进行，待量产后开发冷镦模具。
3.但在试制过程中，沧州旭兴的产品质量不稳定，最后一批交样出现断裂问题，因此前期质量提议更换厂家，不再要沧州旭兴制作。
4.经过再次招标，霸州政锦以机加方式进行报价，费用偏高，其冷镦需要外协，江苏凌派报价较为合适，模具费用按照10万件分摊至产品中，因此推荐江苏凌派制作。
5.具体见附件</t>
    <phoneticPr fontId="4" type="noConversion"/>
  </si>
  <si>
    <t>沧州智凯金属制品有限公司</t>
    <phoneticPr fontId="3" type="noConversion"/>
  </si>
  <si>
    <t>SLT0010412</t>
    <phoneticPr fontId="3" type="noConversion"/>
  </si>
  <si>
    <t>驾驶员扶手安装钣金焊接总成</t>
    <phoneticPr fontId="3" type="noConversion"/>
  </si>
  <si>
    <t>SPFH590</t>
  </si>
  <si>
    <t>SHT0013238</t>
    <phoneticPr fontId="3" type="noConversion"/>
  </si>
  <si>
    <t>VDC阀上支架总成</t>
    <phoneticPr fontId="3" type="noConversion"/>
  </si>
  <si>
    <t>SHT0013239</t>
    <phoneticPr fontId="3" type="noConversion"/>
  </si>
  <si>
    <t>VDC阀下支架总成</t>
    <phoneticPr fontId="3" type="noConversion"/>
  </si>
  <si>
    <t>SHT0013841</t>
    <phoneticPr fontId="3" type="noConversion"/>
  </si>
  <si>
    <t>气管支架</t>
    <phoneticPr fontId="3" type="noConversion"/>
  </si>
  <si>
    <t>SHT0001684</t>
    <phoneticPr fontId="3" type="noConversion"/>
  </si>
  <si>
    <t>安全带外部罩壳固定卡片</t>
    <phoneticPr fontId="3" type="noConversion"/>
  </si>
  <si>
    <t>65Mn</t>
  </si>
  <si>
    <t>说明（模具费评审、支付等情况）：
1.沧州智凯为我司开发的几款冲压件未定价，现申报价格审批。
2.其中经过重新核算，SLT0010412驾驶员扶手安装钣金焊接总成21年价格为未税2.3010元（不含模摊），现申报未税价格1.58元（不含模摊），降低31%。
3.VDC阀上支架总成和下支架总成的定价比目标价高0.2元/件，厂家反馈无法达成目标，因其机加工件外采价格为未税1元/件。
4.其余均可按目标价执行。
5.详见价格审批表及核算表</t>
    <phoneticPr fontId="4" type="noConversion"/>
  </si>
  <si>
    <t>模具费2920元，分摊10万件</t>
    <phoneticPr fontId="3" type="noConversion"/>
  </si>
  <si>
    <t>模具费884.96元，分摊5万件</t>
    <phoneticPr fontId="3" type="noConversion"/>
  </si>
  <si>
    <t>模具费3982.30元，分摊5万件</t>
    <phoneticPr fontId="3" type="noConversion"/>
  </si>
  <si>
    <t>模具费2800元，分摊5万件</t>
    <phoneticPr fontId="3" type="noConversion"/>
  </si>
  <si>
    <t>沧州宇诺五金制造有限公司</t>
    <phoneticPr fontId="3" type="noConversion"/>
  </si>
  <si>
    <t>SHT0001142</t>
    <phoneticPr fontId="3" type="noConversion"/>
  </si>
  <si>
    <t>H3000升降器纵梁加强块</t>
    <phoneticPr fontId="3" type="noConversion"/>
  </si>
  <si>
    <t>SHT0015119</t>
  </si>
  <si>
    <t>限位块</t>
  </si>
  <si>
    <t>SHT0015127</t>
  </si>
  <si>
    <t>异形台阶螺栓</t>
  </si>
  <si>
    <t>SHT0015137</t>
  </si>
  <si>
    <t>轴套</t>
  </si>
  <si>
    <t>SHT0015138</t>
  </si>
  <si>
    <t>解锁钣金安装螺栓</t>
  </si>
  <si>
    <t>沈阳6480翻折器-限位销</t>
  </si>
  <si>
    <t>——</t>
    <phoneticPr fontId="3" type="noConversion"/>
  </si>
  <si>
    <t>说明（模具费评审、支付等情况）：
1.目前转盘项目需开发4种机加工件，河北工厂提报了K1限位项目限位销（原力乐供货，但河北工厂反馈不合格，需要重新开发）。
2.经过招标比价，分别咨询了江苏凌派、霸州政锦、沧州旭兴，霸州政锦的价格较为合适，并且通过前期供货表现，霸州政锦从质量和价格方面较为合适，故推荐其制作。
3.根据项目反馈转盘首先搭载在吉利G3车型上，预计用量为2000台/年。用量很少，不具备开冷镦的条件，故全部使用机加工艺（限位块无法冷镦，仍需要使用机加工艺），随着转盘平台推广，可以使用冷镦，成本有望随着降低</t>
    <phoneticPr fontId="4" type="noConversion"/>
  </si>
  <si>
    <t>说明（模具费评审、支付等情况）：
1.2023年1月2日，接到河北工厂需求申请，要求开发H3000升降器纵梁加强块（SHT0001142）。此件前期是由万昌供货的，据了解，此件模具是万昌的，随着双方合作紧张，万昌不再供此件，模具已处理掉。
2.2022年3月起，我司将万昌库存消耗后，现又有新订单。
3.河北工厂本想采用激光切割方式，但成本偏高，且需要我司提供板料，故申请将此件再次委外。
4.根据成本部提供的目标价，未税0.3087元/件（不含模摊），咨询到南皮宇诺可以制作，模具费用未未税2000元，分摊至5万件，故推荐南皮宇诺制作</t>
    <phoneticPr fontId="4" type="noConversion"/>
  </si>
  <si>
    <t>SLT0011665</t>
  </si>
  <si>
    <t>靠背调角器涡簧</t>
  </si>
  <si>
    <t>72B</t>
    <phoneticPr fontId="3" type="noConversion"/>
  </si>
  <si>
    <t>江苏万金汽车零部件制造有限公司</t>
    <phoneticPr fontId="3" type="noConversion"/>
  </si>
  <si>
    <t>65Mn</t>
    <phoneticPr fontId="3" type="noConversion"/>
  </si>
  <si>
    <t>海兴中盛弹簧有限公司</t>
  </si>
  <si>
    <t>说明（模具费评审、支付等情况）：
1.2023年2月2日，接到工艺部通知，欧马可升级项目新增部分产品，其中涉及新增1种SLT0011665靠背调角器涡簧。
2.我部咨询江苏万金和海兴中盛，江苏万金报价为未税2.15元，材料推荐72B材料，表示暂无65Mn材料（需要单独采购，量小不宜获取），海兴中盛报价为2.47元，材料选用3.18*10，65Mn材料（我司要求是3*10，65Mn材质，厂家表示其有3.18*10规格为其他客户在供，如选用3*10规格，需要额外开工装），经协商3.18*10，65Mn材料涡簧，海兴中盛最低价为2.3元。
3.材料及规格请设计工程师评估，建议两家同时验证，如紧急生产临时选用海兴中盛（因1.我司验证过海兴中盛3.18*10的规格。2.江苏万金虽成本有一定优势，但配合度较低，尤其是新产品阶段，配合跟不上）。如两家产品均可达到我司使用要求，将按照万金80%、海兴中盛20%的供货比例进行</t>
    <phoneticPr fontId="4" type="noConversion"/>
  </si>
  <si>
    <t>SPFH590</t>
    <phoneticPr fontId="3" type="noConversion"/>
  </si>
  <si>
    <t>我司提供模具</t>
    <phoneticPr fontId="3" type="noConversion"/>
  </si>
  <si>
    <t>说明（模具费评审、支付等情况）：
1.2022年11月，我司将天丰模具陆续转移回厂，根据招标情况，分别派发给鑫昌、沧州宇诺及部分自制。
2.现由于河北工厂产量提升、人员流失及轻卡系列增产，冲压车间反馈SCS0005786前排座椅靠背右侧连接板和SCS0005784前排座椅靠背左侧连接板，没有能力再自制，此件用量在6000件/种/月，故联系我部进行委外，以缓解生产压力。
3.前期招标时，投标方的价格均高于天丰，故我司才自制，天丰未税价为2.7272元/件（对称件），根据现材料价格核算目标价为2.7元/件（请财务复核）。
4.根据现在资源分析，沧州宇诺、航天宏达、黄骅成卓及黄骅鑫昌产品品类较多，目前主要产能应对欧马可升级、K1调角器及天丰模具项目，其他厂家合作意愿、成本及设备吨位受限。
5.通过咨询，以用量较大，且我司提供模具为谈判条件，沧州捷润接受按2.5元/件为我司供货，故此推荐。</t>
    <phoneticPr fontId="4" type="noConversion"/>
  </si>
  <si>
    <t>SHT0012178</t>
    <phoneticPr fontId="10" type="noConversion"/>
  </si>
  <si>
    <t>SHT0014598</t>
    <phoneticPr fontId="10" type="noConversion"/>
  </si>
  <si>
    <t>SHT0000089</t>
    <phoneticPr fontId="10" type="noConversion"/>
  </si>
  <si>
    <t>延伸座盆总成</t>
    <phoneticPr fontId="10" type="noConversion"/>
  </si>
  <si>
    <t>X3000副司机坐盆一个固定点</t>
    <phoneticPr fontId="10" type="noConversion"/>
  </si>
  <si>
    <t>M4座盆</t>
    <phoneticPr fontId="10" type="noConversion"/>
  </si>
  <si>
    <t>ST12</t>
    <phoneticPr fontId="3" type="noConversion"/>
  </si>
  <si>
    <t>黄骅市长生汽车灯镜有限公司</t>
    <phoneticPr fontId="3" type="noConversion"/>
  </si>
  <si>
    <t>无模具费</t>
    <phoneticPr fontId="3" type="noConversion"/>
  </si>
  <si>
    <t>无模具费，设变模具费长生自行承担</t>
    <phoneticPr fontId="3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</si>
  <si>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3.与黄骅长生多次协商，最终价格分别为SHT0012178坐盆27.3218元、SHT0014598坐盆24.1762元、SHT0000089坐盆22.8338元。请领导尽快批复，黄骅长生申请本月20日前定价开票。</t>
    <phoneticPr fontId="4" type="noConversion"/>
  </si>
  <si>
    <t>SHT0015550</t>
  </si>
  <si>
    <t>驾驶员靠背骨架总成</t>
  </si>
  <si>
    <t>SHT0015551</t>
  </si>
  <si>
    <t>驾驶靠背骨架总成</t>
  </si>
  <si>
    <t>Q195</t>
    <phoneticPr fontId="3" type="noConversion"/>
  </si>
  <si>
    <t>采购工厂：长春光华荣昌汽车部件有限公司</t>
    <phoneticPr fontId="4" type="noConversion"/>
  </si>
  <si>
    <t>说明（模具费评审、支付等情况）：
1.接到项目通知，长春工厂的J6L项目靠背骨架发生设变，其中涉及黄骅新强力供应的两种主驾靠背骨架，分别为SHT0012305设变为SHT0015550、SHT0012990设变为SHT0015551，具体变化点见设变履历，
2.根据前期SHT0012305和SHT0012990核算目标及定价结果，本次SHT0015550需新增未税0.81元，SHT0015551需新增未税0.93元。
3.经过与新强力沟通，按照每件新增未税费用0.65元，即SHT0015550未税49.13元、SHT0015551未税48.48元</t>
    <phoneticPr fontId="4" type="noConversion"/>
  </si>
  <si>
    <t>SHT0012102</t>
    <phoneticPr fontId="3" type="noConversion"/>
  </si>
  <si>
    <t>M4前升降手柄焊接总成</t>
    <phoneticPr fontId="3" type="noConversion"/>
  </si>
  <si>
    <t>SHT0012098</t>
    <phoneticPr fontId="3" type="noConversion"/>
  </si>
  <si>
    <t>M4后升降手柄焊接总成</t>
    <phoneticPr fontId="3" type="noConversion"/>
  </si>
  <si>
    <t>SHT0012070</t>
    <phoneticPr fontId="3" type="noConversion"/>
  </si>
  <si>
    <t>D03前升降手柄焊接总成</t>
    <phoneticPr fontId="3" type="noConversion"/>
  </si>
  <si>
    <t>SHT0012072</t>
    <phoneticPr fontId="3" type="noConversion"/>
  </si>
  <si>
    <t>D03后升降手柄焊接总成</t>
    <phoneticPr fontId="3" type="noConversion"/>
  </si>
  <si>
    <t>SHT0013805</t>
    <phoneticPr fontId="3" type="noConversion"/>
  </si>
  <si>
    <t>X5000副驾前升降手柄组件</t>
    <phoneticPr fontId="3" type="noConversion"/>
  </si>
  <si>
    <t>SHT0013808</t>
    <phoneticPr fontId="3" type="noConversion"/>
  </si>
  <si>
    <t>X5000副驾后升降手柄组件</t>
    <phoneticPr fontId="3" type="noConversion"/>
  </si>
  <si>
    <t>与D03的共用1套落料，其他工序模新开,共计1.95万元，焊胎1200元，共计2.07万</t>
    <phoneticPr fontId="3" type="noConversion"/>
  </si>
  <si>
    <t>说明（模具费评审、支付等情况）：
1.我司前期开发的1.0项目，涉及沧州宇诺供货的几款手柄总成，一直未定价，现沧州宇诺催促定价，经过核算，沧州宇诺满足目标价（请成本复核），故申报审批
2.M4及D03归属1.0平台，前期已签订模具制造合同，X5000是在D03基础上镜像，落料共用，其余成型等模具及焊胎新开，需要同步签订模具制造合同</t>
    <phoneticPr fontId="4" type="noConversion"/>
  </si>
  <si>
    <t>模具总价31200元，100%分摊至10万件中</t>
    <phoneticPr fontId="3" type="noConversion"/>
  </si>
  <si>
    <t>模具总价30900元，100%分摊至10万件中</t>
    <phoneticPr fontId="3" type="noConversion"/>
  </si>
  <si>
    <t>模具总价27400元，100%分摊至10万件中</t>
    <phoneticPr fontId="3" type="noConversion"/>
  </si>
  <si>
    <t>模具总价28700元，100%分摊至10万件中</t>
    <phoneticPr fontId="3" type="noConversion"/>
  </si>
  <si>
    <t>与D03的共用1套落料，其他工序模新开,共计未税2万元，焊胎1200元，共计2.12万</t>
    <phoneticPr fontId="3" type="noConversion"/>
  </si>
  <si>
    <t>模具总价11681.42元，100%分摊至10万件中</t>
    <phoneticPr fontId="3" type="noConversion"/>
  </si>
  <si>
    <t>SBS0010115</t>
    <phoneticPr fontId="3" type="noConversion"/>
  </si>
  <si>
    <t>支腿上固定轴套（C版）</t>
    <phoneticPr fontId="3" type="noConversion"/>
  </si>
  <si>
    <t>35#</t>
    <phoneticPr fontId="3" type="noConversion"/>
  </si>
  <si>
    <t>说明（模具费评审、支付等情况）：
1.技术提出对奥杰项目SBS0010115支腿上轴套进行设变，已达降本目的。
2.此轴套前期设变过，第一次状态未税价为1.1，第二次状态未税为2.0元，均属黄骅创合供应，现第三次（本次）的设变，黄骅创合不再参与。
3.我部联系霸州政锦开发，沟通洽谈协商，最终霸州政锦同意按照未税0.5元执行（厂家按照20#或10B21材质），相对第二种状态降低75%。</t>
    <phoneticPr fontId="4" type="noConversion"/>
  </si>
  <si>
    <t>序号</t>
  </si>
  <si>
    <t>零部件QAD编码及名称</t>
  </si>
  <si>
    <t>模具名称及模具编号</t>
  </si>
  <si>
    <t>单位</t>
  </si>
  <si>
    <t>分摊数量</t>
  </si>
  <si>
    <t>分摊单价</t>
  </si>
  <si>
    <t>模具分摊总价</t>
  </si>
  <si>
    <t>未税</t>
  </si>
  <si>
    <t>含税</t>
  </si>
  <si>
    <t>防尘罩前支架-断料</t>
  </si>
  <si>
    <t>SHT0013818/19/20/21/22-MJ-01</t>
  </si>
  <si>
    <t>件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</si>
  <si>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</si>
  <si>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</si>
  <si>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</si>
  <si>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</si>
  <si>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</si>
  <si>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</si>
  <si>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</si>
  <si>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</si>
  <si>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</si>
  <si>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</si>
  <si>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</si>
  <si>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</si>
  <si>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</si>
  <si>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</si>
  <si>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Q235扁钢</t>
    <phoneticPr fontId="3" type="noConversion"/>
  </si>
  <si>
    <t>Q335扁钢</t>
    <phoneticPr fontId="3" type="noConversion"/>
  </si>
  <si>
    <t>Q435扁钢</t>
    <phoneticPr fontId="3" type="noConversion"/>
  </si>
  <si>
    <t>Q136扁钢</t>
    <phoneticPr fontId="3" type="noConversion"/>
  </si>
  <si>
    <t>Q236扁钢</t>
    <phoneticPr fontId="3" type="noConversion"/>
  </si>
  <si>
    <t>黄骅市鑫昌五金制品厂</t>
    <phoneticPr fontId="3" type="noConversion"/>
  </si>
  <si>
    <t>说明（模具费评审、支付等情况）：
1.前期我司为实现2.0平台防尘罩状态统一，新开了5种防尘罩，前期已定点鑫昌并审批了模具费用（有模具合同审批单，前期交接未留存模具合同原件，已补签中）；
2.现对产品价格进行审批</t>
    <phoneticPr fontId="4" type="noConversion"/>
  </si>
  <si>
    <t>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</t>
    <phoneticPr fontId="3" type="noConversion"/>
  </si>
  <si>
    <t>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3" type="noConversion"/>
  </si>
  <si>
    <t>SHT0014466</t>
    <phoneticPr fontId="4" type="noConversion"/>
  </si>
  <si>
    <t>副司机底支架焊接总成</t>
    <phoneticPr fontId="4" type="noConversion"/>
  </si>
  <si>
    <t>件</t>
    <phoneticPr fontId="4" type="noConversion"/>
  </si>
  <si>
    <t>吉林智恒</t>
    <phoneticPr fontId="4" type="noConversion"/>
  </si>
  <si>
    <t>SHT0014977</t>
    <phoneticPr fontId="4" type="noConversion"/>
  </si>
  <si>
    <t>靠背骨架焊接总成（副驾）</t>
    <phoneticPr fontId="4" type="noConversion"/>
  </si>
  <si>
    <t>原模具费为140000元，设变模具费增加14000元</t>
    <phoneticPr fontId="3" type="noConversion"/>
  </si>
  <si>
    <t>模具费为7000元</t>
    <phoneticPr fontId="3" type="noConversion"/>
  </si>
  <si>
    <t>SHT0012550</t>
  </si>
  <si>
    <t>靠背骨架总成</t>
  </si>
  <si>
    <t>SHT0012551</t>
  </si>
  <si>
    <t>靠背骨架总成-机械腰托</t>
  </si>
  <si>
    <t>无</t>
    <phoneticPr fontId="3" type="noConversion"/>
  </si>
  <si>
    <t>黄骅新强力</t>
    <phoneticPr fontId="3" type="noConversion"/>
  </si>
  <si>
    <t>供货比例75%</t>
    <phoneticPr fontId="3" type="noConversion"/>
  </si>
  <si>
    <t>供货比例25%</t>
    <phoneticPr fontId="3" type="noConversion"/>
  </si>
  <si>
    <t>说明（模具费评审、支付等情况）：
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
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4" type="noConversion"/>
  </si>
  <si>
    <t>SHT0015610</t>
  </si>
  <si>
    <t>右下连接板总成</t>
  </si>
  <si>
    <t>4.06-4.72</t>
    <phoneticPr fontId="3" type="noConversion"/>
  </si>
  <si>
    <t>SAPH440</t>
    <phoneticPr fontId="3" type="noConversion"/>
  </si>
  <si>
    <t>模具费未税22000元，分摊3万件/3年</t>
    <phoneticPr fontId="3" type="noConversion"/>
  </si>
  <si>
    <t>说明（模具费评审、支付等情况）：
1.接到项目通知，我司现开发福田大黄蜂项目，SOP后年用量为：2023年3000台，2024年4000台，2025年3000台。
2.基于用量较少，项目中涉及的新开件SHT0015610右下连接板总成，暂无人承接（单件用量为1件/台车。我司要求模具由供应商100%垫付，100%分摊至3万件产品/3年），经过咨询，仅有黄骅成卓报价，未税价为5.75元/件（不含电泳），模具费为2.2万元。
3.协商后，产品价格为4.5元/件（不含模摊，不含电泳），模具费为2.2万元。</t>
    <phoneticPr fontId="4" type="noConversion"/>
  </si>
  <si>
    <t>SLT0011113</t>
    <phoneticPr fontId="3" type="noConversion"/>
  </si>
  <si>
    <t>解锁旋转轴</t>
    <phoneticPr fontId="3" type="noConversion"/>
  </si>
  <si>
    <t>SLT0010889</t>
    <phoneticPr fontId="3" type="noConversion"/>
  </si>
  <si>
    <t>靠背锁付台阶螺栓</t>
    <phoneticPr fontId="3" type="noConversion"/>
  </si>
  <si>
    <t>SLT0010910</t>
    <phoneticPr fontId="3" type="noConversion"/>
  </si>
  <si>
    <t>临时机加工2344件</t>
    <phoneticPr fontId="3" type="noConversion"/>
  </si>
  <si>
    <t>临时机加工1877件</t>
    <phoneticPr fontId="3" type="noConversion"/>
  </si>
  <si>
    <t>临时机加工1851件</t>
    <phoneticPr fontId="3" type="noConversion"/>
  </si>
  <si>
    <t>说明：
1.我司欧马可升级项目中，3种冷镦件原由沧州旭兴提供样品，但验证过程中出现断裂，随后我司紧急开发B点江苏凌派，江苏凌派开模完成周期在3月初。
2.但我司紧急投入批量，故联系江苏凌派先机加工进行，并未缩短周期暂不要求厂家镀锌（回厂我司自行电泳）。2.江苏凌派对本批临时机加件，报价为SLT0011113未税1.8元，数量2344件，SLT0010910未税2.2元，数量1851件，SLT0010889未税1.3元，数量1877件。共计10731.50元
3.现申请单批结算，走北京样品费用。</t>
    <phoneticPr fontId="4" type="noConversion"/>
  </si>
  <si>
    <t>SCS0004393</t>
  </si>
  <si>
    <t>地脚固定板组合左右共用总成（中期改款）</t>
  </si>
  <si>
    <t>左座椅右侧地脚固定板组合总成（中期改款）</t>
  </si>
  <si>
    <t>SCS0004391</t>
  </si>
  <si>
    <t>右座椅左侧地脚固定板组合总成（中期改款）</t>
  </si>
  <si>
    <t>SFPH590</t>
    <phoneticPr fontId="3" type="noConversion"/>
  </si>
  <si>
    <t>鑫昌未税价</t>
    <phoneticPr fontId="3" type="noConversion"/>
  </si>
  <si>
    <t>天丰未税价</t>
    <phoneticPr fontId="3" type="noConversion"/>
  </si>
  <si>
    <t>说明（模具费评审、支付等情况）：
1.B40L地脚，我司从天丰转回来后，原定给黄骅鑫昌生产，但23年起，我司生产需求激增，黄骅鑫昌暂无产能生产这三种地脚（需要使用315T液压机）2.筛查资源后，目前泊头捷润富裕产能较多，可以紧急生产。3.故申请暂时由泊头捷润生产，但泊头捷润反馈，价格无法按我司目标价执行。最终商谈结果为未税11.8元/件。3.此3种地脚产品，暂定临时由泊头杰润生产，待我司生产稳定后，再考虑移回我司或鑫昌生产</t>
    <phoneticPr fontId="4" type="noConversion"/>
  </si>
  <si>
    <t xml:space="preserve">说明（模具费评审、支付等情况）：
</t>
    <phoneticPr fontId="4" type="noConversion"/>
  </si>
  <si>
    <t>SLT0010529</t>
    <phoneticPr fontId="3" type="noConversion"/>
  </si>
  <si>
    <t>绞架连杆3</t>
    <phoneticPr fontId="3" type="noConversion"/>
  </si>
  <si>
    <t xml:space="preserve">黄骅市兴岳五金制品有限公司 </t>
    <phoneticPr fontId="3" type="noConversion"/>
  </si>
  <si>
    <t>A点：黄骅创合未税3.25</t>
    <phoneticPr fontId="3" type="noConversion"/>
  </si>
  <si>
    <t>支腿上固定轴套</t>
    <phoneticPr fontId="3" type="noConversion"/>
  </si>
  <si>
    <t>J6F司机靠背右旋转阶梯螺栓</t>
    <phoneticPr fontId="3" type="noConversion"/>
  </si>
  <si>
    <t>SBS0010133</t>
    <phoneticPr fontId="3" type="noConversion"/>
  </si>
  <si>
    <t>主驾支腿后轴套</t>
    <phoneticPr fontId="3" type="noConversion"/>
  </si>
  <si>
    <t>BFA0000775</t>
    <phoneticPr fontId="3" type="noConversion"/>
  </si>
  <si>
    <t>A点：黄骅创合未税0.6</t>
    <phoneticPr fontId="3" type="noConversion"/>
  </si>
  <si>
    <t>A点：黄骅创合未税3.20</t>
    <phoneticPr fontId="3" type="noConversion"/>
  </si>
  <si>
    <t>机加工干的</t>
    <phoneticPr fontId="3" type="noConversion"/>
  </si>
  <si>
    <t>A点：黄骅创合未税2.0</t>
    <phoneticPr fontId="3" type="noConversion"/>
  </si>
  <si>
    <t>SHT0012059</t>
  </si>
  <si>
    <t>连接轴</t>
  </si>
  <si>
    <t>SBS0010115</t>
  </si>
  <si>
    <t>支腿上固定轴套</t>
  </si>
  <si>
    <t>BFA0000775</t>
  </si>
  <si>
    <t>J6F司机靠背旋转轴阶梯螺栓</t>
  </si>
  <si>
    <t>SHT0001149</t>
  </si>
  <si>
    <t>连接杆2</t>
  </si>
  <si>
    <t>SLT0011546</t>
  </si>
  <si>
    <t>SHT0011596</t>
  </si>
  <si>
    <t>连接杆</t>
  </si>
  <si>
    <t>绞架连接杆3</t>
  </si>
  <si>
    <t>A点</t>
  </si>
  <si>
    <t>未税单价</t>
  </si>
  <si>
    <t>霸州政锦</t>
  </si>
  <si>
    <t>黄骅创合</t>
  </si>
  <si>
    <t>第二次设变状态，机加</t>
  </si>
  <si>
    <t>冷镦</t>
  </si>
  <si>
    <t>江苏凌派</t>
  </si>
  <si>
    <t>旭兴是A点，前期质量不稳定，后开发江苏凌派</t>
  </si>
  <si>
    <t>上海努辰</t>
  </si>
  <si>
    <t>说明（模具费评审、支付等情况）：
上述产品，均在A点供货不稳定情况下，紧急联系沧州旭兴制作，现经过核价计算，旭兴同意按目标价尽快定价开票，故此申报。</t>
    <phoneticPr fontId="4" type="noConversion"/>
  </si>
  <si>
    <t>BFA0000390</t>
    <phoneticPr fontId="3" type="noConversion"/>
  </si>
  <si>
    <t>10毫米卡簧</t>
    <phoneticPr fontId="3" type="noConversion"/>
  </si>
  <si>
    <t>BSP0000053</t>
    <phoneticPr fontId="3" type="noConversion"/>
  </si>
  <si>
    <t>BFA0000391</t>
    <phoneticPr fontId="3" type="noConversion"/>
  </si>
  <si>
    <t>8毫米卡簧</t>
    <phoneticPr fontId="3" type="noConversion"/>
  </si>
  <si>
    <t>6毫米卡簧</t>
    <phoneticPr fontId="3" type="noConversion"/>
  </si>
  <si>
    <t>说明（模具费评审、支付等情况）：
1.泊头鑫洪于2023年4月提出，由于我司盐雾试验标准提高，卡圈由原先的煮黑变成镀黑锌工艺。随后找集团采购定价，由于人员变动目前未定价。2.期间，泊头鑫洪均已价格未上调，不予供货为由，我司协调调货十分困难，现泊头鑫洪反馈8月底前需要定价。3.因卡圈成本较低，工艺确实为煮黑变为镀黑锌，故申请调价</t>
    <phoneticPr fontId="4" type="noConversion"/>
  </si>
  <si>
    <t>泊头鑫洪五金冲压有限公司</t>
    <phoneticPr fontId="3" type="noConversion"/>
  </si>
  <si>
    <t>SHT0013123</t>
  </si>
  <si>
    <t>2.0仰角拉线总成</t>
  </si>
  <si>
    <t>SHT0012023</t>
  </si>
  <si>
    <t>升降器拉线总成</t>
  </si>
  <si>
    <t>SHT0011807</t>
  </si>
  <si>
    <t>清河县沁园汽车零部件有限公司</t>
  </si>
  <si>
    <t>芜湖星火软轴控制索制造有限公司</t>
    <phoneticPr fontId="3" type="noConversion"/>
  </si>
  <si>
    <t>未税单价</t>
    <phoneticPr fontId="3" type="noConversion"/>
  </si>
  <si>
    <t>降本率</t>
    <phoneticPr fontId="3" type="noConversion"/>
  </si>
  <si>
    <t>说明（模具费评审、支付等情况）：
1.A点芜湖星火紧追货款，断续发货，影响生产，为保证交付，同时降低采购成本，故开发B点清河沁园，相比A点降低15%</t>
    <phoneticPr fontId="4" type="noConversion"/>
  </si>
  <si>
    <t>SHT0011997</t>
  </si>
  <si>
    <t>1.0升级阻尼器下支架</t>
  </si>
  <si>
    <t>SHT0012829</t>
  </si>
  <si>
    <t>五档仰角卡板</t>
  </si>
  <si>
    <t>REM0003011</t>
  </si>
  <si>
    <t>奥驰镜座连接板左</t>
  </si>
  <si>
    <t>REM0003015</t>
  </si>
  <si>
    <t>奥驰镜座连接板右</t>
  </si>
  <si>
    <t>SHT0001199</t>
  </si>
  <si>
    <t>H3前升降齿板</t>
  </si>
  <si>
    <t>黄骅市富邑金属制品有限公司</t>
    <phoneticPr fontId="3" type="noConversion"/>
  </si>
  <si>
    <t>黄骅市正大纺织机械配件厂</t>
  </si>
  <si>
    <t>未税单价（不含模摊）</t>
    <phoneticPr fontId="3" type="noConversion"/>
  </si>
  <si>
    <t>未税单价（含模摊）</t>
    <phoneticPr fontId="3" type="noConversion"/>
  </si>
  <si>
    <t>不再计算模摊</t>
    <phoneticPr fontId="3" type="noConversion"/>
  </si>
  <si>
    <t>说明（模具费评审、支付等情况）：
1.黄骅正大前期为我司制作冲压件，因货款原因，部分冲压件不再制作。
2.我司急需用件情况下，了解到黄骅正大是由黄骅市富邑金属制品有限公司代供的，故联系黄骅富邑继续供货，4种价格比正大低2%，另1种SHT0001199 H3前升降齿板再降价（前期与富邑已签订价格，目前未开票，按照新价开票），比正大低6%。</t>
    <phoneticPr fontId="4" type="noConversion"/>
  </si>
  <si>
    <t>降本率（对比不含模摊）</t>
    <phoneticPr fontId="3" type="noConversion"/>
  </si>
  <si>
    <t>限位柱A</t>
    <phoneticPr fontId="3" type="noConversion"/>
  </si>
  <si>
    <t>说明（模具费评审、支付等情况）：
我司SLT0010876二级调节左侧上连接板焊接总成，原由航天宏达供货，自8月转移回我司自行生产，其中的附属件SLT0010893限位柱A，与黄骅成卓供应的其他欧马可产品通用，故我司不再重新开发，由黄骅成卓代供，黄骅成卓从邯郸开发的冷镦模，相较我司再临时寻找机加工制作，从产品价格费上有所节省，故申请由黄骅成卓供应。商谈最低未税价为0.3元/件（我司委外机加工未税价为0.5元，如开发冷都模具费用约1000-200元，产品价格维持在0.3元左右，不含模摊费）</t>
    <phoneticPr fontId="4" type="noConversion"/>
  </si>
  <si>
    <t>SHT0001005</t>
  </si>
  <si>
    <t>H4盘簧</t>
  </si>
  <si>
    <t>说明（模具费评审、支付等情况）：
1.江苏万金涡簧SHT0001005 H4盘簧（未税2.43元），因款项问题迟迟不予排产，多次协调无果。
2.为保证正常供货，临时启动海兴中盛作为B点开发，海兴中盛报价未税3.5元，经过多次协商，按照2.8元/件执行，份额设定在20%以内。</t>
    <phoneticPr fontId="4" type="noConversion"/>
  </si>
  <si>
    <t>单台用量</t>
    <phoneticPr fontId="3" type="noConversion"/>
  </si>
  <si>
    <t>月计划（台车）</t>
    <phoneticPr fontId="3" type="noConversion"/>
  </si>
  <si>
    <t>垫片</t>
    <phoneticPr fontId="3" type="noConversion"/>
  </si>
  <si>
    <t>SLT0011743</t>
    <phoneticPr fontId="3" type="noConversion"/>
  </si>
  <si>
    <r>
      <t xml:space="preserve">说明（模具费评审、支付等情况）：
1.文安德实欧马可滑轨转回我司自制后，我司临时从德实采购垫片，德实要求100%预付，未税价为0.28元。
2.经我司咨询其他供应商：
</t>
    </r>
    <r>
      <rPr>
        <sz val="12"/>
        <rFont val="微软雅黑"/>
        <family val="2"/>
        <charset val="134"/>
      </rPr>
      <t>①</t>
    </r>
    <r>
      <rPr>
        <sz val="12"/>
        <rFont val="宋体"/>
        <family val="3"/>
        <charset val="134"/>
      </rPr>
      <t xml:space="preserve">黄骅再兴报价未税0.177元，模具费4000元，分摊至5万件产品中，未税模摊费0.08元，未税含模摊费0.257元/件。
</t>
    </r>
    <r>
      <rPr>
        <sz val="12"/>
        <rFont val="微软雅黑"/>
        <family val="2"/>
        <charset val="134"/>
      </rPr>
      <t>②</t>
    </r>
    <r>
      <rPr>
        <sz val="12"/>
        <rFont val="宋体"/>
        <family val="3"/>
        <charset val="134"/>
      </rPr>
      <t xml:space="preserve">泊头捷润报价未税0.16元，模具费1500元，分摊至5万件产品中，未税模摊费0.03元，未税含模摊费0.19元/件。
</t>
    </r>
    <r>
      <rPr>
        <sz val="12"/>
        <rFont val="微软雅黑"/>
        <family val="2"/>
        <charset val="134"/>
      </rPr>
      <t>③</t>
    </r>
    <r>
      <rPr>
        <sz val="12"/>
        <rFont val="宋体"/>
        <family val="3"/>
        <charset val="134"/>
      </rPr>
      <t>黄骅鑫昌及黄骅成卓因件小，不参与报价</t>
    </r>
    <phoneticPr fontId="4" type="noConversion"/>
  </si>
  <si>
    <t>模具费1500元，分摊至5万件产品中</t>
    <phoneticPr fontId="3" type="noConversion"/>
  </si>
  <si>
    <t>SLT0010530</t>
  </si>
  <si>
    <t>绞架连杆1</t>
  </si>
  <si>
    <t>A点黄骅兴岳未税单价</t>
    <phoneticPr fontId="3" type="noConversion"/>
  </si>
  <si>
    <t>SLT0010531</t>
  </si>
  <si>
    <t>绞架连杆2</t>
  </si>
  <si>
    <t>SLT0010529</t>
  </si>
  <si>
    <t>绞架连杆3一汽轻卡减震</t>
  </si>
  <si>
    <t>SHT0010523</t>
  </si>
  <si>
    <t>阻尼销轴</t>
  </si>
  <si>
    <t>霸州市政锦五金制品有限公司</t>
  </si>
  <si>
    <t>说明（模具费评审、支付等情况）：
1.黄骅兴岳供应轻卡减震连接杆等产品，多次因货款问题断货，并且开发初期正值21年市场材料价格上涨，目前供货与降价同步与其商谈，但对方未进行有效让步，故开发B点。
2.同时根据赵总前期要求，连接杆等产品追求最低成本，满足基本使用即可，故联系其他厂家制作，经过与霸州政锦协商，最终政锦价格低于黄骅兴岳，故推荐其制作</t>
    <phoneticPr fontId="4" type="noConversion"/>
  </si>
  <si>
    <t>SLT0010407</t>
  </si>
  <si>
    <t>驾驶员座垫右侧安装板总成</t>
  </si>
  <si>
    <t>SLT0010687</t>
  </si>
  <si>
    <t>1880副驾调角器左侧上连接板</t>
  </si>
  <si>
    <t>SLT0002551</t>
  </si>
  <si>
    <t>驾驶员座垫右侧安装板</t>
  </si>
  <si>
    <t>SLT0002809</t>
  </si>
  <si>
    <t>上板（左）</t>
  </si>
  <si>
    <t>SLT0002810</t>
  </si>
  <si>
    <t>上板（右）</t>
  </si>
  <si>
    <t>说明（模具费评审、支付等情况）：
为提高我司劳效，释放产能压力，我司现识别出部分产品，需要供应商进行分总成供货，其中黄骅成卓有5种产品，经过与黄骅成卓沟通，黄骅成卓同意进行分总成供货，但由于黄骅成卓外协焊接，成本较我司测算目标有差异（详见附件审批表）。经沟通，黄骅成卓无法达成目标，考虑到分总成供货，可以有效缓解我司现在产能压力，总成本仍对我司有利。故申请由黄骅成卓供分总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</si>
</sst>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"/>
    <numFmt numFmtId="177" formatCode="0.0000_);[Red]\(0.0000\)"/>
    <numFmt numFmtId="178" formatCode="0.00_);[Red]\(0.00\)"/>
    <numFmt numFmtId="179" formatCode="_ * #,##0.0000_ ;_ * \-#,##0.0000_ ;_ * &quot;-&quot;??_ ;_ @_ "/>
    <numFmt numFmtId="180" formatCode="0.0000_ "/>
  </numFmts>
  <fonts count="24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/>
    <xf numFmtId="0" fontId="1" fillId="0" borderId="0" applyProtection="0">
      <alignment vertical="center"/>
    </xf>
    <xf numFmtId="0" fontId="17" fillId="0" borderId="1" applyNumberFormat="0" applyFill="0" applyBorder="0" applyAlignment="0" applyProtection="0">
      <alignment vertical="center"/>
    </xf>
  </cellStyleXfs>
  <cellXfs count="237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5" borderId="4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176" fontId="1" fillId="2" borderId="0" xfId="1" applyNumberFormat="1" applyFill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2" borderId="1" xfId="1" applyFill="1" applyBorder="1" applyAlignment="1">
      <alignment horizontal="left" vertical="center" wrapText="1"/>
    </xf>
    <xf numFmtId="176" fontId="1" fillId="2" borderId="1" xfId="1" applyNumberFormat="1" applyFill="1" applyBorder="1" applyAlignment="1">
      <alignment horizontal="right" vertical="center" wrapText="1"/>
    </xf>
    <xf numFmtId="176" fontId="1" fillId="0" borderId="1" xfId="1" applyNumberFormat="1" applyBorder="1" applyAlignment="1">
      <alignment horizontal="right" vertical="center" wrapText="1"/>
    </xf>
    <xf numFmtId="176" fontId="1" fillId="3" borderId="1" xfId="1" applyNumberFormat="1" applyFill="1" applyBorder="1" applyAlignment="1">
      <alignment horizontal="right" vertical="center" wrapText="1" indent="1"/>
    </xf>
    <xf numFmtId="176" fontId="1" fillId="3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4" borderId="4" xfId="1" applyFill="1" applyBorder="1" applyAlignment="1">
      <alignment horizontal="center" vertical="center" wrapText="1"/>
    </xf>
    <xf numFmtId="0" fontId="1" fillId="7" borderId="4" xfId="1" applyFill="1" applyBorder="1" applyAlignment="1">
      <alignment horizontal="center" vertical="center"/>
    </xf>
    <xf numFmtId="0" fontId="1" fillId="7" borderId="4" xfId="1" applyFill="1" applyBorder="1" applyAlignment="1">
      <alignment horizontal="center" vertical="center" wrapText="1"/>
    </xf>
    <xf numFmtId="176" fontId="1" fillId="7" borderId="1" xfId="1" applyNumberFormat="1" applyFill="1" applyBorder="1" applyAlignment="1">
      <alignment horizontal="center" vertical="center" wrapText="1"/>
    </xf>
    <xf numFmtId="9" fontId="1" fillId="7" borderId="1" xfId="1" applyNumberFormat="1" applyFill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" fillId="7" borderId="1" xfId="1" applyFill="1" applyBorder="1" applyAlignment="1">
      <alignment vertical="center" wrapText="1"/>
    </xf>
    <xf numFmtId="9" fontId="1" fillId="7" borderId="0" xfId="1" applyNumberFormat="1" applyFill="1" applyAlignment="1">
      <alignment vertical="center"/>
    </xf>
    <xf numFmtId="0" fontId="1" fillId="7" borderId="0" xfId="1" applyFill="1" applyAlignment="1">
      <alignment vertical="center"/>
    </xf>
    <xf numFmtId="0" fontId="1" fillId="8" borderId="4" xfId="1" applyFill="1" applyBorder="1" applyAlignment="1">
      <alignment horizontal="center" vertical="center"/>
    </xf>
    <xf numFmtId="0" fontId="1" fillId="8" borderId="4" xfId="1" applyFill="1" applyBorder="1" applyAlignment="1">
      <alignment horizontal="center" vertical="center" wrapText="1"/>
    </xf>
    <xf numFmtId="176" fontId="1" fillId="8" borderId="1" xfId="1" applyNumberFormat="1" applyFill="1" applyBorder="1" applyAlignment="1">
      <alignment horizontal="center" vertical="center" wrapText="1"/>
    </xf>
    <xf numFmtId="9" fontId="1" fillId="8" borderId="1" xfId="1" applyNumberFormat="1" applyFill="1" applyBorder="1" applyAlignment="1">
      <alignment vertical="center"/>
    </xf>
    <xf numFmtId="176" fontId="1" fillId="8" borderId="1" xfId="1" applyNumberFormat="1" applyFill="1" applyBorder="1" applyAlignment="1">
      <alignment vertical="center"/>
    </xf>
    <xf numFmtId="0" fontId="1" fillId="8" borderId="1" xfId="1" applyFill="1" applyBorder="1" applyAlignment="1">
      <alignment vertical="center" wrapText="1"/>
    </xf>
    <xf numFmtId="9" fontId="1" fillId="8" borderId="0" xfId="1" applyNumberFormat="1" applyFill="1" applyAlignment="1">
      <alignment vertical="center"/>
    </xf>
    <xf numFmtId="0" fontId="1" fillId="8" borderId="0" xfId="1" applyFill="1" applyAlignment="1">
      <alignment vertical="center"/>
    </xf>
    <xf numFmtId="9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9" borderId="4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 wrapText="1"/>
    </xf>
    <xf numFmtId="176" fontId="1" fillId="9" borderId="1" xfId="1" applyNumberFormat="1" applyFill="1" applyBorder="1" applyAlignment="1">
      <alignment horizontal="center" vertical="center" wrapText="1"/>
    </xf>
    <xf numFmtId="9" fontId="1" fillId="9" borderId="1" xfId="1" applyNumberFormat="1" applyFill="1" applyBorder="1" applyAlignment="1">
      <alignment vertical="center"/>
    </xf>
    <xf numFmtId="176" fontId="1" fillId="9" borderId="1" xfId="1" applyNumberFormat="1" applyFill="1" applyBorder="1" applyAlignment="1">
      <alignment vertical="center"/>
    </xf>
    <xf numFmtId="0" fontId="1" fillId="9" borderId="1" xfId="1" applyFill="1" applyBorder="1" applyAlignment="1">
      <alignment vertical="center" wrapText="1"/>
    </xf>
    <xf numFmtId="9" fontId="1" fillId="9" borderId="0" xfId="1" applyNumberFormat="1" applyFill="1" applyAlignment="1">
      <alignment vertical="center"/>
    </xf>
    <xf numFmtId="0" fontId="1" fillId="9" borderId="0" xfId="1" applyFill="1" applyAlignment="1">
      <alignment vertical="center"/>
    </xf>
    <xf numFmtId="176" fontId="1" fillId="0" borderId="1" xfId="1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10" borderId="4" xfId="1" applyFill="1" applyBorder="1" applyAlignment="1">
      <alignment horizontal="center" vertical="center"/>
    </xf>
    <xf numFmtId="0" fontId="1" fillId="10" borderId="4" xfId="1" applyFill="1" applyBorder="1" applyAlignment="1">
      <alignment horizontal="center" vertical="center" wrapText="1"/>
    </xf>
    <xf numFmtId="176" fontId="1" fillId="10" borderId="1" xfId="1" applyNumberFormat="1" applyFill="1" applyBorder="1" applyAlignment="1">
      <alignment horizontal="center" vertical="center" wrapText="1"/>
    </xf>
    <xf numFmtId="9" fontId="1" fillId="10" borderId="1" xfId="1" applyNumberFormat="1" applyFill="1" applyBorder="1" applyAlignment="1">
      <alignment vertical="center"/>
    </xf>
    <xf numFmtId="176" fontId="1" fillId="10" borderId="1" xfId="1" applyNumberFormat="1" applyFill="1" applyBorder="1" applyAlignment="1">
      <alignment vertical="center"/>
    </xf>
    <xf numFmtId="0" fontId="1" fillId="10" borderId="1" xfId="1" applyFill="1" applyBorder="1" applyAlignment="1">
      <alignment vertical="center" wrapText="1"/>
    </xf>
    <xf numFmtId="9" fontId="1" fillId="10" borderId="0" xfId="1" applyNumberFormat="1" applyFill="1" applyAlignment="1">
      <alignment vertical="center"/>
    </xf>
    <xf numFmtId="0" fontId="1" fillId="10" borderId="0" xfId="1" applyFill="1" applyAlignment="1">
      <alignment vertical="center"/>
    </xf>
    <xf numFmtId="176" fontId="1" fillId="4" borderId="1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left" vertical="top" wrapText="1"/>
    </xf>
    <xf numFmtId="0" fontId="1" fillId="0" borderId="0" xfId="1" applyAlignment="1">
      <alignment horizontal="center" vertical="center" wrapText="1"/>
    </xf>
    <xf numFmtId="9" fontId="1" fillId="0" borderId="0" xfId="3" applyFont="1" applyFill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11" borderId="4" xfId="1" applyFill="1" applyBorder="1" applyAlignment="1">
      <alignment horizontal="center" vertical="center"/>
    </xf>
    <xf numFmtId="0" fontId="1" fillId="11" borderId="4" xfId="1" applyFill="1" applyBorder="1" applyAlignment="1">
      <alignment horizontal="center" vertical="center" wrapText="1"/>
    </xf>
    <xf numFmtId="176" fontId="1" fillId="11" borderId="1" xfId="1" applyNumberFormat="1" applyFill="1" applyBorder="1" applyAlignment="1">
      <alignment horizontal="center" vertical="center" wrapText="1"/>
    </xf>
    <xf numFmtId="9" fontId="1" fillId="11" borderId="1" xfId="1" applyNumberFormat="1" applyFill="1" applyBorder="1" applyAlignment="1">
      <alignment vertical="center"/>
    </xf>
    <xf numFmtId="176" fontId="1" fillId="11" borderId="1" xfId="1" applyNumberFormat="1" applyFill="1" applyBorder="1" applyAlignment="1">
      <alignment vertical="center"/>
    </xf>
    <xf numFmtId="0" fontId="1" fillId="11" borderId="1" xfId="1" applyFill="1" applyBorder="1" applyAlignment="1">
      <alignment vertical="center" wrapText="1"/>
    </xf>
    <xf numFmtId="9" fontId="1" fillId="11" borderId="0" xfId="1" applyNumberFormat="1" applyFill="1" applyAlignment="1">
      <alignment vertical="center"/>
    </xf>
    <xf numFmtId="0" fontId="1" fillId="11" borderId="0" xfId="1" applyFill="1" applyAlignment="1">
      <alignment vertical="center"/>
    </xf>
    <xf numFmtId="0" fontId="1" fillId="3" borderId="4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9" fontId="1" fillId="3" borderId="1" xfId="1" applyNumberForma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9" fontId="1" fillId="3" borderId="0" xfId="1" applyNumberFormat="1" applyFill="1" applyAlignment="1">
      <alignment vertical="center"/>
    </xf>
    <xf numFmtId="177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178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6" borderId="1" xfId="1" applyNumberFormat="1" applyFill="1" applyBorder="1" applyAlignment="1">
      <alignment horizontal="center" vertical="center" wrapText="1"/>
    </xf>
    <xf numFmtId="0" fontId="11" fillId="12" borderId="0" xfId="1" applyFont="1" applyFill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49" fontId="13" fillId="12" borderId="1" xfId="4" applyNumberFormat="1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/>
    </xf>
    <xf numFmtId="0" fontId="5" fillId="12" borderId="1" xfId="4" applyFont="1" applyFill="1" applyBorder="1" applyAlignment="1">
      <alignment horizontal="center" vertical="center" wrapText="1"/>
    </xf>
    <xf numFmtId="178" fontId="15" fillId="12" borderId="1" xfId="4" applyNumberFormat="1" applyFont="1" applyFill="1" applyBorder="1" applyAlignment="1">
      <alignment horizontal="center" vertical="center" wrapText="1"/>
    </xf>
    <xf numFmtId="43" fontId="0" fillId="2" borderId="1" xfId="5" applyFont="1" applyFill="1" applyBorder="1" applyAlignment="1">
      <alignment vertical="center"/>
    </xf>
    <xf numFmtId="177" fontId="13" fillId="12" borderId="1" xfId="6" applyNumberFormat="1" applyFont="1" applyFill="1" applyBorder="1" applyAlignment="1">
      <alignment horizontal="center" vertical="center" wrapText="1"/>
    </xf>
    <xf numFmtId="178" fontId="13" fillId="12" borderId="1" xfId="6" applyNumberFormat="1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/>
    </xf>
    <xf numFmtId="0" fontId="15" fillId="0" borderId="5" xfId="4" applyFont="1" applyBorder="1" applyAlignment="1">
      <alignment horizontal="center" vertical="center" wrapText="1"/>
    </xf>
    <xf numFmtId="177" fontId="15" fillId="12" borderId="1" xfId="4" applyNumberFormat="1" applyFont="1" applyFill="1" applyBorder="1" applyAlignment="1">
      <alignment horizontal="center" vertical="center" wrapText="1"/>
    </xf>
    <xf numFmtId="9" fontId="13" fillId="12" borderId="1" xfId="3" applyFont="1" applyFill="1" applyBorder="1" applyAlignment="1">
      <alignment horizontal="center" vertical="center" wrapText="1"/>
    </xf>
    <xf numFmtId="177" fontId="0" fillId="2" borderId="1" xfId="5" applyNumberFormat="1" applyFont="1" applyFill="1" applyBorder="1" applyAlignment="1">
      <alignment vertical="center"/>
    </xf>
    <xf numFmtId="43" fontId="0" fillId="2" borderId="1" xfId="5" applyFont="1" applyFill="1" applyBorder="1" applyAlignment="1">
      <alignment horizontal="center" vertical="center"/>
    </xf>
    <xf numFmtId="178" fontId="15" fillId="12" borderId="1" xfId="4" applyNumberFormat="1" applyFont="1" applyFill="1" applyBorder="1" applyAlignment="1">
      <alignment horizontal="right" vertical="center" wrapText="1"/>
    </xf>
    <xf numFmtId="178" fontId="13" fillId="12" borderId="1" xfId="6" applyNumberFormat="1" applyFont="1" applyFill="1" applyBorder="1" applyAlignment="1">
      <alignment horizontal="right" vertical="center" wrapText="1"/>
    </xf>
    <xf numFmtId="178" fontId="0" fillId="2" borderId="1" xfId="5" applyNumberFormat="1" applyFont="1" applyFill="1" applyBorder="1" applyAlignment="1">
      <alignment horizontal="right" vertical="center"/>
    </xf>
    <xf numFmtId="0" fontId="14" fillId="12" borderId="1" xfId="4" applyFont="1" applyFill="1" applyBorder="1" applyAlignment="1">
      <alignment horizontal="left" vertical="center" wrapText="1"/>
    </xf>
    <xf numFmtId="43" fontId="0" fillId="2" borderId="1" xfId="5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horizontal="right" vertical="center" wrapText="1"/>
    </xf>
    <xf numFmtId="177" fontId="0" fillId="2" borderId="1" xfId="5" applyNumberFormat="1" applyFont="1" applyFill="1" applyBorder="1" applyAlignment="1">
      <alignment horizontal="right" vertical="center"/>
    </xf>
    <xf numFmtId="179" fontId="0" fillId="2" borderId="1" xfId="5" applyNumberFormat="1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vertical="center" wrapText="1"/>
    </xf>
    <xf numFmtId="177" fontId="13" fillId="12" borderId="1" xfId="6" applyNumberFormat="1" applyFont="1" applyFill="1" applyBorder="1" applyAlignment="1">
      <alignment vertical="center" wrapText="1"/>
    </xf>
    <xf numFmtId="179" fontId="0" fillId="2" borderId="1" xfId="5" applyNumberFormat="1" applyFont="1" applyFill="1" applyBorder="1" applyAlignment="1">
      <alignment vertical="center"/>
    </xf>
    <xf numFmtId="176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2" applyNumberFormat="1" applyFont="1" applyBorder="1" applyAlignment="1" applyProtection="1">
      <alignment horizontal="center" vertical="center" wrapText="1"/>
      <protection locked="0"/>
    </xf>
    <xf numFmtId="0" fontId="16" fillId="2" borderId="1" xfId="4" applyFont="1" applyFill="1" applyBorder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49" fontId="13" fillId="3" borderId="1" xfId="4" applyNumberFormat="1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0" fontId="1" fillId="2" borderId="0" xfId="3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5" xfId="4" applyFont="1" applyBorder="1" applyAlignment="1">
      <alignment horizontal="left" vertical="center" wrapText="1"/>
    </xf>
    <xf numFmtId="177" fontId="19" fillId="12" borderId="1" xfId="4" applyNumberFormat="1" applyFont="1" applyFill="1" applyBorder="1" applyAlignment="1">
      <alignment horizontal="right" vertical="center" wrapText="1"/>
    </xf>
    <xf numFmtId="177" fontId="19" fillId="12" borderId="1" xfId="4" applyNumberFormat="1" applyFont="1" applyFill="1" applyBorder="1" applyAlignment="1">
      <alignment vertical="center" wrapText="1"/>
    </xf>
    <xf numFmtId="0" fontId="19" fillId="0" borderId="5" xfId="4" applyFont="1" applyBorder="1" applyAlignment="1">
      <alignment horizontal="left" vertical="center" wrapText="1"/>
    </xf>
    <xf numFmtId="177" fontId="19" fillId="3" borderId="1" xfId="4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76" fontId="20" fillId="0" borderId="1" xfId="0" applyNumberFormat="1" applyFont="1" applyBorder="1" applyAlignment="1">
      <alignment vertical="center"/>
    </xf>
    <xf numFmtId="9" fontId="5" fillId="12" borderId="1" xfId="3" applyFont="1" applyFill="1" applyBorder="1" applyAlignment="1">
      <alignment horizontal="center" vertical="center" wrapText="1"/>
    </xf>
    <xf numFmtId="177" fontId="5" fillId="12" borderId="1" xfId="6" applyNumberFormat="1" applyFont="1" applyFill="1" applyBorder="1" applyAlignment="1">
      <alignment horizontal="center" vertical="center" wrapText="1"/>
    </xf>
    <xf numFmtId="178" fontId="5" fillId="12" borderId="1" xfId="6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176" fontId="20" fillId="0" borderId="1" xfId="0" applyNumberFormat="1" applyFont="1" applyBorder="1" applyAlignment="1">
      <alignment horizontal="right" vertical="center"/>
    </xf>
    <xf numFmtId="176" fontId="5" fillId="12" borderId="1" xfId="6" applyNumberFormat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horizontal="right" vertical="center"/>
    </xf>
    <xf numFmtId="9" fontId="1" fillId="0" borderId="1" xfId="3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2" fontId="1" fillId="2" borderId="0" xfId="1" applyNumberFormat="1" applyFill="1" applyAlignment="1">
      <alignment vertical="center"/>
    </xf>
    <xf numFmtId="176" fontId="1" fillId="2" borderId="0" xfId="3" applyNumberFormat="1" applyFont="1" applyFill="1" applyAlignment="1">
      <alignment vertical="center"/>
    </xf>
    <xf numFmtId="176" fontId="20" fillId="3" borderId="1" xfId="0" applyNumberFormat="1" applyFont="1" applyFill="1" applyBorder="1" applyAlignment="1">
      <alignment vertical="center"/>
    </xf>
    <xf numFmtId="177" fontId="19" fillId="12" borderId="1" xfId="4" applyNumberFormat="1" applyFont="1" applyFill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/>
    </xf>
    <xf numFmtId="0" fontId="1" fillId="2" borderId="0" xfId="3" applyNumberFormat="1" applyFont="1" applyFill="1" applyAlignment="1">
      <alignment vertical="center"/>
    </xf>
    <xf numFmtId="9" fontId="1" fillId="2" borderId="0" xfId="3" applyFont="1" applyFill="1" applyAlignment="1">
      <alignment vertical="center"/>
    </xf>
    <xf numFmtId="180" fontId="1" fillId="0" borderId="0" xfId="1" applyNumberFormat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9" fillId="12" borderId="4" xfId="1" applyFont="1" applyFill="1" applyBorder="1" applyAlignment="1">
      <alignment horizontal="center" vertical="center"/>
    </xf>
    <xf numFmtId="0" fontId="9" fillId="12" borderId="5" xfId="1" applyFont="1" applyFill="1" applyBorder="1" applyAlignment="1">
      <alignment horizontal="center" vertical="center"/>
    </xf>
    <xf numFmtId="0" fontId="11" fillId="12" borderId="5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top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12" borderId="4" xfId="4" applyFont="1" applyFill="1" applyBorder="1" applyAlignment="1">
      <alignment horizontal="center" vertical="center" wrapText="1"/>
    </xf>
    <xf numFmtId="0" fontId="5" fillId="12" borderId="5" xfId="4" applyFont="1" applyFill="1" applyBorder="1" applyAlignment="1">
      <alignment horizontal="center" vertical="center" wrapText="1"/>
    </xf>
    <xf numFmtId="49" fontId="13" fillId="12" borderId="4" xfId="4" applyNumberFormat="1" applyFont="1" applyFill="1" applyBorder="1" applyAlignment="1">
      <alignment horizontal="center" vertical="center" wrapText="1"/>
    </xf>
    <xf numFmtId="49" fontId="13" fillId="12" borderId="5" xfId="4" applyNumberFormat="1" applyFont="1" applyFill="1" applyBorder="1" applyAlignment="1">
      <alignment horizontal="center" vertical="center" wrapText="1"/>
    </xf>
    <xf numFmtId="0" fontId="14" fillId="12" borderId="4" xfId="4" applyFont="1" applyFill="1" applyBorder="1" applyAlignment="1">
      <alignment horizontal="center" vertical="center" wrapText="1"/>
    </xf>
    <xf numFmtId="0" fontId="14" fillId="12" borderId="5" xfId="4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9" xfId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8">
    <cellStyle name="BOM_Level_Below3" xfId="7" xr:uid="{4E6CB5F8-B98F-4F2F-B61E-42F9B9366AE6}"/>
    <cellStyle name="百分比" xfId="3" builtinId="5"/>
    <cellStyle name="常规" xfId="0" builtinId="0"/>
    <cellStyle name="常规 2" xfId="1" xr:uid="{40322C7F-D53D-4957-B101-555A75F21702}"/>
    <cellStyle name="常规 2 2" xfId="4" xr:uid="{DF8B94BD-4297-447A-A170-474129B35C8C}"/>
    <cellStyle name="常规 2 2 6" xfId="6" xr:uid="{9D90FF35-2816-473D-8777-56FD3957548E}"/>
    <cellStyle name="千位分隔 2" xfId="5" xr:uid="{795BA6E6-B107-4B0F-9903-1E4ED1C1DC88}"/>
    <cellStyle name="样式 1 10 2 2" xfId="2" xr:uid="{81FCC883-7DBC-476F-8DC8-DA9FE62843D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6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1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4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2.xml"/><Relationship Id="rId75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5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5</xdr:row>
      <xdr:rowOff>5926</xdr:rowOff>
    </xdr:from>
    <xdr:to>
      <xdr:col>12</xdr:col>
      <xdr:colOff>440268</xdr:colOff>
      <xdr:row>6</xdr:row>
      <xdr:rowOff>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20601" y="2791459"/>
          <a:ext cx="1016000" cy="79175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9</xdr:row>
      <xdr:rowOff>25400</xdr:rowOff>
    </xdr:from>
    <xdr:to>
      <xdr:col>12</xdr:col>
      <xdr:colOff>415416</xdr:colOff>
      <xdr:row>9</xdr:row>
      <xdr:rowOff>762000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134D2E-62B2-0A98-E993-47FE390A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6734" y="5994400"/>
          <a:ext cx="1025015" cy="736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1BE3D01-4B2B-40BC-B58E-77CED01AD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905940"/>
          <a:ext cx="10937687" cy="77145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299BF6-8A62-48DA-A2B0-E467E543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23680"/>
          <a:ext cx="10937687" cy="77145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4AD980B-B19C-411F-B921-237B0A9B1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119080"/>
          <a:ext cx="10937687" cy="77145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8E35FD-F810-4E0C-8D6B-C50D09CF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860000"/>
          <a:ext cx="10937687" cy="77145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A55AD9-8835-40E6-8E54-4843DE58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4E26A39-3E1A-4D9D-8E14-027CD8BC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7B7D14-3EB7-4967-87B7-2E754A7E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277320"/>
          <a:ext cx="10937687" cy="77145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C938DC-4EEF-41EF-84DB-4D56481D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F873D4-4DE7-499D-9C41-DE231E59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731CAFF-38BB-40A1-9FEA-E32E522C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650965</xdr:colOff>
      <xdr:row>3</xdr:row>
      <xdr:rowOff>120831</xdr:rowOff>
    </xdr:from>
    <xdr:to>
      <xdr:col>32</xdr:col>
      <xdr:colOff>496870</xdr:colOff>
      <xdr:row>3</xdr:row>
      <xdr:rowOff>616069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DD0477A-1F6C-47D8-B354-5598C20E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9394" y="131826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83819</xdr:colOff>
      <xdr:row>7</xdr:row>
      <xdr:rowOff>759460</xdr:rowOff>
    </xdr:from>
    <xdr:to>
      <xdr:col>12</xdr:col>
      <xdr:colOff>457200</xdr:colOff>
      <xdr:row>8</xdr:row>
      <xdr:rowOff>738410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1913F3-01C9-45C3-B0BB-4C1E258B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0119" y="5115560"/>
          <a:ext cx="1059181" cy="76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11</xdr:row>
      <xdr:rowOff>106680</xdr:rowOff>
    </xdr:from>
    <xdr:to>
      <xdr:col>12</xdr:col>
      <xdr:colOff>411480</xdr:colOff>
      <xdr:row>11</xdr:row>
      <xdr:rowOff>693420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A7222C-869D-457C-A1C4-3495FDD5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10</xdr:row>
      <xdr:rowOff>53340</xdr:rowOff>
    </xdr:from>
    <xdr:to>
      <xdr:col>12</xdr:col>
      <xdr:colOff>415565</xdr:colOff>
      <xdr:row>10</xdr:row>
      <xdr:rowOff>754380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D3C4CB-CDE5-4C9C-8EEE-C838F17D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677164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9</xdr:row>
      <xdr:rowOff>5926</xdr:rowOff>
    </xdr:from>
    <xdr:to>
      <xdr:col>12</xdr:col>
      <xdr:colOff>440268</xdr:colOff>
      <xdr:row>10</xdr:row>
      <xdr:rowOff>1814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780CF32-E7B0-4FE2-BF65-4CA6244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08748" y="2787226"/>
          <a:ext cx="1016000" cy="788369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87087</xdr:colOff>
      <xdr:row>5</xdr:row>
      <xdr:rowOff>10886</xdr:rowOff>
    </xdr:from>
    <xdr:to>
      <xdr:col>12</xdr:col>
      <xdr:colOff>457200</xdr:colOff>
      <xdr:row>5</xdr:row>
      <xdr:rowOff>747486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C2A865-D56F-4EF6-A855-340A1EE7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93387" y="2792186"/>
          <a:ext cx="1055913" cy="73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72813</xdr:colOff>
      <xdr:row>2</xdr:row>
      <xdr:rowOff>391885</xdr:rowOff>
    </xdr:from>
    <xdr:to>
      <xdr:col>12</xdr:col>
      <xdr:colOff>448992</xdr:colOff>
      <xdr:row>3</xdr:row>
      <xdr:rowOff>638018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EF1140-2875-FAB7-08F9-39AC779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5442" y="1088571"/>
          <a:ext cx="1061979" cy="746876"/>
        </a:xfrm>
        <a:prstGeom prst="rect">
          <a:avLst/>
        </a:prstGeom>
      </xdr:spPr>
    </xdr:pic>
    <xdr:clientData/>
  </xdr:twoCellAnchor>
  <xdr:oneCellAnchor>
    <xdr:from>
      <xdr:col>11</xdr:col>
      <xdr:colOff>76200</xdr:colOff>
      <xdr:row>7</xdr:row>
      <xdr:rowOff>22860</xdr:rowOff>
    </xdr:from>
    <xdr:ext cx="1055914" cy="718669"/>
    <xdr:pic>
      <xdr:nvPicPr>
        <xdr:cNvPr id="10" name="图片 9">
          <a:extLst>
            <a:ext uri="{FF2B5EF4-FFF2-40B4-BE49-F238E27FC236}">
              <a16:creationId xmlns:a16="http://schemas.microsoft.com/office/drawing/2014/main" id="{F6C144D4-E44A-47C7-AA19-3CEA47F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8829" y="4398917"/>
          <a:ext cx="1055914" cy="718669"/>
        </a:xfrm>
        <a:prstGeom prst="rect">
          <a:avLst/>
        </a:prstGeom>
      </xdr:spPr>
    </xdr:pic>
    <xdr:clientData/>
  </xdr:oneCellAnchor>
  <xdr:twoCellAnchor>
    <xdr:from>
      <xdr:col>11</xdr:col>
      <xdr:colOff>54428</xdr:colOff>
      <xdr:row>4</xdr:row>
      <xdr:rowOff>0</xdr:rowOff>
    </xdr:from>
    <xdr:to>
      <xdr:col>13</xdr:col>
      <xdr:colOff>21770</xdr:colOff>
      <xdr:row>4</xdr:row>
      <xdr:rowOff>674914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22087D8-0E21-44D9-9C4A-B7C610426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7057" y="1992086"/>
          <a:ext cx="1338942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122524</xdr:colOff>
      <xdr:row>4</xdr:row>
      <xdr:rowOff>729343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271EC74-3516-4E28-7330-875C1D5A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94229" y="1992086"/>
          <a:ext cx="10409524" cy="729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141514</xdr:rowOff>
    </xdr:from>
    <xdr:to>
      <xdr:col>25</xdr:col>
      <xdr:colOff>476171</xdr:colOff>
      <xdr:row>61</xdr:row>
      <xdr:rowOff>313705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AC4940B-75C1-EB46-57B7-9B27A82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016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13</xdr:col>
      <xdr:colOff>598714</xdr:colOff>
      <xdr:row>90</xdr:row>
      <xdr:rowOff>54429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A6D884C-A39E-0826-A57E-E366B82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4543" y="27246943"/>
          <a:ext cx="13868400" cy="945968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12</xdr:col>
      <xdr:colOff>464623</xdr:colOff>
      <xdr:row>6</xdr:row>
      <xdr:rowOff>740229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FF05ACD-6D00-3CEE-BDCD-37BAF8E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3568700"/>
          <a:ext cx="1074223" cy="7402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7BEBAE-9F54-428E-8F52-AEFED46E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0BB740-D25B-45B5-9258-060DDA8C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11</xdr:col>
      <xdr:colOff>602790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8F1827-807D-4D59-B745-E57F35E5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CBC04E8-F86C-4CCE-94DB-2BC5812D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85610A-DF58-4383-8376-FBBBB32B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01BA33-02D5-4F53-837A-85B5CC55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11</xdr:col>
      <xdr:colOff>254447</xdr:colOff>
      <xdr:row>87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A15B54E-B6C6-49BF-8918-E1B131F0B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591905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7457BA-C51E-40C7-BB20-26EB29FB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598714</xdr:colOff>
      <xdr:row>82</xdr:row>
      <xdr:rowOff>54429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DC6B4E-2344-41CC-9B60-2D8A8F40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7325320"/>
          <a:ext cx="13849894" cy="951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24</xdr:col>
      <xdr:colOff>356429</xdr:colOff>
      <xdr:row>53</xdr:row>
      <xdr:rowOff>172191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1BDA8B9-DECB-699A-5C1D-B6148568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20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11</xdr:col>
      <xdr:colOff>591905</xdr:colOff>
      <xdr:row>77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9F2FC6B-A8AB-9D6A-38AB-F38D99E2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3" y="21292457"/>
          <a:ext cx="10933333" cy="76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591905</xdr:colOff>
      <xdr:row>78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F112AA8-3021-42F2-A3F3-ECFBE55C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389340"/>
          <a:ext cx="10932245" cy="7714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12</xdr:col>
      <xdr:colOff>123819</xdr:colOff>
      <xdr:row>91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A236EC-3108-44D2-ADF8-95AC1C7B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689876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FFF1E9-EF4D-4A1D-86E3-2E594007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355300"/>
          <a:ext cx="10932245" cy="77145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689876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A40BC11-1978-47C6-AB9A-0A4D75D3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096220"/>
          <a:ext cx="10938776" cy="77145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760995-EA2B-4ACE-A433-1275D78B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406860"/>
          <a:ext cx="10938776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1453;&#39304;&#32467;&#26524;-2022.9.1/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0914;&#21387;&#20214;&#26680;&#31639;-2022&#24180;9&#26376;8&#26085;&#30446;&#26631;&#20215;-&#21547;&#20351;&#29992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8050;&#19997;&#24377;&#31783;&#21672;&#35810;-2/&#28023;&#20852;&#20013;&#30427;&#38050;&#19997;&#24377;&#31783;&#30446;&#26631;&#20215;&#26684;&#26680;&#31639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4212;&#21830;&#31649;&#29702;/B&#28857;&#24320;&#21457;/&#22868;&#39536;H6&#39033;&#30446;B&#28857;&#24320;&#21457;-&#22825;&#40857;&#24471;/&#22270;&#32440;/&#27827;&#21271;&#20809;&#21326;&#33635;&#26124;&#27773;&#36710;&#37096;&#20214;&#26377;&#38480;&#20844;&#21496;-&#20919;&#38246;&#20214;&#20215;&#26684;&#23545;&#27604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&#21103;&#26412;H6&#29289;&#26009;&#24211;&#23384;-11.14&#36827;&#24230;.xlsx" TargetMode="External"/><Relationship Id="rId1" Type="http://schemas.openxmlformats.org/officeDocument/2006/relationships/externalLinkPath" Target="/Desktop/&#21103;&#26412;H6&#29289;&#26009;&#24211;&#23384;-11.14&#36827;&#24230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2022&#24180;&#20215;&#26684;&#21327;&#35758;&#27719;&#24635;&#34920;.xlsx" TargetMode="External"/><Relationship Id="rId1" Type="http://schemas.openxmlformats.org/officeDocument/2006/relationships/externalLinkPath" Target="&#21512;&#21516;&#36164;&#26009;/&#20215;&#26684;&#21327;&#35758;/2022&#24180;&#20215;&#26684;&#21327;&#35758;/2022&#24180;&#20215;&#26684;&#21327;&#35758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4658;&#20255;&#20116;&#37329;/2022&#24180;&#24180;&#38477;&#26680;&#31639;/2022&#24180;&#38752;&#32972;&#39592;&#26550;-&#24658;&#2025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21516;&#36164;&#26009;/&#20215;&#26684;&#21327;&#35758;/2022&#24180;&#20215;&#26684;&#21327;&#35758;/&#30005;&#23376;&#29256;/&#24658;&#20255;&#20116;&#37329;-2022.1.12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1.1200000000000001</v>
          </cell>
          <cell r="AA42">
            <v>2.5352687850000004</v>
          </cell>
          <cell r="AE42">
            <v>2.5352687850000004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1.1200000000000001</v>
          </cell>
          <cell r="AA48">
            <v>2.5352687850000004</v>
          </cell>
          <cell r="AE48">
            <v>2.5352687850000004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7"/>
    </sheetNames>
    <sheetDataSet>
      <sheetData sheetId="0">
        <row r="4">
          <cell r="B4" t="str">
            <v>SHT0010060</v>
          </cell>
          <cell r="C4" t="str">
            <v>安全带上支撑钢丝</v>
          </cell>
          <cell r="D4" t="str">
            <v>Q235</v>
          </cell>
          <cell r="E4">
            <v>7.9646017699115053</v>
          </cell>
          <cell r="F4"/>
          <cell r="G4"/>
          <cell r="H4">
            <v>4.6199999999999998E-2</v>
          </cell>
          <cell r="I4"/>
          <cell r="J4"/>
          <cell r="K4"/>
          <cell r="L4"/>
          <cell r="M4"/>
          <cell r="N4"/>
          <cell r="O4">
            <v>0.55230000000000001</v>
          </cell>
          <cell r="P4">
            <v>0.36796460176991153</v>
          </cell>
        </row>
        <row r="5">
          <cell r="B5" t="str">
            <v>BSP0010016</v>
          </cell>
          <cell r="C5" t="str">
            <v>坐垫翻折限位钣金回位簧</v>
          </cell>
          <cell r="D5" t="str">
            <v>65Mn</v>
          </cell>
          <cell r="E5">
            <v>7</v>
          </cell>
          <cell r="F5">
            <v>1</v>
          </cell>
          <cell r="G5">
            <v>1E-3</v>
          </cell>
          <cell r="H5">
            <v>1E-3</v>
          </cell>
          <cell r="I5">
            <v>0</v>
          </cell>
          <cell r="J5">
            <v>7.0000000000000001E-3</v>
          </cell>
          <cell r="K5" t="str">
            <v>卷制</v>
          </cell>
          <cell r="L5">
            <v>27</v>
          </cell>
          <cell r="M5">
            <v>2.8E-3</v>
          </cell>
          <cell r="N5">
            <v>7.5600000000000001E-2</v>
          </cell>
          <cell r="O5">
            <v>0.1905</v>
          </cell>
          <cell r="P5">
            <v>0.11771200000000002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 t="str">
            <v>折弯</v>
          </cell>
          <cell r="L6">
            <v>2</v>
          </cell>
          <cell r="M6">
            <v>0.01</v>
          </cell>
          <cell r="N6">
            <v>0.02</v>
          </cell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 t="str">
            <v>煮黑</v>
          </cell>
          <cell r="L7">
            <v>1E-3</v>
          </cell>
          <cell r="M7">
            <v>2.5</v>
          </cell>
          <cell r="N7">
            <v>2.5000000000000001E-3</v>
          </cell>
          <cell r="O7"/>
          <cell r="P7"/>
        </row>
        <row r="8">
          <cell r="B8"/>
          <cell r="C8"/>
          <cell r="D8"/>
          <cell r="E8" t="str">
            <v>合计：</v>
          </cell>
          <cell r="F8"/>
          <cell r="G8"/>
          <cell r="H8"/>
          <cell r="I8"/>
          <cell r="J8">
            <v>7.0000000000000001E-3</v>
          </cell>
          <cell r="K8" t="str">
            <v>合计：</v>
          </cell>
          <cell r="L8"/>
          <cell r="M8"/>
          <cell r="N8">
            <v>9.8100000000000007E-2</v>
          </cell>
          <cell r="O8"/>
          <cell r="P8"/>
        </row>
        <row r="9">
          <cell r="B9" t="str">
            <v>SHT0010465</v>
          </cell>
          <cell r="C9" t="str">
            <v>气管防护弹簧</v>
          </cell>
          <cell r="D9" t="str">
            <v>65Mn</v>
          </cell>
          <cell r="E9">
            <v>7</v>
          </cell>
          <cell r="F9">
            <v>1</v>
          </cell>
          <cell r="G9">
            <v>3.0000000000000001E-3</v>
          </cell>
          <cell r="H9">
            <v>3.0000000000000001E-3</v>
          </cell>
          <cell r="I9">
            <v>0</v>
          </cell>
          <cell r="J9">
            <v>2.1000000000000001E-2</v>
          </cell>
          <cell r="K9" t="str">
            <v>卷制</v>
          </cell>
          <cell r="L9">
            <v>27</v>
          </cell>
          <cell r="M9">
            <v>2.8E-3</v>
          </cell>
          <cell r="N9">
            <v>7.5600000000000001E-2</v>
          </cell>
          <cell r="O9">
            <v>0.19109999999999999</v>
          </cell>
          <cell r="P9">
            <v>0.11659200000000003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 t="str">
            <v>煮黑</v>
          </cell>
          <cell r="L10">
            <v>3.0000000000000001E-3</v>
          </cell>
          <cell r="M10">
            <v>2.5</v>
          </cell>
          <cell r="N10">
            <v>7.4999999999999997E-3</v>
          </cell>
          <cell r="O10"/>
          <cell r="P10"/>
        </row>
        <row r="11">
          <cell r="B11"/>
          <cell r="C11"/>
          <cell r="D11"/>
          <cell r="E11" t="str">
            <v>合计：</v>
          </cell>
          <cell r="F11"/>
          <cell r="G11"/>
          <cell r="H11"/>
          <cell r="I11"/>
          <cell r="J11">
            <v>2.1000000000000001E-2</v>
          </cell>
          <cell r="K11" t="str">
            <v>合计：</v>
          </cell>
          <cell r="L11"/>
          <cell r="M11"/>
          <cell r="N11">
            <v>8.3100000000000007E-2</v>
          </cell>
          <cell r="O11"/>
          <cell r="P11"/>
        </row>
        <row r="12">
          <cell r="B12" t="str">
            <v>SHT0013729</v>
          </cell>
          <cell r="C12" t="str">
            <v>扶手手轮弹簧</v>
          </cell>
          <cell r="D12" t="str">
            <v>65Mn</v>
          </cell>
          <cell r="E12">
            <v>7</v>
          </cell>
          <cell r="F12">
            <v>1</v>
          </cell>
          <cell r="G12">
            <v>5.3E-3</v>
          </cell>
          <cell r="H12">
            <v>5.3E-3</v>
          </cell>
          <cell r="I12">
            <v>0</v>
          </cell>
          <cell r="J12">
            <v>3.7100000000000001E-2</v>
          </cell>
          <cell r="K12" t="str">
            <v>卷制</v>
          </cell>
          <cell r="L12">
            <v>25</v>
          </cell>
          <cell r="M12">
            <v>2.8E-3</v>
          </cell>
          <cell r="N12">
            <v>6.9999999999999993E-2</v>
          </cell>
          <cell r="O12">
            <v>0.19109999999999999</v>
          </cell>
          <cell r="P12">
            <v>0.134792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 t="str">
            <v>煮黑</v>
          </cell>
          <cell r="L13">
            <v>5.3E-3</v>
          </cell>
          <cell r="M13">
            <v>2.5</v>
          </cell>
          <cell r="N13">
            <v>1.325E-2</v>
          </cell>
          <cell r="O13"/>
          <cell r="P13"/>
        </row>
        <row r="14">
          <cell r="B14"/>
          <cell r="C14"/>
          <cell r="D14"/>
          <cell r="E14" t="str">
            <v>合计：</v>
          </cell>
          <cell r="F14"/>
          <cell r="G14"/>
          <cell r="H14"/>
          <cell r="I14"/>
          <cell r="J14">
            <v>3.7100000000000001E-2</v>
          </cell>
          <cell r="K14" t="str">
            <v>合计：</v>
          </cell>
          <cell r="L14"/>
          <cell r="M14"/>
          <cell r="N14">
            <v>8.3249999999999991E-2</v>
          </cell>
          <cell r="O14"/>
          <cell r="P14"/>
        </row>
        <row r="15">
          <cell r="B15" t="str">
            <v>SHT0015007</v>
          </cell>
          <cell r="C15" t="str">
            <v>靠背支撑钢丝</v>
          </cell>
          <cell r="D15" t="str">
            <v>Q235</v>
          </cell>
          <cell r="E15">
            <v>7.9646017699115053</v>
          </cell>
          <cell r="F15"/>
          <cell r="G15"/>
          <cell r="H15">
            <v>3.8800000000000001E-2</v>
          </cell>
          <cell r="I15"/>
          <cell r="J15"/>
          <cell r="K15"/>
          <cell r="L15"/>
          <cell r="M15"/>
          <cell r="N15"/>
          <cell r="O15">
            <v>0.31380000000000002</v>
          </cell>
          <cell r="P15">
            <v>0.3090265486725664</v>
          </cell>
        </row>
        <row r="16">
          <cell r="B16" t="str">
            <v>SHT0012748</v>
          </cell>
          <cell r="C16" t="str">
            <v>靠背肩部钢丝</v>
          </cell>
          <cell r="D16" t="str">
            <v>65Mn</v>
          </cell>
          <cell r="E16">
            <v>7</v>
          </cell>
          <cell r="F16">
            <v>1</v>
          </cell>
          <cell r="G16">
            <v>8.8999999999999999E-3</v>
          </cell>
          <cell r="H16">
            <v>8.8999999999999999E-3</v>
          </cell>
          <cell r="I16">
            <v>0</v>
          </cell>
          <cell r="J16">
            <v>6.2300000000000001E-2</v>
          </cell>
          <cell r="K16" t="str">
            <v>折弯</v>
          </cell>
          <cell r="L16">
            <v>2</v>
          </cell>
          <cell r="M16">
            <v>0.01</v>
          </cell>
          <cell r="N16">
            <v>0.02</v>
          </cell>
          <cell r="O16">
            <v>0.14649999999999999</v>
          </cell>
          <cell r="P16">
            <v>9.8448000000000022E-2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 t="str">
            <v>卷制</v>
          </cell>
          <cell r="L17">
            <v>2</v>
          </cell>
          <cell r="M17">
            <v>2.8E-3</v>
          </cell>
          <cell r="N17">
            <v>5.5999999999999999E-3</v>
          </cell>
          <cell r="O17"/>
          <cell r="P17"/>
        </row>
        <row r="18">
          <cell r="B18"/>
          <cell r="C18"/>
          <cell r="D18"/>
          <cell r="E18" t="str">
            <v>合计：</v>
          </cell>
          <cell r="F18"/>
          <cell r="G18"/>
          <cell r="H18"/>
          <cell r="I18"/>
          <cell r="J18">
            <v>6.2300000000000001E-2</v>
          </cell>
          <cell r="K18" t="str">
            <v>合计：</v>
          </cell>
          <cell r="L18"/>
          <cell r="M18"/>
          <cell r="N18">
            <v>2.5600000000000001E-2</v>
          </cell>
          <cell r="O18"/>
          <cell r="P18"/>
        </row>
        <row r="19">
          <cell r="B19" t="str">
            <v>BPC0010208</v>
          </cell>
          <cell r="C19" t="str">
            <v>连接件</v>
          </cell>
          <cell r="D19">
            <v>304</v>
          </cell>
          <cell r="E19">
            <v>50</v>
          </cell>
          <cell r="F19">
            <v>20</v>
          </cell>
          <cell r="G19">
            <v>3.2000000000000003E-4</v>
          </cell>
          <cell r="H19">
            <v>2.5000000000000001E-4</v>
          </cell>
          <cell r="I19">
            <v>7.0000000000000021E-5</v>
          </cell>
          <cell r="J19">
            <v>1.46E-2</v>
          </cell>
          <cell r="K19" t="str">
            <v>落料</v>
          </cell>
          <cell r="L19" t="str">
            <v>40T</v>
          </cell>
          <cell r="M19">
            <v>0.03</v>
          </cell>
          <cell r="N19">
            <v>0.03</v>
          </cell>
          <cell r="O19">
            <v>0.27160000000000001</v>
          </cell>
          <cell r="P19">
            <v>0.10673600000000001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 t="str">
            <v>折弯</v>
          </cell>
          <cell r="L20" t="str">
            <v>40T</v>
          </cell>
          <cell r="M20">
            <v>0.03</v>
          </cell>
          <cell r="N20">
            <v>0.03</v>
          </cell>
          <cell r="O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 t="str">
            <v>检验包装</v>
          </cell>
          <cell r="L21">
            <v>6.8999999999999999E-3</v>
          </cell>
          <cell r="M21">
            <v>3</v>
          </cell>
          <cell r="N21">
            <v>2.07E-2</v>
          </cell>
          <cell r="O21"/>
          <cell r="P21"/>
        </row>
        <row r="22">
          <cell r="B22"/>
          <cell r="C22"/>
          <cell r="D22"/>
          <cell r="E22" t="str">
            <v>合计：</v>
          </cell>
          <cell r="F22"/>
          <cell r="G22"/>
          <cell r="H22"/>
          <cell r="I22"/>
          <cell r="J22">
            <v>1.46E-2</v>
          </cell>
          <cell r="K22" t="str">
            <v>合计：</v>
          </cell>
          <cell r="L22"/>
          <cell r="M22"/>
          <cell r="N22">
            <v>8.0699999999999994E-2</v>
          </cell>
          <cell r="O22"/>
          <cell r="P22"/>
        </row>
        <row r="23">
          <cell r="B23" t="str">
            <v>BPC0010038</v>
          </cell>
          <cell r="C23" t="str">
            <v>溢流弹簧</v>
          </cell>
          <cell r="D23">
            <v>304</v>
          </cell>
          <cell r="E23">
            <v>50</v>
          </cell>
          <cell r="F23">
            <v>20</v>
          </cell>
          <cell r="G23">
            <v>1.4999999999999999E-4</v>
          </cell>
          <cell r="H23">
            <v>1.4999999999999999E-4</v>
          </cell>
          <cell r="I23">
            <v>0</v>
          </cell>
          <cell r="J23">
            <v>7.4999999999999997E-3</v>
          </cell>
          <cell r="K23" t="str">
            <v>卷制</v>
          </cell>
          <cell r="L23">
            <v>10.8</v>
          </cell>
          <cell r="M23">
            <v>6.9444444444444441E-3</v>
          </cell>
          <cell r="N23">
            <v>7.4999999999999997E-2</v>
          </cell>
          <cell r="O23">
            <v>0.2104</v>
          </cell>
          <cell r="P23">
            <v>0.1312888888888889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 t="str">
            <v>回火</v>
          </cell>
          <cell r="L24">
            <v>5</v>
          </cell>
          <cell r="M24">
            <v>6.9444444444444441E-3</v>
          </cell>
          <cell r="N24">
            <v>3.4722222222222224E-2</v>
          </cell>
          <cell r="O24"/>
          <cell r="P24"/>
        </row>
        <row r="25">
          <cell r="B25"/>
          <cell r="C25"/>
          <cell r="D25"/>
          <cell r="E25" t="str">
            <v>合计：</v>
          </cell>
          <cell r="F25"/>
          <cell r="G25"/>
          <cell r="H25"/>
          <cell r="I25"/>
          <cell r="J25">
            <v>7.4999999999999997E-3</v>
          </cell>
          <cell r="K25" t="str">
            <v>合计：</v>
          </cell>
          <cell r="L25"/>
          <cell r="M25"/>
          <cell r="N25">
            <v>0.10972222222222222</v>
          </cell>
          <cell r="O25"/>
          <cell r="P25"/>
        </row>
        <row r="26">
          <cell r="B26" t="str">
            <v>BPC0010037</v>
          </cell>
          <cell r="C26" t="str">
            <v>复位弹簧</v>
          </cell>
          <cell r="D26">
            <v>304</v>
          </cell>
          <cell r="E26">
            <v>50</v>
          </cell>
          <cell r="F26">
            <v>20</v>
          </cell>
          <cell r="G26">
            <v>2.5000000000000001E-4</v>
          </cell>
          <cell r="H26">
            <v>2.5000000000000001E-4</v>
          </cell>
          <cell r="I26">
            <v>0</v>
          </cell>
          <cell r="J26">
            <v>1.2500000000000001E-2</v>
          </cell>
          <cell r="K26" t="str">
            <v>卷制</v>
          </cell>
          <cell r="L26">
            <v>10.8</v>
          </cell>
          <cell r="M26">
            <v>6.9444444444444441E-3</v>
          </cell>
          <cell r="N26">
            <v>7.4999999999999997E-2</v>
          </cell>
          <cell r="O26">
            <v>0.216</v>
          </cell>
          <cell r="P26">
            <v>0.13688888888888889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 t="str">
            <v>回火</v>
          </cell>
          <cell r="L27">
            <v>5</v>
          </cell>
          <cell r="M27">
            <v>6.9444444444444441E-3</v>
          </cell>
          <cell r="N27">
            <v>3.4722222222222224E-2</v>
          </cell>
          <cell r="O27"/>
          <cell r="P27"/>
        </row>
        <row r="28">
          <cell r="B28"/>
          <cell r="C28"/>
          <cell r="D28"/>
          <cell r="E28" t="str">
            <v>合计：</v>
          </cell>
          <cell r="F28"/>
          <cell r="G28"/>
          <cell r="H28"/>
          <cell r="I28"/>
          <cell r="J28">
            <v>1.2500000000000001E-2</v>
          </cell>
          <cell r="K28" t="str">
            <v>合计：</v>
          </cell>
          <cell r="L28"/>
          <cell r="M28"/>
          <cell r="N28">
            <v>0.10972222222222222</v>
          </cell>
          <cell r="O28"/>
          <cell r="P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/>
      <sheetData sheetId="1"/>
      <sheetData sheetId="2"/>
      <sheetData sheetId="3">
        <row r="3">
          <cell r="C3" t="str">
            <v>SHT0010218</v>
          </cell>
          <cell r="D3" t="str">
            <v>减震器连接异型螺母</v>
          </cell>
          <cell r="E3" t="str">
            <v>Ф11*18</v>
          </cell>
          <cell r="F3" t="str">
            <v>个</v>
          </cell>
          <cell r="G3">
            <v>28</v>
          </cell>
          <cell r="H3">
            <v>1400000</v>
          </cell>
          <cell r="I3" t="str">
            <v>√</v>
          </cell>
          <cell r="J3">
            <v>0.65</v>
          </cell>
        </row>
        <row r="4">
          <cell r="C4" t="str">
            <v>SHT0010319</v>
          </cell>
          <cell r="D4" t="str">
            <v>H6减震器上框连接螺栓</v>
          </cell>
          <cell r="E4" t="str">
            <v>Ф11*46</v>
          </cell>
          <cell r="F4" t="str">
            <v>个</v>
          </cell>
          <cell r="G4">
            <v>6</v>
          </cell>
          <cell r="H4">
            <v>300000</v>
          </cell>
          <cell r="I4" t="str">
            <v>√</v>
          </cell>
          <cell r="J4">
            <v>1.05</v>
          </cell>
        </row>
        <row r="5">
          <cell r="C5" t="str">
            <v>SHT0010314</v>
          </cell>
          <cell r="D5" t="str">
            <v>阻尼器下连接螺栓</v>
          </cell>
          <cell r="E5" t="str">
            <v>Ф11*70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1.4</v>
          </cell>
        </row>
        <row r="6">
          <cell r="C6" t="str">
            <v>SHT0010313</v>
          </cell>
          <cell r="D6" t="str">
            <v>阻尼器上连接螺栓</v>
          </cell>
          <cell r="E6" t="str">
            <v>Ф8*37</v>
          </cell>
          <cell r="F6" t="str">
            <v>个</v>
          </cell>
          <cell r="G6">
            <v>2</v>
          </cell>
          <cell r="H6">
            <v>100000</v>
          </cell>
          <cell r="I6" t="str">
            <v>√</v>
          </cell>
          <cell r="J6">
            <v>0.85</v>
          </cell>
        </row>
        <row r="7">
          <cell r="C7" t="str">
            <v>SHT0010219</v>
          </cell>
          <cell r="D7" t="str">
            <v>仰角连接异型螺母</v>
          </cell>
          <cell r="E7" t="str">
            <v>Ф12*14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0.71</v>
          </cell>
        </row>
        <row r="8">
          <cell r="C8" t="str">
            <v>SHT0010843</v>
          </cell>
          <cell r="D8" t="str">
            <v>座框仰角固定螺栓</v>
          </cell>
          <cell r="E8" t="str">
            <v>M8*22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0.72</v>
          </cell>
        </row>
        <row r="9">
          <cell r="C9" t="str">
            <v>SHT0010315</v>
          </cell>
          <cell r="D9" t="str">
            <v>座框减震器连接轴</v>
          </cell>
          <cell r="E9" t="str">
            <v>Ф12*73</v>
          </cell>
          <cell r="F9" t="str">
            <v>个</v>
          </cell>
          <cell r="G9">
            <v>4</v>
          </cell>
          <cell r="H9">
            <v>200000</v>
          </cell>
          <cell r="I9" t="str">
            <v>√</v>
          </cell>
          <cell r="J9">
            <v>2.57</v>
          </cell>
        </row>
        <row r="10">
          <cell r="C10" t="str">
            <v>SHT0011642</v>
          </cell>
          <cell r="D10" t="str">
            <v>高调器衬套</v>
          </cell>
          <cell r="E10" t="str">
            <v>Ф11*9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0.45</v>
          </cell>
        </row>
        <row r="11">
          <cell r="C11" t="str">
            <v>SHT0010208</v>
          </cell>
          <cell r="D11" t="str">
            <v>减震器上框支架T型焊接螺母</v>
          </cell>
          <cell r="E11" t="str">
            <v>Ф11*13</v>
          </cell>
          <cell r="F11" t="str">
            <v>个</v>
          </cell>
          <cell r="G11">
            <v>2</v>
          </cell>
          <cell r="H11">
            <v>100000</v>
          </cell>
          <cell r="I11" t="str">
            <v>√</v>
          </cell>
          <cell r="J11">
            <v>0.54</v>
          </cell>
        </row>
        <row r="12">
          <cell r="C12" t="str">
            <v>SHT0010802</v>
          </cell>
          <cell r="D12" t="str">
            <v>延伸锁止钣金固定螺栓</v>
          </cell>
          <cell r="E12" t="str">
            <v>M5*12.6</v>
          </cell>
          <cell r="F12" t="str">
            <v>个</v>
          </cell>
          <cell r="G12">
            <v>1</v>
          </cell>
          <cell r="H12">
            <v>50000</v>
          </cell>
          <cell r="I12" t="str">
            <v>√</v>
          </cell>
          <cell r="J12">
            <v>0.56000000000000005</v>
          </cell>
        </row>
        <row r="13">
          <cell r="C13" t="str">
            <v>SHT0012040</v>
          </cell>
          <cell r="D13" t="str">
            <v>升降器连接异型螺母</v>
          </cell>
          <cell r="E13" t="str">
            <v>——</v>
          </cell>
          <cell r="F13" t="str">
            <v>个</v>
          </cell>
          <cell r="G13">
            <v>2</v>
          </cell>
          <cell r="H13">
            <v>50000</v>
          </cell>
          <cell r="I13" t="str">
            <v>√</v>
          </cell>
          <cell r="J13">
            <v>2.0350000000000001</v>
          </cell>
        </row>
        <row r="14">
          <cell r="C14" t="str">
            <v>SHT0012041</v>
          </cell>
          <cell r="D14" t="str">
            <v>升降器连接螺栓</v>
          </cell>
          <cell r="E14" t="str">
            <v>——</v>
          </cell>
          <cell r="F14" t="str">
            <v>个</v>
          </cell>
          <cell r="G14">
            <v>2</v>
          </cell>
          <cell r="H14">
            <v>50000</v>
          </cell>
          <cell r="I14" t="str">
            <v>√</v>
          </cell>
          <cell r="J14">
            <v>0.83</v>
          </cell>
        </row>
        <row r="15">
          <cell r="C15" t="str">
            <v>BFA0000291</v>
          </cell>
          <cell r="D15" t="str">
            <v>H4A升级副司机台阶螺栓</v>
          </cell>
          <cell r="E15" t="str">
            <v>——</v>
          </cell>
          <cell r="F15" t="str">
            <v>个</v>
          </cell>
          <cell r="G15">
            <v>2</v>
          </cell>
          <cell r="H15">
            <v>120000</v>
          </cell>
          <cell r="I15" t="str">
            <v>√</v>
          </cell>
          <cell r="J15">
            <v>0.52249999999999996</v>
          </cell>
        </row>
        <row r="16">
          <cell r="C16" t="str">
            <v>BFA0010063</v>
          </cell>
          <cell r="D16" t="str">
            <v>内六花台阶螺栓</v>
          </cell>
          <cell r="E16" t="str">
            <v>——</v>
          </cell>
          <cell r="F16" t="str">
            <v>个</v>
          </cell>
          <cell r="G16">
            <v>2</v>
          </cell>
          <cell r="H16">
            <v>50000</v>
          </cell>
          <cell r="I16" t="str">
            <v>√</v>
          </cell>
          <cell r="J16">
            <v>1.1499999999999999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6"/>
    </sheetNames>
    <sheetDataSet>
      <sheetData sheetId="0">
        <row r="1">
          <cell r="B1" t="str">
            <v>材料编码</v>
          </cell>
          <cell r="C1" t="str">
            <v>物料名称</v>
          </cell>
          <cell r="D1" t="str">
            <v>供应商</v>
          </cell>
          <cell r="E1" t="str">
            <v>库存</v>
          </cell>
          <cell r="F1" t="str">
            <v>用途</v>
          </cell>
          <cell r="G1" t="str">
            <v>用量</v>
          </cell>
        </row>
        <row r="2">
          <cell r="B2" t="str">
            <v>SHT0010054</v>
          </cell>
          <cell r="C2" t="str">
            <v>VDC阀上固定轴</v>
          </cell>
          <cell r="D2" t="str">
            <v>霸州政锦</v>
          </cell>
          <cell r="F2" t="str">
            <v>H6绞架</v>
          </cell>
          <cell r="G2">
            <v>1</v>
          </cell>
        </row>
        <row r="3">
          <cell r="B3" t="str">
            <v>SHT0010058</v>
          </cell>
          <cell r="C3" t="str">
            <v>外绞架旋转轴</v>
          </cell>
          <cell r="D3" t="str">
            <v>霸州政锦</v>
          </cell>
          <cell r="F3" t="str">
            <v>H6绞架</v>
          </cell>
          <cell r="G3">
            <v>2</v>
          </cell>
        </row>
        <row r="4">
          <cell r="B4" t="str">
            <v>SHT0010122</v>
          </cell>
          <cell r="C4" t="str">
            <v>座框旋转螺栓轴套（两头亮的）</v>
          </cell>
          <cell r="D4" t="str">
            <v>霸州政锦</v>
          </cell>
          <cell r="F4" t="str">
            <v>正、副座框</v>
          </cell>
          <cell r="G4">
            <v>2</v>
          </cell>
        </row>
        <row r="5">
          <cell r="B5" t="str">
            <v>SHT0010229</v>
          </cell>
          <cell r="C5" t="str">
            <v>仰角连接杆</v>
          </cell>
          <cell r="D5" t="str">
            <v>霸州政锦</v>
          </cell>
          <cell r="F5" t="str">
            <v>正、副仰角连杆</v>
          </cell>
          <cell r="G5">
            <v>1</v>
          </cell>
        </row>
        <row r="6">
          <cell r="B6" t="str">
            <v>SHT0010299</v>
          </cell>
          <cell r="C6" t="str">
            <v>H6靠背调节手柄安装轴</v>
          </cell>
          <cell r="D6" t="str">
            <v>霸州政锦</v>
          </cell>
          <cell r="F6" t="str">
            <v>4种靠背</v>
          </cell>
          <cell r="G6">
            <v>1</v>
          </cell>
        </row>
        <row r="7">
          <cell r="B7" t="str">
            <v>SHT0010307</v>
          </cell>
          <cell r="C7" t="str">
            <v>减震前横梁支撑轴套</v>
          </cell>
          <cell r="D7" t="str">
            <v>霸州政锦</v>
          </cell>
          <cell r="F7" t="str">
            <v>焊接减震前横梁用2/底座用2根梁/底座单独用2</v>
          </cell>
          <cell r="G7">
            <v>6</v>
          </cell>
        </row>
        <row r="8">
          <cell r="B8" t="str">
            <v>SHT0010788</v>
          </cell>
          <cell r="C8" t="str">
            <v>仰角调节限位柱</v>
          </cell>
          <cell r="D8" t="str">
            <v>霸州政锦</v>
          </cell>
          <cell r="F8" t="str">
            <v>3种靠背（主高、低、副高）</v>
          </cell>
          <cell r="G8">
            <v>1</v>
          </cell>
        </row>
        <row r="9">
          <cell r="B9" t="str">
            <v>SHT0011034</v>
          </cell>
          <cell r="C9" t="str">
            <v>H6副司机座椅底支架导管</v>
          </cell>
          <cell r="D9" t="str">
            <v>霸州政锦</v>
          </cell>
          <cell r="F9" t="str">
            <v>副驾地支架</v>
          </cell>
          <cell r="G9">
            <v>4</v>
          </cell>
        </row>
        <row r="10">
          <cell r="B10" t="str">
            <v>SHT0011364</v>
          </cell>
          <cell r="C10" t="str">
            <v>扶手转轴</v>
          </cell>
          <cell r="D10" t="str">
            <v>霸州政锦</v>
          </cell>
          <cell r="F10" t="str">
            <v>3种靠背（主高、低、副高）</v>
          </cell>
          <cell r="G10">
            <v>2</v>
          </cell>
        </row>
        <row r="11">
          <cell r="B11" t="str">
            <v>SHT0011395</v>
          </cell>
          <cell r="C11" t="str">
            <v>滑轨手柄销套</v>
          </cell>
          <cell r="D11" t="str">
            <v>霸州政锦</v>
          </cell>
          <cell r="F11" t="str">
            <v>滑轨解锁手柄支撑钣金左、右</v>
          </cell>
          <cell r="G11">
            <v>1</v>
          </cell>
        </row>
        <row r="12">
          <cell r="B12" t="str">
            <v>SHT0011520</v>
          </cell>
          <cell r="C12" t="str">
            <v>内绞架支撑管(VDC)</v>
          </cell>
          <cell r="D12" t="str">
            <v>霸州政锦</v>
          </cell>
          <cell r="F12" t="str">
            <v>H6绞架</v>
          </cell>
          <cell r="G12">
            <v>1</v>
          </cell>
        </row>
        <row r="13">
          <cell r="B13" t="str">
            <v>SHT0010047</v>
          </cell>
          <cell r="C13" t="str">
            <v>内绞架前滚轮轴</v>
          </cell>
          <cell r="D13" t="str">
            <v>霸州政锦</v>
          </cell>
          <cell r="F13" t="str">
            <v>H6绞架</v>
          </cell>
          <cell r="G13">
            <v>2</v>
          </cell>
        </row>
        <row r="14">
          <cell r="B14" t="str">
            <v>SHT0010049</v>
          </cell>
          <cell r="C14" t="str">
            <v>内绞架后转轴</v>
          </cell>
          <cell r="D14" t="str">
            <v>霸州政锦</v>
          </cell>
          <cell r="F14" t="str">
            <v>H6绞架</v>
          </cell>
          <cell r="G14">
            <v>2</v>
          </cell>
        </row>
        <row r="15">
          <cell r="B15" t="str">
            <v>BCL0010013</v>
          </cell>
          <cell r="C15" t="str">
            <v>钣金扎带（背面扎带）</v>
          </cell>
          <cell r="D15" t="str">
            <v>保定兆龙通用电器塑业有限公司</v>
          </cell>
          <cell r="F15" t="str">
            <v>底座组装线通用    100支/袋</v>
          </cell>
          <cell r="G15">
            <v>1</v>
          </cell>
        </row>
        <row r="16">
          <cell r="B16" t="str">
            <v>SHT0010230</v>
          </cell>
          <cell r="C16" t="str">
            <v>H6主驾气囊总成</v>
          </cell>
          <cell r="D16" t="str">
            <v>北京光华荣昌汽车部件有限公司</v>
          </cell>
          <cell r="F16" t="str">
            <v>正副底座</v>
          </cell>
          <cell r="G16">
            <v>1</v>
          </cell>
        </row>
        <row r="17">
          <cell r="B17" t="str">
            <v>SHT0012172</v>
          </cell>
          <cell r="C17" t="str">
            <v>CHGVDC气阀气路总成</v>
          </cell>
          <cell r="D17" t="str">
            <v>北京光华荣昌汽车部件有限公司</v>
          </cell>
          <cell r="F17" t="str">
            <v>正副底座</v>
          </cell>
          <cell r="G17">
            <v>1</v>
          </cell>
        </row>
        <row r="18">
          <cell r="B18" t="str">
            <v>SHT0011399</v>
          </cell>
          <cell r="C18" t="str">
            <v>润滑脂</v>
          </cell>
          <cell r="D18" t="str">
            <v>北京嘉度科贸有限公司</v>
          </cell>
          <cell r="F18" t="str">
            <v>底座组装线+电泳用  1桶18KG</v>
          </cell>
          <cell r="G18">
            <v>1.4999999999999999E-2</v>
          </cell>
        </row>
        <row r="19">
          <cell r="B19" t="str">
            <v>SHT0014446</v>
          </cell>
          <cell r="C19" t="str">
            <v>星盘密封胶</v>
          </cell>
          <cell r="D19" t="str">
            <v>北京嘉度科贸有限公司</v>
          </cell>
          <cell r="F19" t="str">
            <v>4种靠背  1盒用7-8个靠背   100盒/箱</v>
          </cell>
          <cell r="G19">
            <v>0.2</v>
          </cell>
        </row>
        <row r="20">
          <cell r="B20" t="str">
            <v>BFA0000010</v>
          </cell>
          <cell r="C20" t="str">
            <v>M8自锁螺母(白)镀白锌</v>
          </cell>
          <cell r="D20" t="str">
            <v>北京浦东三浦标准件有限公司</v>
          </cell>
          <cell r="F20" t="str">
            <v>H6正副底座+所有减震器+所有升降器</v>
          </cell>
          <cell r="G20">
            <v>1</v>
          </cell>
        </row>
        <row r="21">
          <cell r="B21" t="str">
            <v>BFA0000087</v>
          </cell>
          <cell r="C21" t="str">
            <v>M10焊接螺母</v>
          </cell>
          <cell r="D21" t="str">
            <v>北京浦东三浦标准件有限公司</v>
          </cell>
          <cell r="F21" t="str">
            <v>牛头用1+正、副座框用2</v>
          </cell>
          <cell r="G21">
            <v>5</v>
          </cell>
        </row>
        <row r="22">
          <cell r="B22" t="str">
            <v>SHT0010128</v>
          </cell>
          <cell r="C22" t="str">
            <v>仰角锁止齿板（电镀）</v>
          </cell>
          <cell r="D22" t="str">
            <v>沧州美凯精冲产品有限公司</v>
          </cell>
          <cell r="F22" t="str">
            <v>正、副底座</v>
          </cell>
          <cell r="G22">
            <v>1</v>
          </cell>
        </row>
        <row r="23">
          <cell r="B23" t="str">
            <v>SHT0013705</v>
          </cell>
          <cell r="C23" t="str">
            <v>仰角凸轮钣金（电镀）</v>
          </cell>
          <cell r="D23" t="str">
            <v>沧州美凯精冲产品有限公司</v>
          </cell>
          <cell r="F23" t="str">
            <v>正、副底座</v>
          </cell>
          <cell r="G23">
            <v>1</v>
          </cell>
        </row>
        <row r="24">
          <cell r="B24" t="str">
            <v>SHT0010070</v>
          </cell>
          <cell r="C24" t="str">
            <v>扶手固定加强板1（不带母）</v>
          </cell>
          <cell r="D24" t="str">
            <v>沧州宇诺五金制造有限公司</v>
          </cell>
          <cell r="F24" t="str">
            <v>4种靠背</v>
          </cell>
          <cell r="G24">
            <v>1</v>
          </cell>
        </row>
        <row r="25">
          <cell r="B25" t="str">
            <v>SHT0010245</v>
          </cell>
          <cell r="C25" t="str">
            <v>扶手固定加强板2（不带母）</v>
          </cell>
          <cell r="D25" t="str">
            <v>沧州宇诺五金制造有限公司</v>
          </cell>
          <cell r="F25" t="str">
            <v>4种靠背</v>
          </cell>
          <cell r="G25">
            <v>1</v>
          </cell>
        </row>
        <row r="26">
          <cell r="B26" t="str">
            <v>SHT0010723</v>
          </cell>
          <cell r="C26" t="str">
            <v>司机主边调角器下连接板B</v>
          </cell>
          <cell r="D26" t="str">
            <v>沧州宇诺五金制造有限公司</v>
          </cell>
          <cell r="F26" t="str">
            <v>4种靠背</v>
          </cell>
          <cell r="G26">
            <v>1</v>
          </cell>
        </row>
        <row r="27">
          <cell r="B27" t="str">
            <v>SHT0010725</v>
          </cell>
          <cell r="C27" t="str">
            <v>司机副边调角器下连接板B</v>
          </cell>
          <cell r="D27" t="str">
            <v>沧州宇诺五金制造有限公司</v>
          </cell>
          <cell r="F27" t="str">
            <v>4种靠背</v>
          </cell>
          <cell r="G27">
            <v>1</v>
          </cell>
        </row>
        <row r="28">
          <cell r="B28" t="str">
            <v>SHT0010216</v>
          </cell>
          <cell r="C28" t="str">
            <v>气囊下支撑钣金固定轴套</v>
          </cell>
          <cell r="D28" t="str">
            <v>沧州智凯金属制品有限公司</v>
          </cell>
          <cell r="F28" t="str">
            <v>气囊下支撑用</v>
          </cell>
          <cell r="G28">
            <v>2</v>
          </cell>
        </row>
        <row r="29">
          <cell r="B29" t="str">
            <v>SHT0010842</v>
          </cell>
          <cell r="C29" t="str">
            <v>仰角拉线座框固定钣金（缺口小L片）</v>
          </cell>
          <cell r="D29" t="str">
            <v>沧州智凯金属制品有限公司</v>
          </cell>
          <cell r="F29" t="str">
            <v>正、副座框</v>
          </cell>
          <cell r="G29">
            <v>1</v>
          </cell>
        </row>
        <row r="30">
          <cell r="B30" t="str">
            <v>SHT0011363</v>
          </cell>
          <cell r="C30" t="str">
            <v>焊接轴套H6</v>
          </cell>
          <cell r="D30" t="str">
            <v>沧州智凯金属制品有限公司</v>
          </cell>
          <cell r="F30" t="str">
            <v>3种靠背（主高、低、副高）</v>
          </cell>
          <cell r="G30">
            <v>4</v>
          </cell>
        </row>
        <row r="31">
          <cell r="B31" t="str">
            <v>SHT0014961</v>
          </cell>
          <cell r="C31" t="str">
            <v>左侧挡片</v>
          </cell>
          <cell r="D31" t="str">
            <v>沧州智凯金属制品有限公司</v>
          </cell>
          <cell r="F31" t="str">
            <v>正、副底座</v>
          </cell>
          <cell r="G31">
            <v>1</v>
          </cell>
        </row>
        <row r="32">
          <cell r="B32" t="str">
            <v>SHT0014962</v>
          </cell>
          <cell r="C32" t="str">
            <v>右侧挡片</v>
          </cell>
          <cell r="D32" t="str">
            <v>沧州智凯金属制品有限公司</v>
          </cell>
          <cell r="F32" t="str">
            <v>正、副底座</v>
          </cell>
          <cell r="G32">
            <v>1</v>
          </cell>
        </row>
        <row r="33">
          <cell r="B33" t="str">
            <v>SHT0010412</v>
          </cell>
          <cell r="C33" t="str">
            <v>H6副驾驶从动侧圆盘总成  1492945X    900</v>
          </cell>
          <cell r="D33" t="str">
            <v>佛吉亚(无锡)座椅部件有限公司</v>
          </cell>
          <cell r="F33" t="str">
            <v>靠背副高、副低</v>
          </cell>
          <cell r="G33">
            <v>1</v>
          </cell>
        </row>
        <row r="34">
          <cell r="B34" t="str">
            <v>SHT0002054</v>
          </cell>
          <cell r="C34" t="str">
            <v>主驾驶星盘塑料件黑色</v>
          </cell>
          <cell r="D34" t="str">
            <v>佛吉亚(无锡)座椅部件有限公司</v>
          </cell>
          <cell r="F34" t="str">
            <v>4种靠背</v>
          </cell>
          <cell r="G34">
            <v>1</v>
          </cell>
        </row>
        <row r="35">
          <cell r="B35" t="str">
            <v>SHT0002055</v>
          </cell>
          <cell r="C35" t="str">
            <v>副驾驶星盘塑料件米色1383125X</v>
          </cell>
          <cell r="D35" t="str">
            <v>佛吉亚(无锡)座椅部件有限公司</v>
          </cell>
          <cell r="F35" t="str">
            <v>4种靠背</v>
          </cell>
          <cell r="G35">
            <v>1</v>
          </cell>
        </row>
        <row r="36">
          <cell r="B36" t="str">
            <v>SHT0010296</v>
          </cell>
          <cell r="C36" t="str">
            <v>调节器连动杆  2830500X</v>
          </cell>
          <cell r="D36" t="str">
            <v>佛吉亚(无锡)座椅部件有限公司</v>
          </cell>
          <cell r="F36" t="str">
            <v>4种靠背</v>
          </cell>
          <cell r="G36">
            <v>1</v>
          </cell>
        </row>
        <row r="37">
          <cell r="B37" t="str">
            <v>SHT0010297</v>
          </cell>
          <cell r="C37" t="str">
            <v>H6司机主芯盘2830496X   720</v>
          </cell>
          <cell r="D37" t="str">
            <v>佛吉亚(无锡)座椅部件有限公司</v>
          </cell>
          <cell r="F37" t="str">
            <v>主驾靠背高配、低配</v>
          </cell>
          <cell r="G37">
            <v>1</v>
          </cell>
        </row>
        <row r="38">
          <cell r="B38" t="str">
            <v>SHT0010300</v>
          </cell>
          <cell r="C38" t="str">
            <v>H6司机副边芯盘 1492946X  900</v>
          </cell>
          <cell r="D38" t="str">
            <v>佛吉亚(无锡)座椅部件有限公司</v>
          </cell>
          <cell r="F38" t="str">
            <v>主驾靠背高配、低配</v>
          </cell>
          <cell r="G38">
            <v>1</v>
          </cell>
        </row>
        <row r="39">
          <cell r="B39" t="str">
            <v>SHT0010406</v>
          </cell>
          <cell r="C39" t="str">
            <v>H6副驾驶主动侧圆盘总成  2830499X   720</v>
          </cell>
          <cell r="D39" t="str">
            <v>佛吉亚(无锡)座椅部件有限公司</v>
          </cell>
          <cell r="F39" t="str">
            <v>副驾靠背高配、低配</v>
          </cell>
          <cell r="G39">
            <v>1</v>
          </cell>
        </row>
        <row r="40">
          <cell r="B40" t="str">
            <v>BSP0010006</v>
          </cell>
          <cell r="C40" t="str">
            <v>靠背回位蜗簧</v>
          </cell>
          <cell r="D40" t="str">
            <v>海兴中盛弹簧有限公司</v>
          </cell>
          <cell r="F40" t="str">
            <v>4种靠背</v>
          </cell>
          <cell r="G40">
            <v>1</v>
          </cell>
        </row>
        <row r="41">
          <cell r="B41" t="str">
            <v>SHT0010418</v>
          </cell>
          <cell r="C41" t="str">
            <v>安全带上支撑钢丝（勾在上）</v>
          </cell>
          <cell r="D41" t="str">
            <v>海兴中盛弹簧有限公司</v>
          </cell>
          <cell r="F41" t="str">
            <v>靠背副高、副低</v>
          </cell>
          <cell r="G41">
            <v>1</v>
          </cell>
        </row>
        <row r="42">
          <cell r="B42" t="str">
            <v>BSP0010007</v>
          </cell>
          <cell r="C42" t="str">
            <v>仰角回位拉簧</v>
          </cell>
          <cell r="D42" t="str">
            <v>海兴中盛弹簧有限公司</v>
          </cell>
          <cell r="F42" t="str">
            <v>正、副底座</v>
          </cell>
          <cell r="G42">
            <v>1</v>
          </cell>
        </row>
        <row r="43">
          <cell r="B43" t="str">
            <v>BSP0010008</v>
          </cell>
          <cell r="C43" t="str">
            <v>靠背调节铸件回位簧</v>
          </cell>
          <cell r="D43" t="str">
            <v>海兴中盛弹簧有限公司</v>
          </cell>
          <cell r="F43" t="str">
            <v>4种靠背</v>
          </cell>
          <cell r="G43">
            <v>1</v>
          </cell>
        </row>
        <row r="44">
          <cell r="B44" t="str">
            <v>BSP0010009</v>
          </cell>
          <cell r="C44" t="str">
            <v>仰角解锁铸件回位簧</v>
          </cell>
          <cell r="D44" t="str">
            <v>海兴中盛弹簧有限公司</v>
          </cell>
          <cell r="F44" t="str">
            <v>3种靠背（主高、低、副高）</v>
          </cell>
          <cell r="G44">
            <v>1</v>
          </cell>
        </row>
        <row r="45">
          <cell r="B45" t="str">
            <v>BSP0010011</v>
          </cell>
          <cell r="C45" t="str">
            <v>变阻尼拉线回位簧</v>
          </cell>
          <cell r="D45" t="str">
            <v>海兴中盛弹簧有限公司</v>
          </cell>
          <cell r="F45" t="str">
            <v>正、副底座</v>
          </cell>
          <cell r="G45">
            <v>1</v>
          </cell>
        </row>
        <row r="46">
          <cell r="B46" t="str">
            <v>BSP0010012</v>
          </cell>
          <cell r="C46" t="str">
            <v>滑轨解锁手柄右</v>
          </cell>
          <cell r="D46" t="str">
            <v>海兴中盛弹簧有限公司</v>
          </cell>
          <cell r="F46" t="str">
            <v>正、副底座</v>
          </cell>
          <cell r="G46">
            <v>2</v>
          </cell>
        </row>
        <row r="47">
          <cell r="B47" t="str">
            <v>SHT0010060</v>
          </cell>
          <cell r="C47" t="str">
            <v>安全带上支撑钢丝（勾在下）</v>
          </cell>
          <cell r="D47" t="str">
            <v>海兴中盛弹簧有限公司</v>
          </cell>
          <cell r="F47" t="str">
            <v>主驾靠背高配、低配</v>
          </cell>
          <cell r="G47">
            <v>1</v>
          </cell>
        </row>
        <row r="48">
          <cell r="B48" t="str">
            <v>SHT0010074</v>
          </cell>
          <cell r="C48" t="str">
            <v>靠背侧翼支撑钢丝（长的）</v>
          </cell>
          <cell r="D48" t="str">
            <v>海兴中盛弹簧有限公司</v>
          </cell>
          <cell r="F48" t="str">
            <v>3种靠背（主高、低、副高）</v>
          </cell>
          <cell r="G48">
            <v>2</v>
          </cell>
        </row>
        <row r="49">
          <cell r="B49" t="str">
            <v>SHT0010081</v>
          </cell>
          <cell r="C49" t="str">
            <v>靠背板支撑钢丝1</v>
          </cell>
          <cell r="D49" t="str">
            <v>海兴中盛弹簧有限公司</v>
          </cell>
          <cell r="F49" t="str">
            <v>4种靠背</v>
          </cell>
          <cell r="G49">
            <v>2</v>
          </cell>
        </row>
        <row r="50">
          <cell r="B50" t="str">
            <v>SHT0010763</v>
          </cell>
          <cell r="C50" t="str">
            <v>H6肩部支撑钢丝</v>
          </cell>
          <cell r="D50" t="str">
            <v>海兴中盛弹簧有限公司</v>
          </cell>
          <cell r="F50" t="str">
            <v>4种靠背</v>
          </cell>
          <cell r="G50">
            <v>1</v>
          </cell>
        </row>
        <row r="51">
          <cell r="B51" t="str">
            <v>SHT0010779</v>
          </cell>
          <cell r="C51" t="str">
            <v>气袋腰托侧翼支撑钢丝(短的)</v>
          </cell>
          <cell r="D51" t="str">
            <v>海兴中盛弹簧有限公司</v>
          </cell>
          <cell r="F51" t="str">
            <v>3种靠背（主高、低、副高）</v>
          </cell>
          <cell r="G51">
            <v>2</v>
          </cell>
        </row>
        <row r="52">
          <cell r="B52" t="str">
            <v>SHT0010780</v>
          </cell>
          <cell r="C52" t="str">
            <v>气袋腰托下固定焊接</v>
          </cell>
          <cell r="D52" t="str">
            <v>海兴中盛弹簧有限公司</v>
          </cell>
          <cell r="F52" t="str">
            <v>4种靠背</v>
          </cell>
          <cell r="G52">
            <v>1</v>
          </cell>
        </row>
        <row r="53">
          <cell r="B53" t="str">
            <v>SHT0011014</v>
          </cell>
          <cell r="C53" t="str">
            <v>钢丝焊接总成</v>
          </cell>
          <cell r="D53" t="str">
            <v>海兴中盛弹簧有限公司</v>
          </cell>
          <cell r="F53" t="str">
            <v>座框骨架总成（2452）</v>
          </cell>
          <cell r="G53">
            <v>1</v>
          </cell>
        </row>
        <row r="54">
          <cell r="B54" t="str">
            <v>SHT0011260</v>
          </cell>
          <cell r="C54" t="str">
            <v>面套钩挂钢丝</v>
          </cell>
          <cell r="D54" t="str">
            <v>海兴中盛弹簧有限公司</v>
          </cell>
          <cell r="F54" t="str">
            <v>3种靠背（主高、低、副高）</v>
          </cell>
          <cell r="G54">
            <v>1</v>
          </cell>
        </row>
        <row r="55">
          <cell r="B55" t="str">
            <v>BSP0010013</v>
          </cell>
          <cell r="C55" t="str">
            <v>滑轨解锁机构回位簧</v>
          </cell>
          <cell r="D55" t="str">
            <v>海兴中盛弹簧有限公司</v>
          </cell>
          <cell r="F55" t="str">
            <v>冲压车间用  铆接滑轨</v>
          </cell>
          <cell r="G55">
            <v>2</v>
          </cell>
        </row>
        <row r="56">
          <cell r="B56" t="str">
            <v>BPC0000019</v>
          </cell>
          <cell r="C56" t="str">
            <v>PVC管(防护胶管)</v>
          </cell>
          <cell r="D56" t="str">
            <v>河北宏广橡塑金属制品有限公司</v>
          </cell>
          <cell r="F56" t="str">
            <v>正、副底座</v>
          </cell>
          <cell r="G56">
            <v>0.55000000000000004</v>
          </cell>
        </row>
        <row r="57">
          <cell r="B57" t="str">
            <v>SHT0011031</v>
          </cell>
          <cell r="C57" t="str">
            <v>H6副司机座椅底支架上板</v>
          </cell>
          <cell r="D57" t="str">
            <v>河北利达金属制品集团有限公司</v>
          </cell>
          <cell r="F57" t="str">
            <v>副司机底支架</v>
          </cell>
          <cell r="G57">
            <v>1</v>
          </cell>
        </row>
        <row r="58">
          <cell r="B58" t="str">
            <v>SHT0010286</v>
          </cell>
          <cell r="C58" t="str">
            <v>H6司机滑轨解锁手柄</v>
          </cell>
          <cell r="D58" t="str">
            <v>河北新强力机械制造有限公司</v>
          </cell>
          <cell r="F58" t="str">
            <v>正、副底座</v>
          </cell>
          <cell r="G58">
            <v>1</v>
          </cell>
        </row>
        <row r="59">
          <cell r="B59" t="str">
            <v>SHT0010383</v>
          </cell>
          <cell r="C59" t="str">
            <v>仰角调节拉线</v>
          </cell>
          <cell r="D59" t="str">
            <v>河北亿泽汽车零部件科技有限公司</v>
          </cell>
          <cell r="F59" t="str">
            <v>正、副底座</v>
          </cell>
          <cell r="G59">
            <v>1</v>
          </cell>
        </row>
        <row r="60">
          <cell r="B60" t="str">
            <v>SHT0011391</v>
          </cell>
          <cell r="C60" t="str">
            <v>锁止板</v>
          </cell>
          <cell r="D60" t="str">
            <v>湖北伟世通</v>
          </cell>
          <cell r="F60" t="str">
            <v>冲压车间用  铆接滑轨</v>
          </cell>
          <cell r="G60">
            <v>1</v>
          </cell>
        </row>
        <row r="61">
          <cell r="B61" t="str">
            <v>TMA0000283</v>
          </cell>
          <cell r="C61" t="str">
            <v>泡沫片45*45</v>
          </cell>
          <cell r="D61" t="str">
            <v>黄骅市保俊成复合彩印厂</v>
          </cell>
          <cell r="F61" t="str">
            <v>电泳用</v>
          </cell>
          <cell r="G61">
            <v>2</v>
          </cell>
        </row>
        <row r="62">
          <cell r="B62" t="str">
            <v>SHT0010052</v>
          </cell>
          <cell r="C62" t="str">
            <v>阻尼器上固定钣金（小河马）</v>
          </cell>
          <cell r="D62" t="str">
            <v>黄骅市成卓汽车部件厂</v>
          </cell>
          <cell r="F62" t="str">
            <v>H6绞架</v>
          </cell>
          <cell r="G62">
            <v>2</v>
          </cell>
        </row>
        <row r="63">
          <cell r="B63" t="str">
            <v>SHT0010069</v>
          </cell>
          <cell r="C63" t="str">
            <v>蜗簧下固定钣金</v>
          </cell>
          <cell r="D63" t="str">
            <v>黄骅市成卓汽车部件厂</v>
          </cell>
          <cell r="F63" t="str">
            <v>4种靠背</v>
          </cell>
          <cell r="G63">
            <v>1</v>
          </cell>
        </row>
        <row r="64">
          <cell r="B64" t="str">
            <v>SHT0010136</v>
          </cell>
          <cell r="C64" t="str">
            <v>座盆调节限位钣金</v>
          </cell>
          <cell r="D64" t="str">
            <v>黄骅市成卓汽车部件厂</v>
          </cell>
          <cell r="F64" t="str">
            <v>正、副座框</v>
          </cell>
          <cell r="G64">
            <v>1</v>
          </cell>
        </row>
        <row r="65">
          <cell r="B65" t="str">
            <v>SHT0010192</v>
          </cell>
          <cell r="C65" t="str">
            <v>蜗簧固定钣金片2（小船）</v>
          </cell>
          <cell r="D65" t="str">
            <v>黄骅市成卓汽车部件厂</v>
          </cell>
          <cell r="F65" t="str">
            <v>4种靠背</v>
          </cell>
          <cell r="G65">
            <v>1</v>
          </cell>
        </row>
        <row r="66">
          <cell r="B66" t="str">
            <v>SHT0010220</v>
          </cell>
          <cell r="C66" t="str">
            <v>仰角连杆2</v>
          </cell>
          <cell r="D66" t="str">
            <v>黄骅市成卓汽车部件厂</v>
          </cell>
          <cell r="F66" t="str">
            <v>正、副底座</v>
          </cell>
          <cell r="G66">
            <v>2</v>
          </cell>
        </row>
        <row r="67">
          <cell r="B67" t="str">
            <v>SHT0010226</v>
          </cell>
          <cell r="C67" t="str">
            <v>仰角连杆3左侧钣金</v>
          </cell>
          <cell r="D67" t="str">
            <v>黄骅市成卓汽车部件厂</v>
          </cell>
          <cell r="F67" t="str">
            <v>正、副仰角连杆</v>
          </cell>
          <cell r="G67">
            <v>1</v>
          </cell>
        </row>
        <row r="68">
          <cell r="B68" t="str">
            <v>SHT0010227</v>
          </cell>
          <cell r="C68" t="str">
            <v>仰角连杆3右侧钣金</v>
          </cell>
          <cell r="D68" t="str">
            <v>黄骅市成卓汽车部件厂</v>
          </cell>
          <cell r="F68" t="str">
            <v>正、副仰角连杆</v>
          </cell>
          <cell r="G68">
            <v>1</v>
          </cell>
        </row>
        <row r="69">
          <cell r="B69" t="str">
            <v>SHT0010306</v>
          </cell>
          <cell r="C69" t="str">
            <v>阻尼器下固定钣金焊接总成（鸟头）</v>
          </cell>
          <cell r="D69" t="str">
            <v>黄骅市成卓汽车部件厂</v>
          </cell>
          <cell r="F69" t="str">
            <v>H6绞架</v>
          </cell>
          <cell r="G69">
            <v>1</v>
          </cell>
        </row>
        <row r="70">
          <cell r="B70" t="str">
            <v>SHT0010890</v>
          </cell>
          <cell r="C70" t="str">
            <v>翻转限位钣金安装轴（小的）</v>
          </cell>
          <cell r="D70" t="str">
            <v>黄骅市成卓汽车部件厂</v>
          </cell>
          <cell r="F70" t="str">
            <v>副驾低配靠背</v>
          </cell>
          <cell r="G70">
            <v>1</v>
          </cell>
        </row>
        <row r="71">
          <cell r="B71" t="str">
            <v>SHT0011112</v>
          </cell>
          <cell r="C71" t="str">
            <v>安全带卷收器固定钣金焊接总成（口在下）</v>
          </cell>
          <cell r="D71" t="str">
            <v>黄骅市成卓汽车部件厂</v>
          </cell>
          <cell r="F71" t="str">
            <v>正底座</v>
          </cell>
          <cell r="G71">
            <v>1</v>
          </cell>
        </row>
        <row r="72">
          <cell r="B72" t="str">
            <v>SHT0011416</v>
          </cell>
          <cell r="C72" t="str">
            <v>副司机安全带卷收器固定板金焊接总成（口在上）</v>
          </cell>
          <cell r="D72" t="str">
            <v>黄骅市成卓汽车部件厂</v>
          </cell>
          <cell r="F72" t="str">
            <v>副底座</v>
          </cell>
          <cell r="G72">
            <v>1</v>
          </cell>
        </row>
        <row r="73">
          <cell r="B73" t="str">
            <v>SHT0010134</v>
          </cell>
          <cell r="C73" t="str">
            <v>坐盆延伸固定钣金</v>
          </cell>
          <cell r="D73" t="str">
            <v>黄骅市再兴汽车配件有限公司</v>
          </cell>
          <cell r="F73" t="str">
            <v>正、副座框</v>
          </cell>
          <cell r="G73">
            <v>2</v>
          </cell>
        </row>
        <row r="74">
          <cell r="B74" t="str">
            <v>SHT0010240</v>
          </cell>
          <cell r="C74" t="str">
            <v>防尘罩支撑板金</v>
          </cell>
          <cell r="D74" t="str">
            <v>黄骅市再兴汽车配件有限公司</v>
          </cell>
          <cell r="F74" t="str">
            <v>正、副底座</v>
          </cell>
          <cell r="G74">
            <v>4</v>
          </cell>
        </row>
        <row r="75">
          <cell r="B75" t="str">
            <v>SHT0010261</v>
          </cell>
          <cell r="C75" t="str">
            <v>罩壳固定钣金</v>
          </cell>
          <cell r="D75" t="str">
            <v>黄骅市再兴汽车配件有限公司</v>
          </cell>
          <cell r="F75" t="str">
            <v>正、副座框</v>
          </cell>
          <cell r="G75">
            <v>2</v>
          </cell>
        </row>
        <row r="76">
          <cell r="B76" t="str">
            <v>SHT0010699</v>
          </cell>
          <cell r="C76" t="str">
            <v>橡胶垫安装支架</v>
          </cell>
          <cell r="D76" t="str">
            <v>黄骅市再兴汽车配件有限公司</v>
          </cell>
          <cell r="F76" t="str">
            <v>座框骨架总成（2452）</v>
          </cell>
          <cell r="G76">
            <v>2</v>
          </cell>
        </row>
        <row r="77">
          <cell r="B77" t="str">
            <v>SHT0010786</v>
          </cell>
          <cell r="C77" t="str">
            <v>罩壳固定板金片</v>
          </cell>
          <cell r="D77" t="str">
            <v>黄骅市再兴汽车配件有限公司</v>
          </cell>
          <cell r="F77" t="str">
            <v>4种靠背</v>
          </cell>
          <cell r="G77">
            <v>2</v>
          </cell>
        </row>
        <row r="78">
          <cell r="B78" t="str">
            <v>SHT0010909</v>
          </cell>
          <cell r="C78" t="str">
            <v>靠背调节角度限位片-副边</v>
          </cell>
          <cell r="D78" t="str">
            <v>黄骅市正大纺织机械配件厂</v>
          </cell>
          <cell r="F78" t="str">
            <v>副驾低配靠背</v>
          </cell>
          <cell r="G78">
            <v>1</v>
          </cell>
        </row>
        <row r="79">
          <cell r="B79" t="str">
            <v>SHT0010910</v>
          </cell>
          <cell r="C79" t="str">
            <v>靠背调节角度限位片-主边</v>
          </cell>
          <cell r="D79" t="str">
            <v>黄骅市正大纺织机械配件厂</v>
          </cell>
          <cell r="F79" t="str">
            <v>副驾低配靠背</v>
          </cell>
          <cell r="G79">
            <v>1</v>
          </cell>
        </row>
        <row r="80">
          <cell r="B80" t="str">
            <v>SHT0010283</v>
          </cell>
          <cell r="C80" t="str">
            <v>滑轨</v>
          </cell>
          <cell r="D80" t="str">
            <v>江苏力乐汽车部件股份有限公司</v>
          </cell>
          <cell r="F80" t="str">
            <v>正、副底座</v>
          </cell>
          <cell r="G80">
            <v>2</v>
          </cell>
        </row>
        <row r="81">
          <cell r="B81" t="str">
            <v>SHT0010208</v>
          </cell>
          <cell r="C81" t="str">
            <v>减震器上框支架T型</v>
          </cell>
          <cell r="D81" t="str">
            <v>江苏凌派通信科技有限公司</v>
          </cell>
          <cell r="F81" t="str">
            <v>上框侧支架（一个底座用2上框侧支架）</v>
          </cell>
          <cell r="G81">
            <v>1</v>
          </cell>
        </row>
        <row r="82">
          <cell r="B82" t="str">
            <v>SHT0010218</v>
          </cell>
          <cell r="C82" t="str">
            <v>减震器连接异性螺母</v>
          </cell>
          <cell r="D82" t="str">
            <v>江苏凌派通信科技有限公司</v>
          </cell>
          <cell r="F82" t="str">
            <v>正、副底座</v>
          </cell>
          <cell r="G82">
            <v>14</v>
          </cell>
        </row>
        <row r="83">
          <cell r="B83" t="str">
            <v>SHT0010219</v>
          </cell>
          <cell r="C83" t="str">
            <v>仰角连接异型螺母</v>
          </cell>
          <cell r="D83" t="str">
            <v>江苏凌派通信科技有限公司</v>
          </cell>
          <cell r="F83" t="str">
            <v>正、副底座</v>
          </cell>
          <cell r="G83">
            <v>2</v>
          </cell>
        </row>
        <row r="84">
          <cell r="B84" t="str">
            <v>SHT0010313</v>
          </cell>
          <cell r="C84" t="str">
            <v>阻尼器上连接螺栓</v>
          </cell>
          <cell r="D84" t="str">
            <v>江苏凌派通信科技有限公司</v>
          </cell>
          <cell r="F84" t="str">
            <v>正、副底座</v>
          </cell>
          <cell r="G84">
            <v>1</v>
          </cell>
        </row>
        <row r="85">
          <cell r="B85" t="str">
            <v>SHT0010314</v>
          </cell>
          <cell r="C85" t="str">
            <v>阻尼器下连接螺栓</v>
          </cell>
          <cell r="D85" t="str">
            <v>江苏凌派通信科技有限公司</v>
          </cell>
          <cell r="F85" t="str">
            <v>正、副底座</v>
          </cell>
          <cell r="G85">
            <v>1</v>
          </cell>
        </row>
        <row r="86">
          <cell r="B86" t="str">
            <v>SHT0010315</v>
          </cell>
          <cell r="C86" t="str">
            <v>座框减震器连接轴</v>
          </cell>
          <cell r="D86" t="str">
            <v>江苏凌派通信科技有限公司</v>
          </cell>
          <cell r="F86" t="str">
            <v>正、副底座</v>
          </cell>
          <cell r="G86">
            <v>2</v>
          </cell>
        </row>
        <row r="87">
          <cell r="B87" t="str">
            <v>SHT0010319</v>
          </cell>
          <cell r="C87" t="str">
            <v>H6减震器上框连接螺栓</v>
          </cell>
          <cell r="D87" t="str">
            <v>江苏凌派通信科技有限公司</v>
          </cell>
          <cell r="F87" t="str">
            <v>正、副底座</v>
          </cell>
          <cell r="G87">
            <v>6</v>
          </cell>
        </row>
        <row r="88">
          <cell r="B88" t="str">
            <v>SHT0010843</v>
          </cell>
          <cell r="C88" t="str">
            <v>座框仰角固定螺栓</v>
          </cell>
          <cell r="D88" t="str">
            <v>江苏凌派通信科技有限公司</v>
          </cell>
          <cell r="F88" t="str">
            <v>正、副底座</v>
          </cell>
          <cell r="G88">
            <v>2</v>
          </cell>
        </row>
        <row r="89">
          <cell r="B89" t="str">
            <v>SHT0010256</v>
          </cell>
          <cell r="C89" t="str">
            <v>调节器解锁钣金（钥匙）</v>
          </cell>
          <cell r="D89" t="str">
            <v>江苏全盛座舱技术股份有限公司</v>
          </cell>
          <cell r="F89" t="str">
            <v>4种靠背</v>
          </cell>
          <cell r="G89">
            <v>1</v>
          </cell>
        </row>
        <row r="90">
          <cell r="B90" t="str">
            <v>TAT0010102</v>
          </cell>
          <cell r="C90" t="str">
            <v>H6正驾底支驾隔板</v>
          </cell>
          <cell r="D90" t="str">
            <v>街西纸箱厂</v>
          </cell>
          <cell r="F90" t="str">
            <v>电泳用</v>
          </cell>
        </row>
        <row r="91">
          <cell r="B91" t="str">
            <v>TAT0010103</v>
          </cell>
          <cell r="C91" t="str">
            <v>H6副驾底支驾隔板</v>
          </cell>
          <cell r="D91" t="str">
            <v>街西纸箱厂</v>
          </cell>
          <cell r="F91" t="str">
            <v>电泳用</v>
          </cell>
        </row>
        <row r="92">
          <cell r="B92" t="str">
            <v>BAS0010013</v>
          </cell>
          <cell r="C92" t="str">
            <v>金属轴套</v>
          </cell>
          <cell r="D92" t="str">
            <v>明阳科技(苏州)股份有限公司</v>
          </cell>
          <cell r="F92" t="str">
            <v>冲压车间用  铆接滑轨</v>
          </cell>
          <cell r="G92">
            <v>1</v>
          </cell>
        </row>
        <row r="93">
          <cell r="B93" t="str">
            <v>SHT0014099</v>
          </cell>
          <cell r="C93" t="str">
            <v>H6左侧加强板</v>
          </cell>
          <cell r="D93" t="str">
            <v>泊头市捷润五金制品有限公司</v>
          </cell>
          <cell r="F93" t="str">
            <v>牛头用</v>
          </cell>
          <cell r="G93">
            <v>1</v>
          </cell>
        </row>
        <row r="94">
          <cell r="B94" t="str">
            <v>SHT0014100</v>
          </cell>
          <cell r="C94" t="str">
            <v>H6右侧加强板</v>
          </cell>
          <cell r="D94" t="str">
            <v>泊头市捷润五金制品有限公司</v>
          </cell>
          <cell r="F94" t="str">
            <v>牛头用</v>
          </cell>
          <cell r="G94">
            <v>1</v>
          </cell>
        </row>
        <row r="95">
          <cell r="B95" t="str">
            <v>BCL0010019</v>
          </cell>
          <cell r="C95" t="str">
            <v>黑色防护毛毡50*50*1.3</v>
          </cell>
          <cell r="D95" t="str">
            <v>曲阜陆航座椅辅料有限公司</v>
          </cell>
          <cell r="F95" t="str">
            <v>正、副底座</v>
          </cell>
          <cell r="G95">
            <v>1</v>
          </cell>
        </row>
        <row r="96">
          <cell r="B96" t="str">
            <v>BCL0010020</v>
          </cell>
          <cell r="C96" t="str">
            <v>黑色防护毛毡15*30*1.3</v>
          </cell>
          <cell r="D96" t="str">
            <v>曲阜陆航座椅辅料有限公司</v>
          </cell>
          <cell r="F96" t="str">
            <v>正、副底座</v>
          </cell>
          <cell r="G96">
            <v>1</v>
          </cell>
        </row>
        <row r="97">
          <cell r="B97" t="str">
            <v>SHT0014990</v>
          </cell>
          <cell r="C97" t="str">
            <v>黑色防护毛毡15*15</v>
          </cell>
          <cell r="D97" t="str">
            <v>曲阜陆航座椅辅料有限公司</v>
          </cell>
          <cell r="F97" t="str">
            <v>正、副底座</v>
          </cell>
          <cell r="G97">
            <v>2</v>
          </cell>
        </row>
        <row r="98">
          <cell r="B98" t="str">
            <v>SHT0010231</v>
          </cell>
          <cell r="C98" t="str">
            <v>防尘罩</v>
          </cell>
          <cell r="D98" t="str">
            <v>日照浩利橡塑有限公司</v>
          </cell>
          <cell r="F98" t="str">
            <v>正、副底座</v>
          </cell>
          <cell r="G98">
            <v>1</v>
          </cell>
        </row>
        <row r="99">
          <cell r="B99" t="str">
            <v>SHT0010816</v>
          </cell>
          <cell r="C99" t="str">
            <v>仰角下限位胶敦</v>
          </cell>
          <cell r="D99" t="str">
            <v>日照浩利橡塑有限公司</v>
          </cell>
          <cell r="F99" t="str">
            <v>正、副底座</v>
          </cell>
          <cell r="G99">
            <v>2</v>
          </cell>
        </row>
        <row r="100">
          <cell r="B100" t="str">
            <v>SHT0013932</v>
          </cell>
          <cell r="C100" t="str">
            <v>座椅下限位缓冲块</v>
          </cell>
          <cell r="D100" t="str">
            <v>日照浩利橡塑有限公司</v>
          </cell>
          <cell r="F100" t="str">
            <v>正、副底座</v>
          </cell>
          <cell r="G100">
            <v>2</v>
          </cell>
        </row>
        <row r="101">
          <cell r="B101" t="str">
            <v>SHT0013995</v>
          </cell>
          <cell r="C101" t="str">
            <v>上限位缓冲块</v>
          </cell>
          <cell r="D101" t="str">
            <v>日照浩利橡塑有限公司</v>
          </cell>
          <cell r="F101" t="str">
            <v>正、副底座</v>
          </cell>
          <cell r="G101">
            <v>2</v>
          </cell>
        </row>
        <row r="102">
          <cell r="B102" t="str">
            <v>SHT0010207</v>
          </cell>
          <cell r="C102" t="str">
            <v>座框旋转轴轴套</v>
          </cell>
          <cell r="D102" t="str">
            <v>瑞安市精艺标准件有限公司</v>
          </cell>
          <cell r="F102" t="str">
            <v>上框侧支架（一个底座用2上框侧支架）</v>
          </cell>
          <cell r="G102">
            <v>1</v>
          </cell>
        </row>
        <row r="103">
          <cell r="B103" t="str">
            <v>SHT0010225</v>
          </cell>
          <cell r="C103" t="str">
            <v>仰角连杆轴</v>
          </cell>
          <cell r="D103" t="str">
            <v>瑞安市精艺标准件有限公司</v>
          </cell>
          <cell r="F103" t="str">
            <v>正、副仰角连杆</v>
          </cell>
          <cell r="G103">
            <v>2</v>
          </cell>
        </row>
        <row r="104">
          <cell r="B104" t="str">
            <v>SHT0010829</v>
          </cell>
          <cell r="C104" t="str">
            <v>仰角小齿板连接螺母</v>
          </cell>
          <cell r="D104" t="str">
            <v>上海纳特汽车标准件有限公司</v>
          </cell>
          <cell r="F104" t="str">
            <v>正、副底座</v>
          </cell>
          <cell r="G104">
            <v>2</v>
          </cell>
        </row>
        <row r="105">
          <cell r="B105" t="str">
            <v>SHT0014932</v>
          </cell>
          <cell r="C105" t="str">
            <v>仰角小齿板固定螺栓</v>
          </cell>
          <cell r="D105" t="str">
            <v>上海纳特汽车标准件有限公司</v>
          </cell>
          <cell r="F105" t="str">
            <v>正、副底座</v>
          </cell>
          <cell r="G105">
            <v>2</v>
          </cell>
        </row>
        <row r="106">
          <cell r="B106" t="str">
            <v>SHT0010895</v>
          </cell>
          <cell r="C106" t="str">
            <v>开口挡圈φ16</v>
          </cell>
          <cell r="D106" t="str">
            <v>上锐(常州)供应链管理有限公司</v>
          </cell>
          <cell r="F106" t="str">
            <v>副驾低配靠背</v>
          </cell>
          <cell r="G106">
            <v>2</v>
          </cell>
        </row>
        <row r="107">
          <cell r="B107" t="str">
            <v>BFA0000285</v>
          </cell>
          <cell r="C107" t="str">
            <v>开口挡圈φ4镀黑锌</v>
          </cell>
          <cell r="D107" t="str">
            <v>上锐(常州)供应链管理有限公司</v>
          </cell>
          <cell r="F107" t="str">
            <v>正、副底座+轻卡线</v>
          </cell>
          <cell r="G107">
            <v>1</v>
          </cell>
        </row>
        <row r="108">
          <cell r="B108" t="str">
            <v>BFA0010018</v>
          </cell>
          <cell r="C108" t="str">
            <v>碳钢外六角全牙螺栓8*25</v>
          </cell>
          <cell r="D108" t="str">
            <v>上锐(常州)供应链管理有限公司</v>
          </cell>
          <cell r="F108" t="str">
            <v>3种靠背（主高、低、副高）</v>
          </cell>
          <cell r="G108">
            <v>4</v>
          </cell>
        </row>
        <row r="109">
          <cell r="B109" t="str">
            <v>BFA0010021</v>
          </cell>
          <cell r="C109" t="str">
            <v>内六角花形盘头螺钉M6*12不锈钢</v>
          </cell>
          <cell r="D109" t="str">
            <v>上锐(常州)供应链管理有限公司</v>
          </cell>
          <cell r="F109" t="str">
            <v>正、副底座</v>
          </cell>
          <cell r="G109">
            <v>4</v>
          </cell>
        </row>
        <row r="110">
          <cell r="B110" t="str">
            <v>BFA0010022</v>
          </cell>
          <cell r="C110" t="str">
            <v>开口挡圈5个</v>
          </cell>
          <cell r="D110" t="str">
            <v>上锐(常州)供应链管理有限公司</v>
          </cell>
          <cell r="F110" t="str">
            <v>正、副底座</v>
          </cell>
          <cell r="G110">
            <v>3</v>
          </cell>
        </row>
        <row r="111">
          <cell r="B111" t="str">
            <v>BFA0010023</v>
          </cell>
          <cell r="C111" t="str">
            <v>内六角圆柱头螺钉6*45</v>
          </cell>
          <cell r="D111" t="str">
            <v>上锐(常州)供应链管理有限公司</v>
          </cell>
          <cell r="F111" t="str">
            <v>正、副底座</v>
          </cell>
          <cell r="G111">
            <v>4</v>
          </cell>
        </row>
        <row r="112">
          <cell r="B112" t="str">
            <v>BFA0010025</v>
          </cell>
          <cell r="C112" t="str">
            <v>全金属六角法兰面锁紧螺母6个</v>
          </cell>
          <cell r="D112" t="str">
            <v>上锐(常州)供应链管理有限公司</v>
          </cell>
          <cell r="F112" t="str">
            <v>正、副底座</v>
          </cell>
          <cell r="G112">
            <v>4</v>
          </cell>
        </row>
        <row r="113">
          <cell r="B113" t="str">
            <v>BFA0010026</v>
          </cell>
          <cell r="C113" t="str">
            <v>大垫圈6个</v>
          </cell>
          <cell r="D113" t="str">
            <v>上锐(常州)供应链管理有限公司</v>
          </cell>
          <cell r="F113" t="str">
            <v>正、副底座</v>
          </cell>
          <cell r="G113">
            <v>4</v>
          </cell>
        </row>
        <row r="114">
          <cell r="B114" t="str">
            <v>BFA0010027</v>
          </cell>
          <cell r="C114" t="str">
            <v>内六角花形圆柱头螺钉8*16</v>
          </cell>
          <cell r="D114" t="str">
            <v>上锐(常州)供应链管理有限公司</v>
          </cell>
          <cell r="F114" t="str">
            <v>正、副底座</v>
          </cell>
          <cell r="G114">
            <v>3</v>
          </cell>
        </row>
        <row r="115">
          <cell r="B115" t="str">
            <v>BFA0010040</v>
          </cell>
          <cell r="C115" t="str">
            <v>内梅花盘头带介自攻螺钉（转功能件库）</v>
          </cell>
          <cell r="D115" t="str">
            <v>上锐(常州)供应链管理有限公司</v>
          </cell>
          <cell r="F115" t="str">
            <v>正、副底座</v>
          </cell>
          <cell r="G115">
            <v>1</v>
          </cell>
        </row>
        <row r="116">
          <cell r="B116" t="str">
            <v>BFA0010041</v>
          </cell>
          <cell r="C116" t="str">
            <v>弹簧开口挡圈(M8)</v>
          </cell>
          <cell r="D116" t="str">
            <v>上锐(常州)供应链管理有限公司</v>
          </cell>
          <cell r="F116" t="str">
            <v>4种靠背</v>
          </cell>
          <cell r="G116">
            <v>1</v>
          </cell>
        </row>
        <row r="117">
          <cell r="B117" t="str">
            <v>BFA0010081</v>
          </cell>
          <cell r="C117" t="str">
            <v>碳钢圆柱头内六角全螺纹螺栓6*16</v>
          </cell>
          <cell r="D117" t="str">
            <v>上锐(常州)供应链管理有限公司</v>
          </cell>
          <cell r="F117" t="str">
            <v>正、副底座</v>
          </cell>
          <cell r="G117">
            <v>2</v>
          </cell>
        </row>
        <row r="118">
          <cell r="B118" t="str">
            <v>BFA0010096</v>
          </cell>
          <cell r="C118" t="str">
            <v>全钢大帽抽芯铆钉4.8×16-16</v>
          </cell>
          <cell r="D118" t="str">
            <v>上锐(常州)供应链管理有限公司</v>
          </cell>
          <cell r="F118" t="str">
            <v>正、副底座</v>
          </cell>
          <cell r="G118">
            <v>4</v>
          </cell>
        </row>
        <row r="119">
          <cell r="B119" t="str">
            <v>BFA0010097</v>
          </cell>
          <cell r="C119" t="str">
            <v>全钢开口型平圆头抽芯铆钉</v>
          </cell>
          <cell r="D119" t="str">
            <v>上锐(常州)供应链管理有限公司</v>
          </cell>
          <cell r="F119" t="str">
            <v>正、副底座</v>
          </cell>
          <cell r="G119">
            <v>4</v>
          </cell>
        </row>
        <row r="120">
          <cell r="B120" t="str">
            <v>BFA0010105</v>
          </cell>
          <cell r="C120" t="str">
            <v>碳钢平垫m10</v>
          </cell>
          <cell r="D120" t="str">
            <v>上锐(常州)供应链管理有限公司</v>
          </cell>
          <cell r="F120" t="str">
            <v>正、副底座</v>
          </cell>
          <cell r="G120">
            <v>1</v>
          </cell>
        </row>
        <row r="121">
          <cell r="B121" t="str">
            <v>BFA0010062</v>
          </cell>
          <cell r="C121" t="str">
            <v>M8焊接方螺母</v>
          </cell>
          <cell r="D121" t="str">
            <v>上锐(常州)供应链管理有限公司</v>
          </cell>
          <cell r="F121" t="str">
            <v>主驾高配靠背用3+主驾低配背用2+副驾高配背用2+副司机地支架用2+司机地支架用6+正副减震器上框后横梁每种用3</v>
          </cell>
        </row>
        <row r="122">
          <cell r="B122" t="str">
            <v>BFA0000316</v>
          </cell>
          <cell r="C122" t="str">
            <v>M6焊接方螺母</v>
          </cell>
          <cell r="D122" t="str">
            <v>上锐(常州)供应链管理有限公司</v>
          </cell>
          <cell r="E122">
            <v>22000</v>
          </cell>
          <cell r="F122" t="str">
            <v>正、副座框</v>
          </cell>
        </row>
        <row r="123">
          <cell r="B123" t="str">
            <v>SHT0011408</v>
          </cell>
          <cell r="C123" t="str">
            <v>7/16法兰螺母</v>
          </cell>
          <cell r="D123" t="str">
            <v>上锐(常州)供应链管理有限公司</v>
          </cell>
          <cell r="F123" t="str">
            <v>4种靠背</v>
          </cell>
          <cell r="G123">
            <v>2</v>
          </cell>
        </row>
        <row r="124">
          <cell r="B124" t="str">
            <v>BFA0000400</v>
          </cell>
          <cell r="C124" t="str">
            <v>7/16焊接螺母</v>
          </cell>
          <cell r="D124" t="str">
            <v>上锐(常州)供应链管理有限公司</v>
          </cell>
          <cell r="F124" t="str">
            <v>牛头用1+主驾低配靠背1+副驾高配1+副驾低配1</v>
          </cell>
        </row>
        <row r="125">
          <cell r="B125" t="str">
            <v>sht0011934</v>
          </cell>
          <cell r="C125" t="str">
            <v>可调阻尼器总成</v>
          </cell>
          <cell r="D125" t="str">
            <v>苏世博(南京)减振系统有限公司</v>
          </cell>
          <cell r="F125" t="str">
            <v>正、副底座</v>
          </cell>
          <cell r="G125">
            <v>1</v>
          </cell>
        </row>
        <row r="126">
          <cell r="B126" t="str">
            <v>SHT0014511</v>
          </cell>
          <cell r="C126" t="str">
            <v>阻尼器金属轴（内支撑柱）</v>
          </cell>
          <cell r="D126" t="str">
            <v>苏世博(南京)减振系统有限公司</v>
          </cell>
          <cell r="F126" t="str">
            <v>正、副底座</v>
          </cell>
          <cell r="G126">
            <v>2</v>
          </cell>
        </row>
        <row r="127">
          <cell r="B127" t="str">
            <v>SHT0010408</v>
          </cell>
          <cell r="C127" t="str">
            <v>坐垫翻折支撑轴套</v>
          </cell>
          <cell r="D127" t="str">
            <v>文安县恒德汽车座椅制造有限公司</v>
          </cell>
          <cell r="F127" t="str">
            <v>副驾低配靠背</v>
          </cell>
          <cell r="G127">
            <v>2</v>
          </cell>
        </row>
        <row r="128">
          <cell r="B128" t="str">
            <v>SHT0010228</v>
          </cell>
          <cell r="C128" t="str">
            <v>仰角锁止钣金（V型带齿）</v>
          </cell>
          <cell r="D128" t="str">
            <v>无锡全盛仁安</v>
          </cell>
          <cell r="F128" t="str">
            <v>正、副仰角连杆</v>
          </cell>
          <cell r="G128">
            <v>1</v>
          </cell>
        </row>
        <row r="129">
          <cell r="B129" t="str">
            <v>SHT0010258</v>
          </cell>
          <cell r="C129" t="str">
            <v>仰角解锁铸件</v>
          </cell>
          <cell r="D129" t="str">
            <v>无锡市汇源机械科技有限公司</v>
          </cell>
          <cell r="F129" t="str">
            <v>3种靠背（主高、低、副高）</v>
          </cell>
          <cell r="G129">
            <v>1</v>
          </cell>
        </row>
        <row r="130">
          <cell r="B130" t="str">
            <v>SHT0010257</v>
          </cell>
          <cell r="C130" t="str">
            <v>靠背调节铸件</v>
          </cell>
          <cell r="D130" t="str">
            <v>无锡市汇源机械科技有限公司</v>
          </cell>
          <cell r="F130" t="str">
            <v>4种靠背</v>
          </cell>
          <cell r="G130">
            <v>1</v>
          </cell>
        </row>
        <row r="131">
          <cell r="B131" t="str">
            <v>SHT0010798</v>
          </cell>
          <cell r="C131" t="str">
            <v>靠背调节铸件（福田）</v>
          </cell>
          <cell r="D131" t="str">
            <v>无锡市汇源机械科技有限公司</v>
          </cell>
          <cell r="F131" t="str">
            <v>副驾低配靠背</v>
          </cell>
          <cell r="G131">
            <v>1</v>
          </cell>
        </row>
        <row r="132">
          <cell r="B132" t="str">
            <v>SHT0011396</v>
          </cell>
          <cell r="C132" t="str">
            <v>左侧铸压头</v>
          </cell>
          <cell r="D132" t="str">
            <v>无锡市汇源机械科技有限公司</v>
          </cell>
          <cell r="F132" t="str">
            <v>正、副底座</v>
          </cell>
          <cell r="G132">
            <v>1</v>
          </cell>
        </row>
        <row r="133">
          <cell r="B133" t="str">
            <v>SHT0011594</v>
          </cell>
          <cell r="C133" t="str">
            <v>右侧铸压头</v>
          </cell>
          <cell r="D133" t="str">
            <v>无锡市汇源机械科技有限公司</v>
          </cell>
          <cell r="F133" t="str">
            <v>正、副底座</v>
          </cell>
          <cell r="G133">
            <v>1</v>
          </cell>
        </row>
        <row r="134">
          <cell r="B134" t="str">
            <v>BAS0010003</v>
          </cell>
          <cell r="C134" t="str">
            <v>绞架轴套(长的)</v>
          </cell>
          <cell r="D134" t="str">
            <v>易格斯(上海)拖链系统有限公司</v>
          </cell>
          <cell r="F134" t="str">
            <v>H6绞架</v>
          </cell>
          <cell r="G134">
            <v>2</v>
          </cell>
        </row>
        <row r="135">
          <cell r="B135" t="str">
            <v>BAS0010005</v>
          </cell>
          <cell r="C135" t="str">
            <v>仰角连杆3轴套</v>
          </cell>
          <cell r="D135" t="str">
            <v>易格斯(上海)拖链系统有限公司</v>
          </cell>
          <cell r="F135" t="str">
            <v>正、副底座</v>
          </cell>
          <cell r="G135">
            <v>6</v>
          </cell>
        </row>
        <row r="136">
          <cell r="B136" t="str">
            <v>BAS0010006</v>
          </cell>
          <cell r="C136" t="str">
            <v>仰角连杆2塑料轴套</v>
          </cell>
          <cell r="D136" t="str">
            <v>注塑</v>
          </cell>
          <cell r="F136" t="str">
            <v>正、副底座</v>
          </cell>
          <cell r="G136">
            <v>4</v>
          </cell>
        </row>
        <row r="137">
          <cell r="B137" t="str">
            <v>BAS0010007</v>
          </cell>
          <cell r="C137" t="str">
            <v>仰角连杆2塑料垫片</v>
          </cell>
          <cell r="D137" t="str">
            <v>注塑</v>
          </cell>
          <cell r="F137" t="str">
            <v>正、副底座</v>
          </cell>
          <cell r="G137">
            <v>4</v>
          </cell>
        </row>
        <row r="138">
          <cell r="B138" t="str">
            <v>SHT0010202</v>
          </cell>
          <cell r="C138" t="str">
            <v>外绞架固定块</v>
          </cell>
          <cell r="D138" t="str">
            <v>注塑</v>
          </cell>
          <cell r="F138" t="str">
            <v>正、副底座</v>
          </cell>
          <cell r="G138">
            <v>2</v>
          </cell>
        </row>
        <row r="139">
          <cell r="B139" t="str">
            <v>SHT0010203</v>
          </cell>
          <cell r="C139" t="str">
            <v>内绞架固定块</v>
          </cell>
          <cell r="D139" t="str">
            <v>注塑</v>
          </cell>
          <cell r="F139" t="str">
            <v>正、副底座</v>
          </cell>
          <cell r="G139">
            <v>2</v>
          </cell>
        </row>
        <row r="140">
          <cell r="B140" t="str">
            <v>SHT0011056</v>
          </cell>
          <cell r="C140" t="str">
            <v>阻尼拨杆连接塑料件</v>
          </cell>
          <cell r="D140" t="str">
            <v>注塑</v>
          </cell>
          <cell r="F140" t="str">
            <v>正、副底座</v>
          </cell>
          <cell r="G140">
            <v>1</v>
          </cell>
        </row>
        <row r="141">
          <cell r="B141" t="str">
            <v>SHT0011500</v>
          </cell>
          <cell r="C141" t="str">
            <v>变阻尼调节拉线支架</v>
          </cell>
          <cell r="D141" t="str">
            <v>注塑</v>
          </cell>
          <cell r="F141" t="str">
            <v>正、副底座</v>
          </cell>
          <cell r="G141">
            <v>1</v>
          </cell>
        </row>
        <row r="142">
          <cell r="B142" t="str">
            <v>SHT0010811</v>
          </cell>
          <cell r="C142" t="str">
            <v>3.0滚轮</v>
          </cell>
          <cell r="D142" t="str">
            <v>上海努辰金属制品有限公司</v>
          </cell>
          <cell r="F142" t="str">
            <v>正、副底座</v>
          </cell>
          <cell r="G142">
            <v>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已签订"/>
      <sheetName val="Sheet1"/>
      <sheetName val="Sheet3"/>
      <sheetName val="Sheet2"/>
    </sheetNames>
    <sheetDataSet>
      <sheetData sheetId="0">
        <row r="3">
          <cell r="F3" t="str">
            <v>SBS0010148黄骅市长生汽车灯镜有限公司</v>
          </cell>
          <cell r="G3" t="str">
            <v>SBS0010148</v>
          </cell>
          <cell r="H3" t="str">
            <v>固定14人一排三人</v>
          </cell>
          <cell r="I3" t="str">
            <v>02.12.39.041</v>
          </cell>
          <cell r="M3" t="str">
            <v>件</v>
          </cell>
          <cell r="O3">
            <v>174.62899999999999</v>
          </cell>
        </row>
        <row r="4">
          <cell r="F4" t="str">
            <v>SBS0010150黄骅市长生汽车灯镜有限公司</v>
          </cell>
          <cell r="G4" t="str">
            <v>SBS0010150</v>
          </cell>
          <cell r="H4" t="str">
            <v>固定宽车二排双人</v>
          </cell>
          <cell r="I4" t="str">
            <v>02.12.39.102</v>
          </cell>
          <cell r="M4" t="str">
            <v>件</v>
          </cell>
          <cell r="O4">
            <v>136.05000000000001</v>
          </cell>
        </row>
        <row r="5">
          <cell r="F5" t="str">
            <v>SLT0000055黄骅市长生汽车灯镜有限公司</v>
          </cell>
          <cell r="G5" t="str">
            <v>SLT0000055</v>
          </cell>
          <cell r="H5" t="str">
            <v>1033座垫（欧马可右舵座盆）</v>
          </cell>
          <cell r="I5" t="str">
            <v>02.12.23.059</v>
          </cell>
          <cell r="M5" t="str">
            <v>件</v>
          </cell>
          <cell r="O5">
            <v>21.703346227256638</v>
          </cell>
        </row>
        <row r="6">
          <cell r="F6" t="str">
            <v>SLT0000325黄骅市长生汽车灯镜有限公司</v>
          </cell>
          <cell r="G6" t="str">
            <v>SLT0000325</v>
          </cell>
          <cell r="H6" t="str">
            <v>K1宽车座盆</v>
          </cell>
          <cell r="I6" t="str">
            <v>02.12.39.104</v>
          </cell>
          <cell r="M6" t="str">
            <v>件</v>
          </cell>
          <cell r="O6">
            <v>21.975566328105071</v>
          </cell>
        </row>
        <row r="7">
          <cell r="F7" t="str">
            <v>SLT0000348黄骅市长生汽车灯镜有限公司</v>
          </cell>
          <cell r="G7" t="str">
            <v>SLT0000348</v>
          </cell>
          <cell r="H7" t="str">
            <v>K1窄车座盆</v>
          </cell>
          <cell r="I7" t="str">
            <v>02.12.39.098</v>
          </cell>
          <cell r="M7" t="str">
            <v>件</v>
          </cell>
          <cell r="O7">
            <v>23.2395872300159</v>
          </cell>
        </row>
        <row r="8">
          <cell r="F8" t="str">
            <v>SLT0000508黄骅市长生汽车灯镜有限公司</v>
          </cell>
          <cell r="G8" t="str">
            <v>SLT0000508</v>
          </cell>
          <cell r="H8" t="str">
            <v>K1左舵侧翻座椅左折叠支撑总成</v>
          </cell>
          <cell r="I8" t="str">
            <v>02.12.39.107</v>
          </cell>
          <cell r="M8" t="str">
            <v>件</v>
          </cell>
          <cell r="O8">
            <v>45.726298142030451</v>
          </cell>
        </row>
        <row r="9">
          <cell r="F9" t="str">
            <v>SLT0000509黄骅市长生汽车灯镜有限公司</v>
          </cell>
          <cell r="G9" t="str">
            <v>SLT0000509</v>
          </cell>
          <cell r="H9" t="str">
            <v>K1左舵左前旋转支架总成</v>
          </cell>
          <cell r="I9" t="str">
            <v>02.12.39.105</v>
          </cell>
          <cell r="M9" t="str">
            <v>件</v>
          </cell>
          <cell r="O9">
            <v>10.465528803907205</v>
          </cell>
        </row>
        <row r="10">
          <cell r="F10" t="str">
            <v>SLT0000530黄骅市长生汽车灯镜有限公司</v>
          </cell>
          <cell r="G10" t="str">
            <v>SLT0000530</v>
          </cell>
          <cell r="H10" t="str">
            <v>K1左舵侧翻座椅右折叠支撑总成</v>
          </cell>
          <cell r="I10" t="str">
            <v>02.12.39.108</v>
          </cell>
          <cell r="M10" t="str">
            <v>件</v>
          </cell>
          <cell r="O10">
            <v>45.787498142030444</v>
          </cell>
        </row>
        <row r="11">
          <cell r="F11" t="str">
            <v>SLT0000531黄骅市长生汽车灯镜有限公司</v>
          </cell>
          <cell r="G11" t="str">
            <v>SLT0000531</v>
          </cell>
          <cell r="H11" t="str">
            <v>K1左舵右前旋转支架总成</v>
          </cell>
          <cell r="I11" t="str">
            <v>02.12.39.106</v>
          </cell>
          <cell r="M11" t="str">
            <v>件</v>
          </cell>
          <cell r="O11">
            <v>10.465528803907205</v>
          </cell>
        </row>
        <row r="12">
          <cell r="F12" t="str">
            <v>SLT0000648黄骅市长生汽车灯镜有限公司</v>
          </cell>
          <cell r="G12" t="str">
            <v>SLT0000648</v>
          </cell>
          <cell r="H12" t="str">
            <v>K1窄车左舵座椅前旋转支架左</v>
          </cell>
          <cell r="M12" t="str">
            <v>件</v>
          </cell>
          <cell r="O12">
            <v>13.281719578171533</v>
          </cell>
        </row>
        <row r="13">
          <cell r="F13" t="str">
            <v>SLT0002353黄骅市长生汽车灯镜有限公司</v>
          </cell>
          <cell r="G13" t="str">
            <v>SLT0002353</v>
          </cell>
          <cell r="H13" t="str">
            <v>K1窄车左舵右前旋转支架总成</v>
          </cell>
          <cell r="M13" t="str">
            <v>件</v>
          </cell>
          <cell r="O13">
            <v>13.205005183267074</v>
          </cell>
        </row>
        <row r="14">
          <cell r="F14" t="str">
            <v>SHT0013881黄骅市建昌塑料制品有限公司</v>
          </cell>
          <cell r="G14" t="str">
            <v>SHT0013881</v>
          </cell>
          <cell r="H14" t="str">
            <v>T5整背双15丝</v>
          </cell>
          <cell r="I14" t="str">
            <v>02.12.34.101</v>
          </cell>
          <cell r="M14" t="str">
            <v>件</v>
          </cell>
          <cell r="O14">
            <v>2.59</v>
          </cell>
          <cell r="P14">
            <v>0</v>
          </cell>
          <cell r="Q14">
            <v>0</v>
          </cell>
          <cell r="R14">
            <v>0</v>
          </cell>
        </row>
        <row r="15">
          <cell r="F15" t="str">
            <v>SHT0013883黄骅市建昌塑料制品有限公司</v>
          </cell>
          <cell r="G15" t="str">
            <v>SHT0013883</v>
          </cell>
          <cell r="H15" t="str">
            <v>T5整分体座通用双15丝</v>
          </cell>
          <cell r="I15" t="str">
            <v>02.12.34.102</v>
          </cell>
          <cell r="M15" t="str">
            <v>件</v>
          </cell>
          <cell r="O15">
            <v>2.14</v>
          </cell>
          <cell r="P15">
            <v>0</v>
          </cell>
          <cell r="Q15">
            <v>0</v>
          </cell>
          <cell r="R15">
            <v>0</v>
          </cell>
        </row>
        <row r="16">
          <cell r="F16" t="str">
            <v>SHT0013936黄骅市建昌塑料制品有限公司</v>
          </cell>
          <cell r="G16" t="str">
            <v>SHT0013936</v>
          </cell>
          <cell r="H16" t="str">
            <v>T5分体背双15丝</v>
          </cell>
          <cell r="M16" t="str">
            <v>件</v>
          </cell>
          <cell r="O16">
            <v>1.84</v>
          </cell>
          <cell r="P16">
            <v>0</v>
          </cell>
          <cell r="Q16">
            <v>0</v>
          </cell>
          <cell r="R16">
            <v>0</v>
          </cell>
        </row>
        <row r="17">
          <cell r="F17" t="str">
            <v>SHT0013935黄骅市建昌塑料制品有限公司</v>
          </cell>
          <cell r="G17" t="str">
            <v>SHT0013935</v>
          </cell>
          <cell r="H17" t="str">
            <v>头枕双15丝</v>
          </cell>
          <cell r="M17" t="str">
            <v>件</v>
          </cell>
          <cell r="O17">
            <v>0.34</v>
          </cell>
          <cell r="P17">
            <v>0</v>
          </cell>
          <cell r="Q17">
            <v>0</v>
          </cell>
          <cell r="R17">
            <v>0</v>
          </cell>
        </row>
        <row r="18">
          <cell r="F18" t="str">
            <v>SHT0012488黄骅市建昌塑料制品有限公司</v>
          </cell>
          <cell r="G18" t="str">
            <v>SHT0012488</v>
          </cell>
          <cell r="H18" t="str">
            <v>扶手包装膜双15丝</v>
          </cell>
          <cell r="I18" t="str">
            <v>02.12.34.025</v>
          </cell>
          <cell r="M18" t="str">
            <v>件</v>
          </cell>
          <cell r="O18">
            <v>0.34</v>
          </cell>
          <cell r="P18">
            <v>0</v>
          </cell>
          <cell r="Q18">
            <v>0</v>
          </cell>
          <cell r="R18">
            <v>0</v>
          </cell>
        </row>
        <row r="19">
          <cell r="F19" t="str">
            <v>SLT0010446黄骅市建昌塑料制品有限公司</v>
          </cell>
          <cell r="G19" t="str">
            <v>SLT0010446</v>
          </cell>
          <cell r="H19" t="str">
            <v>统帅副背无纺布</v>
          </cell>
          <cell r="I19" t="str">
            <v>02.12.36.022</v>
          </cell>
          <cell r="M19" t="str">
            <v>件</v>
          </cell>
          <cell r="O19">
            <v>1.34</v>
          </cell>
          <cell r="P19">
            <v>0</v>
          </cell>
          <cell r="Q19">
            <v>0</v>
          </cell>
          <cell r="R19">
            <v>0</v>
          </cell>
        </row>
        <row r="20">
          <cell r="F20" t="str">
            <v>SLT0002566黄骅市建昌塑料制品有限公司</v>
          </cell>
          <cell r="G20" t="str">
            <v>SLT0002566</v>
          </cell>
          <cell r="H20" t="str">
            <v>统帅正背无纺布</v>
          </cell>
          <cell r="I20" t="str">
            <v>02.12.36.030</v>
          </cell>
          <cell r="M20" t="str">
            <v>件</v>
          </cell>
          <cell r="O20">
            <v>1.26</v>
          </cell>
          <cell r="P20">
            <v>0</v>
          </cell>
          <cell r="Q20">
            <v>0</v>
          </cell>
          <cell r="R20">
            <v>0</v>
          </cell>
        </row>
        <row r="21">
          <cell r="F21" t="str">
            <v>SLT0001707黄骅市建昌塑料制品有限公司</v>
          </cell>
          <cell r="G21" t="str">
            <v>SLT0001707</v>
          </cell>
          <cell r="H21" t="str">
            <v>驾驶员座椅包装袋</v>
          </cell>
          <cell r="I21" t="str">
            <v>02.12.04.149</v>
          </cell>
          <cell r="M21" t="str">
            <v>件</v>
          </cell>
          <cell r="O21">
            <v>1.6752</v>
          </cell>
          <cell r="P21">
            <v>0</v>
          </cell>
          <cell r="Q21">
            <v>0</v>
          </cell>
          <cell r="R21">
            <v>0</v>
          </cell>
        </row>
        <row r="22">
          <cell r="F22" t="str">
            <v>SHT0010207沧州旭兴五金制造有限公司</v>
          </cell>
          <cell r="G22" t="str">
            <v>SHT0010207</v>
          </cell>
          <cell r="H22" t="str">
            <v>座框旋转轴轴套</v>
          </cell>
          <cell r="I22" t="str">
            <v>02.03.57.066</v>
          </cell>
          <cell r="M22" t="str">
            <v>件</v>
          </cell>
          <cell r="O22">
            <v>1.4</v>
          </cell>
        </row>
        <row r="23">
          <cell r="F23" t="str">
            <v>SHT0010225沧州旭兴五金制造有限公司</v>
          </cell>
          <cell r="G23" t="str">
            <v>SHT0010225</v>
          </cell>
          <cell r="H23" t="str">
            <v>仰角连杆轴</v>
          </cell>
          <cell r="I23" t="str">
            <v>02.03.57.067</v>
          </cell>
          <cell r="M23" t="str">
            <v>件</v>
          </cell>
          <cell r="O23">
            <v>1.05</v>
          </cell>
        </row>
        <row r="24">
          <cell r="F24" t="str">
            <v>SHT0010819沧州旭兴五金制造有限公司</v>
          </cell>
          <cell r="G24" t="str">
            <v>SHT0010819</v>
          </cell>
          <cell r="H24" t="str">
            <v>水平减震解锁钣金旋转轴</v>
          </cell>
          <cell r="I24" t="str">
            <v>02.03.57.075</v>
          </cell>
          <cell r="M24" t="str">
            <v>件</v>
          </cell>
          <cell r="O24">
            <v>0.8</v>
          </cell>
        </row>
        <row r="25">
          <cell r="F25" t="str">
            <v>SHT0010890沧州旭兴五金制造有限公司</v>
          </cell>
          <cell r="G25" t="str">
            <v>SHT0010890</v>
          </cell>
          <cell r="H25" t="str">
            <v>翻转限位钣金安装轴</v>
          </cell>
          <cell r="I25" t="str">
            <v>02.03.57.073</v>
          </cell>
          <cell r="M25" t="str">
            <v>件</v>
          </cell>
          <cell r="O25">
            <v>0.65</v>
          </cell>
        </row>
        <row r="26">
          <cell r="F26" t="str">
            <v>SHT0010787沧州旭兴五金制造有限公司</v>
          </cell>
          <cell r="G26" t="str">
            <v>SHT0010787</v>
          </cell>
          <cell r="H26" t="str">
            <v>靠背调节手柄安装轴</v>
          </cell>
          <cell r="M26" t="str">
            <v>件</v>
          </cell>
          <cell r="O26">
            <v>1</v>
          </cell>
        </row>
        <row r="27">
          <cell r="F27" t="str">
            <v>BFA0010014沧州旭兴五金制造有限公司</v>
          </cell>
          <cell r="G27" t="str">
            <v>BFA0010014</v>
          </cell>
          <cell r="H27" t="str">
            <v>扶手锁止销</v>
          </cell>
          <cell r="I27" t="str">
            <v>02.03.57.059</v>
          </cell>
          <cell r="M27" t="str">
            <v>件</v>
          </cell>
          <cell r="O27">
            <v>0.95</v>
          </cell>
        </row>
        <row r="28">
          <cell r="F28" t="str">
            <v>SHT0012089沧州旭兴五金制造有限公司</v>
          </cell>
          <cell r="G28" t="str">
            <v>SHT0012089</v>
          </cell>
          <cell r="H28" t="str">
            <v>1.0外绞架连接杆</v>
          </cell>
          <cell r="I28" t="str">
            <v>02.03.60.038</v>
          </cell>
          <cell r="M28" t="str">
            <v>件</v>
          </cell>
          <cell r="O28">
            <v>3</v>
          </cell>
        </row>
        <row r="29">
          <cell r="F29" t="str">
            <v>BFA0000555沧州旭兴五金制造有限公司</v>
          </cell>
          <cell r="G29" t="str">
            <v>BFA0000555</v>
          </cell>
          <cell r="H29" t="str">
            <v>M3000铆钉</v>
          </cell>
          <cell r="I29" t="str">
            <v>02.03.49.006</v>
          </cell>
          <cell r="M29" t="str">
            <v>件</v>
          </cell>
          <cell r="O29">
            <v>0.8</v>
          </cell>
        </row>
        <row r="30">
          <cell r="F30" t="str">
            <v>BAS0000054沧州旭兴五金制造有限公司</v>
          </cell>
          <cell r="G30" t="str">
            <v>BAS0000054</v>
          </cell>
          <cell r="H30" t="str">
            <v>M3000衬套</v>
          </cell>
          <cell r="I30" t="str">
            <v>02.03.49.007</v>
          </cell>
          <cell r="M30" t="str">
            <v>件</v>
          </cell>
          <cell r="O30">
            <v>0.85</v>
          </cell>
        </row>
        <row r="31">
          <cell r="F31" t="str">
            <v>SLT0000518河北新强力机械制造有限公司</v>
          </cell>
          <cell r="G31" t="str">
            <v>SLT0000518</v>
          </cell>
          <cell r="H31" t="str">
            <v>K1侧翻座（左）</v>
          </cell>
          <cell r="M31" t="str">
            <v>件</v>
          </cell>
          <cell r="O31">
            <v>45.302393162393201</v>
          </cell>
          <cell r="R31" t="str">
            <v>摊销完3000件后，恢复至45.3024元</v>
          </cell>
        </row>
        <row r="32">
          <cell r="F32" t="str">
            <v>SLT0000536河北新强力机械制造有限公司</v>
          </cell>
          <cell r="G32" t="str">
            <v>SLT0000536</v>
          </cell>
          <cell r="H32" t="str">
            <v>K1侧翻座（右）</v>
          </cell>
          <cell r="M32" t="str">
            <v>件</v>
          </cell>
          <cell r="O32">
            <v>45.302393162393201</v>
          </cell>
          <cell r="R32" t="str">
            <v>摊销完3000件后，恢复至45.3024元</v>
          </cell>
        </row>
        <row r="33">
          <cell r="F33" t="str">
            <v>SHT0000088河北新强力机械制造有限公司</v>
          </cell>
          <cell r="G33" t="str">
            <v>SHT0000088</v>
          </cell>
          <cell r="H33" t="str">
            <v xml:space="preserve">M4司机靠背骨架总成  </v>
          </cell>
          <cell r="M33" t="str">
            <v>件</v>
          </cell>
          <cell r="O33">
            <v>25.4188034188034</v>
          </cell>
          <cell r="R33" t="str">
            <v>摊销完3000件后，恢复至25.4188元</v>
          </cell>
        </row>
        <row r="34">
          <cell r="F34" t="str">
            <v>SLT0000594河北新强力机械制造有限公司</v>
          </cell>
          <cell r="G34" t="str">
            <v>SLT0000594</v>
          </cell>
          <cell r="H34" t="str">
            <v>K1侧翻座（左）（小）</v>
          </cell>
          <cell r="M34" t="str">
            <v>件</v>
          </cell>
          <cell r="O34">
            <v>39.726495726000003</v>
          </cell>
        </row>
        <row r="35">
          <cell r="F35" t="str">
            <v>SLT0000605河北新强力机械制造有限公司</v>
          </cell>
          <cell r="G35" t="str">
            <v>SLT0000605</v>
          </cell>
          <cell r="H35" t="str">
            <v>K1侧翻座（右）（小）</v>
          </cell>
          <cell r="M35" t="str">
            <v>件</v>
          </cell>
          <cell r="O35">
            <v>39.726495726000003</v>
          </cell>
        </row>
        <row r="36">
          <cell r="F36" t="str">
            <v>SLT0000756河北新强力机械制造有限公司</v>
          </cell>
          <cell r="G36" t="str">
            <v>SLT0000756</v>
          </cell>
          <cell r="H36" t="str">
            <v>M3副司机座垫骨架1800加宽</v>
          </cell>
          <cell r="M36" t="str">
            <v>件</v>
          </cell>
          <cell r="O36">
            <v>41.153846153846203</v>
          </cell>
        </row>
        <row r="37">
          <cell r="F37" t="str">
            <v>SLT0000747河北新强力机械制造有限公司</v>
          </cell>
          <cell r="G37" t="str">
            <v>SLT0000747</v>
          </cell>
          <cell r="H37" t="str">
            <v>M3副司机坐骨架1800不加宽</v>
          </cell>
          <cell r="M37" t="str">
            <v>件</v>
          </cell>
          <cell r="O37">
            <v>35.786324786324798</v>
          </cell>
        </row>
        <row r="38">
          <cell r="F38" t="str">
            <v>SLT0000716河北新强力机械制造有限公司</v>
          </cell>
          <cell r="G38" t="str">
            <v>SLT0000716</v>
          </cell>
          <cell r="H38" t="str">
            <v>M3左舵1695副司机座（整体）</v>
          </cell>
          <cell r="M38" t="str">
            <v>件</v>
          </cell>
          <cell r="O38">
            <v>33.5674358974359</v>
          </cell>
        </row>
        <row r="39">
          <cell r="F39" t="str">
            <v>SLT0000117河北新强力机械制造有限公司</v>
          </cell>
          <cell r="G39" t="str">
            <v>SLT0000117</v>
          </cell>
          <cell r="H39" t="str">
            <v>M31800二排座</v>
          </cell>
          <cell r="M39" t="str">
            <v>件</v>
          </cell>
          <cell r="O39">
            <v>92.365470085470093</v>
          </cell>
        </row>
        <row r="40">
          <cell r="F40" t="str">
            <v>SLT0000119河北新强力机械制造有限公司</v>
          </cell>
          <cell r="G40" t="str">
            <v>SLT0000119</v>
          </cell>
          <cell r="H40" t="str">
            <v>M3后排支撑管</v>
          </cell>
          <cell r="M40" t="str">
            <v>件</v>
          </cell>
          <cell r="O40">
            <v>3.14282051282051</v>
          </cell>
        </row>
        <row r="41">
          <cell r="F41" t="str">
            <v>REM0001739黄骅市长生汽车灯镜有限公司</v>
          </cell>
          <cell r="G41" t="str">
            <v>REM0001739</v>
          </cell>
          <cell r="H41" t="str">
            <v>奥铃镜座左（新)</v>
          </cell>
          <cell r="M41" t="str">
            <v>件</v>
          </cell>
          <cell r="O41">
            <v>6.7</v>
          </cell>
        </row>
        <row r="42">
          <cell r="F42" t="str">
            <v>REM0001743黄骅市长生汽车灯镜有限公司</v>
          </cell>
          <cell r="G42" t="str">
            <v>REM0001743</v>
          </cell>
          <cell r="H42" t="str">
            <v>奥铃镜座右（新）</v>
          </cell>
          <cell r="M42" t="str">
            <v>件</v>
          </cell>
          <cell r="O42">
            <v>6.7</v>
          </cell>
        </row>
        <row r="43">
          <cell r="F43" t="str">
            <v>SLT0000394黄骅市恒伟五金制品有限公司</v>
          </cell>
          <cell r="G43" t="str">
            <v>SLT0000394</v>
          </cell>
          <cell r="H43" t="str">
            <v>K1双人左背</v>
          </cell>
          <cell r="M43" t="str">
            <v>件</v>
          </cell>
          <cell r="N43">
            <v>28.461500000000001</v>
          </cell>
          <cell r="O43">
            <v>30.083260000000003</v>
          </cell>
        </row>
        <row r="44">
          <cell r="F44" t="str">
            <v>SLT0000408黄骅市恒伟五金制品有限公司</v>
          </cell>
          <cell r="G44" t="str">
            <v>SLT0000408</v>
          </cell>
          <cell r="H44" t="str">
            <v>K1单人背（带头枕）</v>
          </cell>
          <cell r="M44" t="str">
            <v>件</v>
          </cell>
          <cell r="N44">
            <v>26.734999999999999</v>
          </cell>
          <cell r="O44">
            <v>28.374565</v>
          </cell>
        </row>
        <row r="45">
          <cell r="F45" t="str">
            <v>SLT0000449黄骅市恒伟五金制品有限公司</v>
          </cell>
          <cell r="G45" t="str">
            <v>SLT0000449</v>
          </cell>
          <cell r="H45" t="str">
            <v>K1四人连体左（三点式）</v>
          </cell>
          <cell r="M45" t="str">
            <v>件</v>
          </cell>
          <cell r="N45">
            <v>49.931600000000003</v>
          </cell>
          <cell r="O45">
            <v>54.495202000000006</v>
          </cell>
        </row>
        <row r="46">
          <cell r="F46" t="str">
            <v>SLT0000462黄骅市恒伟五金制品有限公司</v>
          </cell>
          <cell r="G46" t="str">
            <v>SLT0000462</v>
          </cell>
          <cell r="H46" t="str">
            <v>K1四人连体右（三点式）</v>
          </cell>
          <cell r="M46" t="str">
            <v>件</v>
          </cell>
          <cell r="N46">
            <v>49.931600000000003</v>
          </cell>
          <cell r="O46">
            <v>54.495202000000006</v>
          </cell>
        </row>
        <row r="47">
          <cell r="F47" t="str">
            <v>SLT0000517黄骅市恒伟五金制品有限公司</v>
          </cell>
          <cell r="G47" t="str">
            <v>SLT0000517</v>
          </cell>
          <cell r="H47" t="str">
            <v>K1侧翻背三点式（新状态）</v>
          </cell>
          <cell r="M47" t="str">
            <v>件</v>
          </cell>
          <cell r="N47">
            <v>38.734999999999999</v>
          </cell>
          <cell r="O47">
            <v>42.093620000000001</v>
          </cell>
        </row>
        <row r="48">
          <cell r="F48" t="str">
            <v>SLT0000551黄骅市恒伟五金制品有限公司</v>
          </cell>
          <cell r="G48" t="str">
            <v>SLT0000551</v>
          </cell>
          <cell r="H48" t="str">
            <v>K1单人背（无头枕）</v>
          </cell>
          <cell r="M48" t="str">
            <v>件</v>
          </cell>
          <cell r="N48">
            <v>26.187999999999999</v>
          </cell>
          <cell r="O48">
            <v>27.843975</v>
          </cell>
        </row>
        <row r="49">
          <cell r="F49" t="str">
            <v>SLT0000552黄骅市恒伟五金制品有限公司</v>
          </cell>
          <cell r="G49" t="str">
            <v>SLT0000552</v>
          </cell>
          <cell r="H49" t="str">
            <v>K1一排四人三人靠背（右舵）</v>
          </cell>
          <cell r="M49" t="str">
            <v>件</v>
          </cell>
          <cell r="N49">
            <v>63.752099999999999</v>
          </cell>
          <cell r="O49">
            <v>71.413387</v>
          </cell>
        </row>
        <row r="50">
          <cell r="F50" t="str">
            <v>SLT0000558黄骅市恒伟五金制品有限公司</v>
          </cell>
          <cell r="G50" t="str">
            <v>SLT0000558</v>
          </cell>
          <cell r="H50" t="str">
            <v>K1二排双人连体背（无头枕带扶手）</v>
          </cell>
          <cell r="M50" t="str">
            <v>件</v>
          </cell>
          <cell r="N50">
            <v>53.470100000000002</v>
          </cell>
          <cell r="O50">
            <v>57.927547000000004</v>
          </cell>
        </row>
        <row r="51">
          <cell r="F51" t="str">
            <v>SLT0000568黄骅市恒伟五金制品有限公司</v>
          </cell>
          <cell r="G51" t="str">
            <v>SLT0000568</v>
          </cell>
          <cell r="H51" t="str">
            <v>K1四人连体左（无头枕）</v>
          </cell>
          <cell r="M51" t="str">
            <v>件</v>
          </cell>
          <cell r="N51">
            <v>47.965800000000002</v>
          </cell>
          <cell r="O51">
            <v>52.588376000000004</v>
          </cell>
        </row>
        <row r="52">
          <cell r="F52" t="str">
            <v>SLT0000569黄骅市恒伟五金制品有限公司</v>
          </cell>
          <cell r="G52" t="str">
            <v>SLT0000569</v>
          </cell>
          <cell r="H52" t="str">
            <v>K1四人连体右（无头枕）</v>
          </cell>
          <cell r="M52" t="str">
            <v>件</v>
          </cell>
          <cell r="N52">
            <v>47.965800000000002</v>
          </cell>
          <cell r="O52">
            <v>52.588376000000004</v>
          </cell>
        </row>
        <row r="53">
          <cell r="F53" t="str">
            <v>SLT0000578黄骅市恒伟五金制品有限公司</v>
          </cell>
          <cell r="G53" t="str">
            <v>SLT0000578</v>
          </cell>
          <cell r="H53" t="str">
            <v>K1双人右置左背（带安全盒）</v>
          </cell>
          <cell r="M53" t="str">
            <v>件</v>
          </cell>
          <cell r="N53">
            <v>30.726500000000001</v>
          </cell>
          <cell r="O53">
            <v>32.807155000000002</v>
          </cell>
        </row>
        <row r="54">
          <cell r="F54" t="str">
            <v>SLT0000595黄骅市恒伟五金制品有限公司</v>
          </cell>
          <cell r="G54" t="str">
            <v>SLT0000595</v>
          </cell>
          <cell r="H54" t="str">
            <v>K1第三排侧翻左背（单头枕）</v>
          </cell>
          <cell r="M54" t="str">
            <v>件</v>
          </cell>
          <cell r="N54">
            <v>24.6068</v>
          </cell>
          <cell r="O54">
            <v>27.732126000000001</v>
          </cell>
        </row>
        <row r="55">
          <cell r="F55" t="str">
            <v>SLT0000604黄骅市恒伟五金制品有限公司</v>
          </cell>
          <cell r="G55" t="str">
            <v>SLT0000604</v>
          </cell>
          <cell r="H55" t="str">
            <v>K1侧翻右背（单头枕三点式）</v>
          </cell>
          <cell r="M55" t="str">
            <v>件</v>
          </cell>
          <cell r="N55">
            <v>37.068399999999997</v>
          </cell>
          <cell r="O55">
            <v>40.216428000000001</v>
          </cell>
        </row>
        <row r="56">
          <cell r="F56" t="str">
            <v>SLT0000630黄骅市恒伟五金制品有限公司</v>
          </cell>
          <cell r="G56" t="str">
            <v>SLT0000630</v>
          </cell>
          <cell r="H56" t="str">
            <v>K1窄车左舵三排三人背(三点式）</v>
          </cell>
          <cell r="M56" t="str">
            <v>件</v>
          </cell>
          <cell r="N56">
            <v>55.7607</v>
          </cell>
          <cell r="O56">
            <v>64.160248999999993</v>
          </cell>
        </row>
        <row r="57">
          <cell r="F57" t="str">
            <v>SLT0000638黄骅市恒伟五金制品有限公司</v>
          </cell>
          <cell r="G57" t="str">
            <v>SLT0000638</v>
          </cell>
          <cell r="H57" t="str">
            <v>K1窄车左舵二排双人连体背(带头枕扶手三点式）</v>
          </cell>
          <cell r="M57" t="str">
            <v>件</v>
          </cell>
          <cell r="N57">
            <v>50.2821</v>
          </cell>
          <cell r="O57">
            <v>55.571637000000003</v>
          </cell>
        </row>
        <row r="58">
          <cell r="F58" t="str">
            <v>SLT0000651黄骅市恒伟五金制品有限公司</v>
          </cell>
          <cell r="G58" t="str">
            <v>SLT0000651</v>
          </cell>
          <cell r="H58" t="str">
            <v>K1侧翻左背（不带头枕）</v>
          </cell>
          <cell r="M58" t="str">
            <v>件</v>
          </cell>
          <cell r="N58">
            <v>27.965800000000002</v>
          </cell>
          <cell r="O58">
            <v>30.933706000000001</v>
          </cell>
        </row>
        <row r="59">
          <cell r="F59" t="str">
            <v>SLT0000733黄骅市恒伟五金制品有限公司</v>
          </cell>
          <cell r="G59" t="str">
            <v>SLT0000733</v>
          </cell>
          <cell r="H59" t="str">
            <v>奥铃副背</v>
          </cell>
          <cell r="M59" t="str">
            <v>件</v>
          </cell>
          <cell r="N59">
            <v>25.214200000000002</v>
          </cell>
          <cell r="O59">
            <v>26.914118000000002</v>
          </cell>
        </row>
        <row r="60">
          <cell r="F60" t="str">
            <v>SLT0000078黄骅市恒伟五金制品有限公司</v>
          </cell>
          <cell r="G60" t="str">
            <v>SLT0000078</v>
          </cell>
          <cell r="H60" t="str">
            <v>欧马可副背</v>
          </cell>
          <cell r="M60" t="str">
            <v>件</v>
          </cell>
          <cell r="N60">
            <v>23.076899999999998</v>
          </cell>
          <cell r="O60">
            <v>24.761626999999997</v>
          </cell>
        </row>
        <row r="61">
          <cell r="F61" t="str">
            <v>SLT0000037黄骅市恒伟五金制品有限公司</v>
          </cell>
          <cell r="G61" t="str">
            <v>SLT0000037</v>
          </cell>
          <cell r="H61" t="str">
            <v>欧马可司机背</v>
          </cell>
          <cell r="M61" t="str">
            <v>件</v>
          </cell>
          <cell r="N61">
            <v>24.786799999999999</v>
          </cell>
          <cell r="O61">
            <v>26.298998999999998</v>
          </cell>
        </row>
        <row r="62">
          <cell r="F62" t="str">
            <v>SLT0000395黄骅市恒伟五金制品有限公司</v>
          </cell>
          <cell r="G62" t="str">
            <v>SLT0000395</v>
          </cell>
          <cell r="H62" t="str">
            <v>双人右背（安全盒）</v>
          </cell>
          <cell r="M62" t="str">
            <v>件</v>
          </cell>
          <cell r="N62">
            <v>32.786283185840709</v>
          </cell>
          <cell r="O62">
            <v>34.805144690265486</v>
          </cell>
        </row>
        <row r="63">
          <cell r="F63" t="str">
            <v>SLT0001041黄骅市恒伟五金制品有限公司</v>
          </cell>
          <cell r="G63" t="str">
            <v>SLT0001041</v>
          </cell>
          <cell r="H63" t="str">
            <v>K1出口马来西亚左背骨架</v>
          </cell>
          <cell r="M63" t="str">
            <v>件</v>
          </cell>
          <cell r="N63">
            <v>31.6496</v>
          </cell>
          <cell r="O63">
            <v>33.430641999999999</v>
          </cell>
        </row>
        <row r="64">
          <cell r="F64" t="str">
            <v>SLT0001042黄骅市恒伟五金制品有限公司</v>
          </cell>
          <cell r="G64" t="str">
            <v>SLT0001042</v>
          </cell>
          <cell r="H64" t="str">
            <v>K1出口马来西亚右背骨架</v>
          </cell>
          <cell r="M64" t="str">
            <v>件</v>
          </cell>
          <cell r="N64">
            <v>31.6496</v>
          </cell>
          <cell r="O64">
            <v>33.430641999999999</v>
          </cell>
        </row>
        <row r="65">
          <cell r="F65" t="str">
            <v>REM0001739黄骅市长生汽车灯镜有限公司</v>
          </cell>
          <cell r="G65" t="str">
            <v>REM0001739</v>
          </cell>
          <cell r="H65" t="str">
            <v>奥铃镜座左（新)</v>
          </cell>
          <cell r="M65" t="str">
            <v>件</v>
          </cell>
          <cell r="N65">
            <v>6.7</v>
          </cell>
          <cell r="O65">
            <v>6.7</v>
          </cell>
        </row>
        <row r="66">
          <cell r="F66" t="str">
            <v>REM0001743黄骅市长生汽车灯镜有限公司</v>
          </cell>
          <cell r="G66" t="str">
            <v>REM0001743</v>
          </cell>
          <cell r="H66" t="str">
            <v>奥铃镜座右（新）</v>
          </cell>
          <cell r="M66" t="str">
            <v>件</v>
          </cell>
          <cell r="N66">
            <v>6.7</v>
          </cell>
          <cell r="O66">
            <v>6.7</v>
          </cell>
        </row>
        <row r="67">
          <cell r="F67" t="str">
            <v>SBS0010154山东金达汽车部件制造有限公司</v>
          </cell>
          <cell r="G67" t="str">
            <v>SBS0010154</v>
          </cell>
          <cell r="H67" t="str">
            <v>K1标准头枕布套</v>
          </cell>
          <cell r="M67" t="str">
            <v>件</v>
          </cell>
          <cell r="O67">
            <v>4.9800000000000004</v>
          </cell>
          <cell r="P67">
            <v>0</v>
          </cell>
          <cell r="Q67">
            <v>0</v>
          </cell>
          <cell r="R67">
            <v>0</v>
          </cell>
        </row>
        <row r="68">
          <cell r="F68" t="str">
            <v>SBS0010186山东金达汽车部件制造有限公司</v>
          </cell>
          <cell r="G68" t="str">
            <v>SBS0010186</v>
          </cell>
          <cell r="H68" t="str">
            <v>K1标准双人座布套</v>
          </cell>
          <cell r="M68" t="str">
            <v>件</v>
          </cell>
          <cell r="O68">
            <v>30.187899999999999</v>
          </cell>
          <cell r="P68">
            <v>0</v>
          </cell>
          <cell r="Q68">
            <v>0</v>
          </cell>
          <cell r="R68">
            <v>0</v>
          </cell>
        </row>
        <row r="69">
          <cell r="F69" t="str">
            <v>SLT0002626山东金达汽车部件制造有限公司</v>
          </cell>
          <cell r="G69" t="str">
            <v>SLT0002626</v>
          </cell>
          <cell r="H69" t="str">
            <v>K1窄车右舵双人背</v>
          </cell>
          <cell r="M69" t="str">
            <v>件</v>
          </cell>
          <cell r="O69">
            <v>29.162500000000001</v>
          </cell>
          <cell r="P69">
            <v>0</v>
          </cell>
          <cell r="Q69">
            <v>0</v>
          </cell>
          <cell r="R69">
            <v>0</v>
          </cell>
        </row>
        <row r="70">
          <cell r="F70" t="str">
            <v>SBS0010157山东金达汽车部件制造有限公司</v>
          </cell>
          <cell r="G70" t="str">
            <v>SBS0010157</v>
          </cell>
          <cell r="H70" t="str">
            <v>K1标准(上小背)布套</v>
          </cell>
          <cell r="M70" t="str">
            <v>件</v>
          </cell>
          <cell r="O70">
            <v>19.420000000000002</v>
          </cell>
          <cell r="P70">
            <v>0</v>
          </cell>
          <cell r="Q70">
            <v>0</v>
          </cell>
          <cell r="R70">
            <v>0</v>
          </cell>
        </row>
        <row r="71">
          <cell r="F71" t="str">
            <v>SBS0010158山东金达汽车部件制造有限公司</v>
          </cell>
          <cell r="G71" t="str">
            <v>SBS0010158</v>
          </cell>
          <cell r="H71" t="str">
            <v>K1标准(中间背)布套</v>
          </cell>
          <cell r="M71" t="str">
            <v>件</v>
          </cell>
          <cell r="O71">
            <v>19.420000000000002</v>
          </cell>
          <cell r="P71">
            <v>0</v>
          </cell>
          <cell r="Q71">
            <v>0</v>
          </cell>
          <cell r="R71">
            <v>0</v>
          </cell>
        </row>
        <row r="72">
          <cell r="F72" t="str">
            <v>SLT0000453山东金达汽车部件制造有限公司</v>
          </cell>
          <cell r="G72" t="str">
            <v>SLT0000453</v>
          </cell>
          <cell r="H72" t="str">
            <v>K1标准二三排单人背布套</v>
          </cell>
          <cell r="M72" t="str">
            <v>件</v>
          </cell>
          <cell r="O72">
            <v>18.28</v>
          </cell>
          <cell r="P72">
            <v>0</v>
          </cell>
          <cell r="Q72">
            <v>0</v>
          </cell>
          <cell r="R72">
            <v>0</v>
          </cell>
        </row>
        <row r="73">
          <cell r="F73" t="str">
            <v>SLT0000454山东金达汽车部件制造有限公司</v>
          </cell>
          <cell r="G73" t="str">
            <v>SLT0000454</v>
          </cell>
          <cell r="H73" t="str">
            <v>K1标准二排单人座布套</v>
          </cell>
          <cell r="M73" t="str">
            <v>件</v>
          </cell>
          <cell r="O73">
            <v>15.6</v>
          </cell>
          <cell r="P73">
            <v>0</v>
          </cell>
          <cell r="Q73">
            <v>0</v>
          </cell>
          <cell r="R73">
            <v>0</v>
          </cell>
        </row>
        <row r="74">
          <cell r="F74" t="str">
            <v>SLT0000455山东金达汽车部件制造有限公司</v>
          </cell>
          <cell r="G74" t="str">
            <v>SLT0000455</v>
          </cell>
          <cell r="H74" t="str">
            <v>K1标准三排单人座布套</v>
          </cell>
          <cell r="M74" t="str">
            <v>件</v>
          </cell>
          <cell r="O74">
            <v>15.6</v>
          </cell>
          <cell r="P74">
            <v>0</v>
          </cell>
          <cell r="Q74">
            <v>0</v>
          </cell>
          <cell r="R74">
            <v>0</v>
          </cell>
        </row>
        <row r="75">
          <cell r="F75" t="str">
            <v>SBS0010185山东金达汽车部件制造有限公司</v>
          </cell>
          <cell r="G75" t="str">
            <v>SBS0010185</v>
          </cell>
          <cell r="H75" t="str">
            <v>K1标准窄车一排三人座</v>
          </cell>
          <cell r="M75" t="str">
            <v>件</v>
          </cell>
          <cell r="O75">
            <v>44.17</v>
          </cell>
          <cell r="P75">
            <v>0</v>
          </cell>
          <cell r="Q75">
            <v>0</v>
          </cell>
          <cell r="R75">
            <v>0</v>
          </cell>
        </row>
        <row r="76">
          <cell r="F76" t="str">
            <v>SBS0010155山东金达汽车部件制造有限公司</v>
          </cell>
          <cell r="G76" t="str">
            <v>SBS0010155</v>
          </cell>
          <cell r="H76" t="str">
            <v>kl标准窄车三排三人座</v>
          </cell>
          <cell r="M76" t="str">
            <v>件</v>
          </cell>
          <cell r="O76">
            <v>46.07</v>
          </cell>
          <cell r="P76">
            <v>0</v>
          </cell>
          <cell r="Q76">
            <v>0</v>
          </cell>
          <cell r="R76">
            <v>0</v>
          </cell>
        </row>
        <row r="77">
          <cell r="F77" t="str">
            <v>SBS0010156山东金达汽车部件制造有限公司</v>
          </cell>
          <cell r="G77" t="str">
            <v>SBS0010156</v>
          </cell>
          <cell r="H77" t="str">
            <v>k1标准窄车三排三人背</v>
          </cell>
          <cell r="M77" t="str">
            <v>件</v>
          </cell>
          <cell r="O77">
            <v>46.13</v>
          </cell>
          <cell r="P77">
            <v>0</v>
          </cell>
          <cell r="Q77">
            <v>0</v>
          </cell>
          <cell r="R77">
            <v>0</v>
          </cell>
        </row>
        <row r="78">
          <cell r="F78" t="str">
            <v>SLT0001077山东金达汽车部件制造有限公司</v>
          </cell>
          <cell r="G78" t="str">
            <v>SLT0001077</v>
          </cell>
          <cell r="H78" t="str">
            <v>K1标准1.5窄车侧右背</v>
          </cell>
          <cell r="M78" t="str">
            <v>件</v>
          </cell>
          <cell r="O78">
            <v>27.4</v>
          </cell>
          <cell r="P78">
            <v>0</v>
          </cell>
          <cell r="Q78">
            <v>0</v>
          </cell>
          <cell r="R78">
            <v>0</v>
          </cell>
        </row>
        <row r="79">
          <cell r="F79" t="str">
            <v>SLT0001078山东金达汽车部件制造有限公司</v>
          </cell>
          <cell r="G79" t="str">
            <v>SLT0001078</v>
          </cell>
          <cell r="H79" t="str">
            <v>标准1.5窄车侧翻右座</v>
          </cell>
          <cell r="M79" t="str">
            <v>件</v>
          </cell>
          <cell r="O79">
            <v>22.22</v>
          </cell>
          <cell r="P79">
            <v>0</v>
          </cell>
          <cell r="Q79">
            <v>0</v>
          </cell>
          <cell r="R79">
            <v>0</v>
          </cell>
        </row>
        <row r="80">
          <cell r="F80" t="str">
            <v>SLT0010319山东金达汽车部件制造有限公司</v>
          </cell>
          <cell r="G80" t="str">
            <v>SLT0010319</v>
          </cell>
          <cell r="H80" t="str">
            <v>驾驶员坐垫护面总成</v>
          </cell>
          <cell r="M80" t="str">
            <v>件</v>
          </cell>
          <cell r="O80">
            <v>19.600000000000001</v>
          </cell>
          <cell r="P80">
            <v>0</v>
          </cell>
          <cell r="Q80">
            <v>0</v>
          </cell>
          <cell r="R80">
            <v>0</v>
          </cell>
        </row>
        <row r="81">
          <cell r="F81" t="str">
            <v>SLT0002577山东金达汽车部件制造有限公司</v>
          </cell>
          <cell r="G81" t="str">
            <v>SLT0002577</v>
          </cell>
          <cell r="H81" t="str">
            <v>k1右舵双人座布套新面料</v>
          </cell>
          <cell r="M81" t="str">
            <v>件</v>
          </cell>
          <cell r="O81">
            <v>34.6</v>
          </cell>
          <cell r="P81">
            <v>0</v>
          </cell>
          <cell r="Q81">
            <v>0</v>
          </cell>
          <cell r="R81">
            <v>0</v>
          </cell>
        </row>
        <row r="82">
          <cell r="F82" t="str">
            <v>SLT0002622山东金达汽车部件制造有限公司</v>
          </cell>
          <cell r="G82" t="str">
            <v>SLT0002622</v>
          </cell>
          <cell r="H82" t="str">
            <v>Kl窄车右舵双人座垫护面</v>
          </cell>
          <cell r="M82" t="str">
            <v>件</v>
          </cell>
          <cell r="O82">
            <v>34.6</v>
          </cell>
          <cell r="P82">
            <v>0</v>
          </cell>
          <cell r="Q82">
            <v>0</v>
          </cell>
          <cell r="R82">
            <v>0</v>
          </cell>
        </row>
        <row r="83">
          <cell r="F83" t="str">
            <v>SLT0002627山东金达汽车部件制造有限公司</v>
          </cell>
          <cell r="G83" t="str">
            <v>SLT0002627</v>
          </cell>
          <cell r="H83" t="str">
            <v>K1窄车右舵单人背</v>
          </cell>
          <cell r="M83" t="str">
            <v>件</v>
          </cell>
          <cell r="O83">
            <v>21.7</v>
          </cell>
          <cell r="P83">
            <v>0</v>
          </cell>
          <cell r="Q83">
            <v>0</v>
          </cell>
          <cell r="R83">
            <v>0</v>
          </cell>
        </row>
        <row r="84">
          <cell r="F84" t="str">
            <v>SLT0002628山东金达汽车部件制造有限公司</v>
          </cell>
          <cell r="G84" t="str">
            <v>SLT0002628</v>
          </cell>
          <cell r="H84" t="str">
            <v>K1窄车右舵单人二排座</v>
          </cell>
          <cell r="M84" t="str">
            <v>件</v>
          </cell>
          <cell r="O84">
            <v>17.899999999999999</v>
          </cell>
          <cell r="P84">
            <v>0</v>
          </cell>
          <cell r="Q84">
            <v>0</v>
          </cell>
          <cell r="R84">
            <v>0</v>
          </cell>
        </row>
        <row r="85">
          <cell r="F85" t="str">
            <v>SLT0002629山东金达汽车部件制造有限公司</v>
          </cell>
          <cell r="G85" t="str">
            <v>SLT0002629</v>
          </cell>
          <cell r="H85" t="str">
            <v>K1窄车右舵单人三排座</v>
          </cell>
          <cell r="M85" t="str">
            <v>件</v>
          </cell>
          <cell r="O85">
            <v>17.899999999999999</v>
          </cell>
          <cell r="P85">
            <v>0</v>
          </cell>
          <cell r="Q85">
            <v>0</v>
          </cell>
          <cell r="R85">
            <v>0</v>
          </cell>
        </row>
        <row r="86">
          <cell r="F86" t="str">
            <v>SBS0010022山东金达汽车部件制造有限公司</v>
          </cell>
          <cell r="G86" t="str">
            <v>SBS0010022</v>
          </cell>
          <cell r="H86" t="str">
            <v>单人座垫护面总成(左舵)</v>
          </cell>
          <cell r="M86" t="str">
            <v>件</v>
          </cell>
          <cell r="O86">
            <v>17.899999999999999</v>
          </cell>
          <cell r="P86">
            <v>0</v>
          </cell>
          <cell r="Q86">
            <v>0</v>
          </cell>
          <cell r="R86">
            <v>0</v>
          </cell>
        </row>
        <row r="87">
          <cell r="F87" t="str">
            <v>SBS0010028山东金达汽车部件制造有限公司</v>
          </cell>
          <cell r="G87" t="str">
            <v>SBS0010028</v>
          </cell>
          <cell r="H87" t="str">
            <v>单人座垫护面总成(右舵)</v>
          </cell>
          <cell r="M87" t="str">
            <v>件</v>
          </cell>
          <cell r="O87">
            <v>17.899999999999999</v>
          </cell>
          <cell r="P87">
            <v>0</v>
          </cell>
          <cell r="Q87">
            <v>0</v>
          </cell>
          <cell r="R87">
            <v>0</v>
          </cell>
        </row>
        <row r="88">
          <cell r="F88" t="str">
            <v>SLT0002567山东金达汽车部件制造有限公司</v>
          </cell>
          <cell r="G88" t="str">
            <v>SLT0002567</v>
          </cell>
          <cell r="H88" t="str">
            <v>K1一排三座</v>
          </cell>
          <cell r="M88" t="str">
            <v>件</v>
          </cell>
          <cell r="O88">
            <v>46.7</v>
          </cell>
          <cell r="P88">
            <v>0</v>
          </cell>
          <cell r="Q88">
            <v>0</v>
          </cell>
          <cell r="R88">
            <v>0</v>
          </cell>
        </row>
        <row r="89">
          <cell r="F89" t="str">
            <v>SLT0002568山东金达汽车部件制造有限公司</v>
          </cell>
          <cell r="G89" t="str">
            <v>SLT0002568</v>
          </cell>
          <cell r="H89" t="str">
            <v>K1一排三人背</v>
          </cell>
          <cell r="M89" t="str">
            <v>件</v>
          </cell>
          <cell r="O89">
            <v>42.3</v>
          </cell>
          <cell r="P89">
            <v>0</v>
          </cell>
          <cell r="Q89">
            <v>0</v>
          </cell>
          <cell r="R89">
            <v>0</v>
          </cell>
        </row>
        <row r="90">
          <cell r="F90" t="str">
            <v>SLT0002721山东金达汽车部件制造有限公司</v>
          </cell>
          <cell r="G90" t="str">
            <v>SLT0002721</v>
          </cell>
          <cell r="H90" t="str">
            <v>k1左舵四人联体左背布套</v>
          </cell>
          <cell r="M90" t="str">
            <v>件</v>
          </cell>
          <cell r="O90">
            <v>36</v>
          </cell>
          <cell r="P90">
            <v>0</v>
          </cell>
          <cell r="Q90">
            <v>0</v>
          </cell>
          <cell r="R90">
            <v>0</v>
          </cell>
        </row>
        <row r="91">
          <cell r="F91" t="str">
            <v>SLT0002723山东金达汽车部件制造有限公司</v>
          </cell>
          <cell r="G91" t="str">
            <v>SLT0002723</v>
          </cell>
          <cell r="H91" t="str">
            <v>k1左舵四人联体左座布套</v>
          </cell>
          <cell r="M91" t="str">
            <v>件</v>
          </cell>
          <cell r="O91">
            <v>35.700000000000003</v>
          </cell>
          <cell r="P91">
            <v>0</v>
          </cell>
          <cell r="Q91">
            <v>0</v>
          </cell>
          <cell r="R91">
            <v>0</v>
          </cell>
        </row>
        <row r="92">
          <cell r="F92" t="str">
            <v>SHT0000085山东金达汽车部件制造有限公司</v>
          </cell>
          <cell r="G92" t="str">
            <v>SHT0000085</v>
          </cell>
          <cell r="H92" t="str">
            <v>M4中重卡司机座布套</v>
          </cell>
          <cell r="M92" t="str">
            <v>件</v>
          </cell>
          <cell r="O92">
            <v>23.5</v>
          </cell>
          <cell r="P92">
            <v>0</v>
          </cell>
          <cell r="Q92">
            <v>0</v>
          </cell>
          <cell r="R92">
            <v>0</v>
          </cell>
        </row>
        <row r="93">
          <cell r="F93" t="str">
            <v>SHT0000086山东金达汽车部件制造有限公司</v>
          </cell>
          <cell r="G93" t="str">
            <v>SHT0000086</v>
          </cell>
          <cell r="H93" t="str">
            <v>M4中重卡司机背布套</v>
          </cell>
          <cell r="M93" t="str">
            <v>件</v>
          </cell>
          <cell r="O93">
            <v>48.5</v>
          </cell>
          <cell r="P93">
            <v>0</v>
          </cell>
          <cell r="Q93">
            <v>0</v>
          </cell>
          <cell r="R93">
            <v>0</v>
          </cell>
        </row>
        <row r="94">
          <cell r="F94" t="str">
            <v>SHT0000107山东金达汽车部件制造有限公司</v>
          </cell>
          <cell r="G94" t="str">
            <v>SHT0000107</v>
          </cell>
          <cell r="H94" t="str">
            <v>M4中重卡卧铺布套</v>
          </cell>
          <cell r="M94" t="str">
            <v>件</v>
          </cell>
          <cell r="O94">
            <v>68.287999999999997</v>
          </cell>
          <cell r="P94">
            <v>0</v>
          </cell>
          <cell r="Q94">
            <v>0</v>
          </cell>
          <cell r="R94">
            <v>0</v>
          </cell>
        </row>
        <row r="95">
          <cell r="F95" t="str">
            <v>SLT0000512山东金达汽车部件制造有限公司</v>
          </cell>
          <cell r="G95" t="str">
            <v>SLT0000512</v>
          </cell>
          <cell r="H95" t="str">
            <v>k1短拉带</v>
          </cell>
          <cell r="M95" t="str">
            <v>件</v>
          </cell>
          <cell r="O95">
            <v>4.68</v>
          </cell>
          <cell r="P95">
            <v>0</v>
          </cell>
          <cell r="Q95">
            <v>0</v>
          </cell>
          <cell r="R95">
            <v>0</v>
          </cell>
        </row>
        <row r="96">
          <cell r="F96" t="str">
            <v>SLT0000593山东金达汽车部件制造有限公司</v>
          </cell>
          <cell r="G96" t="str">
            <v>SLT0000593</v>
          </cell>
          <cell r="H96" t="str">
            <v>k1小侧翻拉带(长的)</v>
          </cell>
          <cell r="M96" t="str">
            <v>件</v>
          </cell>
          <cell r="O96">
            <v>4.68</v>
          </cell>
          <cell r="P96">
            <v>0</v>
          </cell>
          <cell r="Q96">
            <v>0</v>
          </cell>
          <cell r="R96">
            <v>0</v>
          </cell>
        </row>
        <row r="97">
          <cell r="F97" t="str">
            <v>SLT0000165山东金达汽车部件制造有限公司</v>
          </cell>
          <cell r="G97" t="str">
            <v>SLT0000165</v>
          </cell>
          <cell r="H97" t="str">
            <v>M3右舵1995卧铺布套</v>
          </cell>
          <cell r="M97" t="str">
            <v>件</v>
          </cell>
          <cell r="O97">
            <v>36.64</v>
          </cell>
          <cell r="P97">
            <v>0</v>
          </cell>
          <cell r="Q97">
            <v>0</v>
          </cell>
          <cell r="R97">
            <v>0</v>
          </cell>
        </row>
        <row r="98">
          <cell r="F98" t="str">
            <v>SBS0010013山东金达汽车部件制造有限公司</v>
          </cell>
          <cell r="G98" t="str">
            <v>SBS0010013</v>
          </cell>
          <cell r="H98" t="str">
            <v>前排中间座垫护面总成（宽）</v>
          </cell>
          <cell r="M98" t="str">
            <v>件</v>
          </cell>
          <cell r="O98">
            <v>7.4</v>
          </cell>
          <cell r="P98">
            <v>0</v>
          </cell>
          <cell r="Q98">
            <v>0</v>
          </cell>
          <cell r="R98">
            <v>0</v>
          </cell>
        </row>
        <row r="99">
          <cell r="F99" t="str">
            <v>SBS0010014山东金达汽车部件制造有限公司</v>
          </cell>
          <cell r="G99" t="str">
            <v>SBS0010014</v>
          </cell>
          <cell r="H99" t="str">
            <v>前排中间靠背护面总成（宽）</v>
          </cell>
          <cell r="M99" t="str">
            <v>件</v>
          </cell>
          <cell r="O99">
            <v>5.83</v>
          </cell>
          <cell r="P99">
            <v>0</v>
          </cell>
          <cell r="Q99">
            <v>0</v>
          </cell>
          <cell r="R99">
            <v>0</v>
          </cell>
        </row>
        <row r="100">
          <cell r="F100" t="str">
            <v>SBS0010010山东金达汽车部件制造有限公司</v>
          </cell>
          <cell r="G100" t="str">
            <v>SBS0010010</v>
          </cell>
          <cell r="H100" t="str">
            <v>头枕护面总成</v>
          </cell>
          <cell r="M100" t="str">
            <v>件</v>
          </cell>
          <cell r="O100">
            <v>3.22</v>
          </cell>
          <cell r="P100">
            <v>0</v>
          </cell>
          <cell r="Q100">
            <v>0</v>
          </cell>
          <cell r="R100">
            <v>0</v>
          </cell>
        </row>
        <row r="101">
          <cell r="F101" t="str">
            <v>SBS0010012山东金达汽车部件制造有限公司</v>
          </cell>
          <cell r="G101" t="str">
            <v>SBS0010012</v>
          </cell>
          <cell r="H101" t="str">
            <v>司机靠背护面总成</v>
          </cell>
          <cell r="M101" t="str">
            <v>件</v>
          </cell>
          <cell r="O101">
            <v>5.5</v>
          </cell>
          <cell r="P101">
            <v>0</v>
          </cell>
          <cell r="Q101">
            <v>0</v>
          </cell>
          <cell r="R101">
            <v>0</v>
          </cell>
        </row>
        <row r="102">
          <cell r="F102" t="str">
            <v>SBS0010011山东金达汽车部件制造有限公司</v>
          </cell>
          <cell r="G102" t="str">
            <v>SBS0010011</v>
          </cell>
          <cell r="H102" t="str">
            <v>司机座垫护面总成</v>
          </cell>
          <cell r="M102" t="str">
            <v>件</v>
          </cell>
          <cell r="O102">
            <v>7.51</v>
          </cell>
          <cell r="P102">
            <v>0</v>
          </cell>
          <cell r="Q102">
            <v>0</v>
          </cell>
          <cell r="R102">
            <v>0</v>
          </cell>
        </row>
        <row r="103">
          <cell r="F103" t="str">
            <v>SBS0010021山东金达汽车部件制造有限公司</v>
          </cell>
          <cell r="G103" t="str">
            <v>SBS0010021</v>
          </cell>
          <cell r="H103" t="str">
            <v>双人座垫护面总成(左舵)</v>
          </cell>
          <cell r="M103" t="str">
            <v>件</v>
          </cell>
          <cell r="O103">
            <v>11.26</v>
          </cell>
          <cell r="P103">
            <v>0</v>
          </cell>
          <cell r="Q103">
            <v>0</v>
          </cell>
          <cell r="R103">
            <v>0</v>
          </cell>
        </row>
        <row r="104">
          <cell r="F104" t="str">
            <v>SBS0010026山东金达汽车部件制造有限公司</v>
          </cell>
          <cell r="G104" t="str">
            <v>SBS0010026</v>
          </cell>
          <cell r="H104" t="str">
            <v>双人座垫护面总成(右舵)</v>
          </cell>
          <cell r="M104" t="str">
            <v>件</v>
          </cell>
          <cell r="O104">
            <v>11.26</v>
          </cell>
          <cell r="P104">
            <v>0</v>
          </cell>
          <cell r="Q104">
            <v>0</v>
          </cell>
          <cell r="R104">
            <v>0</v>
          </cell>
        </row>
        <row r="105">
          <cell r="F105" t="str">
            <v>SBS0010020山东金达汽车部件制造有限公司</v>
          </cell>
          <cell r="G105" t="str">
            <v>SBS0010020</v>
          </cell>
          <cell r="H105" t="str">
            <v>双人右靠背护面总成(左舵)</v>
          </cell>
          <cell r="M105" t="str">
            <v>件</v>
          </cell>
          <cell r="O105">
            <v>6.52</v>
          </cell>
          <cell r="P105">
            <v>0</v>
          </cell>
          <cell r="Q105">
            <v>0</v>
          </cell>
          <cell r="R105">
            <v>0</v>
          </cell>
        </row>
        <row r="106">
          <cell r="F106" t="str">
            <v>SBS0010025山东金达汽车部件制造有限公司</v>
          </cell>
          <cell r="G106" t="str">
            <v>SBS0010025</v>
          </cell>
          <cell r="H106" t="str">
            <v>双人右靠背护面总成(右舵)</v>
          </cell>
          <cell r="M106" t="str">
            <v>件</v>
          </cell>
          <cell r="O106">
            <v>6.52</v>
          </cell>
          <cell r="P106">
            <v>0</v>
          </cell>
          <cell r="Q106">
            <v>0</v>
          </cell>
          <cell r="R106">
            <v>0</v>
          </cell>
        </row>
        <row r="107">
          <cell r="F107" t="str">
            <v>SCS0011854山东金达汽车部件制造有限公司</v>
          </cell>
          <cell r="G107" t="str">
            <v>SCS0011854</v>
          </cell>
          <cell r="H107" t="str">
            <v>双人左靠背护面总成</v>
          </cell>
          <cell r="M107" t="str">
            <v>件</v>
          </cell>
          <cell r="O107">
            <v>6.52</v>
          </cell>
          <cell r="P107">
            <v>0</v>
          </cell>
          <cell r="Q107">
            <v>0</v>
          </cell>
          <cell r="R107">
            <v>0</v>
          </cell>
        </row>
        <row r="108">
          <cell r="F108" t="str">
            <v>SBS0010023山东金达汽车部件制造有限公司</v>
          </cell>
          <cell r="G108" t="str">
            <v>SBS0010023</v>
          </cell>
          <cell r="H108" t="str">
            <v>二排单人座垫护面总成左舵</v>
          </cell>
          <cell r="M108" t="str">
            <v>件</v>
          </cell>
          <cell r="O108">
            <v>6.54</v>
          </cell>
          <cell r="P108">
            <v>0</v>
          </cell>
          <cell r="Q108">
            <v>0</v>
          </cell>
          <cell r="R108">
            <v>0</v>
          </cell>
        </row>
        <row r="109">
          <cell r="F109" t="str">
            <v>SBS0010027山东金达汽车部件制造有限公司</v>
          </cell>
          <cell r="G109" t="str">
            <v>SBS0010027</v>
          </cell>
          <cell r="H109" t="str">
            <v>二排单人座垫护面总成右舵</v>
          </cell>
          <cell r="M109" t="str">
            <v>件</v>
          </cell>
          <cell r="O109">
            <v>6.54</v>
          </cell>
          <cell r="P109">
            <v>0</v>
          </cell>
          <cell r="Q109">
            <v>0</v>
          </cell>
          <cell r="R109">
            <v>0</v>
          </cell>
        </row>
        <row r="110">
          <cell r="F110" t="str">
            <v>SBS0010015山东金达汽车部件制造有限公司</v>
          </cell>
          <cell r="G110" t="str">
            <v>SBS0010015</v>
          </cell>
          <cell r="H110" t="str">
            <v>四人联体右背护面总成</v>
          </cell>
          <cell r="M110" t="str">
            <v>件</v>
          </cell>
          <cell r="O110">
            <v>11.026199999999999</v>
          </cell>
          <cell r="P110">
            <v>0</v>
          </cell>
          <cell r="Q110">
            <v>0</v>
          </cell>
          <cell r="R110">
            <v>0</v>
          </cell>
        </row>
        <row r="111">
          <cell r="F111" t="str">
            <v>SBS0010017山东金达汽车部件制造有限公司</v>
          </cell>
          <cell r="G111" t="str">
            <v>SBS0010017</v>
          </cell>
          <cell r="H111" t="str">
            <v>四人联体右座垫护面总成</v>
          </cell>
          <cell r="M111" t="str">
            <v>件</v>
          </cell>
          <cell r="O111">
            <v>12.22</v>
          </cell>
          <cell r="P111">
            <v>0</v>
          </cell>
          <cell r="Q111">
            <v>0</v>
          </cell>
          <cell r="R111">
            <v>0</v>
          </cell>
        </row>
        <row r="112">
          <cell r="F112" t="str">
            <v>SBS0010024山东金达汽车部件制造有限公司</v>
          </cell>
          <cell r="G112" t="str">
            <v>SBS0010024</v>
          </cell>
          <cell r="H112" t="str">
            <v>单人靠背护面总成</v>
          </cell>
          <cell r="M112" t="str">
            <v>件</v>
          </cell>
          <cell r="O112">
            <v>6.52</v>
          </cell>
          <cell r="P112">
            <v>0</v>
          </cell>
          <cell r="Q112">
            <v>0</v>
          </cell>
          <cell r="R112">
            <v>0</v>
          </cell>
        </row>
        <row r="113">
          <cell r="F113" t="str">
            <v>BFA0010035霸州市霸州镇鑫创五金塑料厂</v>
          </cell>
          <cell r="G113" t="str">
            <v>BFA0010035</v>
          </cell>
          <cell r="H113" t="str">
            <v>扶手左旋螺杆</v>
          </cell>
          <cell r="J113" t="str">
            <v>Q/BQB 501 10B21-Q/BQB</v>
          </cell>
          <cell r="M113" t="str">
            <v>EA</v>
          </cell>
          <cell r="O113">
            <v>5.13</v>
          </cell>
        </row>
        <row r="114">
          <cell r="F114" t="str">
            <v>BFA0010036霸州市霸州镇鑫创五金塑料厂</v>
          </cell>
          <cell r="G114" t="str">
            <v>BFA0010036</v>
          </cell>
          <cell r="H114" t="str">
            <v>扶手右旋螺杆</v>
          </cell>
          <cell r="J114" t="str">
            <v>Q/BQB 501 10B21-Q/BQB</v>
          </cell>
          <cell r="M114" t="str">
            <v>EA</v>
          </cell>
          <cell r="O114">
            <v>5.13</v>
          </cell>
        </row>
        <row r="115">
          <cell r="F115" t="str">
            <v>SLT0002703合肥光码科技有限公司</v>
          </cell>
          <cell r="G115" t="str">
            <v>SLT0002703</v>
          </cell>
          <cell r="H115" t="str">
            <v>亮白PET标签</v>
          </cell>
          <cell r="M115" t="str">
            <v>卷</v>
          </cell>
          <cell r="O115">
            <v>61.946902654867266</v>
          </cell>
        </row>
        <row r="116">
          <cell r="F116" t="str">
            <v>SLT0010642沧州智凯金属制品有限公司</v>
          </cell>
          <cell r="G116" t="str">
            <v>SLT0010642</v>
          </cell>
          <cell r="H116" t="str">
            <v>滑轨右连接板2（B版）</v>
          </cell>
          <cell r="M116" t="str">
            <v>件</v>
          </cell>
          <cell r="O116">
            <v>6.3</v>
          </cell>
          <cell r="P116">
            <v>18194.690300000002</v>
          </cell>
          <cell r="Q116">
            <v>0.18194690300000002</v>
          </cell>
          <cell r="R116" t="str">
            <v>1.模检焊具费用100%分摊至10万件产品中，自供货之日起执行
2.原状态模具费6194.6903元，新状态模具费12000元。</v>
          </cell>
        </row>
        <row r="117">
          <cell r="F117" t="str">
            <v>SLT0010781海兴中盛弹簧有限公司</v>
          </cell>
          <cell r="G117" t="str">
            <v>SLT0010781</v>
          </cell>
          <cell r="H117" t="str">
            <v>肩部支撑钢丝A</v>
          </cell>
          <cell r="O117">
            <v>0.378</v>
          </cell>
        </row>
        <row r="118">
          <cell r="F118" t="str">
            <v>SLT0010782海兴中盛弹簧有限公司</v>
          </cell>
          <cell r="G118" t="str">
            <v>SLT0010782</v>
          </cell>
          <cell r="H118" t="str">
            <v>肩部支撑钢丝B</v>
          </cell>
          <cell r="O118">
            <v>0.22500000000000001</v>
          </cell>
        </row>
        <row r="119">
          <cell r="F119" t="str">
            <v>SLT0010783海兴中盛弹簧有限公司</v>
          </cell>
          <cell r="G119" t="str">
            <v>SLT0010783</v>
          </cell>
          <cell r="H119" t="str">
            <v>头枕支撑钢丝</v>
          </cell>
          <cell r="O119">
            <v>0.20799999999999999</v>
          </cell>
        </row>
        <row r="120">
          <cell r="F120" t="str">
            <v>SLT0010755海兴中盛弹簧有限公司</v>
          </cell>
          <cell r="G120" t="str">
            <v>SLT0010755</v>
          </cell>
          <cell r="H120" t="str">
            <v>驾驶员靠背预埋钢丝A</v>
          </cell>
          <cell r="O120">
            <v>0.14000000000000001</v>
          </cell>
        </row>
        <row r="121">
          <cell r="F121" t="str">
            <v>SLT0010756海兴中盛弹簧有限公司</v>
          </cell>
          <cell r="G121" t="str">
            <v>SLT0010756</v>
          </cell>
          <cell r="H121" t="str">
            <v>驾驶员靠背预埋钢丝B</v>
          </cell>
          <cell r="O121">
            <v>0.14000000000000001</v>
          </cell>
        </row>
        <row r="122">
          <cell r="F122" t="str">
            <v>SLT0010757海兴中盛弹簧有限公司</v>
          </cell>
          <cell r="G122" t="str">
            <v>SLT0010757</v>
          </cell>
          <cell r="H122" t="str">
            <v>驾驶员靠背预埋钢丝C</v>
          </cell>
          <cell r="O122">
            <v>0.104</v>
          </cell>
        </row>
        <row r="123">
          <cell r="F123" t="str">
            <v>SLT0010758海兴中盛弹簧有限公司</v>
          </cell>
          <cell r="G123" t="str">
            <v>SLT0010758</v>
          </cell>
          <cell r="H123" t="str">
            <v>驾驶员靠背预埋钢丝D</v>
          </cell>
          <cell r="O123">
            <v>7.0000000000000007E-2</v>
          </cell>
        </row>
        <row r="124">
          <cell r="F124" t="str">
            <v>SLT0010759海兴中盛弹簧有限公司</v>
          </cell>
          <cell r="G124" t="str">
            <v>SLT0010759</v>
          </cell>
          <cell r="H124" t="str">
            <v>驾驶员靠背钢丝焊接总成</v>
          </cell>
          <cell r="O124">
            <v>3.15</v>
          </cell>
        </row>
        <row r="125">
          <cell r="F125" t="str">
            <v>SLT0010764海兴中盛弹簧有限公司</v>
          </cell>
          <cell r="G125" t="str">
            <v>SLT0010764</v>
          </cell>
          <cell r="H125" t="str">
            <v>驾驶员座垫预埋钢丝A</v>
          </cell>
          <cell r="O125">
            <v>0.13</v>
          </cell>
        </row>
        <row r="126">
          <cell r="F126" t="str">
            <v>SLT0010765海兴中盛弹簧有限公司</v>
          </cell>
          <cell r="G126" t="str">
            <v>SLT0010765</v>
          </cell>
          <cell r="H126" t="str">
            <v>驾驶员座垫预埋钢丝B</v>
          </cell>
          <cell r="O126">
            <v>0.13</v>
          </cell>
        </row>
        <row r="127">
          <cell r="F127" t="str">
            <v>SLT0010766海兴中盛弹簧有限公司</v>
          </cell>
          <cell r="G127" t="str">
            <v>SLT0010766</v>
          </cell>
          <cell r="H127" t="str">
            <v>驾驶员座垫预埋钢丝C</v>
          </cell>
          <cell r="O127">
            <v>7.0000000000000007E-2</v>
          </cell>
        </row>
        <row r="128">
          <cell r="F128" t="str">
            <v>SLT0010767海兴中盛弹簧有限公司</v>
          </cell>
          <cell r="G128" t="str">
            <v>SLT0010767</v>
          </cell>
          <cell r="H128" t="str">
            <v>驾驶员座垫预埋钢丝D</v>
          </cell>
          <cell r="O128">
            <v>0.12</v>
          </cell>
        </row>
        <row r="129">
          <cell r="F129" t="str">
            <v>SHT0011065海兴中盛弹簧有限公司</v>
          </cell>
          <cell r="G129" t="str">
            <v>SHT0011065</v>
          </cell>
          <cell r="H129" t="str">
            <v>预埋钢丝A</v>
          </cell>
          <cell r="O129">
            <v>0.14000000000000001</v>
          </cell>
        </row>
        <row r="130">
          <cell r="F130" t="str">
            <v>SHT0011066海兴中盛弹簧有限公司</v>
          </cell>
          <cell r="G130" t="str">
            <v>SHT0011066</v>
          </cell>
          <cell r="H130" t="str">
            <v>预埋钢丝B</v>
          </cell>
          <cell r="O130">
            <v>0.14000000000000001</v>
          </cell>
        </row>
        <row r="131">
          <cell r="F131" t="str">
            <v>SHT0011067海兴中盛弹簧有限公司</v>
          </cell>
          <cell r="G131" t="str">
            <v>SHT0011067</v>
          </cell>
          <cell r="H131" t="str">
            <v>预埋钢丝C</v>
          </cell>
          <cell r="O131">
            <v>7.0000000000000007E-2</v>
          </cell>
        </row>
        <row r="132">
          <cell r="F132" t="str">
            <v>SHT0011068海兴中盛弹簧有限公司</v>
          </cell>
          <cell r="G132" t="str">
            <v>SHT0011068</v>
          </cell>
          <cell r="H132" t="str">
            <v>预埋钢丝D</v>
          </cell>
          <cell r="O132">
            <v>0.14000000000000001</v>
          </cell>
        </row>
        <row r="133">
          <cell r="F133" t="str">
            <v>SHT0011069海兴中盛弹簧有限公司</v>
          </cell>
          <cell r="G133" t="str">
            <v>SHT0011069</v>
          </cell>
          <cell r="H133" t="str">
            <v>预埋钢丝E</v>
          </cell>
          <cell r="O133">
            <v>0.14000000000000001</v>
          </cell>
        </row>
        <row r="134">
          <cell r="F134" t="str">
            <v>SHT0011070海兴中盛弹簧有限公司</v>
          </cell>
          <cell r="G134" t="str">
            <v>SHT0011070</v>
          </cell>
          <cell r="H134" t="str">
            <v>坐垫预埋钢丝A</v>
          </cell>
          <cell r="O134">
            <v>7.0000000000000007E-2</v>
          </cell>
        </row>
        <row r="135">
          <cell r="F135" t="str">
            <v>SHT0011071海兴中盛弹簧有限公司</v>
          </cell>
          <cell r="G135" t="str">
            <v>SHT0011071</v>
          </cell>
          <cell r="H135" t="str">
            <v>坐垫预埋钢丝B</v>
          </cell>
          <cell r="O135">
            <v>0.13</v>
          </cell>
        </row>
        <row r="136">
          <cell r="F136" t="str">
            <v>SHT0011603海兴中盛弹簧有限公司</v>
          </cell>
          <cell r="G136" t="str">
            <v>SHT0011603</v>
          </cell>
          <cell r="H136" t="str">
            <v>坐垫预埋钢丝C</v>
          </cell>
          <cell r="O136">
            <v>0.2</v>
          </cell>
        </row>
        <row r="137">
          <cell r="F137" t="str">
            <v>SHT0011604海兴中盛弹簧有限公司</v>
          </cell>
          <cell r="G137" t="str">
            <v>SHT0011604</v>
          </cell>
          <cell r="H137" t="str">
            <v>坐垫预埋钢丝D</v>
          </cell>
          <cell r="O137">
            <v>0.2</v>
          </cell>
        </row>
        <row r="138">
          <cell r="F138" t="str">
            <v>SLT0010551河北利达金属制品集团有限公司</v>
          </cell>
          <cell r="G138" t="str">
            <v>SLT0010551</v>
          </cell>
          <cell r="H138" t="str">
            <v>上盖板焊接总成</v>
          </cell>
          <cell r="O138">
            <v>6</v>
          </cell>
          <cell r="P138">
            <v>319070.79646017699</v>
          </cell>
          <cell r="Q138">
            <v>0</v>
          </cell>
          <cell r="R138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39">
          <cell r="F139" t="str">
            <v>SLT0010539河北利达金属制品集团有限公司</v>
          </cell>
          <cell r="G139" t="str">
            <v>SLT0010539</v>
          </cell>
          <cell r="H139" t="str">
            <v>减震器上盖板</v>
          </cell>
          <cell r="O139">
            <v>30</v>
          </cell>
          <cell r="P139">
            <v>245000</v>
          </cell>
          <cell r="Q139">
            <v>1.7150000000000001</v>
          </cell>
          <cell r="R139" t="str">
            <v>模检焊具费用预付30%，剩余70%费用分摊至10万件产品中，自供货之日起执行</v>
          </cell>
        </row>
        <row r="140">
          <cell r="F140" t="str">
            <v>SLT0010553河北利达金属制品集团有限公司</v>
          </cell>
          <cell r="G140" t="str">
            <v>SLT0010553</v>
          </cell>
          <cell r="H140" t="str">
            <v>上盖板加强件</v>
          </cell>
          <cell r="O140">
            <v>0.13</v>
          </cell>
          <cell r="P140">
            <v>530.97345132743396</v>
          </cell>
          <cell r="Q140">
            <v>5.3097345132743397E-3</v>
          </cell>
          <cell r="R140" t="str">
            <v>模检焊具费用100%分摊至10万件产品中，自供货之日起执行</v>
          </cell>
        </row>
        <row r="141">
          <cell r="F141" t="str">
            <v>SLT0010541河北利达金属制品集团有限公司</v>
          </cell>
          <cell r="G141" t="str">
            <v>SLT0010541</v>
          </cell>
          <cell r="H141" t="str">
            <v>阻尼器支架</v>
          </cell>
          <cell r="O141">
            <v>0.45</v>
          </cell>
          <cell r="P141">
            <v>1769.9115044247801</v>
          </cell>
          <cell r="Q141">
            <v>1.7699115044247801E-2</v>
          </cell>
          <cell r="R141" t="str">
            <v>模检焊具费用100%分摊至10万件产品中，自供货之日起执行</v>
          </cell>
        </row>
        <row r="142">
          <cell r="F142" t="str">
            <v>SLT0010564河北利达金属制品集团有限公司</v>
          </cell>
          <cell r="G142" t="str">
            <v>SLT0010564</v>
          </cell>
          <cell r="H142" t="str">
            <v>滚轮上滑槽</v>
          </cell>
          <cell r="O142">
            <v>1.04</v>
          </cell>
          <cell r="P142">
            <v>8000</v>
          </cell>
          <cell r="Q142">
            <v>0.08</v>
          </cell>
          <cell r="R142" t="str">
            <v>模检焊具费用100%分摊至10万件产品中，自供货之日起执行</v>
          </cell>
        </row>
        <row r="143">
          <cell r="F143" t="str">
            <v>SLT0010552河北利达金属制品集团有限公司</v>
          </cell>
          <cell r="G143" t="str">
            <v>SLT0010552</v>
          </cell>
          <cell r="H143" t="str">
            <v>左调角器焊接组件</v>
          </cell>
          <cell r="O143">
            <v>6.35</v>
          </cell>
          <cell r="P143">
            <v>26000</v>
          </cell>
          <cell r="Q143">
            <v>0.26</v>
          </cell>
          <cell r="R143" t="str">
            <v>模检焊具费用100%分摊至10万件产品中，自供货之日起执行</v>
          </cell>
        </row>
        <row r="144">
          <cell r="F144" t="str">
            <v>SLT0010558河北利达金属制品集团有限公司</v>
          </cell>
          <cell r="G144" t="str">
            <v>SLT0010558</v>
          </cell>
          <cell r="H144" t="str">
            <v>右调角器焊接组件</v>
          </cell>
          <cell r="O144">
            <v>10.85</v>
          </cell>
          <cell r="P144">
            <v>36000</v>
          </cell>
          <cell r="Q144">
            <v>0.36</v>
          </cell>
          <cell r="R144" t="str">
            <v>模检焊具费用100%分摊至10万件产品中，自供货之日起执行</v>
          </cell>
        </row>
        <row r="145">
          <cell r="F145" t="str">
            <v>SLT0010679河北利达金属制品集团有限公司</v>
          </cell>
          <cell r="G145" t="str">
            <v>SLT0010679</v>
          </cell>
          <cell r="H145" t="str">
            <v>左侧护板固定钣金</v>
          </cell>
          <cell r="O145">
            <v>0.6</v>
          </cell>
          <cell r="P145">
            <v>1769.9115044247801</v>
          </cell>
          <cell r="Q145">
            <v>1.7699115044247801E-2</v>
          </cell>
          <cell r="R145" t="str">
            <v>模检焊具费用100%分摊至10万件产品中，自供货之日起执行</v>
          </cell>
        </row>
        <row r="146">
          <cell r="F146" t="str">
            <v>BFA0000316河北利达金属制品集团有限公司</v>
          </cell>
          <cell r="G146" t="str">
            <v>BFA0000316</v>
          </cell>
          <cell r="H146" t="str">
            <v>焊接方螺母</v>
          </cell>
          <cell r="O146">
            <v>0.13</v>
          </cell>
          <cell r="P146">
            <v>0</v>
          </cell>
          <cell r="Q146">
            <v>0</v>
          </cell>
          <cell r="R146">
            <v>0</v>
          </cell>
        </row>
        <row r="147">
          <cell r="F147" t="str">
            <v>SLT0010674河北利达金属制品集团有限公司</v>
          </cell>
          <cell r="G147" t="str">
            <v>SLT0010674</v>
          </cell>
          <cell r="H147" t="str">
            <v>左侧护板固定钢丝焊接总成</v>
          </cell>
          <cell r="O147">
            <v>2.48</v>
          </cell>
          <cell r="P147">
            <v>0</v>
          </cell>
          <cell r="Q147">
            <v>0</v>
          </cell>
          <cell r="R147">
            <v>0</v>
          </cell>
        </row>
        <row r="148">
          <cell r="F148" t="str">
            <v>SLT0010678河北利达金属制品集团有限公司</v>
          </cell>
          <cell r="G148" t="str">
            <v>SLT0010678</v>
          </cell>
          <cell r="H148" t="str">
            <v>左侧护板下固定钢丝</v>
          </cell>
          <cell r="O148">
            <v>0.75</v>
          </cell>
          <cell r="P148">
            <v>0</v>
          </cell>
          <cell r="Q148">
            <v>0</v>
          </cell>
          <cell r="R148">
            <v>0</v>
          </cell>
        </row>
        <row r="149">
          <cell r="F149" t="str">
            <v>SLT0010550河北利达金属制品集团有限公司</v>
          </cell>
          <cell r="G149" t="str">
            <v>SLT0010550</v>
          </cell>
          <cell r="H149" t="str">
            <v>下底板焊接总成</v>
          </cell>
          <cell r="O149">
            <v>11</v>
          </cell>
          <cell r="P149">
            <v>18194.690299999998</v>
          </cell>
          <cell r="Q149">
            <v>0</v>
          </cell>
          <cell r="R149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50">
          <cell r="F150" t="str">
            <v>SLT0010545河北利达金属制品集团有限公司</v>
          </cell>
          <cell r="G150" t="str">
            <v>SLT0010545</v>
          </cell>
          <cell r="H150" t="str">
            <v>减震器下底板</v>
          </cell>
          <cell r="O150">
            <v>0.13330548</v>
          </cell>
          <cell r="P150">
            <v>0</v>
          </cell>
          <cell r="Q150">
            <v>0</v>
          </cell>
          <cell r="R150">
            <v>0</v>
          </cell>
        </row>
        <row r="151">
          <cell r="F151" t="str">
            <v>SLT0010541河北利达金属制品集团有限公司</v>
          </cell>
          <cell r="G151" t="str">
            <v>SLT0010541</v>
          </cell>
          <cell r="H151" t="str">
            <v>阻尼器支架</v>
          </cell>
          <cell r="O151">
            <v>0.13330548</v>
          </cell>
          <cell r="P151">
            <v>0</v>
          </cell>
          <cell r="Q151">
            <v>0</v>
          </cell>
          <cell r="R151">
            <v>0</v>
          </cell>
        </row>
        <row r="152">
          <cell r="F152" t="str">
            <v>SLT0010546河北利达金属制品集团有限公司</v>
          </cell>
          <cell r="G152" t="str">
            <v>SLT0010546</v>
          </cell>
          <cell r="H152" t="str">
            <v>直线阀下支架</v>
          </cell>
          <cell r="O152">
            <v>0.13330548</v>
          </cell>
          <cell r="P152">
            <v>0</v>
          </cell>
          <cell r="Q152">
            <v>0</v>
          </cell>
          <cell r="R152">
            <v>0</v>
          </cell>
        </row>
        <row r="153">
          <cell r="F153" t="str">
            <v>SLT0010540河北利达金属制品集团有限公司</v>
          </cell>
          <cell r="G153" t="str">
            <v>SLT0010540</v>
          </cell>
          <cell r="H153" t="str">
            <v>滚轮下滑槽</v>
          </cell>
          <cell r="O153">
            <v>0.13330548</v>
          </cell>
          <cell r="P153">
            <v>0</v>
          </cell>
          <cell r="Q153">
            <v>0</v>
          </cell>
          <cell r="R153">
            <v>0</v>
          </cell>
        </row>
        <row r="154">
          <cell r="F154" t="str">
            <v>SLT0010543河北利达金属制品集团有限公司</v>
          </cell>
          <cell r="G154" t="str">
            <v>SLT0010543</v>
          </cell>
          <cell r="H154" t="str">
            <v>滑轨左连接板1</v>
          </cell>
          <cell r="O154">
            <v>0.13330548</v>
          </cell>
          <cell r="P154">
            <v>0</v>
          </cell>
          <cell r="Q154">
            <v>0</v>
          </cell>
          <cell r="R154">
            <v>0</v>
          </cell>
        </row>
        <row r="155">
          <cell r="F155" t="str">
            <v>SLT0010641河北利达金属制品集团有限公司</v>
          </cell>
          <cell r="G155" t="str">
            <v>SLT0010641</v>
          </cell>
          <cell r="H155" t="str">
            <v>滑轨左连接板2</v>
          </cell>
          <cell r="O155">
            <v>0.13330548</v>
          </cell>
          <cell r="P155">
            <v>0</v>
          </cell>
          <cell r="Q155">
            <v>0</v>
          </cell>
          <cell r="R155">
            <v>0</v>
          </cell>
        </row>
        <row r="156">
          <cell r="F156" t="str">
            <v>SLT0010544河北利达金属制品集团有限公司</v>
          </cell>
          <cell r="G156" t="str">
            <v>SLT0010544</v>
          </cell>
          <cell r="H156" t="str">
            <v>滑轨右连接板1</v>
          </cell>
          <cell r="O156">
            <v>0.13330548</v>
          </cell>
          <cell r="P156">
            <v>0</v>
          </cell>
          <cell r="Q156">
            <v>0</v>
          </cell>
          <cell r="R156">
            <v>0</v>
          </cell>
        </row>
        <row r="157">
          <cell r="F157" t="str">
            <v>SLT0010642河北利达金属制品集团有限公司</v>
          </cell>
          <cell r="G157" t="str">
            <v>SLT0010642</v>
          </cell>
          <cell r="H157" t="str">
            <v>滑轨右连接板2</v>
          </cell>
          <cell r="O157">
            <v>6.3</v>
          </cell>
          <cell r="P157">
            <v>18194.690299999998</v>
          </cell>
          <cell r="Q157">
            <v>0.18194690299999999</v>
          </cell>
          <cell r="R157" t="str">
            <v>1.模检焊具费用100%分摊至10万件产品中，自供货之日起执行
2.原状态模具费6194.6903元，新状态模具费12000元。</v>
          </cell>
        </row>
        <row r="158">
          <cell r="F158" t="str">
            <v>SLT0010561河北利达金属制品集团有限公司</v>
          </cell>
          <cell r="G158" t="str">
            <v>SLT0010561</v>
          </cell>
          <cell r="H158" t="str">
            <v>减震器下挂钩</v>
          </cell>
          <cell r="O158">
            <v>0.13330548</v>
          </cell>
          <cell r="P158">
            <v>0</v>
          </cell>
          <cell r="Q158">
            <v>0</v>
          </cell>
          <cell r="R158">
            <v>0</v>
          </cell>
        </row>
        <row r="159">
          <cell r="F159" t="str">
            <v>SHT0014366沧州智凯金属制品有限公司</v>
          </cell>
          <cell r="G159" t="str">
            <v>SHT0014366</v>
          </cell>
          <cell r="H159" t="str">
            <v>H4-2.1扶手支架总成</v>
          </cell>
          <cell r="M159" t="str">
            <v>件</v>
          </cell>
          <cell r="O159">
            <v>5.5033333333333339</v>
          </cell>
          <cell r="P159">
            <v>8000</v>
          </cell>
          <cell r="Q159">
            <v>0.26666666666666666</v>
          </cell>
          <cell r="R159" t="str">
            <v>模检焊具费用100%分摊至3万件产品中，自供货之日起执行</v>
          </cell>
        </row>
        <row r="160">
          <cell r="F160" t="str">
            <v>SHT0014367沧州智凯金属制品有限公司</v>
          </cell>
          <cell r="G160" t="str">
            <v>SHT0014367</v>
          </cell>
          <cell r="H160" t="str">
            <v>扶手支架</v>
          </cell>
          <cell r="M160" t="str">
            <v>件</v>
          </cell>
          <cell r="O160">
            <v>1.4714</v>
          </cell>
          <cell r="P160">
            <v>0</v>
          </cell>
          <cell r="Q160">
            <v>0</v>
          </cell>
          <cell r="R160" t="str">
            <v>模具费用体现到SHT0014366产品中</v>
          </cell>
        </row>
        <row r="161">
          <cell r="F161" t="str">
            <v>SHT0014394沧州智凯金属制品有限公司</v>
          </cell>
          <cell r="G161" t="str">
            <v>SHT0014394</v>
          </cell>
          <cell r="H161" t="str">
            <v>扶手转轴</v>
          </cell>
          <cell r="M161" t="str">
            <v>件</v>
          </cell>
          <cell r="O161">
            <v>3.7</v>
          </cell>
          <cell r="P161">
            <v>0</v>
          </cell>
          <cell r="Q161">
            <v>0</v>
          </cell>
          <cell r="R161">
            <v>0</v>
          </cell>
        </row>
        <row r="162">
          <cell r="F162" t="str">
            <v>SHT0011072海兴中盛弹簧有限公司</v>
          </cell>
          <cell r="G162" t="str">
            <v>SHT0011072</v>
          </cell>
          <cell r="H162" t="str">
            <v>坐垫泡沫预埋钢丝3</v>
          </cell>
          <cell r="M162" t="str">
            <v>件</v>
          </cell>
          <cell r="O162">
            <v>0.15</v>
          </cell>
        </row>
        <row r="163">
          <cell r="F163" t="str">
            <v>SHT0011597海兴中盛弹簧有限公司</v>
          </cell>
          <cell r="G163" t="str">
            <v>SHT0011597</v>
          </cell>
          <cell r="H163" t="str">
            <v>坐垫泡沫预埋钢丝4</v>
          </cell>
          <cell r="M163" t="str">
            <v>件</v>
          </cell>
          <cell r="O163">
            <v>0.15</v>
          </cell>
        </row>
        <row r="164">
          <cell r="F164" t="str">
            <v>SLT0002415海兴中盛弹簧有限公司</v>
          </cell>
          <cell r="G164" t="str">
            <v>SLT0002415</v>
          </cell>
          <cell r="H164" t="str">
            <v>驾驶员座垫框架总成</v>
          </cell>
          <cell r="M164" t="str">
            <v>件</v>
          </cell>
          <cell r="N164">
            <v>23.28</v>
          </cell>
          <cell r="O164">
            <v>23.28</v>
          </cell>
        </row>
        <row r="165">
          <cell r="F165" t="str">
            <v>SLT0002130海兴中盛弹簧有限公司</v>
          </cell>
          <cell r="G165" t="str">
            <v>SLT0002130</v>
          </cell>
          <cell r="H165" t="str">
            <v>驾驶员座垫骨架总成</v>
          </cell>
          <cell r="M165" t="str">
            <v>件</v>
          </cell>
          <cell r="N165">
            <v>26.189999999999998</v>
          </cell>
          <cell r="O165">
            <v>26.189999999999998</v>
          </cell>
        </row>
        <row r="166">
          <cell r="F166" t="str">
            <v>SLT0002131海兴中盛弹簧有限公司</v>
          </cell>
          <cell r="G166" t="str">
            <v>SLT0002131</v>
          </cell>
          <cell r="H166" t="str">
            <v>驾驶员旁侧板固定钢丝</v>
          </cell>
          <cell r="M166" t="str">
            <v>件</v>
          </cell>
          <cell r="N166">
            <v>0.72575400000000001</v>
          </cell>
          <cell r="O166">
            <v>0.72575400000000001</v>
          </cell>
        </row>
        <row r="167">
          <cell r="F167" t="str">
            <v>SLT0002434海兴中盛弹簧有限公司</v>
          </cell>
          <cell r="G167" t="str">
            <v>SLT0002434</v>
          </cell>
          <cell r="H167" t="str">
            <v>副驾驶员座垫内嵌钢丝4</v>
          </cell>
          <cell r="M167" t="str">
            <v>件</v>
          </cell>
          <cell r="N167">
            <v>0.35938500000000001</v>
          </cell>
          <cell r="O167">
            <v>0.35938500000000001</v>
          </cell>
        </row>
        <row r="168">
          <cell r="F168" t="str">
            <v>BFA0000047海兴中盛弹簧有限公司</v>
          </cell>
          <cell r="G168" t="str">
            <v>BFA0000047</v>
          </cell>
          <cell r="H168" t="str">
            <v>弹簧钢丝借用B40</v>
          </cell>
          <cell r="M168" t="str">
            <v>件</v>
          </cell>
          <cell r="N168">
            <v>0.13822499999999999</v>
          </cell>
          <cell r="O168">
            <v>0.13822499999999999</v>
          </cell>
        </row>
        <row r="169">
          <cell r="F169" t="str">
            <v>SHT0013424沧州旭兴五金制品有限公司</v>
          </cell>
          <cell r="G169" t="str">
            <v>SHT0013424</v>
          </cell>
          <cell r="H169" t="str">
            <v>1.0减震扣固定螺栓</v>
          </cell>
          <cell r="M169" t="str">
            <v>件</v>
          </cell>
          <cell r="O169">
            <v>1.2</v>
          </cell>
        </row>
        <row r="170">
          <cell r="F170" t="str">
            <v>SHT0001400黄骅市佳祥五金制品有限公司</v>
          </cell>
          <cell r="G170" t="str">
            <v>SHT0001400</v>
          </cell>
          <cell r="H170" t="str">
            <v>一汽安全带固定板组件</v>
          </cell>
          <cell r="M170" t="str">
            <v>件</v>
          </cell>
          <cell r="O170">
            <v>6.27</v>
          </cell>
          <cell r="P170">
            <v>0</v>
          </cell>
          <cell r="Q170">
            <v>0</v>
          </cell>
          <cell r="R170" t="str">
            <v>模具由佳祥开发，未算费用</v>
          </cell>
        </row>
        <row r="171">
          <cell r="F171" t="str">
            <v>SHT0001105黄骅市佳祥五金制品有限公司</v>
          </cell>
          <cell r="G171" t="str">
            <v>SHT0001105</v>
          </cell>
          <cell r="H171" t="str">
            <v>一汽安全带固定板</v>
          </cell>
          <cell r="M171" t="str">
            <v>件</v>
          </cell>
          <cell r="N171">
            <v>5.3640170940170941</v>
          </cell>
          <cell r="O171">
            <v>5.3640170940170941</v>
          </cell>
          <cell r="P171">
            <v>0</v>
          </cell>
          <cell r="Q171">
            <v>0</v>
          </cell>
          <cell r="R171" t="str">
            <v>模具由佳祥开发，未算费用</v>
          </cell>
        </row>
        <row r="172">
          <cell r="F172" t="str">
            <v>BFA0000400黄骅市佳祥五金制品有限公司</v>
          </cell>
          <cell r="G172" t="str">
            <v>BFA0000400</v>
          </cell>
          <cell r="H172" t="str">
            <v>焊接螺母</v>
          </cell>
          <cell r="M172" t="str">
            <v>件</v>
          </cell>
          <cell r="O172" t="str">
            <v>不单独结算</v>
          </cell>
          <cell r="P172">
            <v>0</v>
          </cell>
          <cell r="Q172">
            <v>0</v>
          </cell>
          <cell r="R172" t="str">
            <v>不涉及</v>
          </cell>
        </row>
        <row r="173">
          <cell r="F173" t="str">
            <v>SHT0010786黄骅市再兴汽车配件有限公司</v>
          </cell>
          <cell r="G173" t="str">
            <v>SHT0010786</v>
          </cell>
          <cell r="H173" t="str">
            <v>H6罩壳固定钣金片</v>
          </cell>
          <cell r="M173" t="str">
            <v>件</v>
          </cell>
          <cell r="O173">
            <v>0.1422106407079646</v>
          </cell>
          <cell r="P173">
            <v>3600</v>
          </cell>
          <cell r="Q173">
            <v>3.5999999999999997E-2</v>
          </cell>
          <cell r="R173" t="str">
            <v>模检夹具费100%分摊至10万件产品中</v>
          </cell>
        </row>
        <row r="174">
          <cell r="F174" t="str">
            <v>SHT0010699黄骅市再兴汽车配件有限公司</v>
          </cell>
          <cell r="G174" t="str">
            <v>SHT0010699</v>
          </cell>
          <cell r="H174" t="str">
            <v>H6橡胶垫安装支架</v>
          </cell>
          <cell r="M174" t="str">
            <v>件</v>
          </cell>
          <cell r="O174">
            <v>0.41830870088495575</v>
          </cell>
          <cell r="P174">
            <v>4100</v>
          </cell>
          <cell r="Q174">
            <v>4.1000000000000002E-2</v>
          </cell>
          <cell r="R174" t="str">
            <v>模检夹具费100%分摊至10万件产品中</v>
          </cell>
        </row>
        <row r="175">
          <cell r="F175" t="str">
            <v>SHT0010240黄骅市再兴汽车配件有限公司</v>
          </cell>
          <cell r="G175" t="str">
            <v>SHT0010240</v>
          </cell>
          <cell r="H175" t="str">
            <v>H6防尘罩支撑钣金</v>
          </cell>
          <cell r="M175" t="str">
            <v>件</v>
          </cell>
          <cell r="O175">
            <v>0.20029503716814159</v>
          </cell>
          <cell r="P175">
            <v>4300</v>
          </cell>
          <cell r="Q175">
            <v>4.2999999999999997E-2</v>
          </cell>
          <cell r="R175" t="str">
            <v>模检夹具费100%分摊至10万件产品中</v>
          </cell>
        </row>
        <row r="176">
          <cell r="F176" t="str">
            <v>SHT0010261黄骅市再兴汽车配件有限公司</v>
          </cell>
          <cell r="G176" t="str">
            <v>SHT0010261</v>
          </cell>
          <cell r="H176" t="str">
            <v>H6罩壳固定钣金</v>
          </cell>
          <cell r="M176" t="str">
            <v>件</v>
          </cell>
          <cell r="O176">
            <v>0.15632115929203541</v>
          </cell>
          <cell r="P176">
            <v>3600</v>
          </cell>
          <cell r="Q176">
            <v>3.5999999999999997E-2</v>
          </cell>
          <cell r="R176" t="str">
            <v>模检夹具费100%分摊至10万件产品中</v>
          </cell>
        </row>
        <row r="177">
          <cell r="F177" t="str">
            <v>SHT0010134黄骅市再兴汽车配件有限公司</v>
          </cell>
          <cell r="G177" t="str">
            <v>SHT0010134</v>
          </cell>
          <cell r="H177" t="str">
            <v>H6坐盆延伸固定钣金</v>
          </cell>
          <cell r="M177" t="str">
            <v>件</v>
          </cell>
          <cell r="O177">
            <v>0.3483468955752213</v>
          </cell>
          <cell r="P177">
            <v>5700</v>
          </cell>
          <cell r="Q177">
            <v>5.7000000000000002E-2</v>
          </cell>
          <cell r="R177" t="str">
            <v>模检夹具费100%分摊至10万件产品中</v>
          </cell>
        </row>
        <row r="178">
          <cell r="F178" t="str">
            <v>SHT0012971黄骅市再兴汽车配件有限公司</v>
          </cell>
          <cell r="G178" t="str">
            <v>SHT0012971</v>
          </cell>
          <cell r="H178" t="str">
            <v>安全带上悬置固定板总成</v>
          </cell>
          <cell r="M178" t="str">
            <v>件</v>
          </cell>
          <cell r="O178">
            <v>4.4241999999999999</v>
          </cell>
          <cell r="P178">
            <v>66800</v>
          </cell>
          <cell r="Q178">
            <v>1.3360000000000001</v>
          </cell>
          <cell r="R178" t="str">
            <v>模检夹具费100%分摊至5万件产品中</v>
          </cell>
        </row>
        <row r="179">
          <cell r="F179" t="str">
            <v>SHT0012843黄骅市再兴汽车配件有限公司</v>
          </cell>
          <cell r="G179" t="str">
            <v>SHT0012843</v>
          </cell>
          <cell r="H179" t="str">
            <v>升降左前固定钣金</v>
          </cell>
          <cell r="M179" t="str">
            <v>件</v>
          </cell>
          <cell r="O179">
            <v>1.0730887168141592</v>
          </cell>
          <cell r="P179">
            <v>29900</v>
          </cell>
          <cell r="Q179">
            <v>0.14949999999999999</v>
          </cell>
          <cell r="R179" t="str">
            <v>模检夹具费100%分摊至10万件产品中</v>
          </cell>
        </row>
        <row r="180">
          <cell r="F180" t="str">
            <v>SHT0013700黄骅市再兴汽车配件有限公司</v>
          </cell>
          <cell r="G180" t="str">
            <v>SHT0013700</v>
          </cell>
          <cell r="H180" t="str">
            <v>升降右前固定钣金</v>
          </cell>
          <cell r="M180" t="str">
            <v>件</v>
          </cell>
          <cell r="O180">
            <v>1.0730887168141592</v>
          </cell>
          <cell r="Q180">
            <v>0.14949999999999999</v>
          </cell>
          <cell r="R180" t="str">
            <v>模检夹具费100%分摊至10万件产品中</v>
          </cell>
        </row>
        <row r="181">
          <cell r="F181" t="str">
            <v>SHT0012844黄骅市再兴汽车配件有限公司</v>
          </cell>
          <cell r="G181" t="str">
            <v>SHT0012844</v>
          </cell>
          <cell r="H181" t="str">
            <v>升降左后固定钣金</v>
          </cell>
          <cell r="M181" t="str">
            <v>件</v>
          </cell>
          <cell r="O181">
            <v>1.2088532522123894</v>
          </cell>
          <cell r="P181">
            <v>36900</v>
          </cell>
          <cell r="Q181">
            <v>0.1845</v>
          </cell>
          <cell r="R181" t="str">
            <v>模检夹具费100%分摊至10万件产品中</v>
          </cell>
        </row>
        <row r="182">
          <cell r="F182" t="str">
            <v>SHT0013699黄骅市再兴汽车配件有限公司</v>
          </cell>
          <cell r="G182" t="str">
            <v>SHT0013699</v>
          </cell>
          <cell r="H182" t="str">
            <v>升降右后固定钣金</v>
          </cell>
          <cell r="M182" t="str">
            <v>件</v>
          </cell>
          <cell r="O182">
            <v>1.2088532522123894</v>
          </cell>
          <cell r="Q182">
            <v>0.1845</v>
          </cell>
          <cell r="R182" t="str">
            <v>模检夹具费100%分摊至10万件产品中</v>
          </cell>
        </row>
        <row r="183">
          <cell r="F183" t="str">
            <v>SHT0012212黄骅市再兴汽车配件有限公司</v>
          </cell>
          <cell r="G183" t="str">
            <v>SHT0012212</v>
          </cell>
          <cell r="H183" t="str">
            <v>1.0座框前横梁总成</v>
          </cell>
          <cell r="M183" t="str">
            <v>件</v>
          </cell>
          <cell r="O183">
            <v>4.7282999999999999</v>
          </cell>
          <cell r="P183">
            <v>17200</v>
          </cell>
          <cell r="Q183">
            <v>0.17199999999999999</v>
          </cell>
          <cell r="R183" t="str">
            <v>模检夹具费100%分摊至10万件产品中</v>
          </cell>
        </row>
        <row r="184">
          <cell r="F184" t="str">
            <v>SHT0011999黄骅市再兴汽车配件有限公司</v>
          </cell>
          <cell r="G184" t="str">
            <v>SHT0011999</v>
          </cell>
          <cell r="H184" t="str">
            <v>1.0座框前横梁</v>
          </cell>
          <cell r="M184" t="str">
            <v>件</v>
          </cell>
          <cell r="O184">
            <v>2.9605001628318584</v>
          </cell>
          <cell r="P184">
            <v>56000</v>
          </cell>
          <cell r="Q184">
            <v>0.56000000000000005</v>
          </cell>
          <cell r="R184" t="str">
            <v>模检夹具费100%分摊至10万件产品中</v>
          </cell>
        </row>
        <row r="185">
          <cell r="F185" t="str">
            <v>SHT0012003黄骅市再兴汽车配件有限公司</v>
          </cell>
          <cell r="G185" t="str">
            <v>SHT0012003</v>
          </cell>
          <cell r="H185" t="str">
            <v>升降拉线固定钣金</v>
          </cell>
          <cell r="M185" t="str">
            <v>件</v>
          </cell>
          <cell r="O185">
            <v>0.18314308407079644</v>
          </cell>
          <cell r="P185">
            <v>3000</v>
          </cell>
          <cell r="Q185">
            <v>0.03</v>
          </cell>
          <cell r="R185" t="str">
            <v>模检夹具费100%分摊至10万件产品中</v>
          </cell>
        </row>
        <row r="186">
          <cell r="F186" t="str">
            <v>SHT0012052黄骅市再兴汽车配件有限公司</v>
          </cell>
          <cell r="G186" t="str">
            <v>SHT0012052</v>
          </cell>
          <cell r="H186" t="str">
            <v>主侧罩壳固定片1</v>
          </cell>
          <cell r="M186" t="str">
            <v>件</v>
          </cell>
          <cell r="O186">
            <v>0.16976644247787612</v>
          </cell>
          <cell r="P186">
            <v>3000</v>
          </cell>
          <cell r="Q186">
            <v>0.03</v>
          </cell>
          <cell r="R186" t="str">
            <v>模检夹具费100%分摊至10万件产品中</v>
          </cell>
        </row>
        <row r="187">
          <cell r="F187" t="str">
            <v>SHT0012054黄骅市再兴汽车配件有限公司</v>
          </cell>
          <cell r="G187" t="str">
            <v>SHT0012054</v>
          </cell>
          <cell r="H187" t="str">
            <v>主侧罩壳固定片2</v>
          </cell>
          <cell r="M187" t="str">
            <v>件</v>
          </cell>
          <cell r="O187">
            <v>0.19186044424778761</v>
          </cell>
          <cell r="P187">
            <v>4500</v>
          </cell>
          <cell r="Q187">
            <v>4.4999999999999998E-2</v>
          </cell>
          <cell r="R187" t="str">
            <v>模检夹具费100%分摊至10万件产品中</v>
          </cell>
        </row>
        <row r="188">
          <cell r="F188" t="str">
            <v>SHT0012111黄骅市再兴汽车配件有限公司</v>
          </cell>
          <cell r="G188" t="str">
            <v>SHT0012111</v>
          </cell>
          <cell r="H188" t="str">
            <v>M4主边罩壳后固定板</v>
          </cell>
          <cell r="M188" t="str">
            <v>件</v>
          </cell>
          <cell r="O188">
            <v>0.22953798584070798</v>
          </cell>
          <cell r="P188">
            <v>3000</v>
          </cell>
          <cell r="Q188">
            <v>0.03</v>
          </cell>
          <cell r="R188" t="str">
            <v>模检夹具费100%分摊至10万件产品中</v>
          </cell>
        </row>
        <row r="189">
          <cell r="F189" t="str">
            <v>SHT0001857黄骅市再兴汽车配件有限公司</v>
          </cell>
          <cell r="G189" t="str">
            <v>SHT0001857</v>
          </cell>
          <cell r="H189" t="str">
            <v>上框后横梁总成</v>
          </cell>
          <cell r="M189" t="str">
            <v>件</v>
          </cell>
          <cell r="O189">
            <v>3.6180826194690265</v>
          </cell>
          <cell r="P189">
            <v>37000</v>
          </cell>
          <cell r="Q189">
            <v>0.37</v>
          </cell>
          <cell r="R189" t="str">
            <v>模检夹具费100%分摊至10万件产品中</v>
          </cell>
        </row>
        <row r="190">
          <cell r="F190" t="str">
            <v>SHT0001859黄骅市再兴汽车配件有限公司</v>
          </cell>
          <cell r="G190" t="str">
            <v>SHT0001859</v>
          </cell>
          <cell r="H190" t="str">
            <v>下框横梁（新状态）</v>
          </cell>
          <cell r="M190" t="str">
            <v>件</v>
          </cell>
          <cell r="O190">
            <v>2.5644560920353983</v>
          </cell>
          <cell r="P190">
            <v>36000</v>
          </cell>
          <cell r="Q190">
            <v>0.36</v>
          </cell>
          <cell r="R190" t="str">
            <v>模检夹具费100%分摊至10万件产品中</v>
          </cell>
        </row>
        <row r="191">
          <cell r="F191" t="str">
            <v>SHT0011723黄骅市再兴汽车配件有限公司</v>
          </cell>
          <cell r="G191" t="str">
            <v>SHT0011723</v>
          </cell>
          <cell r="H191" t="str">
            <v>稳定钣金</v>
          </cell>
          <cell r="M191" t="str">
            <v>件</v>
          </cell>
          <cell r="O191">
            <v>2.0656526017699117</v>
          </cell>
          <cell r="P191">
            <v>32000</v>
          </cell>
          <cell r="Q191">
            <v>0.64</v>
          </cell>
          <cell r="R191" t="str">
            <v>模检夹具费100%分摊至5万件产品中</v>
          </cell>
        </row>
        <row r="192">
          <cell r="F192" t="str">
            <v>SHT0011778黄骅市再兴汽车配件有限公司</v>
          </cell>
          <cell r="G192" t="str">
            <v>SHT0011778</v>
          </cell>
          <cell r="H192" t="str">
            <v>座框前梁</v>
          </cell>
          <cell r="M192" t="str">
            <v>件</v>
          </cell>
          <cell r="O192">
            <v>1.3272999999999999</v>
          </cell>
          <cell r="P192">
            <v>26000</v>
          </cell>
          <cell r="Q192">
            <v>0.52</v>
          </cell>
          <cell r="R192" t="str">
            <v>模检夹具费100%分摊至5万件产品中</v>
          </cell>
        </row>
        <row r="193">
          <cell r="F193" t="str">
            <v>SHT0011804黄骅市再兴汽车配件有限公司</v>
          </cell>
          <cell r="G193" t="str">
            <v>SHT0011804</v>
          </cell>
          <cell r="H193" t="str">
            <v>仰角调节机构钣金件1左</v>
          </cell>
          <cell r="M193" t="str">
            <v>件</v>
          </cell>
          <cell r="O193">
            <v>0.79261061946902678</v>
          </cell>
          <cell r="P193">
            <v>29000</v>
          </cell>
          <cell r="Q193">
            <v>0.14499999999999999</v>
          </cell>
          <cell r="R193" t="str">
            <v>模检夹具费100%分摊至10万件产品中</v>
          </cell>
        </row>
        <row r="194">
          <cell r="F194" t="str">
            <v>SHT0011805黄骅市再兴汽车配件有限公司</v>
          </cell>
          <cell r="G194" t="str">
            <v>SHT0011805</v>
          </cell>
          <cell r="H194" t="str">
            <v>仰角调节机构钣金件1右</v>
          </cell>
          <cell r="M194" t="str">
            <v>件</v>
          </cell>
          <cell r="O194">
            <v>0.79261061946902678</v>
          </cell>
          <cell r="Q194">
            <v>0.14499999999999999</v>
          </cell>
          <cell r="R194" t="str">
            <v>模检夹具费100%分摊至10万件产品中</v>
          </cell>
        </row>
        <row r="195">
          <cell r="F195" t="str">
            <v>SHT0001058黄骅市再兴汽车配件有限公司</v>
          </cell>
          <cell r="G195" t="str">
            <v>SHT0001058</v>
          </cell>
          <cell r="H195" t="str">
            <v>仰角调节机构手柄钣金件</v>
          </cell>
          <cell r="M195" t="str">
            <v>件</v>
          </cell>
          <cell r="O195">
            <v>0.20887068584070798</v>
          </cell>
          <cell r="P195">
            <v>4400</v>
          </cell>
          <cell r="Q195">
            <v>4.3999999999999997E-2</v>
          </cell>
          <cell r="R195" t="str">
            <v>模检夹具费100%分摊至10万件产品中</v>
          </cell>
        </row>
        <row r="196">
          <cell r="F196" t="str">
            <v>SHT0002071黄骅市再兴汽车配件有限公司</v>
          </cell>
          <cell r="G196" t="str">
            <v>SHT0002071</v>
          </cell>
          <cell r="H196" t="str">
            <v>D04导向板固定片</v>
          </cell>
          <cell r="M196" t="str">
            <v>件</v>
          </cell>
          <cell r="O196">
            <v>0.15218587964601771</v>
          </cell>
          <cell r="P196">
            <v>4600</v>
          </cell>
          <cell r="Q196">
            <v>4.5999999999999999E-2</v>
          </cell>
          <cell r="R196" t="str">
            <v>模检夹具费100%分摊至10万件产品中</v>
          </cell>
        </row>
        <row r="197">
          <cell r="F197" t="str">
            <v>SHT0012113黄骅市再兴汽车配件有限公司</v>
          </cell>
          <cell r="G197" t="str">
            <v>SHT0012113</v>
          </cell>
          <cell r="H197" t="str">
            <v>M3000副边罩壳固定钣金</v>
          </cell>
          <cell r="M197" t="str">
            <v>件</v>
          </cell>
          <cell r="O197">
            <v>0.36384791150442475</v>
          </cell>
          <cell r="P197">
            <v>5500</v>
          </cell>
          <cell r="Q197">
            <v>5.5E-2</v>
          </cell>
          <cell r="R197" t="str">
            <v>模检夹具费100%分摊至10万件产品中</v>
          </cell>
        </row>
        <row r="198">
          <cell r="F198" t="str">
            <v>SHT0013786黄骅市再兴汽车配件有限公司</v>
          </cell>
          <cell r="G198" t="str">
            <v>SHT0013786</v>
          </cell>
          <cell r="H198" t="str">
            <v>X5000副边罩壳固定钣金</v>
          </cell>
          <cell r="M198" t="str">
            <v>件</v>
          </cell>
          <cell r="O198">
            <v>0.36384791150442475</v>
          </cell>
          <cell r="P198">
            <v>2000</v>
          </cell>
          <cell r="Q198">
            <v>0.02</v>
          </cell>
          <cell r="R198" t="str">
            <v>模检夹具费100%分摊至10万件产品中</v>
          </cell>
        </row>
        <row r="199">
          <cell r="F199" t="str">
            <v>SHT0012053黄骅市再兴汽车配件有限公司</v>
          </cell>
          <cell r="G199" t="str">
            <v>SHT0012053</v>
          </cell>
          <cell r="H199" t="str">
            <v>副边罩壳固定钣金</v>
          </cell>
          <cell r="M199" t="str">
            <v>件</v>
          </cell>
          <cell r="O199">
            <v>0.28710562300884956</v>
          </cell>
          <cell r="P199">
            <v>5000</v>
          </cell>
          <cell r="Q199">
            <v>0.05</v>
          </cell>
          <cell r="R199" t="str">
            <v>模检夹具费100%分摊至10万件产品中</v>
          </cell>
        </row>
        <row r="200">
          <cell r="F200" t="str">
            <v>SHT0012497黄骅市再兴汽车配件有限公司</v>
          </cell>
          <cell r="G200" t="str">
            <v>SHT0012497</v>
          </cell>
          <cell r="H200" t="str">
            <v>底座左连接板焊接总成</v>
          </cell>
          <cell r="M200" t="str">
            <v>件</v>
          </cell>
          <cell r="O200">
            <v>1.1624507853982298</v>
          </cell>
          <cell r="P200">
            <v>16200</v>
          </cell>
          <cell r="Q200">
            <v>0.32400000000000001</v>
          </cell>
          <cell r="R200" t="str">
            <v>模检夹具费100%分摊至5万件产品中</v>
          </cell>
        </row>
        <row r="201">
          <cell r="F201" t="str">
            <v>SHT0012498黄骅市再兴汽车配件有限公司</v>
          </cell>
          <cell r="G201" t="str">
            <v>SHT0012498</v>
          </cell>
          <cell r="H201" t="str">
            <v>底座右连接板焊接总成</v>
          </cell>
          <cell r="M201" t="str">
            <v>件</v>
          </cell>
          <cell r="O201">
            <v>1.1624507853982298</v>
          </cell>
          <cell r="P201">
            <v>8200</v>
          </cell>
          <cell r="Q201">
            <v>0.16400000000000001</v>
          </cell>
          <cell r="R201" t="str">
            <v>模检夹具费100%分摊至5万件产品中</v>
          </cell>
        </row>
        <row r="202">
          <cell r="F202" t="str">
            <v>SHT0000669常州华阳万联汽车附件有限公司</v>
          </cell>
          <cell r="G202" t="str">
            <v>SHT0000669</v>
          </cell>
          <cell r="H202" t="str">
            <v>滑轨（欧曼豪华型）华阳</v>
          </cell>
          <cell r="I202" t="str">
            <v>02.03.23.003</v>
          </cell>
          <cell r="M202" t="str">
            <v>套</v>
          </cell>
          <cell r="O202">
            <v>38.434846153846131</v>
          </cell>
        </row>
        <row r="203">
          <cell r="F203" t="str">
            <v>SHT0000443常州华阳万联汽车附件有限公司</v>
          </cell>
          <cell r="G203" t="str">
            <v>SHT0000443</v>
          </cell>
          <cell r="H203" t="str">
            <v>滑轨（H4-A升级）华阳</v>
          </cell>
          <cell r="I203" t="str">
            <v>02.03.23.006</v>
          </cell>
          <cell r="M203" t="str">
            <v>套</v>
          </cell>
          <cell r="O203">
            <v>46.44428461538471</v>
          </cell>
        </row>
        <row r="204">
          <cell r="F204" t="str">
            <v>SHT0001062常州华阳万联汽车附件有限公司</v>
          </cell>
          <cell r="G204" t="str">
            <v>SHT0001062</v>
          </cell>
          <cell r="H204" t="str">
            <v>滑轨（M4）华阳</v>
          </cell>
          <cell r="I204" t="str">
            <v>02.03.23.007</v>
          </cell>
          <cell r="M204" t="str">
            <v>套</v>
          </cell>
          <cell r="O204">
            <v>42.356839041000001</v>
          </cell>
        </row>
        <row r="205">
          <cell r="F205" t="str">
            <v>SHT0012176常州华阳万联汽车附件有限公司</v>
          </cell>
          <cell r="G205" t="str">
            <v>SHT0012176</v>
          </cell>
          <cell r="H205" t="str">
            <v>H3改型滑轨总成（舒适型）</v>
          </cell>
          <cell r="I205" t="str">
            <v>02.03.11.117</v>
          </cell>
          <cell r="M205" t="str">
            <v>套</v>
          </cell>
          <cell r="O205">
            <v>38.434846153846131</v>
          </cell>
        </row>
        <row r="206">
          <cell r="F206" t="str">
            <v>SLT0000326常州华阳万联汽车附件有限公司</v>
          </cell>
          <cell r="G206" t="str">
            <v>SLT0000326</v>
          </cell>
          <cell r="H206" t="str">
            <v>K1宽体正司机左内滑轨（B）</v>
          </cell>
          <cell r="M206" t="str">
            <v>件</v>
          </cell>
          <cell r="O206">
            <v>41.15</v>
          </cell>
        </row>
        <row r="207">
          <cell r="F207" t="str">
            <v>SLT0000327常州华阳万联汽车附件有限公司</v>
          </cell>
          <cell r="G207" t="str">
            <v>SLT0000327</v>
          </cell>
          <cell r="H207" t="str">
            <v>K1宽体正司机左外滑轨</v>
          </cell>
          <cell r="M207" t="str">
            <v>件</v>
          </cell>
          <cell r="O207">
            <v>41.15</v>
          </cell>
        </row>
        <row r="208">
          <cell r="F208" t="str">
            <v>SLT0000361常州华阳万联汽车附件有限公司</v>
          </cell>
          <cell r="G208" t="str">
            <v>SLT0000361</v>
          </cell>
          <cell r="H208" t="str">
            <v>K1宽体副司机右内滑轨</v>
          </cell>
          <cell r="M208" t="str">
            <v>件</v>
          </cell>
          <cell r="O208">
            <v>41.15</v>
          </cell>
        </row>
        <row r="209">
          <cell r="F209" t="str">
            <v>SLT0000362常州华阳万联汽车附件有限公司</v>
          </cell>
          <cell r="G209" t="str">
            <v>SLT0000362</v>
          </cell>
          <cell r="H209" t="str">
            <v>K1宽体副司机右外滑轨</v>
          </cell>
          <cell r="M209" t="str">
            <v>件</v>
          </cell>
          <cell r="O209">
            <v>41.15</v>
          </cell>
        </row>
        <row r="210">
          <cell r="F210" t="str">
            <v>SLT0000350常州华阳万联汽车附件有限公司</v>
          </cell>
          <cell r="G210" t="str">
            <v>SLT0000350</v>
          </cell>
          <cell r="H210" t="str">
            <v>K1窄车左内滑轨总成（正司机）（BII）</v>
          </cell>
          <cell r="M210" t="str">
            <v>件</v>
          </cell>
          <cell r="O210">
            <v>41.15</v>
          </cell>
        </row>
        <row r="211">
          <cell r="F211" t="str">
            <v>SLT0000351常州华阳万联汽车附件有限公司</v>
          </cell>
          <cell r="G211" t="str">
            <v>SLT0000351</v>
          </cell>
          <cell r="H211" t="str">
            <v>K1窄车左外滑轨总成（正司机）</v>
          </cell>
          <cell r="M211" t="str">
            <v>件</v>
          </cell>
          <cell r="O211">
            <v>41.15</v>
          </cell>
        </row>
        <row r="212">
          <cell r="F212" t="str">
            <v>SLT0000370常州华阳万联汽车附件有限公司</v>
          </cell>
          <cell r="G212" t="str">
            <v>SLT0000370</v>
          </cell>
          <cell r="H212" t="str">
            <v>K1窄车右内滑轨总成（副司机）</v>
          </cell>
          <cell r="M212" t="str">
            <v>件</v>
          </cell>
          <cell r="O212">
            <v>41.15</v>
          </cell>
        </row>
        <row r="213">
          <cell r="F213" t="str">
            <v>SLT0000371常州华阳万联汽车附件有限公司</v>
          </cell>
          <cell r="G213" t="str">
            <v>SLT0000371</v>
          </cell>
          <cell r="H213" t="str">
            <v>K1窄车右外滑轨总成（副司机）</v>
          </cell>
          <cell r="M213" t="str">
            <v>件</v>
          </cell>
          <cell r="O213">
            <v>41.15</v>
          </cell>
        </row>
        <row r="214">
          <cell r="F214" t="str">
            <v>SCS0004105常州华阳万联汽车附件有限公司</v>
          </cell>
          <cell r="G214" t="str">
            <v>SCS0004105</v>
          </cell>
          <cell r="H214" t="str">
            <v>北汽B40后排靠背折叠机构总成L</v>
          </cell>
          <cell r="M214" t="str">
            <v>件</v>
          </cell>
          <cell r="O214">
            <v>15.9923</v>
          </cell>
        </row>
        <row r="215">
          <cell r="F215" t="str">
            <v>SCS0004106常州华阳万联汽车附件有限公司</v>
          </cell>
          <cell r="G215" t="str">
            <v>SCS0004106</v>
          </cell>
          <cell r="H215" t="str">
            <v>北汽B40后排靠背折叠机构总成R</v>
          </cell>
          <cell r="M215" t="str">
            <v>件</v>
          </cell>
          <cell r="O215">
            <v>15.9923</v>
          </cell>
        </row>
        <row r="216">
          <cell r="F216" t="str">
            <v>SHT0010229沧州旭兴五金制品有限公司</v>
          </cell>
          <cell r="G216" t="str">
            <v>SHT0010229</v>
          </cell>
          <cell r="H216" t="str">
            <v>H6仰角连接杆</v>
          </cell>
          <cell r="M216" t="str">
            <v>件</v>
          </cell>
          <cell r="O216">
            <v>3</v>
          </cell>
        </row>
        <row r="217">
          <cell r="F217" t="str">
            <v>TMA0000279黄骅市保俊成复合彩印厂</v>
          </cell>
          <cell r="G217" t="str">
            <v>TMA0000279</v>
          </cell>
          <cell r="H217" t="str">
            <v>泡沫片70*60CM</v>
          </cell>
          <cell r="M217" t="str">
            <v>件</v>
          </cell>
          <cell r="O217">
            <v>0.26</v>
          </cell>
        </row>
        <row r="218">
          <cell r="F218" t="str">
            <v>TMA0000177黄骅市保俊成复合彩印厂</v>
          </cell>
          <cell r="G218" t="str">
            <v>TMA0000177</v>
          </cell>
          <cell r="H218" t="str">
            <v>泡沫片70*80CM</v>
          </cell>
          <cell r="M218" t="str">
            <v>件</v>
          </cell>
          <cell r="O218">
            <v>0.3</v>
          </cell>
        </row>
        <row r="219">
          <cell r="F219" t="str">
            <v>TMA0000374黄骅市保俊成复合彩印厂</v>
          </cell>
          <cell r="G219" t="str">
            <v>TMA0000374</v>
          </cell>
          <cell r="H219" t="str">
            <v>泡沫袋45*26CM</v>
          </cell>
          <cell r="M219" t="str">
            <v>件</v>
          </cell>
          <cell r="O219">
            <v>0.25</v>
          </cell>
        </row>
        <row r="220">
          <cell r="F220" t="str">
            <v>TMA0000283黄骅市保俊成复合彩印厂</v>
          </cell>
          <cell r="G220" t="str">
            <v>TMA0000283</v>
          </cell>
          <cell r="H220" t="str">
            <v>泡沫袋45*45CM</v>
          </cell>
          <cell r="M220" t="str">
            <v>件</v>
          </cell>
          <cell r="O220">
            <v>0.43</v>
          </cell>
        </row>
        <row r="221">
          <cell r="F221" t="str">
            <v>TMA0000282黄骅市保俊成复合彩印厂</v>
          </cell>
          <cell r="G221" t="str">
            <v>TMA0000282</v>
          </cell>
          <cell r="H221" t="str">
            <v>泡沫袋30*45CM</v>
          </cell>
          <cell r="M221" t="str">
            <v>件</v>
          </cell>
          <cell r="O221">
            <v>0.28999999999999998</v>
          </cell>
        </row>
        <row r="222">
          <cell r="F222" t="str">
            <v>SLT0000596黄骅市广亿汽车部件有限公司</v>
          </cell>
          <cell r="G222" t="str">
            <v>SLT0000596</v>
          </cell>
          <cell r="H222" t="str">
            <v>K1窄车地板挂钩</v>
          </cell>
          <cell r="M222" t="str">
            <v>件</v>
          </cell>
          <cell r="O222">
            <v>2.0350000000000001</v>
          </cell>
        </row>
        <row r="223">
          <cell r="F223" t="str">
            <v>SLT0000523黄骅市广亿汽车部件有限公司</v>
          </cell>
          <cell r="G223" t="str">
            <v>SLT0000523</v>
          </cell>
          <cell r="H223" t="str">
            <v>K1宽车地板挂钩</v>
          </cell>
          <cell r="M223" t="str">
            <v>件</v>
          </cell>
          <cell r="O223">
            <v>2.2120000000000002</v>
          </cell>
        </row>
        <row r="224">
          <cell r="F224" t="str">
            <v>SLT0002701黄骅市广亿汽车部件有限公司</v>
          </cell>
          <cell r="G224" t="str">
            <v>SLT0002701</v>
          </cell>
          <cell r="H224" t="str">
            <v>K1-6486十人铰链（大）</v>
          </cell>
          <cell r="M224" t="str">
            <v>件</v>
          </cell>
          <cell r="O224">
            <v>1.9470000000000001</v>
          </cell>
        </row>
        <row r="225">
          <cell r="F225" t="str">
            <v>SHT0000295黄骅市泰行汽车配件有限公司</v>
          </cell>
          <cell r="G225" t="str">
            <v>SHT0000295</v>
          </cell>
          <cell r="H225" t="str">
            <v>重卡右舵1B249/220中间背骨架总成</v>
          </cell>
          <cell r="M225" t="str">
            <v>件</v>
          </cell>
          <cell r="N225">
            <v>11.132000000000001</v>
          </cell>
          <cell r="O225">
            <v>19.649999999999999</v>
          </cell>
        </row>
        <row r="226">
          <cell r="F226" t="str">
            <v>SHT0000566黄骅市泰行汽车配件有限公司</v>
          </cell>
          <cell r="G226" t="str">
            <v>SHT0000566</v>
          </cell>
          <cell r="H226" t="str">
            <v>重卡中间背骨架</v>
          </cell>
          <cell r="M226" t="str">
            <v>件</v>
          </cell>
          <cell r="O226">
            <v>19.649999999999999</v>
          </cell>
        </row>
        <row r="227">
          <cell r="F227" t="str">
            <v>SHT0013865泊头市捷润五金制品有限公司</v>
          </cell>
          <cell r="G227" t="str">
            <v>SHT0013865</v>
          </cell>
          <cell r="H227" t="str">
            <v>升降左前固定钣金</v>
          </cell>
          <cell r="M227" t="str">
            <v>件</v>
          </cell>
          <cell r="N227">
            <v>0.69</v>
          </cell>
          <cell r="O227">
            <v>0.66459999999999997</v>
          </cell>
          <cell r="P227">
            <v>8428</v>
          </cell>
          <cell r="Q227">
            <v>0.10535</v>
          </cell>
          <cell r="R227" t="str">
            <v>1.新开模具费4800元，100%分摊至每种4万产品中
2.原SHT0011991升降前固定钣金的模具费3628元，100%分摊至每种4万产品中
3.原SHT0011991升降前固定钣金不再摊销模具费</v>
          </cell>
        </row>
        <row r="228">
          <cell r="F228" t="str">
            <v>SHT0013866泊头市捷润五金制品有限公司</v>
          </cell>
          <cell r="G228" t="str">
            <v>SHT0013866</v>
          </cell>
          <cell r="H228" t="str">
            <v>升降右前固定钣金</v>
          </cell>
          <cell r="M228" t="str">
            <v>件</v>
          </cell>
          <cell r="N228">
            <v>0.69</v>
          </cell>
          <cell r="O228">
            <v>0.66459999999999997</v>
          </cell>
          <cell r="Q228">
            <v>0.10535</v>
          </cell>
        </row>
        <row r="229">
          <cell r="F229" t="str">
            <v>黄骅市建昌塑料制品有限公司</v>
          </cell>
          <cell r="H229" t="str">
            <v>1695副背包装膜</v>
          </cell>
          <cell r="I229" t="str">
            <v>02.12.36.027</v>
          </cell>
          <cell r="M229" t="str">
            <v>件</v>
          </cell>
          <cell r="O229">
            <v>3.8893</v>
          </cell>
        </row>
        <row r="230">
          <cell r="F230" t="str">
            <v>黄骅市建昌塑料制品有限公司</v>
          </cell>
          <cell r="H230" t="str">
            <v>H4副座包装</v>
          </cell>
          <cell r="I230" t="str">
            <v>02.12.04.164</v>
          </cell>
          <cell r="M230" t="str">
            <v>件</v>
          </cell>
          <cell r="O230">
            <v>1.3153999999999999</v>
          </cell>
        </row>
        <row r="231">
          <cell r="F231" t="str">
            <v>SHT0010446 黄骅市万昌五金制品有限公司</v>
          </cell>
          <cell r="G231" t="str">
            <v>SHT0010446</v>
          </cell>
          <cell r="H231" t="str">
            <v>F3000销轴固定支架焊接总成（M3000-H通用）</v>
          </cell>
          <cell r="O231">
            <v>3.4529999999999998</v>
          </cell>
          <cell r="P231">
            <v>13000</v>
          </cell>
          <cell r="Q231">
            <v>0.26</v>
          </cell>
          <cell r="R231" t="str">
            <v>模具费摊销至每种摊销5万件产品中</v>
          </cell>
        </row>
        <row r="232">
          <cell r="F232" t="str">
            <v>SHT0010720 黄骅市万昌五金制品有限公司</v>
          </cell>
          <cell r="G232" t="str">
            <v>SHT0010720</v>
          </cell>
          <cell r="H232" t="str">
            <v>M3000-S调角器解锁把手-左</v>
          </cell>
          <cell r="O232">
            <v>0.55000000000000004</v>
          </cell>
          <cell r="P232">
            <v>15000</v>
          </cell>
          <cell r="Q232">
            <v>0.3</v>
          </cell>
          <cell r="R232" t="str">
            <v>模具费摊销至每种摊销5万件产品中</v>
          </cell>
        </row>
        <row r="233">
          <cell r="F233" t="str">
            <v>SHT0010721 黄骅市万昌五金制品有限公司</v>
          </cell>
          <cell r="G233" t="str">
            <v>SHT0010721</v>
          </cell>
          <cell r="H233" t="str">
            <v>M3000-S调角器解锁把手-右</v>
          </cell>
          <cell r="O233">
            <v>0.55000000000000004</v>
          </cell>
          <cell r="Q233">
            <v>0.3</v>
          </cell>
          <cell r="R233" t="str">
            <v>模具费摊销至每种摊销5万件产品中</v>
          </cell>
        </row>
        <row r="234">
          <cell r="F234" t="str">
            <v>SHT0012215 黄骅市万昌五金制品有限公司</v>
          </cell>
          <cell r="G234" t="str">
            <v>SHT0012215</v>
          </cell>
          <cell r="H234" t="str">
            <v>T5连接梁本体</v>
          </cell>
          <cell r="O234">
            <v>5.08</v>
          </cell>
          <cell r="P234">
            <v>22000</v>
          </cell>
          <cell r="Q234">
            <v>0</v>
          </cell>
          <cell r="R234" t="str">
            <v>荣昌支付模具费，不走模摊</v>
          </cell>
        </row>
        <row r="235">
          <cell r="F235" t="str">
            <v>SHT0012216 黄骅市万昌五金制品有限公司</v>
          </cell>
          <cell r="G235" t="str">
            <v>SHT0012216</v>
          </cell>
          <cell r="H235" t="str">
            <v>T5连接梁加强钣金</v>
          </cell>
          <cell r="O235">
            <v>1.3640000000000001</v>
          </cell>
          <cell r="P235">
            <v>13000</v>
          </cell>
          <cell r="Q235">
            <v>0</v>
          </cell>
          <cell r="R235" t="str">
            <v>荣昌支付模具费，不走模摊</v>
          </cell>
        </row>
        <row r="236">
          <cell r="F236" t="str">
            <v>SHT0012362 黄骅市万昌五金制品有限公司</v>
          </cell>
          <cell r="G236" t="str">
            <v>SHT0012362</v>
          </cell>
          <cell r="H236" t="str">
            <v>T5驾驶员调角器右靠背板</v>
          </cell>
          <cell r="O236">
            <v>2.6819999999999999</v>
          </cell>
          <cell r="P236">
            <v>32000</v>
          </cell>
          <cell r="Q236">
            <v>0</v>
          </cell>
          <cell r="R236" t="str">
            <v>荣昌支付模具费，不走模摊</v>
          </cell>
        </row>
        <row r="237">
          <cell r="F237" t="str">
            <v>SHT0012358 黄骅市万昌五金制品有限公司</v>
          </cell>
          <cell r="G237" t="str">
            <v>SHT0012358</v>
          </cell>
          <cell r="H237" t="str">
            <v>T5副司机副边调角器上板</v>
          </cell>
          <cell r="O237">
            <v>2.6819999999999999</v>
          </cell>
          <cell r="Q237">
            <v>0</v>
          </cell>
          <cell r="R237" t="str">
            <v>荣昌支付模具费，不走模摊</v>
          </cell>
        </row>
        <row r="238">
          <cell r="F238" t="str">
            <v>SBS0010010青岛福基纺织有限公司</v>
          </cell>
          <cell r="G238" t="str">
            <v>SBS0010010</v>
          </cell>
          <cell r="H238" t="str">
            <v>头枕护面总成</v>
          </cell>
          <cell r="O238">
            <v>8.26</v>
          </cell>
        </row>
        <row r="239">
          <cell r="F239" t="str">
            <v>SBS0010012青岛福基纺织有限公司</v>
          </cell>
          <cell r="G239" t="str">
            <v>SBS0010012</v>
          </cell>
          <cell r="H239" t="str">
            <v>司机靠背护面总成</v>
          </cell>
          <cell r="O239">
            <v>33.85</v>
          </cell>
        </row>
        <row r="240">
          <cell r="F240" t="str">
            <v>SBS0010011青岛福基纺织有限公司</v>
          </cell>
          <cell r="G240" t="str">
            <v>SBS0010011</v>
          </cell>
          <cell r="H240" t="str">
            <v>司机座垫护面总成</v>
          </cell>
          <cell r="O240">
            <v>26.43</v>
          </cell>
        </row>
        <row r="241">
          <cell r="F241" t="str">
            <v>SBS0010014青岛福基纺织有限公司</v>
          </cell>
          <cell r="G241" t="str">
            <v>SBS0010014</v>
          </cell>
          <cell r="H241" t="str">
            <v>前排中间靠背护面总成</v>
          </cell>
          <cell r="O241">
            <v>23.6</v>
          </cell>
        </row>
        <row r="242">
          <cell r="F242" t="str">
            <v>SBS0010013青岛福基纺织有限公司</v>
          </cell>
          <cell r="G242" t="str">
            <v>SBS0010013</v>
          </cell>
          <cell r="H242" t="str">
            <v>前排中间座垫护面总成</v>
          </cell>
          <cell r="O242">
            <v>24.47</v>
          </cell>
        </row>
        <row r="243">
          <cell r="F243" t="str">
            <v>SBS0010024青岛福基纺织有限公司</v>
          </cell>
          <cell r="G243" t="str">
            <v>SBS0010024</v>
          </cell>
          <cell r="H243" t="str">
            <v>单人靠背护面总成</v>
          </cell>
          <cell r="O243">
            <v>31.93</v>
          </cell>
        </row>
        <row r="244">
          <cell r="F244" t="str">
            <v>SBS0010023青岛福基纺织有限公司</v>
          </cell>
          <cell r="G244" t="str">
            <v>SBS0010023</v>
          </cell>
          <cell r="H244" t="str">
            <v>二排单人座垫护面总成（左舵）</v>
          </cell>
          <cell r="O244">
            <v>25.63</v>
          </cell>
        </row>
        <row r="245">
          <cell r="F245" t="str">
            <v>SBS0010022青岛福基纺织有限公司</v>
          </cell>
          <cell r="G245" t="str">
            <v>SBS0010022</v>
          </cell>
          <cell r="H245" t="str">
            <v>单人座垫护面总成（左舵）</v>
          </cell>
          <cell r="O245">
            <v>25.63</v>
          </cell>
        </row>
        <row r="246">
          <cell r="F246" t="str">
            <v>SBS0010027青岛福基纺织有限公司</v>
          </cell>
          <cell r="G246" t="str">
            <v>SBS0010027</v>
          </cell>
          <cell r="H246" t="str">
            <v>二排单人座垫护面总成（右舵）</v>
          </cell>
          <cell r="O246">
            <v>25.63</v>
          </cell>
        </row>
        <row r="247">
          <cell r="F247" t="str">
            <v>SBS0010028青岛福基纺织有限公司</v>
          </cell>
          <cell r="G247" t="str">
            <v>SBS0010028</v>
          </cell>
          <cell r="H247" t="str">
            <v>单人座垫护面总成（右舵）</v>
          </cell>
          <cell r="O247">
            <v>25.63</v>
          </cell>
        </row>
        <row r="248">
          <cell r="F248" t="str">
            <v>SCS0011854青岛福基纺织有限公司</v>
          </cell>
          <cell r="G248" t="str">
            <v>SCS0011854</v>
          </cell>
          <cell r="H248" t="str">
            <v>双人左靠背护面总成</v>
          </cell>
          <cell r="O248">
            <v>31.92</v>
          </cell>
        </row>
        <row r="249">
          <cell r="F249" t="str">
            <v>SBS0010020青岛福基纺织有限公司</v>
          </cell>
          <cell r="G249" t="str">
            <v>SBS0010020</v>
          </cell>
          <cell r="H249" t="str">
            <v>双人右靠背护面总成(左舵)</v>
          </cell>
          <cell r="O249">
            <v>31.92</v>
          </cell>
        </row>
        <row r="250">
          <cell r="F250" t="str">
            <v>SBS0010021青岛福基纺织有限公司</v>
          </cell>
          <cell r="G250" t="str">
            <v>SBS0010021</v>
          </cell>
          <cell r="H250" t="str">
            <v>双人座垫护面总成(左舵）</v>
          </cell>
          <cell r="O250">
            <v>51.72</v>
          </cell>
        </row>
        <row r="251">
          <cell r="F251" t="str">
            <v>SBS0010025青岛福基纺织有限公司</v>
          </cell>
          <cell r="G251" t="str">
            <v>SBS0010025</v>
          </cell>
          <cell r="H251" t="str">
            <v>双人右靠背护面总成(右舵)</v>
          </cell>
          <cell r="O251">
            <v>31.92</v>
          </cell>
        </row>
        <row r="252">
          <cell r="F252" t="str">
            <v>SBS0010026青岛福基纺织有限公司</v>
          </cell>
          <cell r="G252" t="str">
            <v>SBS0010026</v>
          </cell>
          <cell r="H252" t="str">
            <v>双人座垫护面总成（右舵）</v>
          </cell>
          <cell r="O252">
            <v>51.72</v>
          </cell>
        </row>
        <row r="253">
          <cell r="F253" t="str">
            <v>SBS0010019青岛福基纺织有限公司</v>
          </cell>
          <cell r="G253" t="str">
            <v>SBS0010019</v>
          </cell>
          <cell r="H253" t="str">
            <v>第一排三人座垫护面总成(左舵)</v>
          </cell>
          <cell r="O253">
            <v>74.77</v>
          </cell>
        </row>
        <row r="254">
          <cell r="F254" t="str">
            <v>SBS0010030青岛福基纺织有限公司</v>
          </cell>
          <cell r="G254" t="str">
            <v>SBS0010030</v>
          </cell>
          <cell r="H254" t="str">
            <v>侧翻左座椅背护面总成</v>
          </cell>
          <cell r="O254">
            <v>66.790000000000006</v>
          </cell>
        </row>
        <row r="255">
          <cell r="F255" t="str">
            <v>SBS0010029青岛福基纺织有限公司</v>
          </cell>
          <cell r="G255" t="str">
            <v>SBS0010029</v>
          </cell>
          <cell r="H255" t="str">
            <v>侧翻左座椅座护面总成</v>
          </cell>
          <cell r="O255">
            <v>54.72</v>
          </cell>
        </row>
        <row r="256">
          <cell r="F256" t="str">
            <v>SBS0010009青岛福基纺织有限公司</v>
          </cell>
          <cell r="G256" t="str">
            <v>SBS0010009</v>
          </cell>
          <cell r="H256" t="str">
            <v>侧翻右座椅背护面总成</v>
          </cell>
          <cell r="O256">
            <v>66.790000000000006</v>
          </cell>
        </row>
        <row r="257">
          <cell r="F257" t="str">
            <v>SBS0010008青岛福基纺织有限公司</v>
          </cell>
          <cell r="G257" t="str">
            <v>SBS0010008</v>
          </cell>
          <cell r="H257" t="str">
            <v>侧翻右座椅座护面总成</v>
          </cell>
          <cell r="O257">
            <v>54.72</v>
          </cell>
        </row>
        <row r="258">
          <cell r="F258" t="str">
            <v>SBS0010015青岛福基纺织有限公司</v>
          </cell>
          <cell r="G258" t="str">
            <v>SBS0010015</v>
          </cell>
          <cell r="H258" t="str">
            <v>四人联体右背护面总成</v>
          </cell>
          <cell r="O258">
            <v>63.72</v>
          </cell>
        </row>
        <row r="259">
          <cell r="F259" t="str">
            <v>SBS0010017青岛福基纺织有限公司</v>
          </cell>
          <cell r="G259" t="str">
            <v>SBS0010017</v>
          </cell>
          <cell r="H259" t="str">
            <v>四人联体右座垫护面总成</v>
          </cell>
          <cell r="O259">
            <v>51.97</v>
          </cell>
        </row>
        <row r="260">
          <cell r="F260" t="str">
            <v>SBS0010016青岛福基纺织有限公司</v>
          </cell>
          <cell r="G260" t="str">
            <v>SBS0010016</v>
          </cell>
          <cell r="H260" t="str">
            <v>四人联体左背护面总成</v>
          </cell>
          <cell r="O260">
            <v>63.72</v>
          </cell>
        </row>
        <row r="261">
          <cell r="F261" t="str">
            <v>SBS0010018青岛福基纺织有限公司</v>
          </cell>
          <cell r="G261" t="str">
            <v>SBS0010018</v>
          </cell>
          <cell r="H261" t="str">
            <v>四人联体左座垫护面总成</v>
          </cell>
          <cell r="O261">
            <v>51.97</v>
          </cell>
        </row>
        <row r="262">
          <cell r="F262" t="str">
            <v>SLT0010630海兴中盛弹簧有限公司</v>
          </cell>
          <cell r="G262" t="str">
            <v>SLT0010630</v>
          </cell>
          <cell r="H262" t="str">
            <v>轻卡减震座框钢丝支撑焊接总成</v>
          </cell>
          <cell r="O262">
            <v>22.5</v>
          </cell>
        </row>
        <row r="263">
          <cell r="F263" t="str">
            <v>SLT0011345海兴中盛弹簧有限公司</v>
          </cell>
          <cell r="G263" t="str">
            <v>SLT0011345</v>
          </cell>
          <cell r="H263" t="str">
            <v>轻卡减震舒适性提升座框钢丝支撑焊接总成</v>
          </cell>
          <cell r="O263">
            <v>15</v>
          </cell>
        </row>
        <row r="264">
          <cell r="F264" t="str">
            <v>SCS0004174黄骅市旗鋭塑料制品有限公司</v>
          </cell>
          <cell r="G264" t="str">
            <v>SCS0004174</v>
          </cell>
          <cell r="H264" t="str">
            <v>B40L中改杯托</v>
          </cell>
          <cell r="O264">
            <v>2.0112000000000001</v>
          </cell>
          <cell r="P264" t="str">
            <v>——</v>
          </cell>
          <cell r="Q264" t="str">
            <v>——</v>
          </cell>
          <cell r="R264" t="str">
            <v>荣昌提供注塑模具</v>
          </cell>
        </row>
        <row r="265">
          <cell r="F265" t="str">
            <v>SCS0005334黄骅市旗鋭塑料制品有限公司</v>
          </cell>
          <cell r="G265" t="str">
            <v>SCS0005334</v>
          </cell>
          <cell r="H265" t="str">
            <v>B40L中改后座椅后安装护盖</v>
          </cell>
          <cell r="O265">
            <v>1.1788000000000001</v>
          </cell>
          <cell r="P265" t="str">
            <v>——</v>
          </cell>
          <cell r="Q265" t="str">
            <v>——</v>
          </cell>
          <cell r="R265" t="str">
            <v>荣昌提供注塑模具</v>
          </cell>
        </row>
        <row r="266">
          <cell r="F266" t="str">
            <v>SCS0005333黄骅市旗鋭塑料制品有限公司</v>
          </cell>
          <cell r="G266" t="str">
            <v>SCS0005333</v>
          </cell>
          <cell r="H266" t="str">
            <v>B40L中改后座椅前安装护盖</v>
          </cell>
          <cell r="O266">
            <v>0.96419999999999995</v>
          </cell>
          <cell r="P266" t="str">
            <v>——</v>
          </cell>
          <cell r="Q266" t="str">
            <v>——</v>
          </cell>
          <cell r="R266" t="str">
            <v>荣昌提供注塑模具</v>
          </cell>
        </row>
        <row r="267">
          <cell r="F267" t="str">
            <v>SCS0004200黄骅市旗鋭塑料制品有限公司</v>
          </cell>
          <cell r="G267" t="str">
            <v>SCS0004200</v>
          </cell>
          <cell r="H267" t="str">
            <v>B40L中改左座椅右侧内饰盖</v>
          </cell>
          <cell r="O267">
            <v>0.62180000000000002</v>
          </cell>
          <cell r="P267" t="str">
            <v>——</v>
          </cell>
          <cell r="Q267" t="str">
            <v>——</v>
          </cell>
          <cell r="R267" t="str">
            <v>荣昌提供注塑模具</v>
          </cell>
        </row>
        <row r="268">
          <cell r="F268" t="str">
            <v>SCS0004186黄骅市旗鋭塑料制品有限公司</v>
          </cell>
          <cell r="G268" t="str">
            <v>SCS0004186</v>
          </cell>
          <cell r="H268" t="str">
            <v>B40L中改左座椅左侧内饰盖</v>
          </cell>
          <cell r="O268">
            <v>0.62180000000000002</v>
          </cell>
          <cell r="P268" t="str">
            <v>——</v>
          </cell>
          <cell r="Q268" t="str">
            <v>——</v>
          </cell>
          <cell r="R268" t="str">
            <v>荣昌提供注塑模具</v>
          </cell>
        </row>
        <row r="269">
          <cell r="F269" t="str">
            <v>SCS0004198黄骅市旗鋭塑料制品有限公司</v>
          </cell>
          <cell r="G269" t="str">
            <v>SCS0004198</v>
          </cell>
          <cell r="H269" t="str">
            <v>B40L座椅扶手外侧饰板</v>
          </cell>
          <cell r="O269">
            <v>0.73980000000000001</v>
          </cell>
          <cell r="P269" t="str">
            <v>——</v>
          </cell>
          <cell r="Q269" t="str">
            <v>——</v>
          </cell>
          <cell r="R269" t="str">
            <v>荣昌提供注塑模具</v>
          </cell>
        </row>
        <row r="270">
          <cell r="F270" t="str">
            <v>SLT0002132黄骅市旗鋭塑料制品有限公司</v>
          </cell>
          <cell r="G270" t="str">
            <v>SLT0002132</v>
          </cell>
          <cell r="H270" t="str">
            <v>J6F驾驶员左侧护板(有孔)</v>
          </cell>
          <cell r="O270">
            <v>3.0217000000000001</v>
          </cell>
          <cell r="P270" t="str">
            <v>——</v>
          </cell>
          <cell r="Q270" t="str">
            <v>——</v>
          </cell>
          <cell r="R270" t="str">
            <v>荣昌提供注塑模具</v>
          </cell>
        </row>
        <row r="271">
          <cell r="F271" t="str">
            <v>SLT0002133黄骅市旗鋭塑料制品有限公司</v>
          </cell>
          <cell r="G271" t="str">
            <v>SLT0002133</v>
          </cell>
          <cell r="H271" t="str">
            <v>J6F驾驶员左侧护板</v>
          </cell>
          <cell r="O271">
            <v>3.0796999999999999</v>
          </cell>
          <cell r="P271" t="str">
            <v>——</v>
          </cell>
          <cell r="Q271" t="str">
            <v>——</v>
          </cell>
          <cell r="R271" t="str">
            <v>荣昌提供注塑模具</v>
          </cell>
        </row>
        <row r="272">
          <cell r="F272" t="str">
            <v>SLT0002134黄骅市旗鋭塑料制品有限公司</v>
          </cell>
          <cell r="G272" t="str">
            <v>SLT0002134</v>
          </cell>
          <cell r="H272" t="str">
            <v>J6F驾驶员右侧护板</v>
          </cell>
          <cell r="O272">
            <v>1.7647999999999999</v>
          </cell>
          <cell r="P272" t="str">
            <v>——</v>
          </cell>
          <cell r="Q272" t="str">
            <v>——</v>
          </cell>
          <cell r="R272" t="str">
            <v>荣昌提供注塑模具</v>
          </cell>
        </row>
        <row r="273">
          <cell r="F273" t="str">
            <v>SLT0002135黄骅市旗鋭塑料制品有限公司</v>
          </cell>
          <cell r="G273" t="str">
            <v>SLT0002135</v>
          </cell>
          <cell r="H273" t="str">
            <v>J6F驾驶员调角器手柄</v>
          </cell>
          <cell r="O273">
            <v>1.2464999999999999</v>
          </cell>
          <cell r="P273" t="str">
            <v>——</v>
          </cell>
          <cell r="Q273" t="str">
            <v>——</v>
          </cell>
          <cell r="R273" t="str">
            <v>荣昌提供注塑模具</v>
          </cell>
        </row>
        <row r="274">
          <cell r="F274" t="str">
            <v>SLT0000826黄骅市旗鋭塑料制品有限公司</v>
          </cell>
          <cell r="G274" t="str">
            <v>SLT0000826</v>
          </cell>
          <cell r="H274" t="str">
            <v>M4正司机升降把手</v>
          </cell>
          <cell r="O274">
            <v>0.61419999999999997</v>
          </cell>
          <cell r="P274" t="str">
            <v>——</v>
          </cell>
          <cell r="Q274" t="str">
            <v>——</v>
          </cell>
          <cell r="R274" t="str">
            <v>荣昌提供注塑模具</v>
          </cell>
        </row>
        <row r="275">
          <cell r="F275" t="str">
            <v>SHT0013013黄骅市旗鋭塑料制品有限公司</v>
          </cell>
          <cell r="G275" t="str">
            <v>SHT0013013</v>
          </cell>
          <cell r="H275" t="str">
            <v>L5000前升降手柄(灰)</v>
          </cell>
          <cell r="O275">
            <v>0.61419999999999997</v>
          </cell>
          <cell r="P275" t="str">
            <v>——</v>
          </cell>
          <cell r="Q275" t="str">
            <v>——</v>
          </cell>
          <cell r="R275" t="str">
            <v>荣昌提供注塑模具</v>
          </cell>
        </row>
        <row r="276">
          <cell r="F276" t="str">
            <v>SLT0000827黄骅市旗鋭塑料制品有限公司</v>
          </cell>
          <cell r="G276" t="str">
            <v>SLT0000827</v>
          </cell>
          <cell r="H276" t="str">
            <v>M4副司机升降把手</v>
          </cell>
          <cell r="O276">
            <v>0.61419999999999997</v>
          </cell>
          <cell r="P276" t="str">
            <v>——</v>
          </cell>
          <cell r="Q276" t="str">
            <v>——</v>
          </cell>
          <cell r="R276" t="str">
            <v>荣昌提供注塑模具</v>
          </cell>
        </row>
        <row r="277">
          <cell r="F277" t="str">
            <v>SHT0013014黄骅市旗鋭塑料制品有限公司</v>
          </cell>
          <cell r="G277" t="str">
            <v>SHT0013014</v>
          </cell>
          <cell r="H277" t="str">
            <v>L5000后升降手柄(灰)</v>
          </cell>
          <cell r="O277">
            <v>0.61419999999999997</v>
          </cell>
          <cell r="P277" t="str">
            <v>——</v>
          </cell>
          <cell r="Q277" t="str">
            <v>——</v>
          </cell>
          <cell r="R277" t="str">
            <v>荣昌提供注塑模具</v>
          </cell>
        </row>
        <row r="278">
          <cell r="F278" t="str">
            <v>SLT0000828黄骅市旗鋭塑料制品有限公司</v>
          </cell>
          <cell r="G278" t="str">
            <v>SLT0000828</v>
          </cell>
          <cell r="H278" t="str">
            <v>M4主驾驶座调节把手(前)</v>
          </cell>
          <cell r="O278">
            <v>0.63929999999999998</v>
          </cell>
          <cell r="P278" t="str">
            <v>——</v>
          </cell>
          <cell r="Q278" t="str">
            <v>——</v>
          </cell>
          <cell r="R278" t="str">
            <v>荣昌提供注塑模具</v>
          </cell>
        </row>
        <row r="279">
          <cell r="F279" t="str">
            <v>SLT0000834黄骅市旗鋭塑料制品有限公司</v>
          </cell>
          <cell r="G279" t="str">
            <v>SLT0000834</v>
          </cell>
          <cell r="H279" t="str">
            <v>M4主驾驶座调节把手(后)</v>
          </cell>
          <cell r="O279">
            <v>0.63929999999999998</v>
          </cell>
          <cell r="P279" t="str">
            <v>——</v>
          </cell>
          <cell r="Q279" t="str">
            <v>——</v>
          </cell>
          <cell r="R279" t="str">
            <v>荣昌提供注塑模具</v>
          </cell>
        </row>
        <row r="280">
          <cell r="F280" t="str">
            <v>SHT0010985黄骅市旗鋭塑料制品有限公司</v>
          </cell>
          <cell r="G280" t="str">
            <v>SHT0010985</v>
          </cell>
          <cell r="H280" t="str">
            <v>X3000正司机仰角手柄</v>
          </cell>
          <cell r="O280">
            <v>1.1685000000000001</v>
          </cell>
          <cell r="P280" t="str">
            <v>——</v>
          </cell>
          <cell r="Q280" t="str">
            <v>——</v>
          </cell>
          <cell r="R280" t="str">
            <v>荣昌提供注塑模具</v>
          </cell>
        </row>
        <row r="281">
          <cell r="F281" t="str">
            <v>SHT0013738黄骅市旗鋭塑料制品有限公司</v>
          </cell>
          <cell r="G281" t="str">
            <v>SHT0013738</v>
          </cell>
          <cell r="H281" t="str">
            <v>X3000正仰角手柄L5000标识</v>
          </cell>
          <cell r="O281">
            <v>1.1685000000000001</v>
          </cell>
          <cell r="P281" t="str">
            <v>——</v>
          </cell>
          <cell r="Q281" t="str">
            <v>——</v>
          </cell>
          <cell r="R281" t="str">
            <v>荣昌提供注塑模具</v>
          </cell>
        </row>
        <row r="282">
          <cell r="F282" t="str">
            <v>SHT0001661黄骅市旗鋭塑料制品有限公司</v>
          </cell>
          <cell r="G282" t="str">
            <v>SHT0001661</v>
          </cell>
          <cell r="H282" t="str">
            <v>X3000正仰角手柄(灰)</v>
          </cell>
          <cell r="O282">
            <v>1.7314000000000001</v>
          </cell>
          <cell r="P282" t="str">
            <v>——</v>
          </cell>
          <cell r="Q282" t="str">
            <v>——</v>
          </cell>
          <cell r="R282" t="str">
            <v>荣昌提供注塑模具</v>
          </cell>
        </row>
        <row r="283">
          <cell r="F283" t="str">
            <v>SHT0013734黄骅市旗鋭塑料制品有限公司</v>
          </cell>
          <cell r="G283" t="str">
            <v>SHT0013734</v>
          </cell>
          <cell r="H283" t="str">
            <v>X3000正调角手柄L5000标识</v>
          </cell>
          <cell r="O283">
            <v>1.7314000000000001</v>
          </cell>
          <cell r="P283" t="str">
            <v>——</v>
          </cell>
          <cell r="Q283" t="str">
            <v>——</v>
          </cell>
          <cell r="R283" t="str">
            <v>荣昌提供注塑模具</v>
          </cell>
        </row>
        <row r="284">
          <cell r="F284" t="str">
            <v>SHT0001660黄骅市旗鋭塑料制品有限公司</v>
          </cell>
          <cell r="G284" t="str">
            <v>SHT0001660</v>
          </cell>
          <cell r="H284" t="str">
            <v>X3000正司机调角器手柄灰</v>
          </cell>
          <cell r="O284">
            <v>1.5144</v>
          </cell>
          <cell r="P284" t="str">
            <v>——</v>
          </cell>
          <cell r="Q284" t="str">
            <v>——</v>
          </cell>
          <cell r="R284" t="str">
            <v>荣昌提供注塑模具</v>
          </cell>
        </row>
        <row r="285">
          <cell r="F285" t="str">
            <v>SHT0010982黄骅市旗鋭塑料制品有限公司</v>
          </cell>
          <cell r="G285" t="str">
            <v>SHT0010982</v>
          </cell>
          <cell r="H285" t="str">
            <v>X3000正司机调角器手柄</v>
          </cell>
          <cell r="O285">
            <v>1.7314000000000001</v>
          </cell>
          <cell r="P285" t="str">
            <v>——</v>
          </cell>
          <cell r="Q285" t="str">
            <v>——</v>
          </cell>
          <cell r="R285" t="str">
            <v>荣昌提供注塑模具</v>
          </cell>
        </row>
        <row r="286">
          <cell r="F286" t="str">
            <v>SHT0010983黄骅市旗鋭塑料制品有限公司</v>
          </cell>
          <cell r="G286" t="str">
            <v>SHT0010983</v>
          </cell>
          <cell r="H286" t="str">
            <v>X3000副司机调角器手柄</v>
          </cell>
          <cell r="O286">
            <v>1.7135</v>
          </cell>
          <cell r="P286" t="str">
            <v>——</v>
          </cell>
          <cell r="Q286" t="str">
            <v>——</v>
          </cell>
          <cell r="R286" t="str">
            <v>荣昌提供注塑模具</v>
          </cell>
        </row>
        <row r="287">
          <cell r="F287" t="str">
            <v>SHT0001673黄骅市旗鋭塑料制品有限公司</v>
          </cell>
          <cell r="G287" t="str">
            <v>SHT0001673</v>
          </cell>
          <cell r="H287" t="str">
            <v>X3000副司机调角器手柄灰</v>
          </cell>
          <cell r="O287">
            <v>1.7135</v>
          </cell>
          <cell r="P287" t="str">
            <v>——</v>
          </cell>
          <cell r="Q287" t="str">
            <v>——</v>
          </cell>
          <cell r="R287" t="str">
            <v>荣昌提供注塑模具</v>
          </cell>
        </row>
        <row r="288">
          <cell r="F288" t="str">
            <v>SHT0010984黄骅市旗鋭塑料制品有限公司</v>
          </cell>
          <cell r="G288" t="str">
            <v>SHT0010984</v>
          </cell>
          <cell r="H288" t="str">
            <v>X3000速降按钮(黑)</v>
          </cell>
          <cell r="O288">
            <v>0.31509999999999999</v>
          </cell>
          <cell r="P288" t="str">
            <v>——</v>
          </cell>
          <cell r="Q288" t="str">
            <v>——</v>
          </cell>
          <cell r="R288" t="str">
            <v>荣昌提供注塑模具</v>
          </cell>
        </row>
        <row r="289">
          <cell r="F289" t="str">
            <v>SHT0002282黄骅市旗鋭塑料制品有限公司</v>
          </cell>
          <cell r="G289" t="str">
            <v>SHT0002282</v>
          </cell>
          <cell r="H289" t="str">
            <v>X3000速降按钮(灰)</v>
          </cell>
          <cell r="O289">
            <v>0.31509999999999999</v>
          </cell>
          <cell r="P289" t="str">
            <v>——</v>
          </cell>
          <cell r="Q289" t="str">
            <v>——</v>
          </cell>
          <cell r="R289" t="str">
            <v>荣昌提供注塑模具</v>
          </cell>
        </row>
        <row r="290">
          <cell r="F290" t="str">
            <v>SHT0013748黄骅市旗鋭塑料制品有限公司</v>
          </cell>
          <cell r="G290" t="str">
            <v>SHT0013748</v>
          </cell>
          <cell r="H290" t="str">
            <v>X3000速降按钮L5000标识</v>
          </cell>
          <cell r="O290">
            <v>0.31509999999999999</v>
          </cell>
          <cell r="P290" t="str">
            <v>——</v>
          </cell>
          <cell r="Q290" t="str">
            <v>——</v>
          </cell>
          <cell r="R290" t="str">
            <v>荣昌提供注塑模具</v>
          </cell>
        </row>
        <row r="291">
          <cell r="F291" t="str">
            <v>RCA0000080黄骅市旗鋭塑料制品有限公司</v>
          </cell>
          <cell r="G291" t="str">
            <v>RCA0000080</v>
          </cell>
          <cell r="H291" t="str">
            <v>M31RB牌照板扣手</v>
          </cell>
          <cell r="O291">
            <v>2.1206</v>
          </cell>
          <cell r="P291" t="str">
            <v>——</v>
          </cell>
          <cell r="Q291" t="str">
            <v>——</v>
          </cell>
          <cell r="R291" t="str">
            <v>荣昌提供注塑模具</v>
          </cell>
        </row>
        <row r="292">
          <cell r="F292" t="str">
            <v>SHT0011964黄骅市旗鋭塑料制品有限公司</v>
          </cell>
          <cell r="G292" t="str">
            <v>SHT0011964</v>
          </cell>
          <cell r="H292" t="str">
            <v>2.0座椅调角器手柄带标识</v>
          </cell>
          <cell r="O292">
            <v>2.2795999999999998</v>
          </cell>
          <cell r="P292" t="str">
            <v>——</v>
          </cell>
          <cell r="Q292" t="str">
            <v>——</v>
          </cell>
          <cell r="R292" t="str">
            <v>荣昌提供注塑模具</v>
          </cell>
        </row>
        <row r="293">
          <cell r="F293" t="str">
            <v>SHT0011967黄骅市旗鋭塑料制品有限公司</v>
          </cell>
          <cell r="G293" t="str">
            <v>SHT0011967</v>
          </cell>
          <cell r="H293" t="str">
            <v>2.0座椅仰角手柄带标识</v>
          </cell>
          <cell r="O293">
            <v>2.2795999999999998</v>
          </cell>
          <cell r="P293" t="str">
            <v>——</v>
          </cell>
          <cell r="Q293" t="str">
            <v>——</v>
          </cell>
          <cell r="R293" t="str">
            <v>荣昌提供注塑模具</v>
          </cell>
        </row>
        <row r="294">
          <cell r="F294" t="str">
            <v>SHT0012902黄骅市旗鋭塑料制品有限公司</v>
          </cell>
          <cell r="G294" t="str">
            <v>SHT0012902</v>
          </cell>
          <cell r="H294" t="str">
            <v>2.0右舵仰角调节手柄标识</v>
          </cell>
          <cell r="O294">
            <v>2.2795999999999998</v>
          </cell>
          <cell r="P294" t="str">
            <v>——</v>
          </cell>
          <cell r="Q294" t="str">
            <v>——</v>
          </cell>
          <cell r="R294" t="str">
            <v>荣昌提供注塑模具</v>
          </cell>
        </row>
        <row r="295">
          <cell r="F295" t="str">
            <v>SHT0012896黄骅市旗鋭塑料制品有限公司</v>
          </cell>
          <cell r="G295" t="str">
            <v>SHT0012896</v>
          </cell>
          <cell r="H295" t="str">
            <v>2.0右舵调角器手柄标识</v>
          </cell>
          <cell r="O295">
            <v>1.8346</v>
          </cell>
          <cell r="P295" t="str">
            <v>——</v>
          </cell>
          <cell r="Q295" t="str">
            <v>——</v>
          </cell>
          <cell r="R295" t="str">
            <v>荣昌提供注塑模具</v>
          </cell>
        </row>
        <row r="296">
          <cell r="F296" t="str">
            <v>SHT0001653黄骅市旗鋭塑料制品有限公司</v>
          </cell>
          <cell r="G296" t="str">
            <v>SHT0001653</v>
          </cell>
          <cell r="H296" t="str">
            <v>H5延伸手柄</v>
          </cell>
          <cell r="O296">
            <v>0.82220000000000004</v>
          </cell>
          <cell r="P296" t="str">
            <v>——</v>
          </cell>
          <cell r="Q296" t="str">
            <v>——</v>
          </cell>
          <cell r="R296" t="str">
            <v>荣昌提供注塑模具</v>
          </cell>
        </row>
        <row r="297">
          <cell r="F297" t="str">
            <v>SHT0000142黄骅市旗鋭塑料制品有限公司</v>
          </cell>
          <cell r="G297" t="str">
            <v>SHT0000142</v>
          </cell>
          <cell r="H297" t="str">
            <v>H3主驾驶座调节把手后左正</v>
          </cell>
          <cell r="O297">
            <v>0.63929999999999998</v>
          </cell>
          <cell r="P297" t="str">
            <v>——</v>
          </cell>
          <cell r="Q297" t="str">
            <v>——</v>
          </cell>
          <cell r="R297" t="str">
            <v>荣昌提供注塑模具</v>
          </cell>
        </row>
        <row r="298">
          <cell r="F298" t="str">
            <v>SHT0000158黄骅市旗鋭塑料制品有限公司</v>
          </cell>
          <cell r="G298" t="str">
            <v>SHT0000158</v>
          </cell>
          <cell r="H298" t="str">
            <v>H3主驾驶座调节把手前右副</v>
          </cell>
          <cell r="O298">
            <v>0.63929999999999998</v>
          </cell>
          <cell r="P298" t="str">
            <v>——</v>
          </cell>
          <cell r="Q298" t="str">
            <v>——</v>
          </cell>
          <cell r="R298" t="str">
            <v>荣昌提供注塑模具</v>
          </cell>
        </row>
        <row r="299">
          <cell r="F299" t="str">
            <v>SHT0010526黄骅市旗鋭塑料制品有限公司</v>
          </cell>
          <cell r="G299" t="str">
            <v>SHT0010526</v>
          </cell>
          <cell r="H299" t="str">
            <v>H5延伸手柄灰</v>
          </cell>
          <cell r="O299">
            <v>0.82220000000000004</v>
          </cell>
          <cell r="P299" t="str">
            <v>——</v>
          </cell>
          <cell r="Q299" t="str">
            <v>——</v>
          </cell>
          <cell r="R299" t="str">
            <v>荣昌提供注塑模具</v>
          </cell>
        </row>
        <row r="300">
          <cell r="F300" t="str">
            <v>SHT0014366湖北伟士通汽车零件有限公司</v>
          </cell>
          <cell r="G300" t="str">
            <v>SHT0014366</v>
          </cell>
          <cell r="H300" t="str">
            <v>H4-2.1扶手支架总成</v>
          </cell>
          <cell r="O300">
            <v>8.8059999999999992</v>
          </cell>
          <cell r="P300">
            <v>21693.9</v>
          </cell>
          <cell r="Q300">
            <v>0.21693900000000002</v>
          </cell>
          <cell r="R300" t="str">
            <v>模检焊具费用100%分摊至10万件产品中，自供货之日起执行</v>
          </cell>
        </row>
        <row r="301">
          <cell r="F301" t="str">
            <v>SHT0011522河北利达金属制品集团有限公司</v>
          </cell>
          <cell r="G301" t="str">
            <v>SHT0011522</v>
          </cell>
          <cell r="H301" t="str">
            <v>H6副司机座椅底支架上板焊接总成</v>
          </cell>
          <cell r="O301">
            <v>53</v>
          </cell>
          <cell r="P301" t="str">
            <v>荣昌提供模具</v>
          </cell>
          <cell r="Q301">
            <v>0</v>
          </cell>
          <cell r="R301" t="str">
            <v>荣昌提供模具</v>
          </cell>
        </row>
        <row r="302">
          <cell r="F302" t="str">
            <v>SHT0011031河北利达金属制品集团有限公司</v>
          </cell>
          <cell r="G302" t="str">
            <v>SHT0011031</v>
          </cell>
          <cell r="H302" t="str">
            <v>H6副司机座椅底支架上板</v>
          </cell>
          <cell r="O302" t="str">
            <v>不单独结算</v>
          </cell>
          <cell r="P302" t="str">
            <v>——</v>
          </cell>
          <cell r="Q302" t="str">
            <v>——</v>
          </cell>
          <cell r="R302" t="str">
            <v>——</v>
          </cell>
        </row>
        <row r="303">
          <cell r="F303" t="str">
            <v>Q37108河北利达金属制品集团有限公司</v>
          </cell>
          <cell r="G303" t="str">
            <v>Q37108</v>
          </cell>
          <cell r="H303" t="str">
            <v>M8焊接方螺母</v>
          </cell>
          <cell r="O303" t="str">
            <v>不单独结算</v>
          </cell>
          <cell r="P303" t="str">
            <v>——</v>
          </cell>
          <cell r="Q303" t="str">
            <v>——</v>
          </cell>
          <cell r="R303" t="str">
            <v>——</v>
          </cell>
        </row>
        <row r="304">
          <cell r="F304" t="str">
            <v>TSY0000877黄骅市常郭镇街西纸箱厂</v>
          </cell>
          <cell r="G304" t="str">
            <v>TSY0000877</v>
          </cell>
          <cell r="H304" t="str">
            <v>绝缘纸板条410*121H4副背护面用</v>
          </cell>
          <cell r="O304">
            <v>1.115</v>
          </cell>
        </row>
        <row r="305">
          <cell r="F305" t="str">
            <v xml:space="preserve">SHT0014206沧州旭兴五金制品有限公司 </v>
          </cell>
          <cell r="G305" t="str">
            <v>SHT0014206</v>
          </cell>
          <cell r="H305" t="str">
            <v>X5000-S下框连接梁螺母柱</v>
          </cell>
          <cell r="O305">
            <v>0.7</v>
          </cell>
        </row>
        <row r="306">
          <cell r="F306" t="str">
            <v>SHT0012954河北新强力机械制造有限公司</v>
          </cell>
          <cell r="G306" t="str">
            <v>SHT0012954</v>
          </cell>
          <cell r="H306" t="str">
            <v>靠背骨架焊接总成</v>
          </cell>
          <cell r="O306">
            <v>54.77</v>
          </cell>
        </row>
        <row r="307">
          <cell r="F307" t="str">
            <v>SHT0012531河北新强力机械制造有限公司</v>
          </cell>
          <cell r="G307" t="str">
            <v>SHT0012531</v>
          </cell>
          <cell r="H307" t="str">
            <v>T5-2.0靠背焊接总成-双扶手</v>
          </cell>
          <cell r="O307">
            <v>69.17</v>
          </cell>
        </row>
        <row r="308">
          <cell r="F308" t="str">
            <v>SHT0013283河北新强力机械制造有限公司</v>
          </cell>
          <cell r="G308" t="str">
            <v>SHT0013283</v>
          </cell>
          <cell r="H308" t="str">
            <v>副司机靠背骨架焊接总成</v>
          </cell>
          <cell r="O308">
            <v>66.86</v>
          </cell>
        </row>
        <row r="309">
          <cell r="F309" t="str">
            <v>SHT0012236河北新强力机械制造有限公司</v>
          </cell>
          <cell r="G309" t="str">
            <v>SHT0012236</v>
          </cell>
          <cell r="H309" t="str">
            <v>副驾驶员靠背骨架焊接总成（新状态）</v>
          </cell>
          <cell r="O309">
            <v>65.489999999999995</v>
          </cell>
        </row>
        <row r="310">
          <cell r="F310" t="str">
            <v>SHT0013664河北新强力机械制造有限公司</v>
          </cell>
          <cell r="G310" t="str">
            <v>SHT0013664</v>
          </cell>
          <cell r="H310" t="str">
            <v>副驾驶员靠背骨架焊接总成</v>
          </cell>
          <cell r="O310">
            <v>67.72</v>
          </cell>
        </row>
        <row r="311">
          <cell r="F311" t="str">
            <v>SHT0013665河北新强力机械制造有限公司</v>
          </cell>
          <cell r="G311" t="str">
            <v>SHT0013665</v>
          </cell>
          <cell r="H311" t="str">
            <v>靠背骨架焊接总成</v>
          </cell>
          <cell r="O311">
            <v>63.3</v>
          </cell>
        </row>
        <row r="312">
          <cell r="F312" t="str">
            <v>SHT0013663河北新强力机械制造有限公司</v>
          </cell>
          <cell r="G312" t="str">
            <v>SHT0013663</v>
          </cell>
          <cell r="H312" t="str">
            <v>副驾靠背骨架焊接总成</v>
          </cell>
          <cell r="O312">
            <v>61.87</v>
          </cell>
        </row>
        <row r="313">
          <cell r="F313" t="str">
            <v>SHT0012974河北新强力机械制造有限公司</v>
          </cell>
          <cell r="G313" t="str">
            <v>SHT0012974</v>
          </cell>
          <cell r="H313" t="str">
            <v>副驾驶安全带上悬置固定板总成（新状态）</v>
          </cell>
          <cell r="O313">
            <v>5.5</v>
          </cell>
        </row>
        <row r="314">
          <cell r="F314" t="str">
            <v>SLT0010408黄骅市成卓汽车部件厂</v>
          </cell>
          <cell r="G314" t="str">
            <v>SLT0010408</v>
          </cell>
          <cell r="H314" t="str">
            <v>统帅驾驶员座垫右侧安装板</v>
          </cell>
          <cell r="O314">
            <v>7.4640000000000004</v>
          </cell>
          <cell r="P314">
            <v>6000</v>
          </cell>
          <cell r="Q314">
            <v>0.12</v>
          </cell>
          <cell r="R314" t="str">
            <v>1.此产品是在旧状态SLT0002551产品基础上新开1付冲孔模
2.上述模具费用100%分摊至5万件产品中</v>
          </cell>
        </row>
        <row r="315">
          <cell r="F315" t="str">
            <v>SBS0010111黄骅市成卓汽车部件厂</v>
          </cell>
          <cell r="G315" t="str">
            <v>SBS0010111</v>
          </cell>
          <cell r="H315" t="str">
            <v>统帅/奥杰副驾驶员座垫右侧安装板</v>
          </cell>
          <cell r="O315">
            <v>7.4640000000000004</v>
          </cell>
          <cell r="P315">
            <v>4500</v>
          </cell>
          <cell r="Q315">
            <v>0.09</v>
          </cell>
          <cell r="R315" t="str">
            <v>1.此产品是在旧状态SLT0002551产品基础上新开1付冲孔模和1付翻边模
2.上述模具费用100%分摊至5万件产品中</v>
          </cell>
        </row>
        <row r="316">
          <cell r="F316" t="str">
            <v>SHT0013319黄骅市成卓汽车部件厂</v>
          </cell>
          <cell r="G316" t="str">
            <v>SHT0013319</v>
          </cell>
          <cell r="H316" t="str">
            <v>重汽T5-2.0翻折调角器左上连接板总成</v>
          </cell>
          <cell r="O316">
            <v>3.742</v>
          </cell>
          <cell r="P316">
            <v>23300</v>
          </cell>
          <cell r="Q316">
            <v>0.23300000000000001</v>
          </cell>
          <cell r="R316" t="str">
            <v>1.焊胎费用加新开件SHT0013312角度限位片冲压模具共计23300元（落料、成型1、成型2）
2.焊胎+模具费用分摊5万件/种产品中</v>
          </cell>
        </row>
        <row r="317">
          <cell r="F317" t="str">
            <v>SHT0013311黄骅市成卓汽车部件厂</v>
          </cell>
          <cell r="G317" t="str">
            <v>SHT0013311</v>
          </cell>
          <cell r="H317" t="str">
            <v>重汽T5-2.0翻折调角器右上连接板总成</v>
          </cell>
          <cell r="O317">
            <v>3.1669999999999998</v>
          </cell>
          <cell r="Q317">
            <v>0.23300000000000001</v>
          </cell>
        </row>
        <row r="318">
          <cell r="F318" t="str">
            <v>SHT0001854黄骅市成卓汽车部件厂</v>
          </cell>
          <cell r="G318" t="str">
            <v>SHT0001854</v>
          </cell>
          <cell r="H318" t="str">
            <v>X3000左纵梁</v>
          </cell>
          <cell r="O318">
            <v>4.0884999999999998</v>
          </cell>
          <cell r="P318">
            <v>9000</v>
          </cell>
          <cell r="Q318">
            <v>0.18</v>
          </cell>
          <cell r="R318" t="str">
            <v>1.设变增加1付成型模具9000元，模具费分摊至5万件产品/种中
2.X3000左纵梁模具费16815元，已摊销5万件完毕</v>
          </cell>
        </row>
        <row r="319">
          <cell r="F319" t="str">
            <v>SHT0001855黄骅市成卓汽车部件厂</v>
          </cell>
          <cell r="G319" t="str">
            <v>SHT0001855</v>
          </cell>
          <cell r="H319" t="str">
            <v>X3000右纵梁</v>
          </cell>
          <cell r="O319">
            <v>4.0884999999999998</v>
          </cell>
          <cell r="P319">
            <v>9000</v>
          </cell>
          <cell r="Q319">
            <v>0.18</v>
          </cell>
          <cell r="R319" t="str">
            <v>1.设变增加1付成型模具9000元，模具费分摊至5万件产品/种中
2.X3000右纵梁原模具费16815元，已摊销5万件完毕</v>
          </cell>
        </row>
        <row r="320">
          <cell r="F320" t="str">
            <v>SHT0001860黄骅市成卓汽车部件厂</v>
          </cell>
          <cell r="G320" t="str">
            <v>SHT0001860</v>
          </cell>
          <cell r="H320" t="str">
            <v>X3000下框左纵梁</v>
          </cell>
          <cell r="O320">
            <v>4.4424599999999996</v>
          </cell>
          <cell r="P320">
            <v>10000</v>
          </cell>
          <cell r="Q320">
            <v>0.2</v>
          </cell>
          <cell r="R320" t="str">
            <v>1.设变增加1付成型模具10000元，模具费分摊至5万件产品/种中
2.原模具费13275元，已摊销5万件完毕</v>
          </cell>
        </row>
        <row r="321">
          <cell r="F321" t="str">
            <v>SHT0001861黄骅市成卓汽车部件厂</v>
          </cell>
          <cell r="G321" t="str">
            <v>SHT0001861</v>
          </cell>
          <cell r="H321" t="str">
            <v>X3000下框右纵梁</v>
          </cell>
          <cell r="O321">
            <v>4.4424599999999996</v>
          </cell>
          <cell r="P321">
            <v>10000</v>
          </cell>
          <cell r="Q321">
            <v>0.2</v>
          </cell>
          <cell r="R321" t="str">
            <v>1.设变增加1付成型模具10000元，模具费分摊至5万件产品中
2.原模具费13275元，已摊销5万件完毕</v>
          </cell>
        </row>
        <row r="322">
          <cell r="F322" t="str">
            <v>SLT0002537黄骅市成卓汽车部件厂</v>
          </cell>
          <cell r="G322" t="str">
            <v>SLT0002537</v>
          </cell>
          <cell r="H322" t="str">
            <v>J6F驾驶员调角器上连接板</v>
          </cell>
          <cell r="O322">
            <v>3.4070796460177002</v>
          </cell>
          <cell r="P322">
            <v>6000</v>
          </cell>
          <cell r="Q322">
            <v>0.12</v>
          </cell>
          <cell r="R322" t="str">
            <v>设变增加1付冲孔模具，模具费分摊至5万件产品中</v>
          </cell>
        </row>
        <row r="323">
          <cell r="F323" t="str">
            <v>SHT0001856黄骅市成卓汽车部件厂</v>
          </cell>
          <cell r="G323" t="str">
            <v>SHT0001856</v>
          </cell>
          <cell r="H323" t="str">
            <v>X3000上框前横梁</v>
          </cell>
          <cell r="O323">
            <v>2.9222922413793069</v>
          </cell>
          <cell r="P323">
            <v>6000</v>
          </cell>
          <cell r="Q323">
            <v>0.12</v>
          </cell>
          <cell r="R323" t="str">
            <v>设变增加1付成型模具，模具费分摊至5万件产品中</v>
          </cell>
        </row>
        <row r="324">
          <cell r="F324" t="str">
            <v>SHT0012089高唐强盛机械有限公司</v>
          </cell>
          <cell r="G324" t="str">
            <v>SHT0012089</v>
          </cell>
          <cell r="H324" t="str">
            <v>1.0外绞架连接杆</v>
          </cell>
          <cell r="O324">
            <v>4.1288</v>
          </cell>
        </row>
        <row r="325">
          <cell r="F325" t="str">
            <v>SLT0010408黄骅市成卓汽车部件厂</v>
          </cell>
          <cell r="G325" t="str">
            <v>SLT0010408</v>
          </cell>
          <cell r="H325" t="str">
            <v>统帅驾驶员座垫右侧安装板</v>
          </cell>
          <cell r="O325">
            <v>7.4640000000000004</v>
          </cell>
          <cell r="P325">
            <v>6000</v>
          </cell>
          <cell r="Q325">
            <v>0.12</v>
          </cell>
          <cell r="R325" t="str">
            <v>1.此产品是在旧状态SLT0002551产品基础上新开1付冲孔模
2.上述模具费用100%分摊至5万件产品中</v>
          </cell>
        </row>
        <row r="326">
          <cell r="F326" t="str">
            <v>SBS0010111黄骅市成卓汽车部件厂</v>
          </cell>
          <cell r="G326" t="str">
            <v>SBS0010111</v>
          </cell>
          <cell r="H326" t="str">
            <v>统帅/奥杰副驾驶员座垫右侧安装板</v>
          </cell>
          <cell r="O326">
            <v>7.4640000000000004</v>
          </cell>
          <cell r="P326">
            <v>4500</v>
          </cell>
          <cell r="Q326">
            <v>0.09</v>
          </cell>
          <cell r="R326" t="str">
            <v>1.此产品是在旧状态SLT0002551产品基础上新开1付冲孔模和1付翻边模
2.上述模具费用100%分摊至5万件产品中</v>
          </cell>
        </row>
        <row r="327">
          <cell r="F327" t="str">
            <v>SHT0013319黄骅市成卓汽车部件厂</v>
          </cell>
          <cell r="G327" t="str">
            <v>SHT0013319</v>
          </cell>
          <cell r="H327" t="str">
            <v>重汽T5-2.0翻折调角器左上连接板总成</v>
          </cell>
          <cell r="O327">
            <v>3.742</v>
          </cell>
          <cell r="P327">
            <v>23300</v>
          </cell>
          <cell r="Q327">
            <v>0.23300000000000001</v>
          </cell>
          <cell r="R327" t="str">
            <v>1.焊胎费用加新开件SHT0013312角度限位片冲压模具共计23300元（落料、成型1、成型2）
2.焊胎+模具费用分摊5万件/种产品中</v>
          </cell>
        </row>
        <row r="328">
          <cell r="F328" t="str">
            <v>SHT0013311黄骅市成卓汽车部件厂</v>
          </cell>
          <cell r="G328" t="str">
            <v>SHT0013311</v>
          </cell>
          <cell r="H328" t="str">
            <v>重汽T5-2.0翻折调角器右上连接板总成</v>
          </cell>
          <cell r="O328">
            <v>3.1669999999999998</v>
          </cell>
          <cell r="Q328">
            <v>0.23300000000000001</v>
          </cell>
        </row>
        <row r="329">
          <cell r="F329" t="str">
            <v>SHT0001854黄骅市成卓汽车部件厂</v>
          </cell>
          <cell r="G329" t="str">
            <v>SHT0001854</v>
          </cell>
          <cell r="H329" t="str">
            <v>X3000左纵梁</v>
          </cell>
          <cell r="I329" t="str">
            <v>02.03.37.020</v>
          </cell>
          <cell r="O329">
            <v>4.0884999999999998</v>
          </cell>
          <cell r="P329">
            <v>9000</v>
          </cell>
          <cell r="Q329">
            <v>0.18</v>
          </cell>
          <cell r="R329" t="str">
            <v>1.设变增加1付成型模具9000元，模具费分摊至5万件产品/种中
2.X3000左纵梁模具费16815元，已摊销5万件完毕</v>
          </cell>
        </row>
        <row r="330">
          <cell r="F330" t="str">
            <v>SHT0001855黄骅市成卓汽车部件厂</v>
          </cell>
          <cell r="G330" t="str">
            <v>SHT0001855</v>
          </cell>
          <cell r="H330" t="str">
            <v>X3000右纵梁</v>
          </cell>
          <cell r="I330" t="str">
            <v>02.03.37.020</v>
          </cell>
          <cell r="O330">
            <v>4.0884999999999998</v>
          </cell>
          <cell r="P330">
            <v>9000</v>
          </cell>
          <cell r="Q330">
            <v>0.18</v>
          </cell>
          <cell r="R330" t="str">
            <v>1.设变增加1付成型模具9000元，模具费分摊至5万件产品/种中
2.X3000右纵梁原模具费16815元，已摊销5万件完毕</v>
          </cell>
        </row>
        <row r="331">
          <cell r="F331" t="str">
            <v>SHT0001860黄骅市成卓汽车部件厂</v>
          </cell>
          <cell r="G331" t="str">
            <v>SHT0001860</v>
          </cell>
          <cell r="H331" t="str">
            <v>X3000下框左纵梁</v>
          </cell>
          <cell r="I331" t="str">
            <v>02.03.37.021</v>
          </cell>
          <cell r="O331">
            <v>4.4424599999999996</v>
          </cell>
          <cell r="P331">
            <v>10000</v>
          </cell>
          <cell r="Q331">
            <v>0.2</v>
          </cell>
          <cell r="R331" t="str">
            <v>1.设变增加1付成型模具10000元，模具费分摊至5万件产品/种中
2.原模具费13275元，已摊销5万件完毕</v>
          </cell>
        </row>
        <row r="332">
          <cell r="F332" t="str">
            <v>SHT0001861黄骅市成卓汽车部件厂</v>
          </cell>
          <cell r="G332" t="str">
            <v>SHT0001861</v>
          </cell>
          <cell r="H332" t="str">
            <v>X3000下框右纵梁</v>
          </cell>
          <cell r="I332" t="str">
            <v>02.03.37.022</v>
          </cell>
          <cell r="O332">
            <v>4.4424599999999996</v>
          </cell>
          <cell r="P332">
            <v>10000</v>
          </cell>
          <cell r="Q332">
            <v>0.2</v>
          </cell>
          <cell r="R332" t="str">
            <v>1.设变增加1付成型模具10000元，模具费分摊至5万件产品中
2.原模具费13275元，已摊销5万件完毕</v>
          </cell>
        </row>
        <row r="333">
          <cell r="F333" t="str">
            <v>SLT0002537黄骅市成卓汽车部件厂</v>
          </cell>
          <cell r="G333" t="str">
            <v>SLT0002537</v>
          </cell>
          <cell r="H333" t="str">
            <v>J6F驾驶员调角器上连接板</v>
          </cell>
          <cell r="I333" t="str">
            <v>02.03.27.077</v>
          </cell>
          <cell r="O333">
            <v>3.4070796460177002</v>
          </cell>
          <cell r="P333">
            <v>6000</v>
          </cell>
          <cell r="Q333">
            <v>0.12</v>
          </cell>
          <cell r="R333" t="str">
            <v>设变增加1付冲孔模具，模具费分摊至5万件产品中</v>
          </cell>
        </row>
        <row r="334">
          <cell r="F334" t="str">
            <v>SHT0001856黄骅市成卓汽车部件厂</v>
          </cell>
          <cell r="G334" t="str">
            <v>SHT0001856</v>
          </cell>
          <cell r="H334" t="str">
            <v>X3000上框前横梁</v>
          </cell>
          <cell r="I334" t="str">
            <v>02.03.37.019A</v>
          </cell>
          <cell r="O334">
            <v>2.9222922413793069</v>
          </cell>
          <cell r="P334">
            <v>6000</v>
          </cell>
          <cell r="Q334">
            <v>0.12</v>
          </cell>
          <cell r="R334" t="str">
            <v>设变增加1付成型模具，模具费分摊至5万件产品中</v>
          </cell>
        </row>
        <row r="335">
          <cell r="F335" t="str">
            <v>SLT0000363江苏力乐汽车部件股份有限公司</v>
          </cell>
          <cell r="G335" t="str">
            <v>SLT0000363</v>
          </cell>
          <cell r="H335" t="str">
            <v>K1副司机调角器主动</v>
          </cell>
          <cell r="N335">
            <v>36.786581034482801</v>
          </cell>
          <cell r="O335">
            <v>40.265942857142861</v>
          </cell>
          <cell r="P335">
            <v>0</v>
          </cell>
          <cell r="Q335">
            <v>0</v>
          </cell>
          <cell r="R335" t="str">
            <v>补充材料差价，分摊6000件后结束，恢复2022年原价</v>
          </cell>
        </row>
        <row r="336">
          <cell r="F336" t="str">
            <v>SLT0000364江苏力乐汽车部件股份有限公司</v>
          </cell>
          <cell r="G336" t="str">
            <v>SLT0000364</v>
          </cell>
          <cell r="H336" t="str">
            <v>K1副司机调角器被动</v>
          </cell>
          <cell r="N336">
            <v>35.065667241379302</v>
          </cell>
          <cell r="O336">
            <v>38.78527857142857</v>
          </cell>
          <cell r="P336">
            <v>0</v>
          </cell>
          <cell r="Q336">
            <v>0</v>
          </cell>
          <cell r="R336" t="str">
            <v>补充材料差价，分摊6000件后结束，恢复2022年原价</v>
          </cell>
        </row>
        <row r="337">
          <cell r="F337" t="str">
            <v>SLT0000396江苏力乐汽车部件股份有限公司</v>
          </cell>
          <cell r="G337" t="str">
            <v>SLT0000396</v>
          </cell>
          <cell r="H337" t="str">
            <v>K1通用左主动调角器</v>
          </cell>
          <cell r="N337">
            <v>26.0923310344828</v>
          </cell>
          <cell r="O337">
            <v>29.846007142857143</v>
          </cell>
          <cell r="P337">
            <v>0</v>
          </cell>
          <cell r="Q337">
            <v>0</v>
          </cell>
          <cell r="R337" t="str">
            <v>补充材料差价，分摊4500件后结束，恢复2022年原价</v>
          </cell>
        </row>
        <row r="338">
          <cell r="F338" t="str">
            <v>SLT0000397江苏力乐汽车部件股份有限公司</v>
          </cell>
          <cell r="G338" t="str">
            <v>SLT0000397</v>
          </cell>
          <cell r="H338" t="str">
            <v>K1左舵双人左背右被动</v>
          </cell>
          <cell r="N338">
            <v>25.985798275862098</v>
          </cell>
          <cell r="O338">
            <v>28.892542857142857</v>
          </cell>
          <cell r="P338">
            <v>0</v>
          </cell>
          <cell r="Q338">
            <v>0</v>
          </cell>
          <cell r="R338" t="str">
            <v>补充材料差价，分摊6000件后结束，恢复2022年原价</v>
          </cell>
        </row>
        <row r="339">
          <cell r="F339" t="str">
            <v>SLT0000398江苏力乐汽车部件股份有限公司</v>
          </cell>
          <cell r="G339" t="str">
            <v>SLT0000398</v>
          </cell>
          <cell r="H339" t="str">
            <v>K1通用右主动调角器</v>
          </cell>
          <cell r="N339">
            <v>26.0923310344828</v>
          </cell>
          <cell r="O339">
            <v>31.346007142857143</v>
          </cell>
          <cell r="P339">
            <v>0</v>
          </cell>
          <cell r="Q339">
            <v>0</v>
          </cell>
          <cell r="R339" t="str">
            <v>补充材料差价，分摊3000件后结束，恢复2022年原价</v>
          </cell>
        </row>
        <row r="340">
          <cell r="F340" t="str">
            <v>SLT0000328江苏力乐汽车部件股份有限公司</v>
          </cell>
          <cell r="G340" t="str">
            <v>SLT0000328</v>
          </cell>
          <cell r="H340" t="str">
            <v>K1正司机调角器主动</v>
          </cell>
          <cell r="N340">
            <v>36.786581034482801</v>
          </cell>
          <cell r="O340">
            <v>40.270000000000003</v>
          </cell>
          <cell r="P340">
            <v>0</v>
          </cell>
          <cell r="Q340">
            <v>0</v>
          </cell>
          <cell r="R340" t="str">
            <v>补充材料差价，分摊6000件后结束，恢复2022年原价</v>
          </cell>
        </row>
        <row r="341">
          <cell r="F341" t="str">
            <v>SLT0000329江苏力乐汽车部件股份有限公司</v>
          </cell>
          <cell r="G341" t="str">
            <v>SLT0000329</v>
          </cell>
          <cell r="H341" t="str">
            <v>K1正司机调角器被动</v>
          </cell>
          <cell r="N341">
            <v>35.065667241379302</v>
          </cell>
          <cell r="O341">
            <v>38.79</v>
          </cell>
          <cell r="P341">
            <v>0</v>
          </cell>
          <cell r="Q341">
            <v>0</v>
          </cell>
          <cell r="R341" t="str">
            <v>补充材料差价，分摊6000件后结束，恢复2022年原价</v>
          </cell>
        </row>
        <row r="342">
          <cell r="F342" t="str">
            <v>SLT0000350江苏力乐汽车部件股份有限公司</v>
          </cell>
          <cell r="G342" t="str">
            <v>SLT0000350</v>
          </cell>
          <cell r="H342" t="str">
            <v>K1窄车正司机左内滑轨</v>
          </cell>
          <cell r="N342">
            <v>35.663716814159294</v>
          </cell>
          <cell r="O342">
            <v>35.663716814159294</v>
          </cell>
          <cell r="P342">
            <v>0</v>
          </cell>
          <cell r="Q342">
            <v>0</v>
          </cell>
          <cell r="R342" t="str">
            <v>补充材料差价，分摊6000件后结束，恢复2022年原价</v>
          </cell>
        </row>
        <row r="343">
          <cell r="F343" t="str">
            <v>SLT0000351江苏力乐汽车部件股份有限公司</v>
          </cell>
          <cell r="G343" t="str">
            <v>SLT0000351</v>
          </cell>
          <cell r="H343" t="str">
            <v>K1窄车正司机左外滑轨</v>
          </cell>
          <cell r="N343">
            <v>35.663716814159294</v>
          </cell>
          <cell r="O343">
            <v>35.663716814159294</v>
          </cell>
          <cell r="P343">
            <v>0</v>
          </cell>
          <cell r="Q343">
            <v>0</v>
          </cell>
          <cell r="R343" t="str">
            <v>补充材料差价，分摊6000件后结束，恢复2022年原价</v>
          </cell>
        </row>
        <row r="344">
          <cell r="F344" t="str">
            <v>SLT0000370江苏力乐汽车部件股份有限公司</v>
          </cell>
          <cell r="G344" t="str">
            <v>SLT0000370</v>
          </cell>
          <cell r="H344" t="str">
            <v>K1窄车副司机右内滑轨</v>
          </cell>
          <cell r="N344">
            <v>35.663716814159294</v>
          </cell>
          <cell r="O344">
            <v>35.663716814159294</v>
          </cell>
          <cell r="P344">
            <v>0</v>
          </cell>
          <cell r="Q344">
            <v>0</v>
          </cell>
          <cell r="R344" t="str">
            <v>补充材料差价，分摊6000件后结束，恢复2022年原价</v>
          </cell>
        </row>
        <row r="345">
          <cell r="F345" t="str">
            <v>SLT0000371江苏力乐汽车部件股份有限公司</v>
          </cell>
          <cell r="G345" t="str">
            <v>SLT0000371</v>
          </cell>
          <cell r="H345" t="str">
            <v>K1窄车副司机右外滑轨</v>
          </cell>
          <cell r="N345">
            <v>35.663716814159294</v>
          </cell>
          <cell r="O345">
            <v>35.663716814159294</v>
          </cell>
          <cell r="P345">
            <v>0</v>
          </cell>
          <cell r="Q345">
            <v>0</v>
          </cell>
          <cell r="R345" t="str">
            <v>补充材料差价，分摊6000件后结束，恢复2022年原价</v>
          </cell>
        </row>
        <row r="346">
          <cell r="F346" t="str">
            <v>SLT0002122江苏力乐汽车部件股份有限公司</v>
          </cell>
          <cell r="G346" t="str">
            <v>SLT0002122</v>
          </cell>
          <cell r="H346" t="str">
            <v>驾驶员左侧滑轨总成</v>
          </cell>
          <cell r="N346">
            <v>30</v>
          </cell>
          <cell r="O346">
            <v>30</v>
          </cell>
          <cell r="P346">
            <v>0</v>
          </cell>
          <cell r="Q346">
            <v>0</v>
          </cell>
          <cell r="R346" t="str">
            <v>补充材料差价，分摊6000件后结束，恢复2022年原价</v>
          </cell>
        </row>
        <row r="347">
          <cell r="F347" t="str">
            <v>SLT0002123江苏力乐汽车部件股份有限公司</v>
          </cell>
          <cell r="G347" t="str">
            <v>SLT0002123</v>
          </cell>
          <cell r="H347" t="str">
            <v>驾驶员左侧滑轨总成</v>
          </cell>
          <cell r="N347">
            <v>30</v>
          </cell>
          <cell r="O347">
            <v>30</v>
          </cell>
          <cell r="P347">
            <v>0</v>
          </cell>
          <cell r="Q347">
            <v>0</v>
          </cell>
          <cell r="R347" t="str">
            <v>补充材料差价，分摊6000件后结束，恢复2022年原价</v>
          </cell>
        </row>
        <row r="348">
          <cell r="F348" t="str">
            <v>SHT0001023黄骅市润晨五金制品有限公司</v>
          </cell>
          <cell r="G348" t="str">
            <v>SHT0001023</v>
          </cell>
          <cell r="H348" t="str">
            <v>H4A安全带卷收器固定板</v>
          </cell>
          <cell r="I348" t="str">
            <v>02.03.26.067A</v>
          </cell>
          <cell r="N348">
            <v>0.82</v>
          </cell>
          <cell r="O348">
            <v>0.82</v>
          </cell>
          <cell r="P348">
            <v>41041.19</v>
          </cell>
          <cell r="Q348">
            <v>4.0590211111111119</v>
          </cell>
          <cell r="R348" t="str">
            <v>1.原模具由荣昌提供；
2.本次设变产生的模具费由润晨提供，共计5500元，模具费100%分摊至5万件产品中，每件产品分摊费为0.11元。
3.补充材料差价费35541.19元，分摊至9000件/种，每件产品分摊费为3.9490元。分摊完毕后不再补充材料差价。</v>
          </cell>
        </row>
        <row r="349">
          <cell r="F349" t="str">
            <v>SHT0001023黄骅市润晨五金制品有限公司</v>
          </cell>
          <cell r="G349" t="str">
            <v>SHT0001023</v>
          </cell>
          <cell r="H349" t="str">
            <v>H4A安全带卷收器固定板</v>
          </cell>
          <cell r="I349" t="str">
            <v>02.03.26.067</v>
          </cell>
          <cell r="N349">
            <v>0.82093846153846228</v>
          </cell>
          <cell r="O349">
            <v>0.82093846153846228</v>
          </cell>
          <cell r="P349">
            <v>0</v>
          </cell>
          <cell r="Q349">
            <v>0</v>
          </cell>
          <cell r="R349" t="str">
            <v>荣昌提供模具</v>
          </cell>
        </row>
        <row r="350">
          <cell r="F350" t="str">
            <v>SHT0001022黄骅市润晨五金制品有限公司</v>
          </cell>
          <cell r="G350" t="str">
            <v>SHT0001022</v>
          </cell>
          <cell r="H350" t="str">
            <v>H4A调角器左上连接板</v>
          </cell>
          <cell r="I350" t="str">
            <v>02.03.26.068</v>
          </cell>
          <cell r="N350">
            <v>1.9853307692307738</v>
          </cell>
          <cell r="O350">
            <v>1.9853307692307738</v>
          </cell>
          <cell r="P350">
            <v>0</v>
          </cell>
          <cell r="Q350">
            <v>0</v>
          </cell>
          <cell r="R350" t="str">
            <v>荣昌提供模具</v>
          </cell>
        </row>
        <row r="351">
          <cell r="F351" t="str">
            <v>SHT0001021黄骅市润晨五金制品有限公司</v>
          </cell>
          <cell r="G351" t="str">
            <v>SHT0001021</v>
          </cell>
          <cell r="H351" t="str">
            <v>H4A调角器左下连接板</v>
          </cell>
          <cell r="I351" t="str">
            <v>02.03.26.069</v>
          </cell>
          <cell r="N351">
            <v>3.2921307692307735</v>
          </cell>
          <cell r="O351">
            <v>3.2921307692307735</v>
          </cell>
          <cell r="P351">
            <v>0</v>
          </cell>
          <cell r="Q351">
            <v>0</v>
          </cell>
          <cell r="R351" t="str">
            <v>荣昌提供模具</v>
          </cell>
        </row>
        <row r="352">
          <cell r="F352" t="str">
            <v>SHT0001020黄骅市润晨五金制品有限公司</v>
          </cell>
          <cell r="G352" t="str">
            <v>SHT0001020</v>
          </cell>
          <cell r="H352" t="str">
            <v>H4A调角器右上连接板</v>
          </cell>
          <cell r="I352" t="str">
            <v>02.03.26.070</v>
          </cell>
          <cell r="N352">
            <v>1.9853307692307738</v>
          </cell>
          <cell r="O352">
            <v>1.9853307692307738</v>
          </cell>
          <cell r="P352">
            <v>0</v>
          </cell>
          <cell r="Q352">
            <v>0</v>
          </cell>
          <cell r="R352" t="str">
            <v>荣昌提供模具</v>
          </cell>
        </row>
        <row r="353">
          <cell r="F353" t="str">
            <v>SHT0001019黄骅市润晨五金制品有限公司</v>
          </cell>
          <cell r="G353" t="str">
            <v>SHT0001019</v>
          </cell>
          <cell r="H353" t="str">
            <v>H4A调角器右下连接板</v>
          </cell>
          <cell r="I353" t="str">
            <v>02.03.26.071</v>
          </cell>
          <cell r="N353">
            <v>3.2921307692307735</v>
          </cell>
          <cell r="O353">
            <v>3.2921307692307735</v>
          </cell>
          <cell r="P353">
            <v>0</v>
          </cell>
          <cell r="Q353">
            <v>0</v>
          </cell>
          <cell r="R353" t="str">
            <v>荣昌提供模具</v>
          </cell>
        </row>
        <row r="354">
          <cell r="F354" t="str">
            <v>SHT0001798黄骅市润晨五金制品有限公司</v>
          </cell>
          <cell r="G354" t="str">
            <v>SHT0001798</v>
          </cell>
          <cell r="H354" t="str">
            <v>X3000调角器左上连接板</v>
          </cell>
          <cell r="I354" t="str">
            <v>02.03.37.064</v>
          </cell>
          <cell r="N354">
            <v>2.1193</v>
          </cell>
          <cell r="O354">
            <v>2.1193</v>
          </cell>
          <cell r="P354">
            <v>2950</v>
          </cell>
          <cell r="Q354">
            <v>5.8999999999999997E-2</v>
          </cell>
          <cell r="R354" t="str">
            <v>模具费100%分摊至5万件产品中</v>
          </cell>
        </row>
        <row r="355">
          <cell r="F355" t="str">
            <v>SHT0001951黄骅市润晨五金制品有限公司</v>
          </cell>
          <cell r="G355" t="str">
            <v>SHT0001951</v>
          </cell>
          <cell r="H355" t="str">
            <v>X3000调角器右上连接板</v>
          </cell>
          <cell r="I355" t="str">
            <v>02.03.37.065</v>
          </cell>
          <cell r="N355">
            <v>2.1193</v>
          </cell>
          <cell r="O355">
            <v>2.1193</v>
          </cell>
          <cell r="P355">
            <v>2950</v>
          </cell>
          <cell r="Q355">
            <v>5.8999999999999997E-2</v>
          </cell>
          <cell r="R355" t="str">
            <v>模具费100%分摊至5万件产品中</v>
          </cell>
        </row>
        <row r="356">
          <cell r="F356" t="str">
            <v>SHT0001945黄骅市润晨五金制品有限公司</v>
          </cell>
          <cell r="G356" t="str">
            <v>SHT0001945</v>
          </cell>
          <cell r="H356" t="str">
            <v>X3000调角器左下连接板</v>
          </cell>
          <cell r="I356" t="str">
            <v>02.03.37.066</v>
          </cell>
          <cell r="N356">
            <v>3.2534999999999998</v>
          </cell>
          <cell r="O356">
            <v>3.2534999999999998</v>
          </cell>
          <cell r="P356">
            <v>38491.19</v>
          </cell>
          <cell r="Q356">
            <v>4.0080211111111117</v>
          </cell>
          <cell r="R356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7">
          <cell r="F357" t="str">
            <v>SHT0001950黄骅市润晨五金制品有限公司</v>
          </cell>
          <cell r="G357" t="str">
            <v>SHT0001950</v>
          </cell>
          <cell r="H357" t="str">
            <v>X3000调角器右下连接板</v>
          </cell>
          <cell r="I357" t="str">
            <v>02.03.37.067</v>
          </cell>
          <cell r="N357">
            <v>3.2534999999999998</v>
          </cell>
          <cell r="O357">
            <v>3.2534999999999998</v>
          </cell>
          <cell r="P357">
            <v>38491.19</v>
          </cell>
          <cell r="Q357">
            <v>4.0080211111111117</v>
          </cell>
          <cell r="R357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8">
          <cell r="F358" t="str">
            <v>SHT0014100泊头市捷润五金制品有限公司</v>
          </cell>
          <cell r="G358" t="str">
            <v>SHT0014100</v>
          </cell>
          <cell r="H358" t="str">
            <v>H6右侧立板加强板</v>
          </cell>
          <cell r="O358">
            <v>4.9000000000000004</v>
          </cell>
          <cell r="P358">
            <v>26600</v>
          </cell>
          <cell r="Q358">
            <v>0.13300000000000001</v>
          </cell>
          <cell r="R358" t="str">
            <v>1.模具费100%分摊至10万件产品
2.模具费详见CG-20220225-01ZC《模具制造合同》</v>
          </cell>
        </row>
        <row r="359">
          <cell r="F359" t="str">
            <v>SHT0014099泊头市捷润五金制品有限公司</v>
          </cell>
          <cell r="G359" t="str">
            <v>SHT0014099</v>
          </cell>
          <cell r="H359" t="str">
            <v>H6左侧立板加强板</v>
          </cell>
          <cell r="O359">
            <v>4.9000000000000004</v>
          </cell>
          <cell r="Q359">
            <v>0.13300000000000001</v>
          </cell>
          <cell r="R359" t="str">
            <v>1.模具费100%分摊至10万件产品
2.模具费详见CG-20220225-01ZC《模具制造合同》</v>
          </cell>
        </row>
        <row r="360">
          <cell r="F360" t="str">
            <v>SBS0010116沧州旭兴五金制品有限公司</v>
          </cell>
          <cell r="G360" t="str">
            <v>SBS0010116</v>
          </cell>
          <cell r="H360" t="str">
            <v>奥杰主驾左支腿前轴套</v>
          </cell>
          <cell r="O360">
            <v>1.58</v>
          </cell>
        </row>
        <row r="361">
          <cell r="F361" t="str">
            <v>SLT0010522文安县万达汽车配件制造有限公司</v>
          </cell>
          <cell r="G361" t="str">
            <v>SLT0010522</v>
          </cell>
          <cell r="H361" t="str">
            <v>文安县万达汽车配件制造有限公司</v>
          </cell>
          <cell r="O361">
            <v>6.76</v>
          </cell>
        </row>
        <row r="362">
          <cell r="F362" t="str">
            <v>SLT0010523文安县万达汽车配件制造有限公司</v>
          </cell>
          <cell r="G362" t="str">
            <v>SLT0010523</v>
          </cell>
          <cell r="H362" t="str">
            <v>文安县万达汽车配件制造有限公司</v>
          </cell>
          <cell r="O362">
            <v>7.78</v>
          </cell>
        </row>
        <row r="363">
          <cell r="F363" t="str">
            <v>TSY0010055广东盟力纺织科技有限公司</v>
          </cell>
          <cell r="G363" t="str">
            <v>TSY0010055</v>
          </cell>
          <cell r="H363" t="str">
            <v>银灰色缝纫线20#/3</v>
          </cell>
          <cell r="M363" t="str">
            <v>粒</v>
          </cell>
          <cell r="O363">
            <v>12.1</v>
          </cell>
        </row>
        <row r="364">
          <cell r="F364" t="str">
            <v>TSY0010056广东盟力纺织科技有限公司</v>
          </cell>
          <cell r="G364" t="str">
            <v>TSY0010056</v>
          </cell>
          <cell r="H364" t="str">
            <v>黑色缝纫线30#/3</v>
          </cell>
          <cell r="M364" t="str">
            <v>粒</v>
          </cell>
          <cell r="O364">
            <v>12.1</v>
          </cell>
        </row>
        <row r="365">
          <cell r="F365" t="str">
            <v>BFA0000858北京浦东三浦标准件有限公司</v>
          </cell>
          <cell r="G365" t="str">
            <v>BFA0000858</v>
          </cell>
          <cell r="H365" t="str">
            <v>外六角螺栓10*2.5</v>
          </cell>
          <cell r="O365">
            <v>0.31769999999999998</v>
          </cell>
        </row>
        <row r="366">
          <cell r="F366" t="str">
            <v>BFA0000752北京浦东三浦标准件有限公司</v>
          </cell>
          <cell r="G366" t="str">
            <v>BFA0000752</v>
          </cell>
          <cell r="H366" t="str">
            <v>开口销2.5*16</v>
          </cell>
          <cell r="O366">
            <v>1.21E-2</v>
          </cell>
        </row>
        <row r="367">
          <cell r="F367" t="str">
            <v>SLT0010523文安县万达汽车配件制造有限公司</v>
          </cell>
          <cell r="G367" t="str">
            <v>SLT0010523</v>
          </cell>
          <cell r="H367" t="str">
            <v>上盖板固定块</v>
          </cell>
          <cell r="O367">
            <v>6.76</v>
          </cell>
        </row>
        <row r="368">
          <cell r="F368" t="str">
            <v>SLT0010522文安县万达汽车配件制造有限公司</v>
          </cell>
          <cell r="G368" t="str">
            <v>SLT0010522</v>
          </cell>
          <cell r="H368" t="str">
            <v>下底板固定块</v>
          </cell>
          <cell r="O368">
            <v>7.78</v>
          </cell>
        </row>
        <row r="369">
          <cell r="F369" t="str">
            <v>SHT0000643黄骅市广亿汽车部件有限公司</v>
          </cell>
          <cell r="G369" t="str">
            <v>SHT0000643</v>
          </cell>
          <cell r="H369" t="str">
            <v>重卡中间座垫骨架</v>
          </cell>
          <cell r="O369">
            <v>30.973500000000001</v>
          </cell>
        </row>
        <row r="370">
          <cell r="F370" t="str">
            <v>SHT0000656黄骅市广亿汽车部件有限公司</v>
          </cell>
          <cell r="G370" t="str">
            <v>SHT0000656</v>
          </cell>
          <cell r="H370" t="str">
            <v>右舵1B220中间座垫骨架</v>
          </cell>
          <cell r="O370">
            <v>30.973500000000001</v>
          </cell>
        </row>
        <row r="371">
          <cell r="F371" t="str">
            <v>SHT0001899黄骅市万昌五金制品有限公司</v>
          </cell>
          <cell r="G371" t="str">
            <v>SHT0001899</v>
          </cell>
          <cell r="H371" t="str">
            <v>座盆延伸滑块支撑板</v>
          </cell>
          <cell r="O371">
            <v>1.0614999999999999</v>
          </cell>
          <cell r="P371">
            <v>5308</v>
          </cell>
          <cell r="Q371">
            <v>0.13270000000000001</v>
          </cell>
          <cell r="R371" t="str">
            <v>模具费分摊至4万件产品中</v>
          </cell>
        </row>
        <row r="372">
          <cell r="F372" t="str">
            <v>SHT0001862黄骅市万昌五金制品有限公司</v>
          </cell>
          <cell r="G372" t="str">
            <v>SHT0001862</v>
          </cell>
          <cell r="H372" t="str">
            <v>左滑轨连接板</v>
          </cell>
          <cell r="O372">
            <v>3.0642</v>
          </cell>
          <cell r="P372">
            <v>8848</v>
          </cell>
          <cell r="Q372">
            <v>0.22120000000000001</v>
          </cell>
          <cell r="R372" t="str">
            <v>模具费分摊至4万件产品中</v>
          </cell>
        </row>
        <row r="373">
          <cell r="F373" t="str">
            <v>SHT0001863黄骅市万昌五金制品有限公司</v>
          </cell>
          <cell r="G373" t="str">
            <v>SHT0001863</v>
          </cell>
          <cell r="H373" t="str">
            <v>右滑轨连接板</v>
          </cell>
          <cell r="O373">
            <v>3.0642</v>
          </cell>
          <cell r="P373">
            <v>8848</v>
          </cell>
          <cell r="Q373">
            <v>0.22120000000000001</v>
          </cell>
          <cell r="R373" t="str">
            <v>模具费分摊至4万件产品中</v>
          </cell>
        </row>
        <row r="374">
          <cell r="F374" t="str">
            <v>SHT0001899黄骅市万昌五金制品有限公司</v>
          </cell>
          <cell r="G374" t="str">
            <v>SHT0001899</v>
          </cell>
          <cell r="H374" t="str">
            <v>座盆延伸滑块支撑板</v>
          </cell>
          <cell r="O374">
            <v>1.2115</v>
          </cell>
          <cell r="P374">
            <v>5308</v>
          </cell>
          <cell r="Q374">
            <v>0.13270000000000001</v>
          </cell>
          <cell r="R374" t="str">
            <v>模具费分摊至4万件产品中</v>
          </cell>
        </row>
        <row r="375">
          <cell r="F375" t="str">
            <v>SHT0001862黄骅市万昌五金制品有限公司</v>
          </cell>
          <cell r="G375" t="str">
            <v>SHT0001862</v>
          </cell>
          <cell r="H375" t="str">
            <v>左滑轨连接板</v>
          </cell>
          <cell r="O375">
            <v>3.3142</v>
          </cell>
          <cell r="P375">
            <v>8848</v>
          </cell>
          <cell r="Q375">
            <v>0.22120000000000001</v>
          </cell>
          <cell r="R375" t="str">
            <v>模具费分摊至4万件产品中</v>
          </cell>
        </row>
        <row r="376">
          <cell r="F376" t="str">
            <v>SHT0001863黄骅市万昌五金制品有限公司</v>
          </cell>
          <cell r="G376" t="str">
            <v>SHT0001863</v>
          </cell>
          <cell r="H376" t="str">
            <v>右滑轨连接板</v>
          </cell>
          <cell r="O376">
            <v>3.3142</v>
          </cell>
          <cell r="P376">
            <v>8848</v>
          </cell>
          <cell r="Q376">
            <v>0.22120000000000001</v>
          </cell>
          <cell r="R376" t="str">
            <v>模具费分摊至4万件产品中</v>
          </cell>
        </row>
        <row r="377">
          <cell r="F377" t="str">
            <v>SHT0001179黄骅市万昌五金制品有限公司</v>
          </cell>
          <cell r="G377" t="str">
            <v>SHT0001179</v>
          </cell>
          <cell r="H377" t="str">
            <v>气囊上支架</v>
          </cell>
          <cell r="O377">
            <v>3.3466461538461578</v>
          </cell>
          <cell r="P377" t="str">
            <v>第一套模具由荣昌提供
第二套、第三套模具是万昌自行制作的</v>
          </cell>
          <cell r="Q377">
            <v>0</v>
          </cell>
          <cell r="R377">
            <v>0</v>
          </cell>
        </row>
        <row r="378">
          <cell r="F378" t="str">
            <v>SHT0001165黄骅市万昌五金制品有限公司</v>
          </cell>
          <cell r="G378" t="str">
            <v>SHT0001165</v>
          </cell>
          <cell r="H378" t="str">
            <v>调节螺母上固定架（新）</v>
          </cell>
          <cell r="O378">
            <v>0.61499999999999999</v>
          </cell>
          <cell r="P378" t="str">
            <v>第一套模具由荣昌提供
第二套模具是万昌自行制作的</v>
          </cell>
          <cell r="Q378">
            <v>0</v>
          </cell>
          <cell r="R378">
            <v>0</v>
          </cell>
        </row>
        <row r="379">
          <cell r="F379" t="str">
            <v>SHT0001164黄骅市万昌五金制品有限公司</v>
          </cell>
          <cell r="G379" t="str">
            <v>SHT0001164</v>
          </cell>
          <cell r="H379" t="str">
            <v>调节螺母下固定架（新）</v>
          </cell>
          <cell r="O379">
            <v>0.71</v>
          </cell>
          <cell r="P379" t="str">
            <v>第一套模具由荣昌提供
第二套模具是万昌自行制作的</v>
          </cell>
          <cell r="Q379">
            <v>0</v>
          </cell>
          <cell r="R379">
            <v>0</v>
          </cell>
        </row>
        <row r="380">
          <cell r="F380" t="str">
            <v>SHT0001109黄骅市万昌五金制品有限公司</v>
          </cell>
          <cell r="G380" t="str">
            <v>SHT0001109</v>
          </cell>
          <cell r="H380" t="str">
            <v>调节臂1</v>
          </cell>
          <cell r="O380">
            <v>1.2170000000000001</v>
          </cell>
          <cell r="P380" t="str">
            <v>万昌自制开发的模具</v>
          </cell>
          <cell r="Q380">
            <v>0</v>
          </cell>
          <cell r="R380">
            <v>0</v>
          </cell>
        </row>
        <row r="381">
          <cell r="F381" t="str">
            <v>SHT0001108黄骅市万昌五金制品有限公司</v>
          </cell>
          <cell r="G381" t="str">
            <v>SHT0001108</v>
          </cell>
          <cell r="H381" t="str">
            <v>调节臂2</v>
          </cell>
          <cell r="O381">
            <v>0.71</v>
          </cell>
          <cell r="P381" t="str">
            <v>万昌自制开发的模具</v>
          </cell>
          <cell r="Q381">
            <v>0</v>
          </cell>
          <cell r="R381">
            <v>0</v>
          </cell>
        </row>
        <row r="382">
          <cell r="F382" t="str">
            <v>SHT0001133黄骅市万昌五金制品有限公司</v>
          </cell>
          <cell r="G382" t="str">
            <v>SHT0001133</v>
          </cell>
          <cell r="H382" t="str">
            <v>缓冲支架</v>
          </cell>
          <cell r="O382">
            <v>0.75313846153846109</v>
          </cell>
          <cell r="P382" t="str">
            <v>第一套模具由荣昌提供
第二套模具是万昌自行制作的</v>
          </cell>
          <cell r="Q382">
            <v>0</v>
          </cell>
          <cell r="R382">
            <v>0</v>
          </cell>
        </row>
        <row r="383">
          <cell r="F383" t="str">
            <v>SHT0001127黄骅市万昌五金制品有限公司</v>
          </cell>
          <cell r="G383" t="str">
            <v>SHT0001127</v>
          </cell>
          <cell r="H383" t="str">
            <v>陕汽锁紧齿板前</v>
          </cell>
          <cell r="O383">
            <v>1.3819999999999999</v>
          </cell>
          <cell r="P383" t="str">
            <v>万昌自制开发的模具</v>
          </cell>
          <cell r="Q383">
            <v>0</v>
          </cell>
          <cell r="R383">
            <v>0</v>
          </cell>
        </row>
        <row r="384">
          <cell r="F384" t="str">
            <v>SHT0001126黄骅市万昌五金制品有限公司</v>
          </cell>
          <cell r="G384" t="str">
            <v>SHT0001126</v>
          </cell>
          <cell r="H384" t="str">
            <v>陕汽锁紧齿板后</v>
          </cell>
          <cell r="O384">
            <v>1.3819999999999999</v>
          </cell>
          <cell r="P384" t="str">
            <v>万昌自制开发的模具</v>
          </cell>
          <cell r="Q384">
            <v>0</v>
          </cell>
          <cell r="R384">
            <v>0</v>
          </cell>
        </row>
        <row r="385">
          <cell r="F385" t="str">
            <v>SHT0001129黄骅市万昌五金制品有限公司</v>
          </cell>
          <cell r="G385" t="str">
            <v>SHT0001129</v>
          </cell>
          <cell r="H385" t="str">
            <v>后安装板左</v>
          </cell>
          <cell r="O385">
            <v>1.8087615384615405</v>
          </cell>
          <cell r="P385" t="str">
            <v>第一套模具由荣昌提供
后续三套模具是万昌自行制作的</v>
          </cell>
          <cell r="Q385">
            <v>0</v>
          </cell>
          <cell r="R385">
            <v>0</v>
          </cell>
        </row>
        <row r="386">
          <cell r="F386" t="str">
            <v>SHT0001128黄骅市万昌五金制品有限公司</v>
          </cell>
          <cell r="G386" t="str">
            <v>SHT0001128</v>
          </cell>
          <cell r="H386" t="str">
            <v>后安装板右</v>
          </cell>
          <cell r="O386">
            <v>1.8087615384615405</v>
          </cell>
          <cell r="P386" t="str">
            <v>第一套模具由荣昌提供
后续三套模具是万昌自行制作的</v>
          </cell>
          <cell r="Q386">
            <v>0</v>
          </cell>
          <cell r="R386">
            <v>0</v>
          </cell>
        </row>
        <row r="387">
          <cell r="F387" t="str">
            <v>SCS0004404黄骅市万昌五金制品有限公司</v>
          </cell>
          <cell r="G387" t="str">
            <v>SCS0004404</v>
          </cell>
          <cell r="H387" t="str">
            <v>地锁拉线固定前支架左（中期改款）</v>
          </cell>
          <cell r="O387">
            <v>0.30779999999999996</v>
          </cell>
          <cell r="P387" t="str">
            <v>模具由荣昌提供</v>
          </cell>
          <cell r="Q387">
            <v>0</v>
          </cell>
          <cell r="R387">
            <v>0</v>
          </cell>
        </row>
        <row r="388">
          <cell r="F388" t="str">
            <v>SCS0004403黄骅市万昌五金制品有限公司</v>
          </cell>
          <cell r="G388" t="str">
            <v>SCS0004403</v>
          </cell>
          <cell r="H388" t="str">
            <v>地锁拉线固定前支架右（中期改款）</v>
          </cell>
          <cell r="O388">
            <v>0.30779999999999996</v>
          </cell>
          <cell r="P388" t="str">
            <v>模具由荣昌提供</v>
          </cell>
          <cell r="Q388">
            <v>0</v>
          </cell>
          <cell r="R388">
            <v>0</v>
          </cell>
        </row>
        <row r="389">
          <cell r="F389" t="str">
            <v>SCS0004405黄骅市万昌五金制品有限公司</v>
          </cell>
          <cell r="G389" t="str">
            <v>SCS0004405</v>
          </cell>
          <cell r="H389" t="str">
            <v>扣手底座支架（中期改款）</v>
          </cell>
          <cell r="O389">
            <v>1.7257999999999998</v>
          </cell>
          <cell r="P389" t="str">
            <v>模具由荣昌提供</v>
          </cell>
          <cell r="Q389">
            <v>0</v>
          </cell>
          <cell r="R389">
            <v>0</v>
          </cell>
        </row>
        <row r="390">
          <cell r="F390" t="str">
            <v>SCS0004369黄骅市万昌五金制品有限公司</v>
          </cell>
          <cell r="G390" t="str">
            <v>SCS0004369</v>
          </cell>
          <cell r="H390" t="str">
            <v>B40L安全带出口钣金（中期改款）</v>
          </cell>
          <cell r="O390">
            <v>2.5749999999999997</v>
          </cell>
          <cell r="P390" t="str">
            <v>模具由荣昌提供</v>
          </cell>
          <cell r="Q390">
            <v>0</v>
          </cell>
          <cell r="R390">
            <v>0</v>
          </cell>
        </row>
        <row r="391">
          <cell r="F391" t="str">
            <v>SHT0001179黄骅市万昌五金制品有限公司</v>
          </cell>
          <cell r="G391" t="str">
            <v>SHT0001179</v>
          </cell>
          <cell r="H391" t="str">
            <v>气囊上支架</v>
          </cell>
          <cell r="O391">
            <v>3.3466461538461578</v>
          </cell>
          <cell r="P391" t="str">
            <v>第一套模具由荣昌提供
第二套、第三套模具是万昌自行制作的</v>
          </cell>
          <cell r="Q391">
            <v>0</v>
          </cell>
          <cell r="R391">
            <v>0</v>
          </cell>
        </row>
        <row r="392">
          <cell r="F392" t="str">
            <v>SHT0001165黄骅市万昌五金制品有限公司</v>
          </cell>
          <cell r="G392" t="str">
            <v>SHT0001165</v>
          </cell>
          <cell r="H392" t="str">
            <v>调节螺母上固定架（新）</v>
          </cell>
          <cell r="O392">
            <v>0.61499999999999999</v>
          </cell>
          <cell r="P392" t="str">
            <v>第一套模具由荣昌提供
第二套模具是万昌自行制作的</v>
          </cell>
          <cell r="Q392">
            <v>0</v>
          </cell>
          <cell r="R392">
            <v>0</v>
          </cell>
        </row>
        <row r="393">
          <cell r="F393" t="str">
            <v>SHT0001164黄骅市万昌五金制品有限公司</v>
          </cell>
          <cell r="G393" t="str">
            <v>SHT0001164</v>
          </cell>
          <cell r="H393" t="str">
            <v>调节螺母下固定架（新）</v>
          </cell>
          <cell r="O393">
            <v>0.71</v>
          </cell>
          <cell r="P393" t="str">
            <v>第一套模具由荣昌提供
第二套模具是万昌自行制作的</v>
          </cell>
          <cell r="Q393">
            <v>0</v>
          </cell>
          <cell r="R393">
            <v>0</v>
          </cell>
        </row>
        <row r="394">
          <cell r="F394" t="str">
            <v>SHT0001109黄骅市万昌五金制品有限公司</v>
          </cell>
          <cell r="G394" t="str">
            <v>SHT0001109</v>
          </cell>
          <cell r="H394" t="str">
            <v>调节臂1</v>
          </cell>
          <cell r="O394">
            <v>1.2170000000000001</v>
          </cell>
          <cell r="P394" t="str">
            <v>万昌自制开发的模具</v>
          </cell>
          <cell r="Q394">
            <v>0</v>
          </cell>
          <cell r="R394">
            <v>0</v>
          </cell>
        </row>
        <row r="395">
          <cell r="F395" t="str">
            <v>SHT0001108黄骅市万昌五金制品有限公司</v>
          </cell>
          <cell r="G395" t="str">
            <v>SHT0001108</v>
          </cell>
          <cell r="H395" t="str">
            <v>调节臂2</v>
          </cell>
          <cell r="O395">
            <v>0.71</v>
          </cell>
          <cell r="P395" t="str">
            <v>万昌自制开发的模具</v>
          </cell>
          <cell r="Q395">
            <v>0</v>
          </cell>
          <cell r="R395">
            <v>0</v>
          </cell>
        </row>
        <row r="396">
          <cell r="F396" t="str">
            <v>SHT0001133黄骅市万昌五金制品有限公司</v>
          </cell>
          <cell r="G396" t="str">
            <v>SHT0001133</v>
          </cell>
          <cell r="H396" t="str">
            <v>缓冲支架</v>
          </cell>
          <cell r="O396">
            <v>0.903138461538461</v>
          </cell>
          <cell r="P396" t="str">
            <v>第一套模具由荣昌提供
第二套模具是万昌自行制作的</v>
          </cell>
          <cell r="Q396">
            <v>0</v>
          </cell>
          <cell r="R396">
            <v>0</v>
          </cell>
        </row>
        <row r="397">
          <cell r="F397" t="str">
            <v>SHT0001127黄骅市万昌五金制品有限公司</v>
          </cell>
          <cell r="G397" t="str">
            <v>SHT0001127</v>
          </cell>
          <cell r="H397" t="str">
            <v>陕汽锁紧齿板前</v>
          </cell>
          <cell r="O397">
            <v>1.3819999999999999</v>
          </cell>
          <cell r="P397" t="str">
            <v>万昌自制开发的模具</v>
          </cell>
          <cell r="Q397">
            <v>0</v>
          </cell>
          <cell r="R397">
            <v>0</v>
          </cell>
        </row>
        <row r="398">
          <cell r="F398" t="str">
            <v>SHT0001126黄骅市万昌五金制品有限公司</v>
          </cell>
          <cell r="G398" t="str">
            <v>SHT0001126</v>
          </cell>
          <cell r="H398" t="str">
            <v>陕汽锁紧齿板后</v>
          </cell>
          <cell r="O398">
            <v>1.3819999999999999</v>
          </cell>
          <cell r="P398" t="str">
            <v>万昌自制开发的模具</v>
          </cell>
          <cell r="Q398">
            <v>0</v>
          </cell>
          <cell r="R398">
            <v>0</v>
          </cell>
        </row>
        <row r="399">
          <cell r="F399" t="str">
            <v>SHT0001129黄骅市万昌五金制品有限公司</v>
          </cell>
          <cell r="G399" t="str">
            <v>SHT0001129</v>
          </cell>
          <cell r="H399" t="str">
            <v>后安装板左</v>
          </cell>
          <cell r="O399">
            <v>1.9337615384615405</v>
          </cell>
          <cell r="P399" t="str">
            <v>第一套模具由荣昌提供
后续三套模具是万昌自行制作的</v>
          </cell>
          <cell r="Q399">
            <v>0</v>
          </cell>
          <cell r="R399">
            <v>0</v>
          </cell>
        </row>
        <row r="400">
          <cell r="F400" t="str">
            <v>SHT0001128黄骅市万昌五金制品有限公司</v>
          </cell>
          <cell r="G400" t="str">
            <v>SHT0001128</v>
          </cell>
          <cell r="H400" t="str">
            <v>后安装板右</v>
          </cell>
          <cell r="O400">
            <v>1.9337615384615405</v>
          </cell>
          <cell r="P400" t="str">
            <v>第一套模具由荣昌提供
后续三套模具是万昌自行制作的</v>
          </cell>
          <cell r="Q400">
            <v>0</v>
          </cell>
          <cell r="R400">
            <v>0</v>
          </cell>
        </row>
        <row r="401">
          <cell r="F401" t="str">
            <v>SCS0004404黄骅市万昌五金制品有限公司</v>
          </cell>
          <cell r="G401" t="str">
            <v>SCS0004404</v>
          </cell>
          <cell r="H401" t="str">
            <v>地锁拉线固定前支架左（中期改款）</v>
          </cell>
          <cell r="O401">
            <v>0.38279999999999997</v>
          </cell>
          <cell r="P401" t="str">
            <v>模具由荣昌提供</v>
          </cell>
          <cell r="Q401">
            <v>0</v>
          </cell>
          <cell r="R401">
            <v>0</v>
          </cell>
        </row>
        <row r="402">
          <cell r="F402" t="str">
            <v>SCS0004403黄骅市万昌五金制品有限公司</v>
          </cell>
          <cell r="G402" t="str">
            <v>SCS0004403</v>
          </cell>
          <cell r="H402" t="str">
            <v>地锁拉线固定前支架右（中期改款）</v>
          </cell>
          <cell r="O402">
            <v>0.38279999999999997</v>
          </cell>
          <cell r="P402" t="str">
            <v>模具由荣昌提供</v>
          </cell>
          <cell r="Q402">
            <v>0</v>
          </cell>
          <cell r="R402">
            <v>0</v>
          </cell>
        </row>
        <row r="403">
          <cell r="F403" t="str">
            <v>SCS0004405黄骅市万昌五金制品有限公司</v>
          </cell>
          <cell r="G403" t="str">
            <v>SCS0004405</v>
          </cell>
          <cell r="H403" t="str">
            <v>扣手底座支架（中期改款）</v>
          </cell>
          <cell r="O403">
            <v>1.8607999999999998</v>
          </cell>
          <cell r="P403" t="str">
            <v>模具由荣昌提供</v>
          </cell>
          <cell r="Q403">
            <v>0</v>
          </cell>
          <cell r="R403">
            <v>0</v>
          </cell>
        </row>
        <row r="404">
          <cell r="F404" t="str">
            <v>SCS0004369黄骅市万昌五金制品有限公司</v>
          </cell>
          <cell r="G404" t="str">
            <v>SCS0004369</v>
          </cell>
          <cell r="H404" t="str">
            <v>B40L安全带出口钣金（中期改款）</v>
          </cell>
          <cell r="O404">
            <v>2.5749999999999997</v>
          </cell>
          <cell r="P404" t="str">
            <v>模具由荣昌提供</v>
          </cell>
          <cell r="Q404">
            <v>0</v>
          </cell>
          <cell r="R404">
            <v>0</v>
          </cell>
        </row>
        <row r="405">
          <cell r="F405" t="str">
            <v>SHT0010446黄骅市万昌五金制品有限公司</v>
          </cell>
          <cell r="G405" t="str">
            <v>SHT0010446</v>
          </cell>
          <cell r="H405" t="str">
            <v>F3000销轴固定支架焊接总成（M3000-H通用）</v>
          </cell>
          <cell r="O405">
            <v>3.4529999999999998</v>
          </cell>
          <cell r="P405">
            <v>13000</v>
          </cell>
          <cell r="Q405">
            <v>1.0748243075651096</v>
          </cell>
          <cell r="R405" t="str">
            <v>模具费摊销至每种摊销12095件产品中</v>
          </cell>
        </row>
        <row r="406">
          <cell r="F406" t="str">
            <v>SHT0010418海兴中盛弹簧有限公司</v>
          </cell>
          <cell r="G406" t="str">
            <v>SHT0010418</v>
          </cell>
          <cell r="H406" t="str">
            <v>H6安全带上支撑钢丝(副司机)</v>
          </cell>
          <cell r="O406">
            <v>0.367983</v>
          </cell>
        </row>
        <row r="407">
          <cell r="F407" t="str">
            <v>BSP0010017海兴中盛弹簧有限公司</v>
          </cell>
          <cell r="G407" t="str">
            <v>BSP0010017</v>
          </cell>
          <cell r="H407" t="str">
            <v>H6主驾驶靠背调节手柄卡接簧</v>
          </cell>
          <cell r="O407">
            <v>0.2195</v>
          </cell>
        </row>
        <row r="408">
          <cell r="F408" t="str">
            <v>BSP0010018海兴中盛弹簧有限公司</v>
          </cell>
          <cell r="G408" t="str">
            <v>BSP0010018</v>
          </cell>
          <cell r="H408" t="str">
            <v>H6副驾驶靠背调节手柄卡接簧</v>
          </cell>
          <cell r="O408">
            <v>0.2195</v>
          </cell>
        </row>
        <row r="409">
          <cell r="F409" t="str">
            <v>SHT0010763海兴中盛弹簧有限公司</v>
          </cell>
          <cell r="G409" t="str">
            <v>SHT0010763</v>
          </cell>
          <cell r="H409" t="str">
            <v>H6肩部支撑钢丝</v>
          </cell>
          <cell r="O409">
            <v>1.344492</v>
          </cell>
        </row>
        <row r="410">
          <cell r="F410" t="str">
            <v>SHT0010779海兴中盛弹簧有限公司</v>
          </cell>
          <cell r="G410" t="str">
            <v>SHT0010779</v>
          </cell>
          <cell r="H410" t="str">
            <v>H6气袋腰托侧翼支撑钢丝</v>
          </cell>
          <cell r="O410">
            <v>0.28992600000000002</v>
          </cell>
        </row>
        <row r="411">
          <cell r="F411" t="str">
            <v>SHT0011260海兴中盛弹簧有限公司</v>
          </cell>
          <cell r="G411" t="str">
            <v>SHT0011260</v>
          </cell>
          <cell r="H411" t="str">
            <v>H6面套钩挂钢丝</v>
          </cell>
          <cell r="O411">
            <v>0.59339249999999999</v>
          </cell>
        </row>
        <row r="412">
          <cell r="F412" t="str">
            <v>SHT0012385海兴中盛弹簧有限公司</v>
          </cell>
          <cell r="G412" t="str">
            <v>SHT0012385</v>
          </cell>
          <cell r="H412" t="str">
            <v>T5侧翼支撑上安装钢丝</v>
          </cell>
          <cell r="O412">
            <v>0.98765999999999998</v>
          </cell>
        </row>
        <row r="413">
          <cell r="F413" t="str">
            <v>BSP0010006海兴中盛弹簧有限公司</v>
          </cell>
          <cell r="G413" t="str">
            <v>BSP0010006</v>
          </cell>
          <cell r="H413" t="str">
            <v>H6靠背调节蜗簧</v>
          </cell>
          <cell r="O413">
            <v>5.4377400000000007</v>
          </cell>
        </row>
        <row r="414">
          <cell r="F414" t="str">
            <v>SHT0011900海兴中盛弹簧有限公司</v>
          </cell>
          <cell r="G414" t="str">
            <v>SHT0011900</v>
          </cell>
          <cell r="H414" t="str">
            <v>福田肩部支撑钢丝</v>
          </cell>
          <cell r="O414">
            <v>1.30626</v>
          </cell>
        </row>
        <row r="415">
          <cell r="F415" t="str">
            <v>BSP0010007海兴中盛弹簧有限公司</v>
          </cell>
          <cell r="G415" t="str">
            <v>BSP0010007</v>
          </cell>
          <cell r="H415" t="str">
            <v>H6仰角回位拉簧</v>
          </cell>
          <cell r="O415">
            <v>0.23475200000000004</v>
          </cell>
        </row>
        <row r="416">
          <cell r="F416" t="str">
            <v>SHT0013855海兴中盛弹簧有限公司</v>
          </cell>
          <cell r="G416" t="str">
            <v>SHT0013855</v>
          </cell>
          <cell r="H416" t="str">
            <v>T5-2.0驾驶员上安全带导向钢丝</v>
          </cell>
          <cell r="O416">
            <v>1.123065</v>
          </cell>
        </row>
        <row r="417">
          <cell r="F417" t="str">
            <v>SHT0013856海兴中盛弹簧有限公司</v>
          </cell>
          <cell r="G417" t="str">
            <v>SHT0013856</v>
          </cell>
          <cell r="H417" t="str">
            <v>T5-2.0驾驶员中间安全带导向钢丝</v>
          </cell>
          <cell r="O417">
            <v>0.72481499999999999</v>
          </cell>
        </row>
        <row r="418">
          <cell r="F418" t="str">
            <v>SHT0013857海兴中盛弹簧有限公司</v>
          </cell>
          <cell r="G418" t="str">
            <v>SHT0013857</v>
          </cell>
          <cell r="H418" t="str">
            <v>T5驾驶员下安全带导向钢丝</v>
          </cell>
          <cell r="O418">
            <v>1.81602</v>
          </cell>
        </row>
        <row r="419">
          <cell r="F419" t="str">
            <v>SHT0013858海兴中盛弹簧有限公司</v>
          </cell>
          <cell r="G419" t="str">
            <v>SHT0013858</v>
          </cell>
          <cell r="H419" t="str">
            <v>T5副驶员上安全带导向钢丝</v>
          </cell>
          <cell r="O419">
            <v>1.123065</v>
          </cell>
        </row>
        <row r="420">
          <cell r="F420" t="str">
            <v>SHT0013859海兴中盛弹簧有限公司</v>
          </cell>
          <cell r="G420" t="str">
            <v>SHT0013859</v>
          </cell>
          <cell r="H420" t="str">
            <v>T5副驶员中间安全带导向钢丝</v>
          </cell>
          <cell r="O420">
            <v>0.72481499999999999</v>
          </cell>
        </row>
        <row r="421">
          <cell r="F421" t="str">
            <v>SHT0013860海兴中盛弹簧有限公司</v>
          </cell>
          <cell r="G421" t="str">
            <v>SHT0013860</v>
          </cell>
          <cell r="H421" t="str">
            <v>副驶员下安全带导向钢丝</v>
          </cell>
          <cell r="O421">
            <v>1.81602</v>
          </cell>
        </row>
        <row r="422">
          <cell r="F422" t="str">
            <v>SHT0002074海兴中盛弹簧有限公司</v>
          </cell>
          <cell r="G422" t="str">
            <v>SHT0002074</v>
          </cell>
          <cell r="H422" t="str">
            <v>大运支撑钢丝5(φ7钢丝)</v>
          </cell>
          <cell r="O422">
            <v>1.42</v>
          </cell>
        </row>
        <row r="423">
          <cell r="F423" t="str">
            <v>SLT0001696海兴中盛弹簧有限公司</v>
          </cell>
          <cell r="G423" t="str">
            <v>SLT0001696</v>
          </cell>
          <cell r="H423" t="str">
            <v>M31RB副驾靠背钢丝</v>
          </cell>
          <cell r="O423">
            <v>0.1</v>
          </cell>
        </row>
        <row r="424">
          <cell r="F424" t="str">
            <v>BSP0010013海兴中盛弹簧有限公司</v>
          </cell>
          <cell r="G424" t="str">
            <v>BSP0010013</v>
          </cell>
          <cell r="H424" t="str">
            <v>H6滑轨解锁机构回位簧</v>
          </cell>
          <cell r="O424">
            <v>0.19600000000000001</v>
          </cell>
        </row>
        <row r="425">
          <cell r="F425" t="str">
            <v>SHT0010081海兴中盛弹簧有限公司</v>
          </cell>
          <cell r="G425" t="str">
            <v>SHT0010081</v>
          </cell>
          <cell r="H425" t="str">
            <v>H6靠背板支撑钢丝1</v>
          </cell>
          <cell r="O425">
            <v>0.50975999999999999</v>
          </cell>
        </row>
        <row r="426">
          <cell r="F426" t="str">
            <v>SHT0010074海兴中盛弹簧有限公司</v>
          </cell>
          <cell r="G426" t="str">
            <v>SHT0010074</v>
          </cell>
          <cell r="H426" t="str">
            <v>H6靠背侧翼支撑钢丝</v>
          </cell>
          <cell r="O426">
            <v>0.89606249999999998</v>
          </cell>
        </row>
        <row r="427">
          <cell r="F427" t="str">
            <v>SLT0002555海兴中盛弹簧有限公司</v>
          </cell>
          <cell r="G427" t="str">
            <v>SLT0002555</v>
          </cell>
          <cell r="H427" t="str">
            <v>驾驶员左侧侧翼钢丝</v>
          </cell>
          <cell r="O427">
            <v>0.621</v>
          </cell>
        </row>
        <row r="428">
          <cell r="F428" t="str">
            <v>SHT0002532海兴中盛弹簧有限公司</v>
          </cell>
          <cell r="G428" t="str">
            <v>SHT0002532</v>
          </cell>
          <cell r="H428" t="str">
            <v>侧翼支撑下安装钢丝</v>
          </cell>
          <cell r="O428">
            <v>0.29609999999999997</v>
          </cell>
        </row>
        <row r="429">
          <cell r="F429" t="str">
            <v>SHT0011945海兴中盛弹簧有限公司</v>
          </cell>
          <cell r="G429" t="str">
            <v>SHT0011945</v>
          </cell>
          <cell r="H429" t="str">
            <v>H6靠背面套钢丝1</v>
          </cell>
          <cell r="O429">
            <v>0.185</v>
          </cell>
        </row>
        <row r="430">
          <cell r="F430" t="str">
            <v>SHT0011946海兴中盛弹簧有限公司</v>
          </cell>
          <cell r="G430" t="str">
            <v>SHT0011946</v>
          </cell>
          <cell r="H430" t="str">
            <v>H6靠背面套钢丝2</v>
          </cell>
          <cell r="O430">
            <v>0.246</v>
          </cell>
        </row>
        <row r="431">
          <cell r="F431" t="str">
            <v>SHT0011656海兴中盛弹簧有限公司</v>
          </cell>
          <cell r="G431" t="str">
            <v>SHT0011656</v>
          </cell>
          <cell r="H431" t="str">
            <v>H6坐垫钢丝</v>
          </cell>
          <cell r="O431">
            <v>0.154</v>
          </cell>
        </row>
        <row r="432">
          <cell r="F432" t="str">
            <v>SHT0011693海兴中盛弹簧有限公司</v>
          </cell>
          <cell r="G432" t="str">
            <v>SHT0011693</v>
          </cell>
          <cell r="H432" t="str">
            <v>H6坐垫钢丝</v>
          </cell>
          <cell r="O432">
            <v>0.122</v>
          </cell>
        </row>
        <row r="433">
          <cell r="F433" t="str">
            <v>SHT0010780海兴中盛弹簧有限公司</v>
          </cell>
          <cell r="G433" t="str">
            <v>SHT0010780</v>
          </cell>
          <cell r="H433" t="str">
            <v>H6气袋腰托下固定点焊接总成</v>
          </cell>
          <cell r="O433">
            <v>3.05</v>
          </cell>
        </row>
        <row r="434">
          <cell r="F434" t="str">
            <v>SHT0011028海兴中盛弹簧有限公司</v>
          </cell>
          <cell r="G434" t="str">
            <v>SHT0011028</v>
          </cell>
          <cell r="H434" t="str">
            <v>H6座垫泡沫预埋钢丝1</v>
          </cell>
          <cell r="O434">
            <v>0.14000000000000001</v>
          </cell>
        </row>
        <row r="435">
          <cell r="F435" t="str">
            <v>SHT0011014海兴中盛弹簧有限公司</v>
          </cell>
          <cell r="G435" t="str">
            <v>SHT0011014</v>
          </cell>
          <cell r="H435" t="str">
            <v>H6钢丝焊接总成</v>
          </cell>
          <cell r="O435">
            <v>4.72</v>
          </cell>
        </row>
        <row r="436">
          <cell r="F436" t="str">
            <v>SHT0010039海兴中盛弹簧有限公司</v>
          </cell>
          <cell r="G436" t="str">
            <v>SHT0010039</v>
          </cell>
          <cell r="H436" t="str">
            <v>H6延伸锁止钣金</v>
          </cell>
          <cell r="O436">
            <v>3.6160000000000001</v>
          </cell>
        </row>
        <row r="437">
          <cell r="F437" t="str">
            <v>BSP0010012海兴中盛弹簧有限公司</v>
          </cell>
          <cell r="G437" t="str">
            <v>BSP0010012</v>
          </cell>
          <cell r="H437" t="str">
            <v>H6滑轨解锁手柄右侧回位簧</v>
          </cell>
          <cell r="O437">
            <v>0.23699999999999999</v>
          </cell>
        </row>
        <row r="438">
          <cell r="F438" t="str">
            <v>SHT0012273海兴中盛弹簧有限公司</v>
          </cell>
          <cell r="G438" t="str">
            <v>SHT0012273</v>
          </cell>
          <cell r="H438" t="str">
            <v>T5靠背横向预埋钢丝</v>
          </cell>
          <cell r="O438">
            <v>0.16800000000000001</v>
          </cell>
        </row>
        <row r="439">
          <cell r="F439" t="str">
            <v>SHT0012327海兴中盛弹簧有限公司</v>
          </cell>
          <cell r="G439" t="str">
            <v>SHT0012327</v>
          </cell>
          <cell r="H439" t="str">
            <v>T5坐垫横向预埋钢丝</v>
          </cell>
          <cell r="O439">
            <v>0.1</v>
          </cell>
        </row>
        <row r="440">
          <cell r="F440" t="str">
            <v>SHT0012272海兴中盛弹簧有限公司</v>
          </cell>
          <cell r="G440" t="str">
            <v>SHT0012272</v>
          </cell>
          <cell r="H440" t="str">
            <v>T5靠背纵向预埋钢丝</v>
          </cell>
          <cell r="O440">
            <v>0.12</v>
          </cell>
        </row>
        <row r="441">
          <cell r="F441" t="str">
            <v>SHT0012277海兴中盛弹簧有限公司</v>
          </cell>
          <cell r="G441" t="str">
            <v>SHT0012277</v>
          </cell>
          <cell r="H441" t="str">
            <v>T5坐垫纵向预埋钢丝</v>
          </cell>
          <cell r="O441">
            <v>0.16800000000000001</v>
          </cell>
        </row>
        <row r="442">
          <cell r="F442" t="str">
            <v>SHT0013063海兴中盛弹簧有限公司</v>
          </cell>
          <cell r="G442" t="str">
            <v>SHT0013063</v>
          </cell>
          <cell r="H442" t="str">
            <v>汕德卡仰角调节机构卷簧</v>
          </cell>
          <cell r="O442">
            <v>0.188</v>
          </cell>
        </row>
        <row r="443">
          <cell r="F443" t="str">
            <v>BSP0010024海兴中盛弹簧有限公司</v>
          </cell>
          <cell r="G443" t="str">
            <v>BSP0010024</v>
          </cell>
          <cell r="H443" t="str">
            <v>T5气管固定卡簧（2.0）</v>
          </cell>
          <cell r="O443">
            <v>0.44</v>
          </cell>
        </row>
        <row r="444">
          <cell r="F444" t="str">
            <v>BSP0010011海兴中盛弹簧有限公司</v>
          </cell>
          <cell r="G444" t="str">
            <v>BSP0010011</v>
          </cell>
          <cell r="H444" t="str">
            <v>H6变阻尼拉线回位簧</v>
          </cell>
          <cell r="O444">
            <v>0.19</v>
          </cell>
        </row>
        <row r="445">
          <cell r="F445" t="str">
            <v>BSP0010008海兴中盛弹簧有限公司</v>
          </cell>
          <cell r="G445" t="str">
            <v>BSP0010008</v>
          </cell>
          <cell r="H445" t="str">
            <v>H6靠背调节钣金回位簧</v>
          </cell>
          <cell r="O445">
            <v>0.19</v>
          </cell>
        </row>
        <row r="446">
          <cell r="F446" t="str">
            <v>BSP0010009海兴中盛弹簧有限公司</v>
          </cell>
          <cell r="G446" t="str">
            <v>BSP0010009</v>
          </cell>
          <cell r="H446" t="str">
            <v>H6仰角解锁铸件回位簧</v>
          </cell>
          <cell r="O446">
            <v>0.214</v>
          </cell>
        </row>
        <row r="447">
          <cell r="F447" t="str">
            <v>BSP0010010海兴中盛弹簧有限公司</v>
          </cell>
          <cell r="G447" t="str">
            <v>BSP0010010</v>
          </cell>
          <cell r="H447" t="str">
            <v>H6水平减震解锁钣金回位簧</v>
          </cell>
          <cell r="O447">
            <v>0.214</v>
          </cell>
        </row>
        <row r="448">
          <cell r="F448" t="str">
            <v>SHT0013320海兴中盛弹簧有限公司</v>
          </cell>
          <cell r="G448" t="str">
            <v>SHT0013320</v>
          </cell>
          <cell r="H448" t="str">
            <v>T5-2.0翻折钢丝焊接总成（汕德卡）</v>
          </cell>
          <cell r="O448">
            <v>4.72</v>
          </cell>
        </row>
        <row r="449">
          <cell r="F449" t="str">
            <v>SHT0011022海兴中盛弹簧有限公司</v>
          </cell>
          <cell r="G449" t="str">
            <v>SHT0011022</v>
          </cell>
          <cell r="H449" t="str">
            <v>H6靠背泡沫预埋钢丝1</v>
          </cell>
          <cell r="O449">
            <v>0.185</v>
          </cell>
        </row>
        <row r="450">
          <cell r="F450" t="str">
            <v>BSP0010014海兴中盛弹簧有限公司</v>
          </cell>
          <cell r="G450" t="str">
            <v>BSP0010014</v>
          </cell>
          <cell r="H450" t="str">
            <v>H6高调器滑盖回位簧</v>
          </cell>
          <cell r="O450">
            <v>0.27500000000000002</v>
          </cell>
        </row>
        <row r="451">
          <cell r="F451" t="str">
            <v>BSP0010015海兴中盛弹簧有限公司</v>
          </cell>
          <cell r="G451" t="str">
            <v>BSP0010015</v>
          </cell>
          <cell r="H451" t="str">
            <v>H6调高解锁按钮回位簧</v>
          </cell>
          <cell r="O451">
            <v>0.25</v>
          </cell>
        </row>
        <row r="452">
          <cell r="F452" t="str">
            <v>SHT0011546沧州旭兴五金制品有限公司</v>
          </cell>
          <cell r="G452" t="str">
            <v>SHT0011546</v>
          </cell>
          <cell r="H452" t="str">
            <v>扶手旋转轴</v>
          </cell>
          <cell r="O452">
            <v>2.2000000000000002</v>
          </cell>
        </row>
        <row r="453">
          <cell r="F453" t="str">
            <v>SHT0014884沧州旭兴五金制品有限公司</v>
          </cell>
          <cell r="G453" t="str">
            <v>SHT0014884</v>
          </cell>
          <cell r="H453" t="str">
            <v>台阶螺母</v>
          </cell>
          <cell r="O453">
            <v>0.6</v>
          </cell>
        </row>
        <row r="454">
          <cell r="F454" t="str">
            <v>BAS0010008沧州旭兴五金制品有限公司</v>
          </cell>
          <cell r="G454" t="str">
            <v>BAS0010008</v>
          </cell>
          <cell r="H454" t="str">
            <v>支撑衬套</v>
          </cell>
          <cell r="O454">
            <v>1</v>
          </cell>
        </row>
        <row r="455">
          <cell r="F455" t="str">
            <v>SLT0011546霸州市政锦五金制品有限公司</v>
          </cell>
          <cell r="G455" t="str">
            <v>SLT0011546</v>
          </cell>
          <cell r="H455" t="str">
            <v>扶手旋转轴</v>
          </cell>
          <cell r="O455">
            <v>1.5523</v>
          </cell>
        </row>
        <row r="456">
          <cell r="F456" t="str">
            <v>SHT0014884霸州市政锦五金制品有限公司</v>
          </cell>
          <cell r="G456" t="str">
            <v>SHT0014884</v>
          </cell>
          <cell r="H456" t="str">
            <v>台阶螺母</v>
          </cell>
          <cell r="O456">
            <v>0.61129999999999995</v>
          </cell>
        </row>
        <row r="457">
          <cell r="F457" t="str">
            <v>BAS0010008霸州市政锦五金制品有限公司</v>
          </cell>
          <cell r="G457" t="str">
            <v>BAS0010008</v>
          </cell>
          <cell r="H457" t="str">
            <v>支撑衬套</v>
          </cell>
          <cell r="O457">
            <v>0.4</v>
          </cell>
        </row>
        <row r="458">
          <cell r="F458" t="str">
            <v>SLT0002553海兴中盛弹簧有限公司</v>
          </cell>
          <cell r="G458" t="str">
            <v>SLT0002553</v>
          </cell>
          <cell r="H458" t="str">
            <v>驾驶员靠背支撑钢丝总成</v>
          </cell>
          <cell r="N458">
            <v>4.38</v>
          </cell>
          <cell r="O458">
            <v>4.1963099999999995</v>
          </cell>
          <cell r="P458">
            <v>0</v>
          </cell>
          <cell r="Q458">
            <v>0</v>
          </cell>
          <cell r="R458">
            <v>0</v>
          </cell>
        </row>
        <row r="459">
          <cell r="F459" t="str">
            <v>SLT0002415海兴中盛弹簧有限公司</v>
          </cell>
          <cell r="G459" t="str">
            <v>SLT0002415</v>
          </cell>
          <cell r="H459" t="str">
            <v>驾驶员座垫框架总成</v>
          </cell>
          <cell r="N459">
            <v>23.28</v>
          </cell>
          <cell r="O459">
            <v>23.205300000000001</v>
          </cell>
          <cell r="P459">
            <v>0</v>
          </cell>
          <cell r="Q459">
            <v>0</v>
          </cell>
          <cell r="R459">
            <v>0</v>
          </cell>
        </row>
        <row r="460">
          <cell r="F460" t="str">
            <v>SLT0010439海兴中盛弹簧有限公司</v>
          </cell>
          <cell r="G460" t="str">
            <v>SLT0010439</v>
          </cell>
          <cell r="H460" t="str">
            <v>副驾靠背支撑焊接总成</v>
          </cell>
          <cell r="N460">
            <v>0</v>
          </cell>
          <cell r="O460">
            <v>2.8575215999999997</v>
          </cell>
          <cell r="P460">
            <v>0</v>
          </cell>
          <cell r="Q460">
            <v>0</v>
          </cell>
          <cell r="R460">
            <v>0</v>
          </cell>
        </row>
        <row r="461">
          <cell r="F461" t="str">
            <v>SLT0010605海兴中盛弹簧有限公司</v>
          </cell>
          <cell r="G461" t="str">
            <v>SLT0010605</v>
          </cell>
          <cell r="H461" t="str">
            <v>副驾靠背横支撑钢丝C</v>
          </cell>
          <cell r="N461">
            <v>0</v>
          </cell>
          <cell r="O461">
            <v>1.16203514</v>
          </cell>
          <cell r="P461">
            <v>1500</v>
          </cell>
          <cell r="Q461">
            <v>1.4999999999999999E-2</v>
          </cell>
          <cell r="R461" t="str">
            <v>此焊胎原为SLT0010647副驾靠背支撑钢丝焊接总成使用，我司VAVE变更，改由海兴中盛供应单件SLT0010605，故将报废焊胎摊销至10万件此产品中</v>
          </cell>
        </row>
        <row r="462">
          <cell r="F462" t="str">
            <v>SLT0010587海兴中盛弹簧有限公司</v>
          </cell>
          <cell r="G462" t="str">
            <v>SLT0010587</v>
          </cell>
          <cell r="H462" t="str">
            <v>下管左焊接钢丝</v>
          </cell>
          <cell r="N462">
            <v>1.76</v>
          </cell>
          <cell r="O462">
            <v>1.1516811600000001</v>
          </cell>
          <cell r="P462">
            <v>3000</v>
          </cell>
          <cell r="Q462">
            <v>0.3</v>
          </cell>
          <cell r="R462" t="str">
            <v>此冲压模具费3000元，我司VAVE变更，由圆管改为φ5钢丝，拍扁模具报废，将此报废冲压模具摊销至10万件此产品中</v>
          </cell>
        </row>
        <row r="463">
          <cell r="F463" t="str">
            <v>SLT0010639海兴中盛弹簧有限公司</v>
          </cell>
          <cell r="G463" t="str">
            <v>SLT0010639</v>
          </cell>
          <cell r="H463" t="str">
            <v>下管右焊接钢丝</v>
          </cell>
          <cell r="N463">
            <v>1.76</v>
          </cell>
          <cell r="O463">
            <v>1.1516811600000001</v>
          </cell>
          <cell r="P463">
            <v>3000</v>
          </cell>
          <cell r="Q463">
            <v>0.3</v>
          </cell>
          <cell r="R463" t="str">
            <v>此冲压模具费3000元，我司VAVE变更，由圆管改为φ5钢丝，拍扁模具报废，将此报废冲压模具摊销至10万件此产品中</v>
          </cell>
        </row>
        <row r="464">
          <cell r="F464" t="str">
            <v>SHT0001001黄骅市长生汽车灯镜有限公司</v>
          </cell>
          <cell r="G464" t="str">
            <v>SHT0001001</v>
          </cell>
          <cell r="H464" t="str">
            <v>一汽左旁板</v>
          </cell>
          <cell r="O464">
            <v>3.1589999999999998</v>
          </cell>
          <cell r="P464">
            <v>0</v>
          </cell>
          <cell r="Q464">
            <v>0</v>
          </cell>
          <cell r="R464" t="str">
            <v>长生模具，未分摊</v>
          </cell>
        </row>
        <row r="465">
          <cell r="F465" t="str">
            <v>SHT0001000黄骅市长生汽车灯镜有限公司</v>
          </cell>
          <cell r="G465" t="str">
            <v>SHT0001000</v>
          </cell>
          <cell r="H465" t="str">
            <v>一汽右旁板</v>
          </cell>
          <cell r="O465">
            <v>3.1589999999999998</v>
          </cell>
          <cell r="P465">
            <v>0</v>
          </cell>
          <cell r="Q465">
            <v>0</v>
          </cell>
          <cell r="R465" t="str">
            <v>长生模具，未分摊</v>
          </cell>
        </row>
        <row r="466">
          <cell r="F466" t="str">
            <v>SLT0010629泊头市捷润五金制品有限公司</v>
          </cell>
          <cell r="G466" t="str">
            <v>SLT0010629</v>
          </cell>
          <cell r="H466" t="str">
            <v>扶手安装支架</v>
          </cell>
          <cell r="O466">
            <v>1.4</v>
          </cell>
          <cell r="P466">
            <v>7080</v>
          </cell>
          <cell r="Q466">
            <v>7.0800000000000002E-2</v>
          </cell>
          <cell r="R466" t="str">
            <v>模具费100%分摊至10万产品中</v>
          </cell>
        </row>
        <row r="467">
          <cell r="F467" t="str">
            <v>SHT0014256泊头市捷润五金制品有限公司</v>
          </cell>
          <cell r="G467" t="str">
            <v>SHT0014256</v>
          </cell>
          <cell r="H467" t="str">
            <v>线束护套固定钣金</v>
          </cell>
          <cell r="O467">
            <v>1.1000000000000001</v>
          </cell>
          <cell r="P467">
            <v>3500</v>
          </cell>
          <cell r="Q467">
            <v>3.5000000000000003E-2</v>
          </cell>
          <cell r="R467" t="str">
            <v>模具费100%分摊至10万产品中</v>
          </cell>
        </row>
        <row r="468">
          <cell r="F468" t="str">
            <v>SHT0014490海兴中盛弹簧有限公司</v>
          </cell>
          <cell r="G468" t="str">
            <v>SHT0014490</v>
          </cell>
          <cell r="H468" t="str">
            <v>驾驶员下安全带导向钢丝</v>
          </cell>
          <cell r="O468">
            <v>1.0282814999999998</v>
          </cell>
          <cell r="P468">
            <v>0</v>
          </cell>
          <cell r="Q468">
            <v>0</v>
          </cell>
          <cell r="R468">
            <v>0</v>
          </cell>
        </row>
        <row r="469">
          <cell r="F469" t="str">
            <v>SHT0014491海兴中盛弹簧有限公司</v>
          </cell>
          <cell r="G469" t="str">
            <v>SHT0014491</v>
          </cell>
          <cell r="H469" t="str">
            <v>副驾驶员下安全带导向钢丝</v>
          </cell>
          <cell r="O469">
            <v>1.0282814999999998</v>
          </cell>
          <cell r="P469">
            <v>0</v>
          </cell>
          <cell r="Q469">
            <v>0</v>
          </cell>
          <cell r="R469">
            <v>0</v>
          </cell>
        </row>
        <row r="470">
          <cell r="F470" t="str">
            <v>SHT0001874黄骅市天丰汽车配件有限公司</v>
          </cell>
          <cell r="G470" t="str">
            <v>SHT0001874</v>
          </cell>
          <cell r="H470" t="str">
            <v>绞架大孔侧板</v>
          </cell>
          <cell r="I470" t="str">
            <v>02.03.37.030B</v>
          </cell>
          <cell r="O470">
            <v>5.7924137832000007</v>
          </cell>
          <cell r="P470">
            <v>0</v>
          </cell>
          <cell r="Q470">
            <v>0</v>
          </cell>
          <cell r="R470" t="str">
            <v>1.13000元模具费算入02.03.37.030A
2.此产品含打磨费0.30元/件</v>
          </cell>
        </row>
        <row r="471">
          <cell r="F471" t="str">
            <v>SHT0001874黄骅市天丰汽车配件有限公司</v>
          </cell>
          <cell r="G471" t="str">
            <v>SHT0001874</v>
          </cell>
          <cell r="H471" t="str">
            <v>绞架大孔侧板</v>
          </cell>
          <cell r="I471" t="str">
            <v>02.03.37.030A</v>
          </cell>
          <cell r="O471">
            <v>5.4384137832000006</v>
          </cell>
          <cell r="P471">
            <v>13000</v>
          </cell>
          <cell r="Q471">
            <v>0</v>
          </cell>
          <cell r="R471" t="str">
            <v>1.供货之日起模具分摊至5万件产品。
2.模具费已摊销完毕，2022年不再计算</v>
          </cell>
        </row>
        <row r="472">
          <cell r="F472" t="str">
            <v>SHT0001864黄骅市天丰汽车配件有限公司</v>
          </cell>
          <cell r="G472" t="str">
            <v>SHT0001864</v>
          </cell>
          <cell r="H472" t="str">
            <v>气囊下支架</v>
          </cell>
          <cell r="I472" t="str">
            <v>02.03.37.029A</v>
          </cell>
          <cell r="O472">
            <v>6.9832406312999993</v>
          </cell>
          <cell r="P472">
            <v>15500</v>
          </cell>
          <cell r="Q472">
            <v>0</v>
          </cell>
          <cell r="R472" t="str">
            <v>1.和02.03.37.029供货之日起，共计分摊至5万件产品
2.2021年起模具费已摊销完毕，2022年不再计算</v>
          </cell>
        </row>
        <row r="473">
          <cell r="F473" t="str">
            <v>SHT0001864黄骅市天丰汽车配件有限公司</v>
          </cell>
          <cell r="G473" t="str">
            <v>SHT0001864</v>
          </cell>
          <cell r="H473" t="str">
            <v>气囊下支架</v>
          </cell>
          <cell r="I473" t="str">
            <v>02.03.37.029B</v>
          </cell>
          <cell r="O473">
            <v>7.0422406312999994</v>
          </cell>
          <cell r="P473">
            <v>6000</v>
          </cell>
          <cell r="Q473">
            <v>0.12</v>
          </cell>
          <cell r="R473" t="str">
            <v>1.编号02.03.37.029B的产品的冲孔模具费6000元
2.供货之日起模具分摊至5万件产品</v>
          </cell>
        </row>
        <row r="474">
          <cell r="F474" t="str">
            <v>SHT0001853黄骅市天丰汽车配件有限公司</v>
          </cell>
          <cell r="G474" t="str">
            <v>SHT0001853</v>
          </cell>
          <cell r="H474" t="str">
            <v>X3000旋转轴支架</v>
          </cell>
          <cell r="I474" t="str">
            <v>02.03.37.028</v>
          </cell>
          <cell r="O474">
            <v>1.6096933903799997</v>
          </cell>
          <cell r="P474">
            <v>22800</v>
          </cell>
          <cell r="Q474">
            <v>0</v>
          </cell>
          <cell r="R474" t="str">
            <v>1.供货之日起模具分摊至5万件产品。
2.模具费已分摊完毕，2022年不再计算</v>
          </cell>
        </row>
        <row r="475">
          <cell r="F475" t="str">
            <v>SHT0001853黄骅市天丰汽车配件有限公司</v>
          </cell>
          <cell r="G475" t="str">
            <v>SHT0001853</v>
          </cell>
          <cell r="H475" t="str">
            <v>X3000旋转轴支架/仰角轴支架总成</v>
          </cell>
          <cell r="I475" t="str">
            <v>02.03.37.028A</v>
          </cell>
          <cell r="O475">
            <v>2.489438200648399</v>
          </cell>
          <cell r="P475">
            <v>0</v>
          </cell>
          <cell r="Q475">
            <v>0</v>
          </cell>
          <cell r="R475" t="str">
            <v>02.03.37.028模具费已摊销完毕，2022年不再计算</v>
          </cell>
        </row>
        <row r="476">
          <cell r="F476" t="str">
            <v>SHT0001245黄骅市天丰汽车配件有限公司</v>
          </cell>
          <cell r="G476" t="str">
            <v>SHT0001245</v>
          </cell>
          <cell r="H476" t="str">
            <v>副总座左（欧曼）</v>
          </cell>
          <cell r="I476" t="str">
            <v>02.03.03.054</v>
          </cell>
          <cell r="O476">
            <v>3.3049334642857144</v>
          </cell>
          <cell r="P476">
            <v>0</v>
          </cell>
          <cell r="Q476">
            <v>0</v>
          </cell>
          <cell r="R476" t="str">
            <v>荣昌提供模具</v>
          </cell>
        </row>
        <row r="477">
          <cell r="F477" t="str">
            <v>SHT0001184黄骅市天丰汽车配件有限公司</v>
          </cell>
          <cell r="G477" t="str">
            <v>SHT0001184</v>
          </cell>
          <cell r="H477" t="str">
            <v>副总座右（欧曼）</v>
          </cell>
          <cell r="I477" t="str">
            <v>02.03.03.054A</v>
          </cell>
          <cell r="O477">
            <v>3.3049334642857144</v>
          </cell>
          <cell r="P477">
            <v>0</v>
          </cell>
          <cell r="Q477">
            <v>0</v>
          </cell>
          <cell r="R477" t="str">
            <v>荣昌提供模具</v>
          </cell>
        </row>
        <row r="478">
          <cell r="F478" t="str">
            <v>SHT0001173黄骅市天丰汽车配件有限公司</v>
          </cell>
          <cell r="G478" t="str">
            <v>SHT0001173</v>
          </cell>
          <cell r="H478" t="str">
            <v>外绞架支撑板</v>
          </cell>
          <cell r="I478" t="str">
            <v>02.03.03.085</v>
          </cell>
          <cell r="O478">
            <v>2.3319867999999997</v>
          </cell>
          <cell r="P478">
            <v>0</v>
          </cell>
          <cell r="Q478">
            <v>0</v>
          </cell>
          <cell r="R478" t="str">
            <v>荣昌提供模具</v>
          </cell>
        </row>
        <row r="479">
          <cell r="F479" t="str">
            <v>SHT0001172黄骅市天丰汽车配件有限公司</v>
          </cell>
          <cell r="G479" t="str">
            <v>SHT0001172</v>
          </cell>
          <cell r="H479" t="str">
            <v>后挂簧板</v>
          </cell>
          <cell r="I479" t="str">
            <v>02.03.03.086</v>
          </cell>
          <cell r="O479">
            <v>2.5557855999999997</v>
          </cell>
          <cell r="P479">
            <v>0</v>
          </cell>
          <cell r="Q479">
            <v>0</v>
          </cell>
          <cell r="R479" t="str">
            <v>荣昌提供模具</v>
          </cell>
        </row>
        <row r="480">
          <cell r="F480" t="str">
            <v>SHT0001170黄骅市天丰汽车配件有限公司</v>
          </cell>
          <cell r="G480" t="str">
            <v>SHT0001170</v>
          </cell>
          <cell r="H480" t="str">
            <v>内绞架垫片</v>
          </cell>
          <cell r="I480" t="str">
            <v>02.03.03.087</v>
          </cell>
          <cell r="O480">
            <v>0.38544275200000006</v>
          </cell>
          <cell r="P480">
            <v>0</v>
          </cell>
          <cell r="Q480">
            <v>0</v>
          </cell>
          <cell r="R480" t="str">
            <v>荣昌提供模具</v>
          </cell>
        </row>
        <row r="481">
          <cell r="F481" t="str">
            <v>SHT0001169黄骅市天丰汽车配件有限公司</v>
          </cell>
          <cell r="G481" t="str">
            <v>SHT0001169</v>
          </cell>
          <cell r="H481" t="str">
            <v>外绞架垫片</v>
          </cell>
          <cell r="I481" t="str">
            <v>02.03.03.088</v>
          </cell>
          <cell r="O481">
            <v>0.42084275199999999</v>
          </cell>
          <cell r="P481">
            <v>0</v>
          </cell>
          <cell r="Q481">
            <v>0</v>
          </cell>
          <cell r="R481" t="str">
            <v>荣昌提供模具</v>
          </cell>
        </row>
        <row r="482">
          <cell r="F482" t="str">
            <v>SHT0001159黄骅市天丰汽车配件有限公司</v>
          </cell>
          <cell r="G482" t="str">
            <v>SHT0001159</v>
          </cell>
          <cell r="H482" t="str">
            <v>内绞架左支撑板</v>
          </cell>
          <cell r="I482" t="str">
            <v>02.03.03.099</v>
          </cell>
          <cell r="O482">
            <v>2.3697467999999997</v>
          </cell>
          <cell r="P482">
            <v>0</v>
          </cell>
          <cell r="Q482">
            <v>0</v>
          </cell>
          <cell r="R482" t="str">
            <v>荣昌提供模具</v>
          </cell>
        </row>
        <row r="483">
          <cell r="F483" t="str">
            <v>SHT0001158黄骅市天丰汽车配件有限公司</v>
          </cell>
          <cell r="G483" t="str">
            <v>SHT0001158</v>
          </cell>
          <cell r="H483" t="str">
            <v>内绞架右支撑板</v>
          </cell>
          <cell r="I483" t="str">
            <v>02.03.03.100</v>
          </cell>
          <cell r="O483">
            <v>2.3697467999999997</v>
          </cell>
          <cell r="P483">
            <v>0</v>
          </cell>
          <cell r="Q483">
            <v>0</v>
          </cell>
          <cell r="R483" t="str">
            <v>荣昌提供模具</v>
          </cell>
        </row>
        <row r="484">
          <cell r="F484" t="str">
            <v>SHT0001157黄骅市天丰汽车配件有限公司</v>
          </cell>
          <cell r="G484" t="str">
            <v>SHT0001157</v>
          </cell>
          <cell r="H484" t="str">
            <v>滑轨固定座</v>
          </cell>
          <cell r="I484" t="str">
            <v>02.03.03.109</v>
          </cell>
          <cell r="O484">
            <v>0.73779204999999992</v>
          </cell>
          <cell r="P484">
            <v>0</v>
          </cell>
          <cell r="Q484">
            <v>0</v>
          </cell>
          <cell r="R484" t="str">
            <v>荣昌提供模具</v>
          </cell>
        </row>
        <row r="485">
          <cell r="F485" t="str">
            <v>SCS0004794黄骅市天丰汽车配件有限公司</v>
          </cell>
          <cell r="G485" t="str">
            <v>SCS0004794</v>
          </cell>
          <cell r="H485" t="str">
            <v>涡簧固定座</v>
          </cell>
          <cell r="I485" t="str">
            <v>02.03.09.024</v>
          </cell>
          <cell r="O485">
            <v>0.35986748510000005</v>
          </cell>
          <cell r="P485">
            <v>0</v>
          </cell>
          <cell r="Q485">
            <v>0</v>
          </cell>
          <cell r="R485" t="str">
            <v>1.荣昌提供模具
2.供货之日起分摊至5万件产品
3.模具费已摊销完毕，2022年不再计算</v>
          </cell>
        </row>
        <row r="486">
          <cell r="F486" t="str">
            <v>SCS0004396黄骅市天丰汽车配件有限公司</v>
          </cell>
          <cell r="G486" t="str">
            <v>SCS0004396</v>
          </cell>
          <cell r="H486" t="str">
            <v>左座椅右侧地锁安装支架-1总成（中期改款）</v>
          </cell>
          <cell r="I486" t="str">
            <v>02.03.30.153A</v>
          </cell>
          <cell r="O486">
            <v>5.0412236135011064</v>
          </cell>
          <cell r="P486">
            <v>7600</v>
          </cell>
          <cell r="Q486">
            <v>0</v>
          </cell>
          <cell r="R486" t="str">
            <v>1.供货之日起检具费7600元，分摊至5万件产品。检具费已分摊完毕，2022年不再计算
2.模具归属荣昌</v>
          </cell>
        </row>
        <row r="487">
          <cell r="F487" t="str">
            <v>SCS0004395黄骅市天丰汽车配件有限公司</v>
          </cell>
          <cell r="G487" t="str">
            <v>SCS0004395</v>
          </cell>
          <cell r="H487" t="str">
            <v>左座椅右侧地锁安装支架-2总成（中期改款）</v>
          </cell>
          <cell r="I487" t="str">
            <v>02.03.30.154A</v>
          </cell>
          <cell r="O487">
            <v>5.0412236135011064</v>
          </cell>
          <cell r="P487">
            <v>7600</v>
          </cell>
          <cell r="Q487">
            <v>0</v>
          </cell>
          <cell r="R487" t="str">
            <v>1.供货之日起检具费7600元，分摊至5万件产品。检具费已分摊完毕，2022年不再计算
2.模具归属荣昌</v>
          </cell>
        </row>
        <row r="488">
          <cell r="F488" t="str">
            <v>SCS0004393黄骅市天丰汽车配件有限公司</v>
          </cell>
          <cell r="G488" t="str">
            <v>SCS0004393</v>
          </cell>
          <cell r="H488" t="str">
            <v>地脚固定板组合左右共用总成（中期改款）</v>
          </cell>
          <cell r="I488" t="str">
            <v>02.03.30.156A</v>
          </cell>
          <cell r="O488">
            <v>11.975394530202065</v>
          </cell>
          <cell r="P488">
            <v>0</v>
          </cell>
          <cell r="Q488">
            <v>0</v>
          </cell>
          <cell r="R488" t="str">
            <v>荣昌提供模具</v>
          </cell>
        </row>
        <row r="489">
          <cell r="F489" t="str">
            <v>SCS0004392黄骅市天丰汽车配件有限公司</v>
          </cell>
          <cell r="G489" t="str">
            <v>SCS0004392</v>
          </cell>
          <cell r="H489" t="str">
            <v>左座椅右侧地脚固定板组合总成（中期改款）</v>
          </cell>
          <cell r="I489" t="str">
            <v>02.03.30.157A</v>
          </cell>
          <cell r="O489">
            <v>12.001826530202067</v>
          </cell>
          <cell r="P489">
            <v>7758</v>
          </cell>
          <cell r="Q489">
            <v>0</v>
          </cell>
          <cell r="R489" t="str">
            <v>1.供货之日起检具分摊至2万件产品。检具费已分摊完毕，2022年不再计算
2.模具归属荣昌</v>
          </cell>
        </row>
        <row r="490">
          <cell r="F490" t="str">
            <v>SCS0004391黄骅市天丰汽车配件有限公司</v>
          </cell>
          <cell r="G490" t="str">
            <v>SCS0004391</v>
          </cell>
          <cell r="H490" t="str">
            <v>右座椅左侧地脚固定板组合总成（中期改款）</v>
          </cell>
          <cell r="I490" t="str">
            <v>02.03.30.158A</v>
          </cell>
          <cell r="O490">
            <v>12.315234530202064</v>
          </cell>
          <cell r="P490">
            <v>7758</v>
          </cell>
          <cell r="Q490">
            <v>0</v>
          </cell>
          <cell r="R490" t="str">
            <v>1.供货之日起检具分摊至2万件产品。
2.模具归属荣昌</v>
          </cell>
        </row>
        <row r="491">
          <cell r="F491" t="str">
            <v>SHT0011003黄骅市天丰汽车配件有限公司</v>
          </cell>
          <cell r="G491" t="str">
            <v>SHT0011003</v>
          </cell>
          <cell r="H491" t="str">
            <v>H4-2.0下框右焊接组件（分总成）</v>
          </cell>
          <cell r="I491" t="str">
            <v>02.03.11.101</v>
          </cell>
          <cell r="O491">
            <v>7.2302914538163714</v>
          </cell>
          <cell r="P491">
            <v>43000</v>
          </cell>
          <cell r="Q491">
            <v>0</v>
          </cell>
          <cell r="R491" t="str">
            <v>1.供货之日起模具分摊至5万件产品。
2.模具费已分摊完毕，2022年不再计算</v>
          </cell>
        </row>
        <row r="492">
          <cell r="F492" t="str">
            <v>SHT0010999黄骅市天丰汽车配件有限公司</v>
          </cell>
          <cell r="G492" t="str">
            <v>SHT0010999</v>
          </cell>
          <cell r="H492" t="str">
            <v>H4-2.0下框左焊接组件（分总成）</v>
          </cell>
          <cell r="I492" t="str">
            <v>02.03.11.100</v>
          </cell>
          <cell r="O492">
            <v>7.2302914538163714</v>
          </cell>
          <cell r="P492">
            <v>43000</v>
          </cell>
          <cell r="Q492">
            <v>0</v>
          </cell>
          <cell r="R492" t="str">
            <v>1.供货之日起模具分摊至5万件产品。
2.模具费已分摊完毕，2022年不再计算</v>
          </cell>
        </row>
        <row r="493">
          <cell r="F493" t="str">
            <v>SHT0001760黄骅市天丰汽车配件有限公司</v>
          </cell>
          <cell r="G493" t="str">
            <v>SHT0001760</v>
          </cell>
          <cell r="H493" t="str">
            <v>绞架小孔侧板</v>
          </cell>
          <cell r="I493" t="str">
            <v>02.03.37.031A</v>
          </cell>
          <cell r="O493">
            <v>5.4006537832000001</v>
          </cell>
          <cell r="P493">
            <v>13000</v>
          </cell>
          <cell r="Q493">
            <v>0</v>
          </cell>
          <cell r="R493" t="str">
            <v>1.与02.03.37.031供货之日起，模具共计分摊至5万件产品。
2.模具费已分摊完毕，2022年不再计算</v>
          </cell>
        </row>
        <row r="494">
          <cell r="F494" t="str">
            <v>SCS0006413黄骅市天丰汽车配件有限公司</v>
          </cell>
          <cell r="G494" t="str">
            <v>SCS0006413</v>
          </cell>
          <cell r="H494" t="str">
            <v>前排靠背复位卷簧限位支架</v>
          </cell>
          <cell r="I494" t="str">
            <v>02.03.50.051</v>
          </cell>
          <cell r="O494">
            <v>0.35465169938053098</v>
          </cell>
          <cell r="P494">
            <v>0</v>
          </cell>
          <cell r="Q494">
            <v>0</v>
          </cell>
          <cell r="R494" t="str">
            <v>荣昌提供模具</v>
          </cell>
        </row>
        <row r="495">
          <cell r="F495" t="str">
            <v>SCS0005786黄骅市天丰汽车配件有限公司</v>
          </cell>
          <cell r="G495" t="str">
            <v>SCS0005786</v>
          </cell>
          <cell r="H495" t="str">
            <v>前排座椅靠背右侧连接板</v>
          </cell>
          <cell r="I495" t="str">
            <v>02.03.50.053</v>
          </cell>
          <cell r="O495">
            <v>2.7271892471874999</v>
          </cell>
          <cell r="P495">
            <v>0</v>
          </cell>
          <cell r="Q495">
            <v>0</v>
          </cell>
          <cell r="R495" t="str">
            <v>荣昌提供模具</v>
          </cell>
        </row>
        <row r="496">
          <cell r="F496" t="str">
            <v>SCS0005784黄骅市天丰汽车配件有限公司</v>
          </cell>
          <cell r="G496" t="str">
            <v>SCS0005784</v>
          </cell>
          <cell r="H496" t="str">
            <v>前排座椅靠背左侧连接板</v>
          </cell>
          <cell r="I496" t="str">
            <v>02.03.50.052</v>
          </cell>
          <cell r="O496">
            <v>2.7271892471874999</v>
          </cell>
          <cell r="P496">
            <v>0</v>
          </cell>
          <cell r="Q496">
            <v>0</v>
          </cell>
          <cell r="R496" t="str">
            <v>荣昌提供模具</v>
          </cell>
        </row>
        <row r="497">
          <cell r="F497" t="str">
            <v>SCS0005773黄骅市天丰汽车配件有限公司</v>
          </cell>
          <cell r="G497" t="str">
            <v>SCS0005773</v>
          </cell>
          <cell r="H497" t="str">
            <v>调角器电机固定支架</v>
          </cell>
          <cell r="I497" t="str">
            <v>02.03.50.050</v>
          </cell>
          <cell r="O497">
            <v>0.38288512100530975</v>
          </cell>
          <cell r="P497">
            <v>0</v>
          </cell>
          <cell r="Q497">
            <v>0</v>
          </cell>
          <cell r="R497" t="str">
            <v>荣昌提供模具</v>
          </cell>
        </row>
        <row r="498">
          <cell r="F498" t="str">
            <v>SHT0010521黄骅市天丰汽车配件有限公司</v>
          </cell>
          <cell r="G498" t="str">
            <v>SHT0010521</v>
          </cell>
          <cell r="H498" t="str">
            <v>H4-2.0气囊上支架</v>
          </cell>
          <cell r="I498" t="str">
            <v>02.03.11.106</v>
          </cell>
          <cell r="O498">
            <v>6.8906468749999998</v>
          </cell>
          <cell r="P498">
            <v>36500</v>
          </cell>
          <cell r="Q498">
            <v>0</v>
          </cell>
          <cell r="R498" t="str">
            <v>1.供货之日起模具分摊至5万件产品。
2.模具费已分摊完毕，2022年不再计算</v>
          </cell>
        </row>
        <row r="499">
          <cell r="F499" t="str">
            <v>SCS0004388黄骅市天丰汽车配件有限公司</v>
          </cell>
          <cell r="G499" t="str">
            <v>SCS0004388</v>
          </cell>
          <cell r="H499" t="str">
            <v>B40L四分左侧仰卧器下连接板组合（中期改款）</v>
          </cell>
          <cell r="I499" t="str">
            <v>02.03.30.187</v>
          </cell>
          <cell r="O499">
            <v>4.2592926862875</v>
          </cell>
          <cell r="P499">
            <v>0</v>
          </cell>
          <cell r="Q499">
            <v>0</v>
          </cell>
          <cell r="R499" t="str">
            <v>荣昌提供模具</v>
          </cell>
        </row>
        <row r="500">
          <cell r="F500" t="str">
            <v>SCS0004385黄骅市天丰汽车配件有限公司</v>
          </cell>
          <cell r="G500" t="str">
            <v>SCS0004385</v>
          </cell>
          <cell r="H500" t="str">
            <v>B40L四分右侧仰卧器下连接板总成（中期改款）</v>
          </cell>
          <cell r="I500" t="str">
            <v>02.03.30.188</v>
          </cell>
          <cell r="O500">
            <v>4.3182926862875002</v>
          </cell>
          <cell r="P500">
            <v>0</v>
          </cell>
          <cell r="Q500">
            <v>0</v>
          </cell>
          <cell r="R500" t="str">
            <v>荣昌提供模具</v>
          </cell>
        </row>
        <row r="501">
          <cell r="F501" t="str">
            <v>SCS0004386黄骅市天丰汽车配件有限公司</v>
          </cell>
          <cell r="G501" t="str">
            <v>SCS0004386</v>
          </cell>
          <cell r="H501" t="str">
            <v>B40L六分左侧仰卧器下连接板总成（中期改款）</v>
          </cell>
          <cell r="I501" t="str">
            <v>02.03.30.189</v>
          </cell>
          <cell r="O501">
            <v>4.8625892165674998</v>
          </cell>
          <cell r="P501">
            <v>0</v>
          </cell>
          <cell r="Q501">
            <v>0</v>
          </cell>
          <cell r="R501" t="str">
            <v>荣昌提供模具</v>
          </cell>
        </row>
        <row r="502">
          <cell r="F502" t="str">
            <v>SCS0004387黄骅市天丰汽车配件有限公司</v>
          </cell>
          <cell r="G502" t="str">
            <v>SCS0004387</v>
          </cell>
          <cell r="H502" t="str">
            <v>B40L六分右侧仰卧器下连接板组合（中期改款）</v>
          </cell>
          <cell r="I502" t="str">
            <v>02.03.30.190</v>
          </cell>
          <cell r="O502">
            <v>4.8625892165674998</v>
          </cell>
          <cell r="P502">
            <v>0</v>
          </cell>
          <cell r="Q502">
            <v>0</v>
          </cell>
          <cell r="R502" t="str">
            <v>荣昌提供模具</v>
          </cell>
        </row>
        <row r="503">
          <cell r="F503" t="str">
            <v>SCS0004389黄骅市天丰汽车配件有限公司</v>
          </cell>
          <cell r="G503" t="str">
            <v>SCS0004389</v>
          </cell>
          <cell r="H503" t="str">
            <v>B40L地脚上连接板（中期改款）</v>
          </cell>
          <cell r="I503" t="str">
            <v>02.03.30.160</v>
          </cell>
          <cell r="O503">
            <v>2.4286860189374995</v>
          </cell>
          <cell r="P503">
            <v>1600</v>
          </cell>
          <cell r="Q503">
            <v>0</v>
          </cell>
          <cell r="R503" t="str">
            <v>1.供货之日起模具分摊至5万件产品。
2.模具费已分摊完毕，2022年不再计算</v>
          </cell>
        </row>
        <row r="504">
          <cell r="F504" t="str">
            <v>SCS0004400黄骅市天丰汽车配件有限公司</v>
          </cell>
          <cell r="G504" t="str">
            <v>SCS0004400</v>
          </cell>
          <cell r="H504" t="str">
            <v>调角器限位支架</v>
          </cell>
          <cell r="I504" t="str">
            <v>02.03.30.149</v>
          </cell>
          <cell r="O504">
            <v>0.2776687259785714</v>
          </cell>
          <cell r="P504">
            <v>0</v>
          </cell>
          <cell r="Q504">
            <v>0</v>
          </cell>
          <cell r="R504" t="str">
            <v>荣昌提供模具</v>
          </cell>
        </row>
        <row r="505">
          <cell r="F505" t="str">
            <v>SHT0001874黄骅市天丰汽车配件有限公司</v>
          </cell>
          <cell r="G505" t="str">
            <v>SHT0001874</v>
          </cell>
          <cell r="H505" t="str">
            <v>绞架大孔侧板</v>
          </cell>
          <cell r="I505" t="str">
            <v>02.03.37.030B</v>
          </cell>
          <cell r="O505">
            <v>5.7339975056000005</v>
          </cell>
          <cell r="P505">
            <v>0</v>
          </cell>
          <cell r="Q505">
            <v>0</v>
          </cell>
          <cell r="R505" t="str">
            <v>1.13000元模具费算入02.03.37.030A
2.此产品含打磨费0.30元/件</v>
          </cell>
        </row>
        <row r="506">
          <cell r="F506" t="str">
            <v>SHT0001874黄骅市天丰汽车配件有限公司</v>
          </cell>
          <cell r="G506" t="str">
            <v>SHT0001874</v>
          </cell>
          <cell r="H506" t="str">
            <v>绞架大孔侧板</v>
          </cell>
          <cell r="I506" t="str">
            <v>02.03.37.030A</v>
          </cell>
          <cell r="O506">
            <v>5.3799975056000005</v>
          </cell>
          <cell r="P506">
            <v>13000</v>
          </cell>
          <cell r="Q506">
            <v>0</v>
          </cell>
          <cell r="R506" t="str">
            <v>1.供货之日起模具分摊至5万件产品。
2.模具费已摊销完毕，2022年不再计算</v>
          </cell>
        </row>
        <row r="507">
          <cell r="F507" t="str">
            <v>SHT0001864黄骅市天丰汽车配件有限公司</v>
          </cell>
          <cell r="G507" t="str">
            <v>SHT0001864</v>
          </cell>
          <cell r="H507" t="str">
            <v>气囊下支架</v>
          </cell>
          <cell r="I507" t="str">
            <v>02.03.37.029A</v>
          </cell>
          <cell r="O507">
            <v>6.8095853353999996</v>
          </cell>
          <cell r="P507">
            <v>15500</v>
          </cell>
          <cell r="Q507">
            <v>0</v>
          </cell>
          <cell r="R507" t="str">
            <v>1.和02.03.37.029供货之日起，共计分摊至5万件产品
2.2021年起模具费已摊销完毕，2022年不再计算</v>
          </cell>
        </row>
        <row r="508">
          <cell r="F508" t="str">
            <v>SHT0001864黄骅市天丰汽车配件有限公司</v>
          </cell>
          <cell r="G508" t="str">
            <v>SHT0001864</v>
          </cell>
          <cell r="H508" t="str">
            <v>气囊下支架</v>
          </cell>
          <cell r="I508" t="str">
            <v>02.03.37.029B</v>
          </cell>
          <cell r="O508">
            <v>6.8685853353999988</v>
          </cell>
          <cell r="P508">
            <v>6000</v>
          </cell>
          <cell r="Q508">
            <v>0.12</v>
          </cell>
          <cell r="R508" t="str">
            <v>1.编号02.03.37.029B的产品的冲孔模具费6000元
2.供货之日起模具分摊至5万件产品</v>
          </cell>
        </row>
        <row r="509">
          <cell r="F509" t="str">
            <v>SHT0001853黄骅市天丰汽车配件有限公司</v>
          </cell>
          <cell r="G509" t="str">
            <v>SHT0001853</v>
          </cell>
          <cell r="H509" t="str">
            <v>X3000旋转轴支架</v>
          </cell>
          <cell r="I509" t="str">
            <v>02.03.37.028</v>
          </cell>
          <cell r="O509">
            <v>1.5926377140399999</v>
          </cell>
          <cell r="P509">
            <v>22800</v>
          </cell>
          <cell r="Q509">
            <v>0</v>
          </cell>
          <cell r="R509" t="str">
            <v>1.供货之日起模具分摊至5万件产品。
2.模具费已分摊完毕，2022年不再计算</v>
          </cell>
        </row>
        <row r="510">
          <cell r="F510" t="str">
            <v>SHT0001853黄骅市天丰汽车配件有限公司</v>
          </cell>
          <cell r="G510" t="str">
            <v>SHT0001853</v>
          </cell>
          <cell r="H510" t="str">
            <v>X3000旋转轴支架/仰角轴支架总成</v>
          </cell>
          <cell r="I510" t="str">
            <v>02.03.37.028A</v>
          </cell>
          <cell r="O510">
            <v>2.4693125025671998</v>
          </cell>
          <cell r="P510">
            <v>0</v>
          </cell>
          <cell r="Q510">
            <v>0</v>
          </cell>
          <cell r="R510" t="str">
            <v>02.03.37.028模具费已摊销完毕，2022年不再计算</v>
          </cell>
        </row>
        <row r="511">
          <cell r="F511" t="str">
            <v>SHT0001245黄骅市天丰汽车配件有限公司</v>
          </cell>
          <cell r="G511" t="str">
            <v>SHT0001245</v>
          </cell>
          <cell r="H511" t="str">
            <v>副总座左（欧曼）</v>
          </cell>
          <cell r="I511" t="str">
            <v>02.03.03.054</v>
          </cell>
          <cell r="O511">
            <v>3.2204907678571431</v>
          </cell>
          <cell r="P511">
            <v>0</v>
          </cell>
          <cell r="Q511">
            <v>0</v>
          </cell>
          <cell r="R511" t="str">
            <v>荣昌提供模具</v>
          </cell>
        </row>
        <row r="512">
          <cell r="F512" t="str">
            <v>SHT0001184黄骅市天丰汽车配件有限公司</v>
          </cell>
          <cell r="G512" t="str">
            <v>SHT0001184</v>
          </cell>
          <cell r="H512" t="str">
            <v>副总座右（欧曼）</v>
          </cell>
          <cell r="I512" t="str">
            <v>02.03.03.054A</v>
          </cell>
          <cell r="O512">
            <v>3.2204907678571431</v>
          </cell>
          <cell r="P512">
            <v>0</v>
          </cell>
          <cell r="Q512">
            <v>0</v>
          </cell>
          <cell r="R512" t="str">
            <v>荣昌提供模具</v>
          </cell>
        </row>
        <row r="513">
          <cell r="F513" t="str">
            <v>SHT0001173黄骅市天丰汽车配件有限公司</v>
          </cell>
          <cell r="G513" t="str">
            <v>SHT0001173</v>
          </cell>
          <cell r="H513" t="str">
            <v>外绞架支撑板</v>
          </cell>
          <cell r="I513" t="str">
            <v>02.03.03.085</v>
          </cell>
          <cell r="O513">
            <v>2.3061764239999998</v>
          </cell>
          <cell r="P513">
            <v>0</v>
          </cell>
          <cell r="Q513">
            <v>0</v>
          </cell>
          <cell r="R513" t="str">
            <v>荣昌提供模具</v>
          </cell>
        </row>
        <row r="514">
          <cell r="F514" t="str">
            <v>SHT0001172黄骅市天丰汽车配件有限公司</v>
          </cell>
          <cell r="G514" t="str">
            <v>SHT0001172</v>
          </cell>
          <cell r="H514" t="str">
            <v>后挂簧板</v>
          </cell>
          <cell r="I514" t="str">
            <v>02.03.03.086</v>
          </cell>
          <cell r="O514">
            <v>2.5426470079999999</v>
          </cell>
          <cell r="P514">
            <v>0</v>
          </cell>
          <cell r="Q514">
            <v>0</v>
          </cell>
          <cell r="R514" t="str">
            <v>荣昌提供模具</v>
          </cell>
        </row>
        <row r="515">
          <cell r="F515" t="str">
            <v>SHT0001170黄骅市天丰汽车配件有限公司</v>
          </cell>
          <cell r="G515" t="str">
            <v>SHT0001170</v>
          </cell>
          <cell r="H515" t="str">
            <v>内绞架垫片</v>
          </cell>
          <cell r="I515" t="str">
            <v>02.03.03.087</v>
          </cell>
          <cell r="O515">
            <v>0.38121876735999999</v>
          </cell>
          <cell r="P515">
            <v>0</v>
          </cell>
          <cell r="Q515">
            <v>0</v>
          </cell>
          <cell r="R515" t="str">
            <v>荣昌提供模具</v>
          </cell>
        </row>
        <row r="516">
          <cell r="F516" t="str">
            <v>SHT0001169黄骅市天丰汽车配件有限公司</v>
          </cell>
          <cell r="G516" t="str">
            <v>SHT0001169</v>
          </cell>
          <cell r="H516" t="str">
            <v>外绞架垫片</v>
          </cell>
          <cell r="I516" t="str">
            <v>02.03.03.088</v>
          </cell>
          <cell r="O516">
            <v>0.41661876736000003</v>
          </cell>
          <cell r="P516">
            <v>0</v>
          </cell>
          <cell r="Q516">
            <v>0</v>
          </cell>
          <cell r="R516" t="str">
            <v>荣昌提供模具</v>
          </cell>
        </row>
        <row r="517">
          <cell r="F517" t="str">
            <v>SHT0001159黄骅市天丰汽车配件有限公司</v>
          </cell>
          <cell r="G517" t="str">
            <v>SHT0001159</v>
          </cell>
          <cell r="H517" t="str">
            <v>内绞架左支撑板</v>
          </cell>
          <cell r="I517" t="str">
            <v>02.03.03.099</v>
          </cell>
          <cell r="O517">
            <v>2.3392164239999995</v>
          </cell>
          <cell r="P517">
            <v>0</v>
          </cell>
          <cell r="Q517">
            <v>0</v>
          </cell>
          <cell r="R517" t="str">
            <v>荣昌提供模具</v>
          </cell>
        </row>
        <row r="518">
          <cell r="F518" t="str">
            <v>SHT0001158黄骅市天丰汽车配件有限公司</v>
          </cell>
          <cell r="G518" t="str">
            <v>SHT0001158</v>
          </cell>
          <cell r="H518" t="str">
            <v>内绞架右支撑板</v>
          </cell>
          <cell r="I518" t="str">
            <v>02.03.03.100</v>
          </cell>
          <cell r="O518">
            <v>2.3392164239999995</v>
          </cell>
          <cell r="P518">
            <v>0</v>
          </cell>
          <cell r="Q518">
            <v>0</v>
          </cell>
          <cell r="R518" t="str">
            <v>荣昌提供模具</v>
          </cell>
        </row>
        <row r="519">
          <cell r="F519" t="str">
            <v>SHT0001157黄骅市天丰汽车配件有限公司</v>
          </cell>
          <cell r="G519" t="str">
            <v>SHT0001157</v>
          </cell>
          <cell r="H519" t="str">
            <v>滑轨固定座</v>
          </cell>
          <cell r="I519" t="str">
            <v>02.03.03.109</v>
          </cell>
          <cell r="O519">
            <v>0.72501560000000009</v>
          </cell>
          <cell r="P519">
            <v>0</v>
          </cell>
          <cell r="Q519">
            <v>0</v>
          </cell>
          <cell r="R519" t="str">
            <v>荣昌提供模具</v>
          </cell>
        </row>
        <row r="520">
          <cell r="F520" t="str">
            <v>SCS0004794黄骅市天丰汽车配件有限公司</v>
          </cell>
          <cell r="G520" t="str">
            <v>SCS0004794</v>
          </cell>
          <cell r="H520" t="str">
            <v>涡簧固定座</v>
          </cell>
          <cell r="I520" t="str">
            <v>02.03.09.024</v>
          </cell>
          <cell r="O520">
            <v>0.36108807119999997</v>
          </cell>
          <cell r="P520">
            <v>0</v>
          </cell>
          <cell r="Q520">
            <v>0</v>
          </cell>
          <cell r="R520" t="str">
            <v>1.荣昌提供模具
2.供货之日起分摊至5万件产品
3.模具费已摊销完毕，2022年不再计算</v>
          </cell>
        </row>
        <row r="521">
          <cell r="F521" t="str">
            <v>SCS0004396黄骅市天丰汽车配件有限公司</v>
          </cell>
          <cell r="G521" t="str">
            <v>SCS0004396</v>
          </cell>
          <cell r="H521" t="str">
            <v>左座椅右侧地锁安装支架-1总成（中期改款）</v>
          </cell>
          <cell r="I521" t="str">
            <v>02.03.30.153A</v>
          </cell>
          <cell r="O521">
            <v>5.048174292876106</v>
          </cell>
          <cell r="P521">
            <v>7600</v>
          </cell>
          <cell r="Q521">
            <v>0</v>
          </cell>
          <cell r="R521" t="str">
            <v>1.供货之日起检具费7600元，分摊至5万件产品。检具费已分摊完毕，2022年不再计算
2.模具归属荣昌</v>
          </cell>
        </row>
        <row r="522">
          <cell r="F522" t="str">
            <v>SCS0004395黄骅市天丰汽车配件有限公司</v>
          </cell>
          <cell r="G522" t="str">
            <v>SCS0004395</v>
          </cell>
          <cell r="H522" t="str">
            <v>左座椅右侧地锁安装支架-2总成（中期改款）</v>
          </cell>
          <cell r="I522" t="str">
            <v>02.03.30.154A</v>
          </cell>
          <cell r="O522">
            <v>5.048174292876106</v>
          </cell>
          <cell r="P522">
            <v>7600</v>
          </cell>
          <cell r="Q522">
            <v>0</v>
          </cell>
          <cell r="R522" t="str">
            <v>1.供货之日起检具费7600元，分摊至5万件产品。检具费已分摊完毕，2022年不再计算
2.模具归属荣昌</v>
          </cell>
        </row>
        <row r="523">
          <cell r="F523" t="str">
            <v>SCS0004393黄骅市天丰汽车配件有限公司</v>
          </cell>
          <cell r="G523" t="str">
            <v>SCS0004393</v>
          </cell>
          <cell r="H523" t="str">
            <v>地脚固定板组合左右共用总成（中期改款）</v>
          </cell>
          <cell r="I523" t="str">
            <v>02.03.30.156A</v>
          </cell>
          <cell r="O523">
            <v>11.928973733368732</v>
          </cell>
          <cell r="P523">
            <v>0</v>
          </cell>
          <cell r="Q523">
            <v>0</v>
          </cell>
          <cell r="R523" t="str">
            <v>荣昌提供模具</v>
          </cell>
        </row>
        <row r="524">
          <cell r="F524" t="str">
            <v>SCS0004392黄骅市天丰汽车配件有限公司</v>
          </cell>
          <cell r="G524" t="str">
            <v>SCS0004392</v>
          </cell>
          <cell r="H524" t="str">
            <v>左座椅右侧地脚固定板组合总成（中期改款）</v>
          </cell>
          <cell r="I524" t="str">
            <v>02.03.30.157A</v>
          </cell>
          <cell r="O524">
            <v>11.987501733368731</v>
          </cell>
          <cell r="P524">
            <v>7758</v>
          </cell>
          <cell r="Q524">
            <v>0</v>
          </cell>
          <cell r="R524" t="str">
            <v>1.供货之日起检具分摊至2万件产品。检具费已分摊完毕，2022年不再计算
2.模具归属荣昌</v>
          </cell>
        </row>
        <row r="525">
          <cell r="F525" t="str">
            <v>SCS0004391黄骅市天丰汽车配件有限公司</v>
          </cell>
          <cell r="G525" t="str">
            <v>SCS0004391</v>
          </cell>
          <cell r="H525" t="str">
            <v>右座椅左侧地脚固定板组合总成（中期改款）</v>
          </cell>
          <cell r="I525" t="str">
            <v>02.03.30.158A</v>
          </cell>
          <cell r="O525">
            <v>12.261733733368732</v>
          </cell>
          <cell r="P525">
            <v>7758</v>
          </cell>
          <cell r="Q525">
            <v>0</v>
          </cell>
          <cell r="R525" t="str">
            <v>1.供货之日起检具分摊至2万件产品。
2.模具归属荣昌</v>
          </cell>
        </row>
        <row r="526">
          <cell r="F526" t="str">
            <v>SHT0011003黄骅市天丰汽车配件有限公司</v>
          </cell>
          <cell r="G526" t="str">
            <v>SHT0011003</v>
          </cell>
          <cell r="H526" t="str">
            <v>H4-2.0下框右焊接组件（分总成）</v>
          </cell>
          <cell r="I526" t="str">
            <v>02.03.11.101</v>
          </cell>
          <cell r="O526">
            <v>7.1864194225663711</v>
          </cell>
          <cell r="P526">
            <v>43000</v>
          </cell>
          <cell r="Q526">
            <v>0</v>
          </cell>
          <cell r="R526" t="str">
            <v>1.供货之日起模具分摊至5万件产品。
2.模具费已分摊完毕，2022年不再计算</v>
          </cell>
        </row>
        <row r="527">
          <cell r="F527" t="str">
            <v>SHT0010999黄骅市天丰汽车配件有限公司</v>
          </cell>
          <cell r="G527" t="str">
            <v>SHT0010999</v>
          </cell>
          <cell r="H527" t="str">
            <v>H4-2.0下框左焊接组件（分总成）</v>
          </cell>
          <cell r="I527" t="str">
            <v>02.03.11.100</v>
          </cell>
          <cell r="O527">
            <v>7.1864194225663711</v>
          </cell>
          <cell r="P527">
            <v>43000</v>
          </cell>
          <cell r="Q527">
            <v>0</v>
          </cell>
          <cell r="R527" t="str">
            <v>1.供货之日起模具分摊至5万件产品。
2.模具费已分摊完毕，2022年不再计算</v>
          </cell>
        </row>
        <row r="528">
          <cell r="F528" t="str">
            <v>SHT0001760黄骅市天丰汽车配件有限公司</v>
          </cell>
          <cell r="G528" t="str">
            <v>SHT0001760</v>
          </cell>
          <cell r="H528" t="str">
            <v>绞架小孔侧板</v>
          </cell>
          <cell r="I528" t="str">
            <v>02.03.37.031A</v>
          </cell>
          <cell r="O528">
            <v>5.3469575056000007</v>
          </cell>
          <cell r="P528">
            <v>13000</v>
          </cell>
          <cell r="Q528">
            <v>0</v>
          </cell>
          <cell r="R528" t="str">
            <v>1.与02.03.37.031供货之日起，模具共计分摊至5万件产品。
2.模具费已分摊完毕，2022年不再计算</v>
          </cell>
        </row>
        <row r="529">
          <cell r="F529" t="str">
            <v>SCS0006413黄骅市天丰汽车配件有限公司</v>
          </cell>
          <cell r="G529" t="str">
            <v>SCS0006413</v>
          </cell>
          <cell r="H529" t="str">
            <v>前排靠背复位卷簧限位支架</v>
          </cell>
          <cell r="I529" t="str">
            <v>02.03.50.051</v>
          </cell>
          <cell r="O529">
            <v>0.36799867938053099</v>
          </cell>
          <cell r="P529">
            <v>0</v>
          </cell>
          <cell r="Q529">
            <v>0</v>
          </cell>
          <cell r="R529" t="str">
            <v>荣昌提供模具</v>
          </cell>
        </row>
        <row r="530">
          <cell r="F530" t="str">
            <v>SCS0005786黄骅市天丰汽车配件有限公司</v>
          </cell>
          <cell r="G530" t="str">
            <v>SCS0005786</v>
          </cell>
          <cell r="H530" t="str">
            <v>前排座椅靠背右侧连接板</v>
          </cell>
          <cell r="I530" t="str">
            <v>02.03.50.053</v>
          </cell>
          <cell r="O530">
            <v>2.7226405868749999</v>
          </cell>
          <cell r="P530">
            <v>0</v>
          </cell>
          <cell r="Q530">
            <v>0</v>
          </cell>
          <cell r="R530" t="str">
            <v>荣昌提供模具</v>
          </cell>
        </row>
        <row r="531">
          <cell r="F531" t="str">
            <v>SCS0005784黄骅市天丰汽车配件有限公司</v>
          </cell>
          <cell r="G531" t="str">
            <v>SCS0005784</v>
          </cell>
          <cell r="H531" t="str">
            <v>前排座椅靠背左侧连接板</v>
          </cell>
          <cell r="I531" t="str">
            <v>02.03.50.052</v>
          </cell>
          <cell r="O531">
            <v>2.7226405868749999</v>
          </cell>
          <cell r="P531">
            <v>0</v>
          </cell>
          <cell r="Q531">
            <v>0</v>
          </cell>
          <cell r="R531" t="str">
            <v>荣昌提供模具</v>
          </cell>
        </row>
        <row r="532">
          <cell r="F532" t="str">
            <v>SCS0005773黄骅市天丰汽车配件有限公司</v>
          </cell>
          <cell r="G532" t="str">
            <v>SCS0005773</v>
          </cell>
          <cell r="H532" t="str">
            <v>调角器电机固定支架</v>
          </cell>
          <cell r="I532" t="str">
            <v>02.03.50.050</v>
          </cell>
          <cell r="O532">
            <v>0.38266262020530978</v>
          </cell>
          <cell r="P532">
            <v>0</v>
          </cell>
          <cell r="Q532">
            <v>0</v>
          </cell>
          <cell r="R532" t="str">
            <v>荣昌提供模具</v>
          </cell>
        </row>
        <row r="533">
          <cell r="F533" t="str">
            <v>SHT0010521黄骅市天丰汽车配件有限公司</v>
          </cell>
          <cell r="G533" t="str">
            <v>SHT0010521</v>
          </cell>
          <cell r="H533" t="str">
            <v>H4-2.0气囊上支架</v>
          </cell>
          <cell r="I533" t="str">
            <v>02.03.11.106</v>
          </cell>
          <cell r="O533">
            <v>6.7819467500000004</v>
          </cell>
          <cell r="P533">
            <v>36500</v>
          </cell>
          <cell r="Q533">
            <v>0</v>
          </cell>
          <cell r="R533" t="str">
            <v>1.供货之日起模具分摊至5万件产品。
2.模具费已分摊完毕，2022年不再计算</v>
          </cell>
        </row>
        <row r="534">
          <cell r="F534" t="str">
            <v>SCS0004388黄骅市天丰汽车配件有限公司</v>
          </cell>
          <cell r="G534" t="str">
            <v>SCS0004388</v>
          </cell>
          <cell r="H534" t="str">
            <v>B40L四分左侧仰卧器下连接板组合（中期改款）</v>
          </cell>
          <cell r="I534" t="str">
            <v>02.03.30.187</v>
          </cell>
          <cell r="O534">
            <v>4.2075610946749995</v>
          </cell>
          <cell r="P534">
            <v>0</v>
          </cell>
          <cell r="Q534">
            <v>0</v>
          </cell>
          <cell r="R534" t="str">
            <v>荣昌提供模具</v>
          </cell>
        </row>
        <row r="535">
          <cell r="F535" t="str">
            <v>SCS0004385黄骅市天丰汽车配件有限公司</v>
          </cell>
          <cell r="G535" t="str">
            <v>SCS0004385</v>
          </cell>
          <cell r="H535" t="str">
            <v>B40L四分右侧仰卧器下连接板总成（中期改款）</v>
          </cell>
          <cell r="I535" t="str">
            <v>02.03.30.188</v>
          </cell>
          <cell r="O535">
            <v>4.2665610946749997</v>
          </cell>
          <cell r="P535">
            <v>0</v>
          </cell>
          <cell r="Q535">
            <v>0</v>
          </cell>
          <cell r="R535" t="str">
            <v>荣昌提供模具</v>
          </cell>
        </row>
        <row r="536">
          <cell r="F536" t="str">
            <v>SCS0004386黄骅市天丰汽车配件有限公司</v>
          </cell>
          <cell r="G536" t="str">
            <v>SCS0004386</v>
          </cell>
          <cell r="H536" t="str">
            <v>B40L六分左侧仰卧器下连接板总成（中期改款）</v>
          </cell>
          <cell r="I536" t="str">
            <v>02.03.30.189</v>
          </cell>
          <cell r="O536">
            <v>4.8072181580350009</v>
          </cell>
          <cell r="P536">
            <v>0</v>
          </cell>
          <cell r="Q536">
            <v>0</v>
          </cell>
          <cell r="R536" t="str">
            <v>荣昌提供模具</v>
          </cell>
        </row>
        <row r="537">
          <cell r="F537" t="str">
            <v>SCS0004387黄骅市天丰汽车配件有限公司</v>
          </cell>
          <cell r="G537" t="str">
            <v>SCS0004387</v>
          </cell>
          <cell r="H537" t="str">
            <v>B40L六分右侧仰卧器下连接板组合（中期改款）</v>
          </cell>
          <cell r="I537" t="str">
            <v>02.03.30.190</v>
          </cell>
          <cell r="O537">
            <v>4.8072181580350009</v>
          </cell>
          <cell r="P537">
            <v>0</v>
          </cell>
          <cell r="Q537">
            <v>0</v>
          </cell>
          <cell r="R537" t="str">
            <v>荣昌提供模具</v>
          </cell>
        </row>
        <row r="538">
          <cell r="F538" t="str">
            <v>SCS0004389黄骅市天丰汽车配件有限公司</v>
          </cell>
          <cell r="G538" t="str">
            <v>SCS0004389</v>
          </cell>
          <cell r="H538" t="str">
            <v>B40L地脚上连接板（中期改款）</v>
          </cell>
          <cell r="I538" t="str">
            <v>02.03.30.160</v>
          </cell>
          <cell r="O538">
            <v>2.3997895483750007</v>
          </cell>
          <cell r="P538">
            <v>1600</v>
          </cell>
          <cell r="Q538">
            <v>0</v>
          </cell>
          <cell r="R538" t="str">
            <v>1.供货之日起模具分摊至5万件产品。
2.模具费已分摊完毕，2022年不再计算</v>
          </cell>
        </row>
        <row r="539">
          <cell r="F539" t="str">
            <v>SCS0004400黄骅市天丰汽车配件有限公司</v>
          </cell>
          <cell r="G539" t="str">
            <v>SCS0004400</v>
          </cell>
          <cell r="H539" t="str">
            <v>调角器限位支架</v>
          </cell>
          <cell r="I539" t="str">
            <v>02.03.30.149</v>
          </cell>
          <cell r="O539">
            <v>0.27776012245714282</v>
          </cell>
          <cell r="P539">
            <v>0</v>
          </cell>
          <cell r="Q539">
            <v>0</v>
          </cell>
          <cell r="R539" t="str">
            <v>荣昌提供模具</v>
          </cell>
        </row>
        <row r="540">
          <cell r="F540" t="str">
            <v>SHT0014931海兴中盛弹簧有限公司</v>
          </cell>
          <cell r="G540" t="str">
            <v>SHT0014931</v>
          </cell>
          <cell r="H540" t="str">
            <v>定位弹片</v>
          </cell>
          <cell r="O540">
            <v>0.41</v>
          </cell>
          <cell r="P540">
            <v>6000</v>
          </cell>
          <cell r="Q540">
            <v>0.06</v>
          </cell>
          <cell r="R540" t="str">
            <v>模具费分摊至10万件产品中或3年</v>
          </cell>
        </row>
        <row r="541">
          <cell r="F541" t="str">
            <v>SHT0010060海兴中盛弹簧有限公司</v>
          </cell>
          <cell r="G541" t="str">
            <v>SHT0010060</v>
          </cell>
          <cell r="H541" t="str">
            <v>安全带上支撑钢丝</v>
          </cell>
          <cell r="O541">
            <v>0.36796460176991153</v>
          </cell>
          <cell r="P541" t="str">
            <v>不涉及</v>
          </cell>
          <cell r="Q541">
            <v>0</v>
          </cell>
          <cell r="R541" t="str">
            <v>不涉及</v>
          </cell>
        </row>
        <row r="542">
          <cell r="F542" t="str">
            <v>BSP0010016海兴中盛弹簧有限公司</v>
          </cell>
          <cell r="G542" t="str">
            <v>BSP0010016</v>
          </cell>
          <cell r="H542" t="str">
            <v>坐垫翻折限位钣金回位簧</v>
          </cell>
          <cell r="O542">
            <v>0.11771200000000002</v>
          </cell>
          <cell r="P542" t="str">
            <v>不涉及</v>
          </cell>
          <cell r="Q542">
            <v>0</v>
          </cell>
          <cell r="R542" t="str">
            <v>不涉及</v>
          </cell>
        </row>
        <row r="543">
          <cell r="F543" t="str">
            <v>SHT0010465海兴中盛弹簧有限公司</v>
          </cell>
          <cell r="G543" t="str">
            <v>SHT0010465</v>
          </cell>
          <cell r="H543" t="str">
            <v>气管防护弹簧</v>
          </cell>
          <cell r="O543">
            <v>0.186</v>
          </cell>
          <cell r="P543" t="str">
            <v>不涉及</v>
          </cell>
          <cell r="Q543">
            <v>0</v>
          </cell>
          <cell r="R543" t="str">
            <v>不涉及</v>
          </cell>
        </row>
        <row r="544">
          <cell r="F544" t="str">
            <v>SHT0013729海兴中盛弹簧有限公司</v>
          </cell>
          <cell r="G544" t="str">
            <v>SHT0013729</v>
          </cell>
          <cell r="H544" t="str">
            <v>扶手手轮弹簧</v>
          </cell>
          <cell r="O544">
            <v>0.34</v>
          </cell>
          <cell r="P544" t="str">
            <v>不涉及</v>
          </cell>
          <cell r="Q544">
            <v>0</v>
          </cell>
          <cell r="R544" t="str">
            <v>不涉及</v>
          </cell>
        </row>
        <row r="545">
          <cell r="F545" t="str">
            <v>SHT0015007海兴中盛弹簧有限公司</v>
          </cell>
          <cell r="G545" t="str">
            <v>SHT0015007</v>
          </cell>
          <cell r="H545" t="str">
            <v>靠背支撑钢丝</v>
          </cell>
          <cell r="O545">
            <v>0.3090265486725664</v>
          </cell>
          <cell r="P545" t="str">
            <v>不涉及</v>
          </cell>
          <cell r="Q545">
            <v>0</v>
          </cell>
          <cell r="R545" t="str">
            <v>不涉及</v>
          </cell>
        </row>
        <row r="546">
          <cell r="F546" t="str">
            <v>SHT0012748海兴中盛弹簧有限公司</v>
          </cell>
          <cell r="G546" t="str">
            <v>SHT0012748</v>
          </cell>
          <cell r="H546" t="str">
            <v>靠背肩部钢丝</v>
          </cell>
          <cell r="O546">
            <v>9.8448000000000022E-2</v>
          </cell>
          <cell r="P546" t="str">
            <v>不涉及</v>
          </cell>
          <cell r="Q546">
            <v>0</v>
          </cell>
          <cell r="R546" t="str">
            <v>不涉及</v>
          </cell>
        </row>
        <row r="547">
          <cell r="F547" t="str">
            <v>SHT0001088黄骅市创合五金制品有限公司</v>
          </cell>
          <cell r="G547" t="str">
            <v>SHT0001088</v>
          </cell>
          <cell r="H547" t="str">
            <v>上框内支撑柱</v>
          </cell>
          <cell r="N547">
            <v>0.49741600000000002</v>
          </cell>
          <cell r="O547">
            <v>0.49741600000000002</v>
          </cell>
          <cell r="P547">
            <v>0</v>
          </cell>
          <cell r="Q547">
            <v>0</v>
          </cell>
          <cell r="R547">
            <v>0</v>
          </cell>
        </row>
        <row r="548">
          <cell r="F548" t="str">
            <v>SHT0001894黄骅市创合五金制品有限公司</v>
          </cell>
          <cell r="G548" t="str">
            <v>SHT0001894</v>
          </cell>
          <cell r="H548" t="str">
            <v>仰角旋转轴</v>
          </cell>
          <cell r="N548">
            <v>1.4073196499999998</v>
          </cell>
          <cell r="O548">
            <v>1.4073196499999998</v>
          </cell>
          <cell r="P548">
            <v>0</v>
          </cell>
          <cell r="Q548">
            <v>0</v>
          </cell>
          <cell r="R548">
            <v>0</v>
          </cell>
        </row>
        <row r="549">
          <cell r="F549" t="str">
            <v>BAS0000030黄骅市创合五金制品有限公司</v>
          </cell>
          <cell r="G549" t="str">
            <v>BAS0000030</v>
          </cell>
          <cell r="H549" t="str">
            <v>轴套</v>
          </cell>
          <cell r="N549">
            <v>0.92819299999999993</v>
          </cell>
          <cell r="O549">
            <v>0.92819299999999993</v>
          </cell>
          <cell r="P549">
            <v>0</v>
          </cell>
          <cell r="Q549">
            <v>0</v>
          </cell>
          <cell r="R549">
            <v>0</v>
          </cell>
        </row>
        <row r="550">
          <cell r="F550" t="str">
            <v>SHT0001144黄骅市创合五金制品有限公司</v>
          </cell>
          <cell r="G550" t="str">
            <v>SHT0001144</v>
          </cell>
          <cell r="H550" t="str">
            <v>旋转轴</v>
          </cell>
          <cell r="N550">
            <v>1.8499999999999999</v>
          </cell>
          <cell r="O550">
            <v>1.7</v>
          </cell>
          <cell r="P550">
            <v>15000</v>
          </cell>
          <cell r="Q550">
            <v>0.15</v>
          </cell>
          <cell r="R550" t="str">
            <v>模具费100%分摊至10万件产品中</v>
          </cell>
        </row>
        <row r="551">
          <cell r="F551" t="str">
            <v>SHT0012043黄骅市创合五金制品有限公司</v>
          </cell>
          <cell r="G551" t="str">
            <v>SHT0012043</v>
          </cell>
          <cell r="H551" t="str">
            <v>升降连杆固定轴</v>
          </cell>
          <cell r="N551">
            <v>0.9</v>
          </cell>
          <cell r="O551">
            <v>0.9</v>
          </cell>
          <cell r="P551">
            <v>0</v>
          </cell>
          <cell r="Q551">
            <v>0</v>
          </cell>
          <cell r="R551">
            <v>0</v>
          </cell>
        </row>
        <row r="552">
          <cell r="F552" t="str">
            <v>SHT0001088黄骅市创合五金制品有限公司</v>
          </cell>
          <cell r="G552" t="str">
            <v>SHT0001088</v>
          </cell>
          <cell r="H552" t="str">
            <v>上框内支撑柱</v>
          </cell>
          <cell r="N552">
            <v>0.49741600000000002</v>
          </cell>
          <cell r="O552">
            <v>0.48249352000000001</v>
          </cell>
          <cell r="P552">
            <v>0</v>
          </cell>
          <cell r="Q552">
            <v>0</v>
          </cell>
          <cell r="R552">
            <v>0</v>
          </cell>
        </row>
        <row r="553">
          <cell r="F553" t="str">
            <v>SHT0001894黄骅市创合五金制品有限公司</v>
          </cell>
          <cell r="G553" t="str">
            <v>SHT0001894</v>
          </cell>
          <cell r="H553" t="str">
            <v>仰角旋转轴</v>
          </cell>
          <cell r="N553">
            <v>1.4073196499999998</v>
          </cell>
          <cell r="O553">
            <v>1.3651000605000001</v>
          </cell>
          <cell r="P553">
            <v>0</v>
          </cell>
          <cell r="Q553">
            <v>0</v>
          </cell>
          <cell r="R553">
            <v>0</v>
          </cell>
        </row>
        <row r="554">
          <cell r="F554" t="str">
            <v>BAS0000030黄骅市创合五金制品有限公司</v>
          </cell>
          <cell r="G554" t="str">
            <v>BAS0000030</v>
          </cell>
          <cell r="H554" t="str">
            <v>轴套</v>
          </cell>
          <cell r="N554">
            <v>0.92819299999999993</v>
          </cell>
          <cell r="O554">
            <v>0.90034721000000006</v>
          </cell>
          <cell r="P554">
            <v>0</v>
          </cell>
          <cell r="Q554">
            <v>0</v>
          </cell>
          <cell r="R554">
            <v>0</v>
          </cell>
        </row>
        <row r="555">
          <cell r="F555" t="str">
            <v>SHT0001144黄骅市创合五金制品有限公司</v>
          </cell>
          <cell r="G555" t="str">
            <v>SHT0001144</v>
          </cell>
          <cell r="H555" t="str">
            <v>旋转轴</v>
          </cell>
          <cell r="N555">
            <v>1.8499999999999999</v>
          </cell>
          <cell r="O555">
            <v>1.649</v>
          </cell>
          <cell r="P555">
            <v>15000</v>
          </cell>
          <cell r="Q555">
            <v>0.15</v>
          </cell>
          <cell r="R555" t="str">
            <v>模具费100%分摊至10万件产品中</v>
          </cell>
        </row>
        <row r="556">
          <cell r="F556" t="str">
            <v>SHT0012043黄骅市创合五金制品有限公司</v>
          </cell>
          <cell r="G556" t="str">
            <v>SHT0012043</v>
          </cell>
          <cell r="H556" t="str">
            <v>升降连杆固定轴</v>
          </cell>
          <cell r="N556">
            <v>0.9</v>
          </cell>
          <cell r="O556">
            <v>0.873</v>
          </cell>
          <cell r="P556">
            <v>0</v>
          </cell>
          <cell r="Q556">
            <v>0</v>
          </cell>
          <cell r="R556">
            <v>0</v>
          </cell>
        </row>
        <row r="557">
          <cell r="F557" t="str">
            <v>SLT0000775文安县恒德汽车座椅制造有限公司</v>
          </cell>
          <cell r="G557" t="str">
            <v>SLT0000775</v>
          </cell>
          <cell r="H557" t="str">
            <v>M4左侧护板</v>
          </cell>
          <cell r="O557">
            <v>3.54</v>
          </cell>
          <cell r="P557">
            <v>7800</v>
          </cell>
          <cell r="Q557">
            <v>0.156</v>
          </cell>
          <cell r="R557" t="str">
            <v>模检焊具费用100%分摊至5万件产品中，自供货之日起执行</v>
          </cell>
        </row>
        <row r="558">
          <cell r="F558" t="str">
            <v>SLT0000060黄骅市泰行汽车配件有限公司</v>
          </cell>
          <cell r="G558" t="str">
            <v>SLT0000060</v>
          </cell>
          <cell r="H558" t="str">
            <v>H3侧上钢丝</v>
          </cell>
          <cell r="N558">
            <v>0.19700000000000001</v>
          </cell>
          <cell r="O558">
            <v>0.19109000000000001</v>
          </cell>
        </row>
        <row r="559">
          <cell r="F559" t="str">
            <v>SLT0000740黄骅市泰行汽车配件有限公司</v>
          </cell>
          <cell r="G559" t="str">
            <v>SLT0000740</v>
          </cell>
          <cell r="H559" t="str">
            <v>钢丝2.5*160</v>
          </cell>
          <cell r="N559">
            <v>9.1999999999999998E-2</v>
          </cell>
          <cell r="O559">
            <v>9.1999999999999998E-2</v>
          </cell>
        </row>
        <row r="560">
          <cell r="F560" t="str">
            <v>SHT0012082河北新强力机械制造有限公司</v>
          </cell>
          <cell r="G560" t="str">
            <v>SHT0012082</v>
          </cell>
          <cell r="H560" t="str">
            <v>前长杆总成</v>
          </cell>
          <cell r="O560">
            <v>7.83</v>
          </cell>
        </row>
        <row r="561">
          <cell r="F561" t="str">
            <v>SHT0012058河北新强力机械制造有限公司</v>
          </cell>
          <cell r="G561" t="str">
            <v>SHT0012058</v>
          </cell>
          <cell r="H561" t="str">
            <v>后长杆总成</v>
          </cell>
          <cell r="O561">
            <v>7.83</v>
          </cell>
        </row>
        <row r="562">
          <cell r="F562" t="str">
            <v>SHT0012060河北新强力机械制造有限公司</v>
          </cell>
          <cell r="G562" t="str">
            <v>SHT0012060</v>
          </cell>
          <cell r="H562" t="str">
            <v>短杆总成</v>
          </cell>
          <cell r="O562">
            <v>5.65</v>
          </cell>
        </row>
        <row r="563">
          <cell r="F563" t="str">
            <v>SLT0002149河北新强力机械制造有限公司</v>
          </cell>
          <cell r="G563" t="str">
            <v>SLT0002149</v>
          </cell>
          <cell r="H563" t="str">
            <v>中间座靠背骨架</v>
          </cell>
          <cell r="O563">
            <v>26.1784</v>
          </cell>
        </row>
        <row r="564">
          <cell r="F564" t="str">
            <v>SHT0012294河北新强力机械制造有限公司</v>
          </cell>
          <cell r="G564" t="str">
            <v>SHT0012294</v>
          </cell>
          <cell r="H564" t="str">
            <v>T5-1.0靠背骨架焊接总成</v>
          </cell>
          <cell r="O564">
            <v>37.85</v>
          </cell>
        </row>
        <row r="565">
          <cell r="F565" t="str">
            <v>SHT0012081河北新强力机械制造有限公司</v>
          </cell>
          <cell r="G565" t="str">
            <v>SHT0012081</v>
          </cell>
          <cell r="H565" t="str">
            <v>前升降连杆总成</v>
          </cell>
          <cell r="O565">
            <v>19.14</v>
          </cell>
        </row>
        <row r="566">
          <cell r="F566" t="str">
            <v>SHT0012057河北新强力机械制造有限公司</v>
          </cell>
          <cell r="G566" t="str">
            <v>SHT0012057</v>
          </cell>
          <cell r="H566" t="str">
            <v>后升降连杆总成</v>
          </cell>
          <cell r="O566">
            <v>19.14</v>
          </cell>
        </row>
        <row r="567">
          <cell r="F567" t="str">
            <v>SHT0010218江苏凌派通信科技有限公司</v>
          </cell>
          <cell r="G567" t="str">
            <v>SHT0010218</v>
          </cell>
          <cell r="H567" t="str">
            <v>减震器连接异型螺母</v>
          </cell>
          <cell r="O567">
            <v>0.32619469026548675</v>
          </cell>
          <cell r="P567">
            <v>8000</v>
          </cell>
          <cell r="Q567">
            <v>5.3333333333333337E-2</v>
          </cell>
          <cell r="R567" t="str">
            <v>模具费100%分摊至15万件产品</v>
          </cell>
        </row>
        <row r="568">
          <cell r="F568" t="str">
            <v>SHT0010319江苏凌派通信科技有限公司</v>
          </cell>
          <cell r="G568" t="str">
            <v>SHT0010319</v>
          </cell>
          <cell r="H568" t="str">
            <v>H6减震器上框连接螺栓</v>
          </cell>
          <cell r="O568">
            <v>0.9</v>
          </cell>
          <cell r="P568">
            <v>11000</v>
          </cell>
          <cell r="Q568">
            <v>7.3333333333333334E-2</v>
          </cell>
          <cell r="R568" t="str">
            <v>模具费100%分摊至15万件产品</v>
          </cell>
        </row>
        <row r="569">
          <cell r="F569" t="str">
            <v>SHT0010314江苏凌派通信科技有限公司</v>
          </cell>
          <cell r="G569" t="str">
            <v>SHT0010314</v>
          </cell>
          <cell r="H569" t="str">
            <v>阻尼器下连接螺栓</v>
          </cell>
          <cell r="O569">
            <v>1.9</v>
          </cell>
          <cell r="P569">
            <v>12000</v>
          </cell>
          <cell r="Q569">
            <v>0.08</v>
          </cell>
          <cell r="R569" t="str">
            <v>模具费100%分摊至15万件产品</v>
          </cell>
        </row>
        <row r="570">
          <cell r="F570" t="str">
            <v>SHT0010313江苏凌派通信科技有限公司</v>
          </cell>
          <cell r="G570" t="str">
            <v>SHT0010313</v>
          </cell>
          <cell r="H570" t="str">
            <v>阻尼器上连接螺栓</v>
          </cell>
          <cell r="O570">
            <v>0.6180530973451327</v>
          </cell>
          <cell r="P570">
            <v>8500</v>
          </cell>
          <cell r="Q570">
            <v>5.6666666666666664E-2</v>
          </cell>
          <cell r="R570" t="str">
            <v>模具费100%分摊至15万件产品</v>
          </cell>
        </row>
        <row r="571">
          <cell r="F571" t="str">
            <v>SHT0010219江苏凌派通信科技有限公司</v>
          </cell>
          <cell r="G571" t="str">
            <v>SHT0010219</v>
          </cell>
          <cell r="H571" t="str">
            <v>仰角连接异型螺母</v>
          </cell>
          <cell r="O571">
            <v>0.44637168141592926</v>
          </cell>
          <cell r="P571">
            <v>8000</v>
          </cell>
          <cell r="Q571">
            <v>5.3333333333333337E-2</v>
          </cell>
          <cell r="R571" t="str">
            <v>模具费100%分摊至15万件产品</v>
          </cell>
        </row>
        <row r="572">
          <cell r="F572" t="str">
            <v>SHT0010843江苏凌派通信科技有限公司</v>
          </cell>
          <cell r="G572" t="str">
            <v>SHT0010843</v>
          </cell>
          <cell r="H572" t="str">
            <v>座框仰角固定螺栓</v>
          </cell>
          <cell r="O572">
            <v>0.45495575221238943</v>
          </cell>
          <cell r="P572">
            <v>7500</v>
          </cell>
          <cell r="Q572">
            <v>0.05</v>
          </cell>
          <cell r="R572" t="str">
            <v>模具费100%分摊至15万件产品</v>
          </cell>
        </row>
        <row r="573">
          <cell r="F573" t="str">
            <v>SHT0010315江苏凌派通信科技有限公司</v>
          </cell>
          <cell r="G573" t="str">
            <v>SHT0010315</v>
          </cell>
          <cell r="H573" t="str">
            <v>座框减震器连接轴</v>
          </cell>
          <cell r="O573">
            <v>1.8026548672566374</v>
          </cell>
          <cell r="P573">
            <v>12000</v>
          </cell>
          <cell r="Q573">
            <v>0.08</v>
          </cell>
          <cell r="R573" t="str">
            <v>模具费100%分摊至15万件产品</v>
          </cell>
        </row>
        <row r="574">
          <cell r="F574" t="str">
            <v>SHT0011642江苏凌派通信科技有限公司</v>
          </cell>
          <cell r="G574" t="str">
            <v>SHT0011642</v>
          </cell>
          <cell r="H574" t="str">
            <v>高调器衬套</v>
          </cell>
          <cell r="O574">
            <v>0.36911504424778763</v>
          </cell>
          <cell r="P574">
            <v>7500</v>
          </cell>
          <cell r="Q574">
            <v>0.05</v>
          </cell>
          <cell r="R574" t="str">
            <v>模具费100%分摊至15万件产品</v>
          </cell>
        </row>
        <row r="575">
          <cell r="F575" t="str">
            <v>SHT0010208江苏凌派通信科技有限公司</v>
          </cell>
          <cell r="G575" t="str">
            <v>SHT0010208</v>
          </cell>
          <cell r="H575" t="str">
            <v>减震器上框支架T型焊接螺母</v>
          </cell>
          <cell r="O575">
            <v>0.38628318584070803</v>
          </cell>
          <cell r="P575">
            <v>7500</v>
          </cell>
          <cell r="Q575">
            <v>0.05</v>
          </cell>
          <cell r="R575" t="str">
            <v>模具费100%分摊至15万件产品</v>
          </cell>
        </row>
        <row r="576">
          <cell r="F576" t="str">
            <v>SHT0010802江苏凌派通信科技有限公司</v>
          </cell>
          <cell r="G576" t="str">
            <v>SHT0010802</v>
          </cell>
          <cell r="H576" t="str">
            <v>延伸锁止钣金固定螺栓</v>
          </cell>
          <cell r="O576">
            <v>0.1974336283185841</v>
          </cell>
          <cell r="P576">
            <v>8000</v>
          </cell>
          <cell r="Q576">
            <v>5.3333333333333337E-2</v>
          </cell>
          <cell r="R576" t="str">
            <v>模具费100%分摊至15万件产品</v>
          </cell>
        </row>
        <row r="577">
          <cell r="F577" t="str">
            <v>SHT0012040江苏凌派通信科技有限公司</v>
          </cell>
          <cell r="G577" t="str">
            <v>SHT0012040</v>
          </cell>
          <cell r="H577" t="str">
            <v>升降器连接异型螺母</v>
          </cell>
          <cell r="O577">
            <v>0.76436000000000004</v>
          </cell>
          <cell r="P577">
            <v>12000</v>
          </cell>
          <cell r="Q577">
            <v>0.08</v>
          </cell>
          <cell r="R577" t="str">
            <v>模具费100%分摊至15万件产品</v>
          </cell>
        </row>
        <row r="578">
          <cell r="F578" t="str">
            <v>SHT0012041江苏凌派通信科技有限公司</v>
          </cell>
          <cell r="G578" t="str">
            <v>SHT0012041</v>
          </cell>
          <cell r="H578" t="str">
            <v>升降器连接螺栓</v>
          </cell>
          <cell r="O578">
            <v>0.7</v>
          </cell>
          <cell r="P578">
            <v>8500</v>
          </cell>
          <cell r="Q578">
            <v>5.6666666666666664E-2</v>
          </cell>
          <cell r="R578" t="str">
            <v>模具费100%分摊至15万件产品</v>
          </cell>
        </row>
        <row r="579">
          <cell r="F579" t="str">
            <v>BFA0000291江苏凌派通信科技有限公司</v>
          </cell>
          <cell r="G579" t="str">
            <v>BFA0000291</v>
          </cell>
          <cell r="H579" t="str">
            <v>H4A升级副司机台阶螺栓</v>
          </cell>
          <cell r="O579">
            <v>0.5</v>
          </cell>
          <cell r="P579">
            <v>10000</v>
          </cell>
          <cell r="Q579">
            <v>6.6666666666666666E-2</v>
          </cell>
          <cell r="R579" t="str">
            <v>模具费100%分摊至15万件产品</v>
          </cell>
        </row>
        <row r="580">
          <cell r="F580" t="str">
            <v>BFA0010063江苏凌派通信科技有限公司</v>
          </cell>
          <cell r="G580" t="str">
            <v>BFA0010063</v>
          </cell>
          <cell r="H580" t="str">
            <v>内六花台阶螺栓</v>
          </cell>
          <cell r="O580">
            <v>1.25</v>
          </cell>
          <cell r="P580">
            <v>12000</v>
          </cell>
          <cell r="Q580">
            <v>0.08</v>
          </cell>
          <cell r="R580" t="str">
            <v>模具费100%分摊至15万件产品</v>
          </cell>
        </row>
        <row r="581">
          <cell r="F581" t="str">
            <v>SCS0004389黄骅市鑫昌五金制品厂</v>
          </cell>
          <cell r="G581" t="str">
            <v>SCS0004389</v>
          </cell>
          <cell r="H581" t="str">
            <v>B40L地脚上连接板</v>
          </cell>
          <cell r="O581">
            <v>2.3063945965625003</v>
          </cell>
          <cell r="P581" t="str">
            <v>——</v>
          </cell>
          <cell r="Q581">
            <v>0</v>
          </cell>
          <cell r="R581" t="str">
            <v>模具由甲方提供</v>
          </cell>
        </row>
        <row r="582">
          <cell r="F582" t="str">
            <v>BSP0000109江苏力乐汽车部件股份有限公司</v>
          </cell>
          <cell r="G582" t="str">
            <v>BSP0000109</v>
          </cell>
          <cell r="H582" t="str">
            <v>K1正副司机拉簧</v>
          </cell>
          <cell r="O582">
            <v>0.6</v>
          </cell>
          <cell r="P582">
            <v>0</v>
          </cell>
          <cell r="Q582">
            <v>0</v>
          </cell>
          <cell r="R582">
            <v>0</v>
          </cell>
        </row>
        <row r="583">
          <cell r="F583" t="str">
            <v>BSP0000110江苏力乐汽车部件股份有限公司</v>
          </cell>
          <cell r="G583" t="str">
            <v>BSP0000110</v>
          </cell>
          <cell r="H583" t="str">
            <v>K1正副司机盘簧</v>
          </cell>
          <cell r="O583">
            <v>2.2999999999999998</v>
          </cell>
          <cell r="P583">
            <v>0</v>
          </cell>
          <cell r="Q583">
            <v>0</v>
          </cell>
          <cell r="R583">
            <v>0</v>
          </cell>
        </row>
        <row r="584">
          <cell r="F584" t="str">
            <v>BAS0000081江苏力乐汽车部件股份有限公司</v>
          </cell>
          <cell r="G584" t="str">
            <v>BAS0000081</v>
          </cell>
          <cell r="H584" t="str">
            <v>中心轴套</v>
          </cell>
          <cell r="O584">
            <v>0.8</v>
          </cell>
          <cell r="P584">
            <v>0</v>
          </cell>
          <cell r="Q584">
            <v>0</v>
          </cell>
          <cell r="R584">
            <v>0</v>
          </cell>
        </row>
        <row r="585">
          <cell r="F585" t="str">
            <v>SLT0002795江苏力乐汽车部件股份有限公司</v>
          </cell>
          <cell r="G585" t="str">
            <v>SLT0002795</v>
          </cell>
          <cell r="H585" t="str">
            <v>正副司机座左圆盘（主动）</v>
          </cell>
          <cell r="O585">
            <v>16</v>
          </cell>
          <cell r="P585">
            <v>0</v>
          </cell>
          <cell r="Q585">
            <v>0</v>
          </cell>
          <cell r="R585">
            <v>0</v>
          </cell>
        </row>
        <row r="586">
          <cell r="F586" t="str">
            <v>SLT0002796江苏力乐汽车部件股份有限公司</v>
          </cell>
          <cell r="G586" t="str">
            <v>SLT0002796</v>
          </cell>
          <cell r="H586" t="str">
            <v>正副司机座右圆盘（主动）</v>
          </cell>
          <cell r="O586">
            <v>16</v>
          </cell>
          <cell r="P586">
            <v>0</v>
          </cell>
          <cell r="Q586">
            <v>0</v>
          </cell>
          <cell r="R586">
            <v>0</v>
          </cell>
        </row>
        <row r="587">
          <cell r="F587" t="str">
            <v>SLT0002797江苏力乐汽车部件股份有限公司</v>
          </cell>
          <cell r="G587" t="str">
            <v>SLT0002797</v>
          </cell>
          <cell r="H587" t="str">
            <v>正副司机座左圆盘（被动）</v>
          </cell>
          <cell r="O587">
            <v>14</v>
          </cell>
          <cell r="P587">
            <v>0</v>
          </cell>
          <cell r="Q587">
            <v>0</v>
          </cell>
          <cell r="R587">
            <v>0</v>
          </cell>
        </row>
        <row r="588">
          <cell r="F588" t="str">
            <v>SLT0002798江苏力乐汽车部件股份有限公司</v>
          </cell>
          <cell r="G588" t="str">
            <v>SLT0002798</v>
          </cell>
          <cell r="H588" t="str">
            <v>正副司机座右圆盘（被动）</v>
          </cell>
          <cell r="O588">
            <v>14</v>
          </cell>
          <cell r="P588">
            <v>0</v>
          </cell>
          <cell r="Q588">
            <v>0</v>
          </cell>
          <cell r="R588">
            <v>0</v>
          </cell>
        </row>
        <row r="589">
          <cell r="F589" t="str">
            <v>SLT0002800江苏力乐汽车部件股份有限公司</v>
          </cell>
          <cell r="G589" t="str">
            <v>SLT0002800</v>
          </cell>
          <cell r="H589" t="str">
            <v>后排单/双人座左圆盘（主动）</v>
          </cell>
          <cell r="O589">
            <v>16</v>
          </cell>
          <cell r="P589">
            <v>0</v>
          </cell>
          <cell r="Q589">
            <v>0</v>
          </cell>
          <cell r="R589">
            <v>0</v>
          </cell>
        </row>
        <row r="590">
          <cell r="F590" t="str">
            <v>SLT0002801江苏力乐汽车部件股份有限公司</v>
          </cell>
          <cell r="G590" t="str">
            <v>SLT0002801</v>
          </cell>
          <cell r="H590" t="str">
            <v>后排单/双人座右圆盘（主动）</v>
          </cell>
          <cell r="O590">
            <v>16</v>
          </cell>
          <cell r="P590">
            <v>0</v>
          </cell>
          <cell r="Q590">
            <v>0</v>
          </cell>
          <cell r="R590">
            <v>0</v>
          </cell>
        </row>
        <row r="591">
          <cell r="F591" t="str">
            <v>BSP0000111江苏力乐汽车部件股份有限公司</v>
          </cell>
          <cell r="G591" t="str">
            <v>BSP0000111</v>
          </cell>
          <cell r="H591" t="str">
            <v>扭簧左</v>
          </cell>
          <cell r="O591">
            <v>0.6</v>
          </cell>
          <cell r="P591">
            <v>0</v>
          </cell>
          <cell r="Q591">
            <v>0</v>
          </cell>
          <cell r="R591">
            <v>0</v>
          </cell>
        </row>
        <row r="592">
          <cell r="F592" t="str">
            <v>BSP0000112江苏力乐汽车部件股份有限公司</v>
          </cell>
          <cell r="G592" t="str">
            <v>BSP0000112</v>
          </cell>
          <cell r="H592" t="str">
            <v>扭簧右</v>
          </cell>
          <cell r="O592">
            <v>0.6</v>
          </cell>
          <cell r="P592">
            <v>0</v>
          </cell>
          <cell r="Q592">
            <v>0</v>
          </cell>
          <cell r="R592">
            <v>0</v>
          </cell>
        </row>
        <row r="593">
          <cell r="F593" t="str">
            <v>BSP0000113江苏力乐汽车部件股份有限公司</v>
          </cell>
          <cell r="G593" t="str">
            <v>BSP0000113</v>
          </cell>
          <cell r="H593" t="str">
            <v>K1后排盘簧</v>
          </cell>
          <cell r="O593">
            <v>2.2999999999999998</v>
          </cell>
          <cell r="P593">
            <v>0</v>
          </cell>
          <cell r="Q593">
            <v>0</v>
          </cell>
          <cell r="R593">
            <v>0</v>
          </cell>
        </row>
        <row r="594">
          <cell r="F594" t="str">
            <v>SLT0002802江苏力乐汽车部件股份有限公司</v>
          </cell>
          <cell r="G594" t="str">
            <v>SLT0002802</v>
          </cell>
          <cell r="H594" t="str">
            <v>空心核心件</v>
          </cell>
          <cell r="O594">
            <v>10.5</v>
          </cell>
          <cell r="P594">
            <v>0</v>
          </cell>
          <cell r="Q594">
            <v>0</v>
          </cell>
          <cell r="R594">
            <v>0</v>
          </cell>
        </row>
        <row r="595">
          <cell r="F595" t="str">
            <v>SLT0002803江苏力乐汽车部件股份有限公司</v>
          </cell>
          <cell r="G595" t="str">
            <v>SLT0002803</v>
          </cell>
          <cell r="H595" t="str">
            <v>翻折左座圆盘（主动）</v>
          </cell>
          <cell r="O595">
            <v>16</v>
          </cell>
          <cell r="P595">
            <v>0</v>
          </cell>
          <cell r="Q595">
            <v>0</v>
          </cell>
          <cell r="R595">
            <v>0</v>
          </cell>
        </row>
        <row r="596">
          <cell r="F596" t="str">
            <v>SLT0002804江苏力乐汽车部件股份有限公司</v>
          </cell>
          <cell r="G596" t="str">
            <v>SLT0002804</v>
          </cell>
          <cell r="H596" t="str">
            <v>翻折右座圆盘（主动）</v>
          </cell>
          <cell r="O596">
            <v>16</v>
          </cell>
          <cell r="P596">
            <v>0</v>
          </cell>
          <cell r="Q596">
            <v>0</v>
          </cell>
          <cell r="R596">
            <v>0</v>
          </cell>
        </row>
        <row r="597">
          <cell r="F597" t="str">
            <v>SLT0002805江苏力乐汽车部件股份有限公司</v>
          </cell>
          <cell r="G597" t="str">
            <v>SLT0002805</v>
          </cell>
          <cell r="H597" t="str">
            <v>翻折左座圆盘（被动）</v>
          </cell>
          <cell r="O597">
            <v>16</v>
          </cell>
          <cell r="P597">
            <v>0</v>
          </cell>
          <cell r="Q597">
            <v>0</v>
          </cell>
          <cell r="R597">
            <v>0</v>
          </cell>
        </row>
        <row r="598">
          <cell r="F598" t="str">
            <v>SLT0002806江苏力乐汽车部件股份有限公司</v>
          </cell>
          <cell r="G598" t="str">
            <v>SLT0002806</v>
          </cell>
          <cell r="H598" t="str">
            <v>翻折右座圆盘（被动）</v>
          </cell>
          <cell r="O598">
            <v>16</v>
          </cell>
          <cell r="P598">
            <v>0</v>
          </cell>
          <cell r="Q598">
            <v>0</v>
          </cell>
          <cell r="R598">
            <v>0</v>
          </cell>
        </row>
        <row r="599">
          <cell r="F599" t="str">
            <v>BFA0000859江苏力乐汽车部件股份有限公司</v>
          </cell>
          <cell r="G599" t="str">
            <v>BFA0000859</v>
          </cell>
          <cell r="H599" t="str">
            <v>限位销</v>
          </cell>
          <cell r="O599">
            <v>0.16</v>
          </cell>
          <cell r="P599">
            <v>0</v>
          </cell>
          <cell r="Q599">
            <v>0</v>
          </cell>
          <cell r="R599">
            <v>0</v>
          </cell>
        </row>
        <row r="600">
          <cell r="F600" t="str">
            <v>SLT0002807江苏力乐汽车部件股份有限公司</v>
          </cell>
          <cell r="G600" t="str">
            <v>SLT0002807</v>
          </cell>
          <cell r="H600" t="str">
            <v>操纵柄</v>
          </cell>
          <cell r="O600">
            <v>0.45</v>
          </cell>
          <cell r="P600">
            <v>0</v>
          </cell>
          <cell r="Q600">
            <v>0</v>
          </cell>
          <cell r="R600">
            <v>0</v>
          </cell>
        </row>
        <row r="601">
          <cell r="F601" t="str">
            <v>BFA0000860江苏力乐汽车部件股份有限公司</v>
          </cell>
          <cell r="G601" t="str">
            <v>BFA0000860</v>
          </cell>
          <cell r="H601" t="str">
            <v>固定铆钉</v>
          </cell>
          <cell r="O601">
            <v>0.2</v>
          </cell>
          <cell r="P601">
            <v>0</v>
          </cell>
          <cell r="Q601">
            <v>0</v>
          </cell>
          <cell r="R601">
            <v>0</v>
          </cell>
        </row>
        <row r="602">
          <cell r="F602" t="str">
            <v>BSP0000114江苏力乐汽车部件股份有限公司</v>
          </cell>
          <cell r="G602" t="str">
            <v>BSP0000114</v>
          </cell>
          <cell r="H602" t="str">
            <v>6480连接板拉簧</v>
          </cell>
          <cell r="O602">
            <v>0.57999999999999996</v>
          </cell>
          <cell r="P602">
            <v>0</v>
          </cell>
          <cell r="Q602">
            <v>0</v>
          </cell>
          <cell r="R602">
            <v>0</v>
          </cell>
        </row>
        <row r="603">
          <cell r="F603" t="str">
            <v>SLT0002808江苏力乐汽车部件股份有限公司</v>
          </cell>
          <cell r="G603" t="str">
            <v>SLT0002808</v>
          </cell>
          <cell r="H603" t="str">
            <v>中心轴</v>
          </cell>
          <cell r="O603">
            <v>0.57999999999999996</v>
          </cell>
          <cell r="P603">
            <v>0</v>
          </cell>
          <cell r="Q603">
            <v>0</v>
          </cell>
          <cell r="R603">
            <v>0</v>
          </cell>
        </row>
        <row r="604">
          <cell r="F604" t="str">
            <v>BFA0000861江苏力乐汽车部件股份有限公司</v>
          </cell>
          <cell r="G604" t="str">
            <v>BFA0000861</v>
          </cell>
          <cell r="H604" t="str">
            <v>定位铆钉</v>
          </cell>
          <cell r="O604">
            <v>0.2</v>
          </cell>
          <cell r="P604">
            <v>0</v>
          </cell>
          <cell r="Q604">
            <v>0</v>
          </cell>
          <cell r="R604">
            <v>0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年"/>
      <sheetName val="补差价核算"/>
      <sheetName val="成本核算（10月，11月均价）"/>
    </sheetNames>
    <sheetDataSet>
      <sheetData sheetId="0"/>
      <sheetData sheetId="1">
        <row r="30">
          <cell r="C30" t="str">
            <v>SLT0000408</v>
          </cell>
          <cell r="D30" t="str">
            <v>K1单人背（带头枕）</v>
          </cell>
          <cell r="E30">
            <v>26.734999999999999</v>
          </cell>
          <cell r="F30">
            <v>2.1549999999999998</v>
          </cell>
          <cell r="G30"/>
          <cell r="H30">
            <v>0.55000000000000004</v>
          </cell>
          <cell r="I30">
            <v>1.1852499999999999</v>
          </cell>
          <cell r="J30">
            <v>1.2208075</v>
          </cell>
          <cell r="K30">
            <v>0.80204999999999993</v>
          </cell>
          <cell r="L30">
            <v>2.0228574999999998</v>
          </cell>
          <cell r="M30">
            <v>28.7578575</v>
          </cell>
        </row>
        <row r="31">
          <cell r="C31" t="str">
            <v>SLT0000551</v>
          </cell>
          <cell r="D31" t="str">
            <v>K1单人背（无头枕）</v>
          </cell>
          <cell r="E31">
            <v>26.187999999999999</v>
          </cell>
          <cell r="F31">
            <v>2.1549999999999998</v>
          </cell>
          <cell r="G31"/>
          <cell r="H31">
            <v>0.55000000000000004</v>
          </cell>
          <cell r="I31">
            <v>1.1852499999999999</v>
          </cell>
          <cell r="J31">
            <v>1.2208075</v>
          </cell>
          <cell r="K31">
            <v>0.78563999999999989</v>
          </cell>
          <cell r="L31">
            <v>2.0064475000000002</v>
          </cell>
          <cell r="M31">
            <v>28.194447499999999</v>
          </cell>
        </row>
        <row r="32">
          <cell r="C32" t="str">
            <v>SLT0000394</v>
          </cell>
          <cell r="D32" t="str">
            <v>K1双人左背</v>
          </cell>
          <cell r="E32">
            <v>28.461500000000001</v>
          </cell>
          <cell r="F32">
            <v>2.1850000000000001</v>
          </cell>
          <cell r="G32"/>
          <cell r="H32">
            <v>0.55000000000000004</v>
          </cell>
          <cell r="I32">
            <v>1.2017500000000001</v>
          </cell>
          <cell r="J32">
            <v>1.2378025000000001</v>
          </cell>
          <cell r="K32">
            <v>0.85384499999999997</v>
          </cell>
          <cell r="L32">
            <v>2.0916475000000001</v>
          </cell>
          <cell r="M32">
            <v>30.553147500000001</v>
          </cell>
        </row>
        <row r="33">
          <cell r="C33" t="str">
            <v>SLT0000395</v>
          </cell>
          <cell r="D33" t="str">
            <v>双人右背（安全盒）</v>
          </cell>
          <cell r="E33">
            <v>32.786283185840709</v>
          </cell>
          <cell r="F33">
            <v>2.65</v>
          </cell>
          <cell r="G33"/>
          <cell r="H33">
            <v>0.75</v>
          </cell>
          <cell r="I33">
            <v>1.9874999999999998</v>
          </cell>
          <cell r="J33">
            <v>2.0471249999999999</v>
          </cell>
          <cell r="K33">
            <v>0.98358849557522121</v>
          </cell>
          <cell r="L33">
            <v>3.0307134955752213</v>
          </cell>
          <cell r="M33">
            <v>35.81699668141593</v>
          </cell>
        </row>
        <row r="34">
          <cell r="C34" t="str">
            <v>SLT0000578</v>
          </cell>
          <cell r="D34" t="str">
            <v>双人右置左背</v>
          </cell>
          <cell r="E34">
            <v>30.726500000000001</v>
          </cell>
          <cell r="F34">
            <v>2.65</v>
          </cell>
          <cell r="G34"/>
          <cell r="H34">
            <v>1.3</v>
          </cell>
          <cell r="I34">
            <v>3.4449999999999998</v>
          </cell>
          <cell r="J34">
            <v>3.5483500000000001</v>
          </cell>
          <cell r="K34">
            <v>0.92179500000000003</v>
          </cell>
          <cell r="L34">
            <v>4.4701450000000005</v>
          </cell>
          <cell r="M34">
            <v>35.196645000000004</v>
          </cell>
        </row>
        <row r="35">
          <cell r="C35" t="str">
            <v>SLT0000517</v>
          </cell>
          <cell r="D35" t="str">
            <v>新侧翻（三点式）</v>
          </cell>
          <cell r="E35">
            <v>38.734999999999999</v>
          </cell>
          <cell r="F35">
            <v>3.99</v>
          </cell>
          <cell r="G35"/>
          <cell r="H35">
            <v>0.8</v>
          </cell>
          <cell r="I35">
            <v>3.1920000000000002</v>
          </cell>
          <cell r="J35">
            <v>3.2877600000000005</v>
          </cell>
          <cell r="K35">
            <v>1.16205</v>
          </cell>
          <cell r="L35">
            <v>4.4498100000000003</v>
          </cell>
          <cell r="M35">
            <v>43.184809999999999</v>
          </cell>
        </row>
        <row r="36">
          <cell r="C36" t="str">
            <v>SLT0000604</v>
          </cell>
          <cell r="D36" t="str">
            <v>新侧翻单头枕（三点式）</v>
          </cell>
          <cell r="E36">
            <v>37.068399999999997</v>
          </cell>
          <cell r="F36">
            <v>3.76</v>
          </cell>
          <cell r="G36"/>
          <cell r="H36">
            <v>0.8</v>
          </cell>
          <cell r="I36">
            <v>3.008</v>
          </cell>
          <cell r="J36">
            <v>3.0982400000000001</v>
          </cell>
          <cell r="K36">
            <v>1.1120519999999998</v>
          </cell>
          <cell r="L36">
            <v>4.2102919999999999</v>
          </cell>
          <cell r="M36">
            <v>41.278691999999999</v>
          </cell>
        </row>
        <row r="37">
          <cell r="C37" t="str">
            <v>SLT0000651</v>
          </cell>
          <cell r="D37" t="str">
            <v>第四排侧翻背（无头枕）</v>
          </cell>
          <cell r="E37">
            <v>27.965800000000002</v>
          </cell>
          <cell r="F37">
            <v>3.36</v>
          </cell>
          <cell r="G37"/>
          <cell r="H37">
            <v>0.8</v>
          </cell>
          <cell r="I37">
            <v>2.6880000000000002</v>
          </cell>
          <cell r="J37">
            <v>2.7686400000000004</v>
          </cell>
          <cell r="K37">
            <v>0.838974</v>
          </cell>
          <cell r="L37">
            <v>3.6076140000000003</v>
          </cell>
          <cell r="M37">
            <v>31.573414000000003</v>
          </cell>
        </row>
        <row r="38">
          <cell r="C38" t="str">
            <v>SLT0000449</v>
          </cell>
          <cell r="D38" t="str">
            <v>四人连体左背（三点式）</v>
          </cell>
          <cell r="E38">
            <v>49.931600000000003</v>
          </cell>
          <cell r="F38">
            <v>5.35</v>
          </cell>
          <cell r="G38"/>
          <cell r="H38">
            <v>0.9</v>
          </cell>
          <cell r="I38">
            <v>4.8149999999999995</v>
          </cell>
          <cell r="J38">
            <v>4.9594499999999995</v>
          </cell>
          <cell r="K38">
            <v>1.4979480000000001</v>
          </cell>
          <cell r="L38">
            <v>6.4573979999999995</v>
          </cell>
          <cell r="M38">
            <v>56.388998000000001</v>
          </cell>
        </row>
        <row r="39">
          <cell r="C39" t="str">
            <v>SLT0000462</v>
          </cell>
          <cell r="D39" t="str">
            <v>四人连体右背（三点式）</v>
          </cell>
          <cell r="E39">
            <v>49.931600000000003</v>
          </cell>
          <cell r="F39">
            <v>5.35</v>
          </cell>
          <cell r="G39"/>
          <cell r="H39">
            <v>0.9</v>
          </cell>
          <cell r="I39">
            <v>4.8149999999999995</v>
          </cell>
          <cell r="J39">
            <v>4.9594499999999995</v>
          </cell>
          <cell r="K39">
            <v>1.4979480000000001</v>
          </cell>
          <cell r="L39">
            <v>6.4573979999999995</v>
          </cell>
          <cell r="M39">
            <v>56.388998000000001</v>
          </cell>
        </row>
        <row r="40">
          <cell r="C40" t="str">
            <v>SLT0000568</v>
          </cell>
          <cell r="D40" t="str">
            <v>四人连体左背（无头枕）</v>
          </cell>
          <cell r="E40">
            <v>47.965800000000002</v>
          </cell>
          <cell r="F40">
            <v>5.35</v>
          </cell>
          <cell r="G40"/>
          <cell r="H40">
            <v>0.9</v>
          </cell>
          <cell r="I40">
            <v>4.8149999999999995</v>
          </cell>
          <cell r="J40">
            <v>4.9594499999999995</v>
          </cell>
          <cell r="K40">
            <v>1.438974</v>
          </cell>
          <cell r="L40">
            <v>6.3984239999999994</v>
          </cell>
          <cell r="M40">
            <v>54.364224</v>
          </cell>
        </row>
        <row r="41">
          <cell r="C41" t="str">
            <v>SLT0000569</v>
          </cell>
          <cell r="D41" t="str">
            <v>四人连体右背（无头枕）</v>
          </cell>
          <cell r="E41">
            <v>47.965800000000002</v>
          </cell>
          <cell r="F41">
            <v>5.35</v>
          </cell>
          <cell r="G41"/>
          <cell r="H41">
            <v>0.9</v>
          </cell>
          <cell r="I41">
            <v>4.8149999999999995</v>
          </cell>
          <cell r="J41">
            <v>4.9594499999999995</v>
          </cell>
          <cell r="K41">
            <v>1.438974</v>
          </cell>
          <cell r="L41">
            <v>6.3984239999999994</v>
          </cell>
          <cell r="M41">
            <v>54.364224</v>
          </cell>
        </row>
        <row r="42">
          <cell r="C42" t="str">
            <v>SLT0000558</v>
          </cell>
          <cell r="D42" t="str">
            <v>二排双人连体背（无头枕带扶手）</v>
          </cell>
          <cell r="E42">
            <v>53.470100000000002</v>
          </cell>
          <cell r="F42">
            <v>5.35</v>
          </cell>
          <cell r="G42"/>
          <cell r="H42">
            <v>0.9</v>
          </cell>
          <cell r="I42">
            <v>4.8149999999999995</v>
          </cell>
          <cell r="J42">
            <v>4.9594499999999995</v>
          </cell>
          <cell r="K42">
            <v>1.6041030000000001</v>
          </cell>
          <cell r="L42">
            <v>6.5635529999999997</v>
          </cell>
          <cell r="M42">
            <v>60.033653000000001</v>
          </cell>
        </row>
        <row r="43">
          <cell r="C43" t="str">
            <v>SLT0000638</v>
          </cell>
          <cell r="D43" t="str">
            <v>二排双人连体背（带头枕带扶手三点式）</v>
          </cell>
          <cell r="E43">
            <v>50.2821</v>
          </cell>
          <cell r="F43">
            <v>6</v>
          </cell>
          <cell r="G43"/>
          <cell r="H43">
            <v>1.1000000000000001</v>
          </cell>
          <cell r="I43">
            <v>6.6000000000000005</v>
          </cell>
          <cell r="J43">
            <v>6.7980000000000009</v>
          </cell>
          <cell r="K43">
            <v>1.5084629999999999</v>
          </cell>
          <cell r="L43">
            <v>8.3064630000000008</v>
          </cell>
          <cell r="M43">
            <v>58.588563000000001</v>
          </cell>
        </row>
        <row r="44">
          <cell r="C44" t="str">
            <v>SLT0000552</v>
          </cell>
          <cell r="D44" t="str">
            <v>第一排四人三人连体背</v>
          </cell>
          <cell r="E44">
            <v>63.752099999999999</v>
          </cell>
          <cell r="F44">
            <v>8.4499999999999993</v>
          </cell>
          <cell r="G44"/>
          <cell r="H44">
            <v>0.55000000000000004</v>
          </cell>
          <cell r="I44">
            <v>4.6475</v>
          </cell>
          <cell r="J44">
            <v>4.7869250000000001</v>
          </cell>
          <cell r="K44">
            <v>1.9125629999999998</v>
          </cell>
          <cell r="L44">
            <v>6.6994879999999997</v>
          </cell>
          <cell r="M44">
            <v>70.451588000000001</v>
          </cell>
        </row>
        <row r="45">
          <cell r="C45" t="str">
            <v>SLT0000630</v>
          </cell>
          <cell r="D45" t="str">
            <v>第三排三人连体背</v>
          </cell>
          <cell r="E45">
            <v>55.7607</v>
          </cell>
          <cell r="F45">
            <v>8.89</v>
          </cell>
          <cell r="G45"/>
          <cell r="H45">
            <v>1.1000000000000001</v>
          </cell>
          <cell r="I45">
            <v>9.7790000000000017</v>
          </cell>
          <cell r="J45">
            <v>10.072370000000001</v>
          </cell>
          <cell r="K45">
            <v>1.6728209999999999</v>
          </cell>
          <cell r="L45">
            <v>11.745191000000002</v>
          </cell>
          <cell r="M45">
            <v>67.505891000000005</v>
          </cell>
        </row>
        <row r="46">
          <cell r="C46" t="str">
            <v>SLT0000595</v>
          </cell>
          <cell r="D46" t="str">
            <v>第三排侧翻背（单头枕）</v>
          </cell>
          <cell r="E46">
            <v>24.6068</v>
          </cell>
          <cell r="F46">
            <v>3.41</v>
          </cell>
          <cell r="G46"/>
          <cell r="H46">
            <v>1</v>
          </cell>
          <cell r="I46">
            <v>3.41</v>
          </cell>
          <cell r="J46">
            <v>3.5123000000000002</v>
          </cell>
          <cell r="K46">
            <v>0.73820399999999997</v>
          </cell>
          <cell r="L46">
            <v>4.2505040000000003</v>
          </cell>
          <cell r="M46">
            <v>28.857303999999999</v>
          </cell>
        </row>
        <row r="47">
          <cell r="C47" t="str">
            <v>SLT0001041</v>
          </cell>
          <cell r="D47" t="str">
            <v>马来西亚双人左背</v>
          </cell>
          <cell r="E47">
            <v>31.6496</v>
          </cell>
          <cell r="F47">
            <v>2.41</v>
          </cell>
          <cell r="G47"/>
          <cell r="H47">
            <v>0.9</v>
          </cell>
          <cell r="I47">
            <v>2.169</v>
          </cell>
          <cell r="J47">
            <v>2.23407</v>
          </cell>
          <cell r="K47">
            <v>0.949488</v>
          </cell>
          <cell r="L47">
            <v>3.1835580000000001</v>
          </cell>
          <cell r="M47">
            <v>34.833157999999997</v>
          </cell>
        </row>
        <row r="48">
          <cell r="C48" t="str">
            <v>SLT0001042</v>
          </cell>
          <cell r="D48" t="str">
            <v>马来西亚双人右背</v>
          </cell>
          <cell r="E48">
            <v>31.6496</v>
          </cell>
          <cell r="F48">
            <v>2.41</v>
          </cell>
          <cell r="G48"/>
          <cell r="H48">
            <v>0.9</v>
          </cell>
          <cell r="I48">
            <v>2.169</v>
          </cell>
          <cell r="J48">
            <v>2.23407</v>
          </cell>
          <cell r="K48">
            <v>0.949488</v>
          </cell>
          <cell r="L48">
            <v>3.1835580000000001</v>
          </cell>
          <cell r="M48">
            <v>34.833157999999997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恒伟1"/>
      <sheetName val="恒伟1 (2)"/>
      <sheetName val="Sheet1"/>
      <sheetName val="Sheet2"/>
      <sheetName val="Sheet3"/>
    </sheetNames>
    <sheetDataSet>
      <sheetData sheetId="0"/>
      <sheetData sheetId="1">
        <row r="9">
          <cell r="B9" t="str">
            <v>SLT0000394</v>
          </cell>
          <cell r="C9" t="str">
            <v>K1双人左背</v>
          </cell>
          <cell r="D9"/>
          <cell r="E9" t="str">
            <v>件</v>
          </cell>
          <cell r="F9">
            <v>28.461500000000001</v>
          </cell>
          <cell r="G9">
            <v>30.083260000000003</v>
          </cell>
        </row>
        <row r="10">
          <cell r="B10" t="str">
            <v>SLT0000408</v>
          </cell>
          <cell r="C10" t="str">
            <v>K1单人背（带头枕）</v>
          </cell>
          <cell r="D10"/>
          <cell r="E10" t="str">
            <v>件</v>
          </cell>
          <cell r="F10">
            <v>26.734999999999999</v>
          </cell>
          <cell r="G10">
            <v>28.374565</v>
          </cell>
        </row>
        <row r="11">
          <cell r="B11" t="str">
            <v>SLT0000449</v>
          </cell>
          <cell r="C11" t="str">
            <v>K1四人连体左（三点式）</v>
          </cell>
          <cell r="D11"/>
          <cell r="E11" t="str">
            <v>件</v>
          </cell>
          <cell r="F11">
            <v>49.931600000000003</v>
          </cell>
          <cell r="G11">
            <v>54.495202000000006</v>
          </cell>
        </row>
        <row r="12">
          <cell r="B12" t="str">
            <v>SLT0000462</v>
          </cell>
          <cell r="C12" t="str">
            <v>K1四人连体右（三点式）</v>
          </cell>
          <cell r="D12"/>
          <cell r="E12" t="str">
            <v>件</v>
          </cell>
          <cell r="F12">
            <v>49.931600000000003</v>
          </cell>
          <cell r="G12">
            <v>54.495202000000006</v>
          </cell>
        </row>
        <row r="13">
          <cell r="B13" t="str">
            <v>SLT0000517</v>
          </cell>
          <cell r="C13" t="str">
            <v>K1侧翻背三点式（新状态）</v>
          </cell>
          <cell r="D13"/>
          <cell r="E13" t="str">
            <v>件</v>
          </cell>
          <cell r="F13">
            <v>38.734999999999999</v>
          </cell>
          <cell r="G13">
            <v>42.093620000000001</v>
          </cell>
        </row>
        <row r="14">
          <cell r="B14" t="str">
            <v>SLT0000551</v>
          </cell>
          <cell r="C14" t="str">
            <v>K1单人背（无头枕）</v>
          </cell>
          <cell r="D14"/>
          <cell r="E14" t="str">
            <v>件</v>
          </cell>
          <cell r="F14">
            <v>26.187999999999999</v>
          </cell>
          <cell r="G14">
            <v>27.843975</v>
          </cell>
        </row>
        <row r="15">
          <cell r="B15" t="str">
            <v>SLT0000552</v>
          </cell>
          <cell r="C15" t="str">
            <v>K1一排四人三人靠背（右舵）</v>
          </cell>
          <cell r="D15"/>
          <cell r="E15" t="str">
            <v>件</v>
          </cell>
          <cell r="F15">
            <v>63.752099999999999</v>
          </cell>
          <cell r="G15">
            <v>71.413387</v>
          </cell>
        </row>
        <row r="16">
          <cell r="B16" t="str">
            <v>SLT0000558</v>
          </cell>
          <cell r="C16" t="str">
            <v>K1二排双人连体背（无头枕带扶手）</v>
          </cell>
          <cell r="D16"/>
          <cell r="E16" t="str">
            <v>件</v>
          </cell>
          <cell r="F16">
            <v>53.470100000000002</v>
          </cell>
          <cell r="G16">
            <v>57.927547000000004</v>
          </cell>
        </row>
        <row r="17">
          <cell r="B17" t="str">
            <v>SLT0000568</v>
          </cell>
          <cell r="C17" t="str">
            <v>K1四人连体左（无头枕）</v>
          </cell>
          <cell r="D17"/>
          <cell r="E17" t="str">
            <v>件</v>
          </cell>
          <cell r="F17">
            <v>47.965800000000002</v>
          </cell>
          <cell r="G17">
            <v>52.588376000000004</v>
          </cell>
        </row>
        <row r="18">
          <cell r="B18" t="str">
            <v>SLT0000569</v>
          </cell>
          <cell r="C18" t="str">
            <v>K1四人连体右（无头枕）</v>
          </cell>
          <cell r="D18"/>
          <cell r="E18" t="str">
            <v>件</v>
          </cell>
          <cell r="F18">
            <v>47.965800000000002</v>
          </cell>
          <cell r="G18">
            <v>52.588376000000004</v>
          </cell>
        </row>
        <row r="19">
          <cell r="B19" t="str">
            <v>SLT0000578</v>
          </cell>
          <cell r="C19" t="str">
            <v>K1双人右置左背（带安全盒）</v>
          </cell>
          <cell r="D19"/>
          <cell r="E19" t="str">
            <v>件</v>
          </cell>
          <cell r="F19">
            <v>30.726500000000001</v>
          </cell>
          <cell r="G19">
            <v>32.807155000000002</v>
          </cell>
        </row>
        <row r="20">
          <cell r="B20" t="str">
            <v>SLT0000595</v>
          </cell>
          <cell r="C20" t="str">
            <v>K1第三排侧翻左背（单头枕）</v>
          </cell>
          <cell r="D20"/>
          <cell r="E20" t="str">
            <v>件</v>
          </cell>
          <cell r="F20">
            <v>24.6068</v>
          </cell>
          <cell r="G20">
            <v>27.732126000000001</v>
          </cell>
        </row>
        <row r="21">
          <cell r="B21" t="str">
            <v>SLT0000604</v>
          </cell>
          <cell r="C21" t="str">
            <v>K1侧翻右背（单头枕三点式）</v>
          </cell>
          <cell r="D21"/>
          <cell r="E21" t="str">
            <v>件</v>
          </cell>
          <cell r="F21">
            <v>37.068399999999997</v>
          </cell>
          <cell r="G21">
            <v>40.216428000000001</v>
          </cell>
        </row>
        <row r="22">
          <cell r="B22" t="str">
            <v>SLT0000630</v>
          </cell>
          <cell r="C22" t="str">
            <v>K1窄车左舵三排三人背(三点式）</v>
          </cell>
          <cell r="D22"/>
          <cell r="E22" t="str">
            <v>件</v>
          </cell>
          <cell r="F22">
            <v>55.7607</v>
          </cell>
          <cell r="G22">
            <v>64.160248999999993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  <cell r="D23"/>
          <cell r="E23" t="str">
            <v>件</v>
          </cell>
          <cell r="F23">
            <v>50.2821</v>
          </cell>
          <cell r="G23">
            <v>55.571637000000003</v>
          </cell>
        </row>
        <row r="24">
          <cell r="B24" t="str">
            <v>SLT0000651</v>
          </cell>
          <cell r="C24" t="str">
            <v>K1侧翻左背（不带头枕）</v>
          </cell>
          <cell r="D24"/>
          <cell r="E24" t="str">
            <v>件</v>
          </cell>
          <cell r="F24">
            <v>27.965800000000002</v>
          </cell>
          <cell r="G24">
            <v>30.933706000000001</v>
          </cell>
        </row>
        <row r="25">
          <cell r="B25" t="str">
            <v>SLT0000395</v>
          </cell>
          <cell r="C25" t="str">
            <v>双人右背（安全盒）</v>
          </cell>
          <cell r="D25"/>
          <cell r="E25" t="str">
            <v>件</v>
          </cell>
          <cell r="F25">
            <v>32.786283185840709</v>
          </cell>
          <cell r="G25">
            <v>34.805144690265486</v>
          </cell>
        </row>
        <row r="26">
          <cell r="B26" t="str">
            <v>SLT0001041</v>
          </cell>
          <cell r="C26" t="str">
            <v>K1出口马来西亚左背骨架</v>
          </cell>
          <cell r="D26"/>
          <cell r="E26" t="str">
            <v>件</v>
          </cell>
          <cell r="F26">
            <v>31.6496</v>
          </cell>
          <cell r="G26">
            <v>33.430641999999999</v>
          </cell>
        </row>
        <row r="27">
          <cell r="B27" t="str">
            <v>SLT0001042</v>
          </cell>
          <cell r="C27" t="str">
            <v>K1出口马来西亚右背骨架</v>
          </cell>
          <cell r="D27"/>
          <cell r="E27" t="str">
            <v>件</v>
          </cell>
          <cell r="F27">
            <v>31.6496</v>
          </cell>
          <cell r="G27">
            <v>33.430641999999999</v>
          </cell>
        </row>
        <row r="28">
          <cell r="B28" t="str">
            <v>SLT0001035</v>
          </cell>
          <cell r="C28" t="str">
            <v>宽车一排三人联体背无头枕骨架(无头枕）骨架</v>
          </cell>
          <cell r="D28"/>
          <cell r="E28" t="str">
            <v>件</v>
          </cell>
          <cell r="F28">
            <v>56.991500000000002</v>
          </cell>
          <cell r="G28">
            <v>56.991500000000002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 codeName="Sheet1"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2" ht="27.75" customHeight="1">
      <c r="I2" s="200" t="s">
        <v>1</v>
      </c>
      <c r="J2" s="200"/>
      <c r="K2" s="20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7">
        <v>1</v>
      </c>
      <c r="B4" s="197" t="s">
        <v>31</v>
      </c>
      <c r="C4" s="197" t="s">
        <v>32</v>
      </c>
      <c r="D4" s="197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198"/>
      <c r="B5" s="198"/>
      <c r="C5" s="198"/>
      <c r="D5" s="198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197">
        <v>2</v>
      </c>
      <c r="B6" s="197" t="s">
        <v>18</v>
      </c>
      <c r="C6" s="197" t="s">
        <v>19</v>
      </c>
      <c r="D6" s="197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198"/>
      <c r="B7" s="198"/>
      <c r="C7" s="198"/>
      <c r="D7" s="198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197">
        <v>3</v>
      </c>
      <c r="B8" s="197" t="s">
        <v>33</v>
      </c>
      <c r="C8" s="197" t="s">
        <v>34</v>
      </c>
      <c r="D8" s="197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198"/>
      <c r="B9" s="198"/>
      <c r="C9" s="198"/>
      <c r="D9" s="198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193" t="s">
        <v>25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</row>
    <row r="11" spans="1:12" ht="78.599999999999994" customHeight="1">
      <c r="A11" s="193"/>
      <c r="B11" s="193"/>
      <c r="C11" s="193"/>
      <c r="D11" s="193"/>
      <c r="E11" s="193"/>
      <c r="F11" s="193"/>
      <c r="G11" s="193"/>
      <c r="H11" s="193"/>
      <c r="I11" s="193"/>
      <c r="J11" s="193"/>
      <c r="K11" s="193"/>
    </row>
    <row r="12" spans="1:12" ht="93" customHeight="1">
      <c r="A12" s="194" t="s">
        <v>13</v>
      </c>
      <c r="B12" s="195"/>
      <c r="C12" s="196" t="s">
        <v>14</v>
      </c>
      <c r="D12" s="196"/>
      <c r="E12" s="193" t="s">
        <v>15</v>
      </c>
      <c r="F12" s="193"/>
      <c r="G12" s="193"/>
      <c r="H12" s="193" t="s">
        <v>16</v>
      </c>
      <c r="I12" s="193"/>
      <c r="J12" s="193" t="s">
        <v>17</v>
      </c>
      <c r="K12" s="193"/>
    </row>
  </sheetData>
  <mergeCells count="20"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  <mergeCell ref="A10:K11"/>
    <mergeCell ref="A12:B12"/>
    <mergeCell ref="C12:D12"/>
    <mergeCell ref="E12:G12"/>
    <mergeCell ref="H12:I12"/>
    <mergeCell ref="J12:K1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 codeName="Sheet10">
    <pageSetUpPr fitToPage="1"/>
  </sheetPr>
  <dimension ref="A1:L7"/>
  <sheetViews>
    <sheetView workbookViewId="0">
      <selection activeCell="A5" sqref="A5:K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2" ht="27.75" customHeight="1">
      <c r="I2" s="200" t="s">
        <v>1</v>
      </c>
      <c r="J2" s="200"/>
      <c r="K2" s="20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200</v>
      </c>
      <c r="C4" s="14" t="s">
        <v>201</v>
      </c>
      <c r="D4" s="12" t="s">
        <v>20</v>
      </c>
      <c r="E4" s="15">
        <f>0.6/1.13</f>
        <v>0.53097345132743368</v>
      </c>
      <c r="F4" s="7">
        <v>0.13</v>
      </c>
      <c r="G4" s="9"/>
      <c r="H4" s="15">
        <f>0.55/1.13</f>
        <v>0.48672566371681425</v>
      </c>
      <c r="I4" s="15">
        <f>H4</f>
        <v>0.48672566371681425</v>
      </c>
      <c r="J4" s="16" t="s">
        <v>202</v>
      </c>
      <c r="K4" s="16"/>
      <c r="L4" s="8"/>
    </row>
    <row r="5" spans="1:12" ht="27.75" customHeight="1">
      <c r="A5" s="193" t="s">
        <v>203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</row>
    <row r="6" spans="1:12" ht="50.4" customHeight="1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spans="1:12" ht="93" customHeight="1">
      <c r="A7" s="194" t="s">
        <v>13</v>
      </c>
      <c r="B7" s="195"/>
      <c r="C7" s="196" t="s">
        <v>14</v>
      </c>
      <c r="D7" s="196"/>
      <c r="E7" s="193" t="s">
        <v>15</v>
      </c>
      <c r="F7" s="193"/>
      <c r="G7" s="193"/>
      <c r="H7" s="193" t="s">
        <v>16</v>
      </c>
      <c r="I7" s="193"/>
      <c r="J7" s="193" t="s">
        <v>17</v>
      </c>
      <c r="K7" s="193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 codeName="Sheet11">
    <pageSetUpPr fitToPage="1"/>
  </sheetPr>
  <dimension ref="A1:N13"/>
  <sheetViews>
    <sheetView zoomScale="90" zoomScaleNormal="90" workbookViewId="0">
      <selection activeCell="H6" sqref="H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4" ht="27.75" customHeight="1">
      <c r="I2" s="200" t="s">
        <v>1</v>
      </c>
      <c r="J2" s="200"/>
      <c r="K2" s="200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14" t="s">
        <v>205</v>
      </c>
      <c r="D4" s="12" t="s">
        <v>20</v>
      </c>
      <c r="E4" s="15">
        <v>4.0999999999999996</v>
      </c>
      <c r="F4" s="41">
        <v>0.13</v>
      </c>
      <c r="G4" s="9">
        <f>0.0462*7.965</f>
        <v>0.367983</v>
      </c>
      <c r="H4" s="15">
        <v>0.55000000000000004</v>
      </c>
      <c r="I4" s="15">
        <v>0.55000000000000004</v>
      </c>
      <c r="J4" s="40" t="s">
        <v>204</v>
      </c>
      <c r="K4" s="40" t="s">
        <v>215</v>
      </c>
      <c r="L4" s="8"/>
    </row>
    <row r="5" spans="1:14" ht="62.4" customHeight="1">
      <c r="A5" s="12">
        <v>2</v>
      </c>
      <c r="B5" s="42" t="s">
        <v>207</v>
      </c>
      <c r="C5" s="14" t="s">
        <v>208</v>
      </c>
      <c r="D5" s="12" t="s">
        <v>20</v>
      </c>
      <c r="E5" s="15">
        <v>0.14646135000000002</v>
      </c>
      <c r="F5" s="41">
        <v>0.13</v>
      </c>
      <c r="G5" s="30">
        <f>0.0089*10/1.13</f>
        <v>7.8761061946902661E-2</v>
      </c>
      <c r="H5" s="23"/>
      <c r="I5" s="23"/>
      <c r="J5" s="40" t="s">
        <v>204</v>
      </c>
      <c r="K5" s="40" t="s">
        <v>216</v>
      </c>
      <c r="L5" s="8"/>
    </row>
    <row r="6" spans="1:14" ht="62.4" customHeight="1">
      <c r="A6" s="12">
        <v>3</v>
      </c>
      <c r="B6" s="43" t="s">
        <v>209</v>
      </c>
      <c r="C6" s="14" t="s">
        <v>210</v>
      </c>
      <c r="D6" s="12" t="s">
        <v>20</v>
      </c>
      <c r="E6" s="15">
        <v>0.27163499999999996</v>
      </c>
      <c r="F6" s="41">
        <v>0.13</v>
      </c>
      <c r="G6" s="9">
        <f>((3+0.6+0.6)*(16+1.2)*0.6*7.85/1000000*50-(3+0.6+0.6)*(16+1.2)*0.6*7.85/1000000*20+0.03+0.03+25/3600*3)*1.12</f>
        <v>0.10196574677333334</v>
      </c>
      <c r="H6" s="23"/>
      <c r="I6" s="23"/>
      <c r="J6" s="40" t="s">
        <v>204</v>
      </c>
      <c r="K6" s="16" t="s">
        <v>218</v>
      </c>
      <c r="L6" s="8"/>
      <c r="N6" s="44"/>
    </row>
    <row r="7" spans="1:14" ht="62.4" customHeight="1">
      <c r="A7" s="12">
        <v>4</v>
      </c>
      <c r="B7" s="43" t="s">
        <v>220</v>
      </c>
      <c r="C7" s="14" t="s">
        <v>221</v>
      </c>
      <c r="D7" s="12" t="s">
        <v>20</v>
      </c>
      <c r="E7" s="15">
        <v>0.21042</v>
      </c>
      <c r="F7" s="41">
        <v>0.13</v>
      </c>
      <c r="G7" s="9">
        <f>(0.00015*50+25/3600*10+25/3600*5)*1.12</f>
        <v>0.12506666666666669</v>
      </c>
      <c r="H7" s="23"/>
      <c r="I7" s="23"/>
      <c r="J7" s="40" t="s">
        <v>204</v>
      </c>
      <c r="K7" s="16" t="s">
        <v>218</v>
      </c>
      <c r="L7" s="8"/>
    </row>
    <row r="8" spans="1:14" ht="62.4" customHeight="1">
      <c r="A8" s="12">
        <v>5</v>
      </c>
      <c r="B8" s="43" t="s">
        <v>211</v>
      </c>
      <c r="C8" s="14" t="s">
        <v>212</v>
      </c>
      <c r="D8" s="12" t="s">
        <v>20</v>
      </c>
      <c r="E8" s="15">
        <v>0.21598500000000004</v>
      </c>
      <c r="F8" s="41">
        <v>0.13</v>
      </c>
      <c r="G8" s="9">
        <f>(0.00025*50+25/3600*10+25/3600*5)*1.12</f>
        <v>0.13066666666666668</v>
      </c>
      <c r="H8" s="23"/>
      <c r="I8" s="23"/>
      <c r="J8" s="40" t="s">
        <v>204</v>
      </c>
      <c r="K8" s="16" t="s">
        <v>218</v>
      </c>
      <c r="L8" s="8"/>
    </row>
    <row r="9" spans="1:14" ht="62.4" customHeight="1">
      <c r="A9" s="12">
        <v>6</v>
      </c>
      <c r="B9" s="42" t="s">
        <v>214</v>
      </c>
      <c r="C9" s="14" t="s">
        <v>213</v>
      </c>
      <c r="D9" s="12" t="s">
        <v>20</v>
      </c>
      <c r="E9" s="15">
        <v>0.31384919999999999</v>
      </c>
      <c r="F9" s="41">
        <v>0.13</v>
      </c>
      <c r="G9" s="9">
        <f>0.0388*7.965</f>
        <v>0.30904199999999998</v>
      </c>
      <c r="H9" s="23"/>
      <c r="I9" s="23"/>
      <c r="J9" s="40" t="s">
        <v>204</v>
      </c>
      <c r="K9" s="16" t="s">
        <v>217</v>
      </c>
      <c r="L9" s="8"/>
    </row>
    <row r="10" spans="1:14" ht="62.4" customHeight="1">
      <c r="A10" s="12">
        <v>7</v>
      </c>
      <c r="B10" s="42" t="s">
        <v>222</v>
      </c>
      <c r="C10" s="14" t="s">
        <v>223</v>
      </c>
      <c r="D10" s="12" t="s">
        <v>20</v>
      </c>
      <c r="E10" s="15">
        <v>0.19112520000000002</v>
      </c>
      <c r="F10" s="41">
        <v>0.13</v>
      </c>
      <c r="G10" s="9">
        <f>(0.003*8+25/3600*10+25/3600*3)*1.12</f>
        <v>0.12799111111111111</v>
      </c>
      <c r="H10" s="23"/>
      <c r="I10" s="23"/>
      <c r="J10" s="40" t="s">
        <v>204</v>
      </c>
      <c r="K10" s="16" t="s">
        <v>215</v>
      </c>
      <c r="L10" s="8"/>
    </row>
    <row r="11" spans="1:14" ht="27.75" customHeight="1">
      <c r="A11" s="193" t="s">
        <v>219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</row>
    <row r="12" spans="1:14" ht="50.4" customHeight="1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</row>
    <row r="13" spans="1:14" ht="93" customHeight="1">
      <c r="A13" s="194" t="s">
        <v>13</v>
      </c>
      <c r="B13" s="195"/>
      <c r="C13" s="196" t="s">
        <v>14</v>
      </c>
      <c r="D13" s="196"/>
      <c r="E13" s="193" t="s">
        <v>15</v>
      </c>
      <c r="F13" s="193"/>
      <c r="G13" s="193"/>
      <c r="H13" s="193" t="s">
        <v>16</v>
      </c>
      <c r="I13" s="193"/>
      <c r="J13" s="193" t="s">
        <v>17</v>
      </c>
      <c r="K13" s="193"/>
    </row>
  </sheetData>
  <mergeCells count="8">
    <mergeCell ref="A1:K1"/>
    <mergeCell ref="I2:K2"/>
    <mergeCell ref="A11:K12"/>
    <mergeCell ref="A13:B13"/>
    <mergeCell ref="C13:D13"/>
    <mergeCell ref="E13:G13"/>
    <mergeCell ref="H13:I13"/>
    <mergeCell ref="J13:K1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CE59-B2B2-4A78-832A-A90463FEE732}">
  <sheetPr codeName="Sheet12">
    <pageSetUpPr fitToPage="1"/>
  </sheetPr>
  <dimension ref="A1:N15"/>
  <sheetViews>
    <sheetView zoomScale="60" zoomScaleNormal="60" workbookViewId="0">
      <selection activeCell="A13" sqref="A13: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4" ht="27.75" customHeight="1">
      <c r="I2" s="200" t="s">
        <v>1</v>
      </c>
      <c r="J2" s="200"/>
      <c r="K2" s="200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52" t="s">
        <v>205</v>
      </c>
      <c r="D4" s="12" t="s">
        <v>20</v>
      </c>
      <c r="E4" s="15">
        <v>0.5523482999999999</v>
      </c>
      <c r="F4" s="41">
        <v>0.13</v>
      </c>
      <c r="G4" s="9">
        <f>VLOOKUP(B4,'[3]77'!$B$4:$P$28,15,0)</f>
        <v>0.36796460176991153</v>
      </c>
      <c r="H4" s="11">
        <v>0.36796460176991153</v>
      </c>
      <c r="I4" s="47">
        <v>0.36796460176991153</v>
      </c>
      <c r="J4" s="40" t="s">
        <v>204</v>
      </c>
      <c r="K4" s="46" t="s">
        <v>215</v>
      </c>
      <c r="L4" s="8"/>
    </row>
    <row r="5" spans="1:14" ht="62.4" customHeight="1">
      <c r="A5" s="12">
        <v>2</v>
      </c>
      <c r="B5" s="42" t="s">
        <v>230</v>
      </c>
      <c r="C5" s="27" t="s">
        <v>239</v>
      </c>
      <c r="D5" s="12" t="s">
        <v>20</v>
      </c>
      <c r="E5" s="15">
        <v>0.19047</v>
      </c>
      <c r="F5" s="41">
        <v>0.13</v>
      </c>
      <c r="G5" s="11">
        <f>VLOOKUP(B5,'[3]77'!$B$4:$P$28,15,0)</f>
        <v>0.11771200000000002</v>
      </c>
      <c r="H5" s="11">
        <v>0.11771200000000002</v>
      </c>
      <c r="I5" s="47">
        <v>0.11771200000000002</v>
      </c>
      <c r="J5" s="40" t="s">
        <v>204</v>
      </c>
      <c r="K5" s="46" t="s">
        <v>215</v>
      </c>
      <c r="L5" s="8"/>
    </row>
    <row r="6" spans="1:14" ht="62.4" customHeight="1">
      <c r="A6" s="12">
        <v>3</v>
      </c>
      <c r="B6" s="42" t="s">
        <v>222</v>
      </c>
      <c r="C6" s="35" t="s">
        <v>223</v>
      </c>
      <c r="D6" s="12" t="s">
        <v>20</v>
      </c>
      <c r="E6" s="15">
        <v>0.19112520000000002</v>
      </c>
      <c r="F6" s="41">
        <v>0.13</v>
      </c>
      <c r="G6" s="9">
        <f>VLOOKUP(B6,'[3]77'!$B$4:$P$28,15,0)</f>
        <v>0.11659200000000003</v>
      </c>
      <c r="H6" s="49">
        <v>0.186</v>
      </c>
      <c r="I6" s="50">
        <v>0.186</v>
      </c>
      <c r="J6" s="40" t="s">
        <v>204</v>
      </c>
      <c r="K6" s="16" t="s">
        <v>215</v>
      </c>
      <c r="L6" s="8"/>
    </row>
    <row r="7" spans="1:14" ht="62.4" customHeight="1">
      <c r="A7" s="12">
        <v>4</v>
      </c>
      <c r="B7" s="42" t="s">
        <v>232</v>
      </c>
      <c r="C7" s="27" t="s">
        <v>231</v>
      </c>
      <c r="D7" s="12" t="s">
        <v>20</v>
      </c>
      <c r="E7" s="15">
        <v>0.35</v>
      </c>
      <c r="F7" s="41">
        <v>0.13</v>
      </c>
      <c r="G7" s="9">
        <f>VLOOKUP(B7,'[3]77'!$B$4:$P$28,15,0)</f>
        <v>0.134792</v>
      </c>
      <c r="H7" s="51">
        <v>0.34</v>
      </c>
      <c r="I7" s="51">
        <v>0.34</v>
      </c>
      <c r="J7" s="40" t="s">
        <v>204</v>
      </c>
      <c r="K7" s="16" t="s">
        <v>215</v>
      </c>
      <c r="L7" s="8"/>
    </row>
    <row r="8" spans="1:14" ht="62.4" customHeight="1">
      <c r="A8" s="12">
        <v>5</v>
      </c>
      <c r="B8" s="42" t="s">
        <v>214</v>
      </c>
      <c r="C8" s="35" t="s">
        <v>213</v>
      </c>
      <c r="D8" s="12" t="s">
        <v>20</v>
      </c>
      <c r="E8" s="15">
        <v>0.31384919999999999</v>
      </c>
      <c r="F8" s="41">
        <v>0.13</v>
      </c>
      <c r="G8" s="9">
        <f>VLOOKUP(B8,'[3]77'!$B$4:$P$28,15,0)</f>
        <v>0.3090265486725664</v>
      </c>
      <c r="H8" s="11">
        <v>0.3090265486725664</v>
      </c>
      <c r="I8" s="48">
        <v>0.3090265486725664</v>
      </c>
      <c r="J8" s="40" t="s">
        <v>204</v>
      </c>
      <c r="K8" s="16" t="s">
        <v>217</v>
      </c>
      <c r="L8" s="8"/>
    </row>
    <row r="9" spans="1:14" ht="62.4" customHeight="1">
      <c r="A9" s="12">
        <v>6</v>
      </c>
      <c r="B9" s="42" t="s">
        <v>207</v>
      </c>
      <c r="C9" s="35" t="s">
        <v>208</v>
      </c>
      <c r="D9" s="12" t="s">
        <v>20</v>
      </c>
      <c r="E9" s="15">
        <v>0.14646135000000002</v>
      </c>
      <c r="F9" s="41">
        <v>0.13</v>
      </c>
      <c r="G9" s="9">
        <f>VLOOKUP(B9,'[3]77'!$B$4:$P$28,15,0)</f>
        <v>9.8448000000000022E-2</v>
      </c>
      <c r="H9" s="11">
        <v>9.8448000000000022E-2</v>
      </c>
      <c r="I9" s="48">
        <v>9.8448000000000022E-2</v>
      </c>
      <c r="J9" s="40" t="s">
        <v>204</v>
      </c>
      <c r="K9" s="46" t="s">
        <v>216</v>
      </c>
      <c r="L9" s="8"/>
    </row>
    <row r="10" spans="1:14" ht="62.4" customHeight="1">
      <c r="A10" s="12">
        <v>7</v>
      </c>
      <c r="B10" s="43" t="s">
        <v>209</v>
      </c>
      <c r="C10" s="35" t="s">
        <v>210</v>
      </c>
      <c r="D10" s="12" t="s">
        <v>20</v>
      </c>
      <c r="E10" s="15">
        <v>0.27163499999999996</v>
      </c>
      <c r="F10" s="41">
        <v>0.13</v>
      </c>
      <c r="G10" s="9">
        <f>VLOOKUP(B10,'[3]77'!$B$4:$P$28,15,0)</f>
        <v>0.10673600000000001</v>
      </c>
      <c r="H10" s="49">
        <v>0.27160000000000001</v>
      </c>
      <c r="I10" s="50">
        <v>0.27160000000000001</v>
      </c>
      <c r="J10" s="40" t="s">
        <v>204</v>
      </c>
      <c r="K10" s="16" t="s">
        <v>218</v>
      </c>
      <c r="L10" s="8"/>
      <c r="N10" s="44"/>
    </row>
    <row r="11" spans="1:14" ht="62.4" customHeight="1">
      <c r="A11" s="12">
        <v>8</v>
      </c>
      <c r="B11" s="43" t="s">
        <v>220</v>
      </c>
      <c r="C11" s="35" t="s">
        <v>221</v>
      </c>
      <c r="D11" s="12" t="s">
        <v>20</v>
      </c>
      <c r="E11" s="15">
        <v>0.21042</v>
      </c>
      <c r="F11" s="41">
        <v>0.13</v>
      </c>
      <c r="G11" s="9">
        <f>VLOOKUP(B11,'[3]77'!$B$4:$P$28,15,0)</f>
        <v>0.1312888888888889</v>
      </c>
      <c r="H11" s="11">
        <v>0.1312888888888889</v>
      </c>
      <c r="I11" s="48">
        <v>0.1312888888888889</v>
      </c>
      <c r="J11" s="40" t="s">
        <v>204</v>
      </c>
      <c r="K11" s="16" t="s">
        <v>218</v>
      </c>
      <c r="L11" s="8"/>
    </row>
    <row r="12" spans="1:14" ht="62.4" customHeight="1">
      <c r="A12" s="12">
        <v>9</v>
      </c>
      <c r="B12" s="43" t="s">
        <v>211</v>
      </c>
      <c r="C12" s="35" t="s">
        <v>212</v>
      </c>
      <c r="D12" s="12" t="s">
        <v>20</v>
      </c>
      <c r="E12" s="15">
        <v>0.21598500000000004</v>
      </c>
      <c r="F12" s="41">
        <v>0.13</v>
      </c>
      <c r="G12" s="9">
        <f>VLOOKUP(B12,'[3]77'!$B$4:$P$28,15,0)</f>
        <v>0.13688888888888889</v>
      </c>
      <c r="H12" s="11">
        <v>0.13688888888888889</v>
      </c>
      <c r="I12" s="48">
        <v>0.13688888888888889</v>
      </c>
      <c r="J12" s="40" t="s">
        <v>204</v>
      </c>
      <c r="K12" s="16" t="s">
        <v>218</v>
      </c>
      <c r="L12" s="8"/>
    </row>
    <row r="13" spans="1:14" ht="45.6" customHeight="1">
      <c r="A13" s="193" t="s">
        <v>238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</row>
    <row r="14" spans="1:14" ht="32.4" customHeight="1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</row>
    <row r="15" spans="1:14" ht="93" customHeight="1">
      <c r="A15" s="194" t="s">
        <v>13</v>
      </c>
      <c r="B15" s="195"/>
      <c r="C15" s="196" t="s">
        <v>14</v>
      </c>
      <c r="D15" s="196"/>
      <c r="E15" s="193" t="s">
        <v>15</v>
      </c>
      <c r="F15" s="193"/>
      <c r="G15" s="193"/>
      <c r="H15" s="193" t="s">
        <v>16</v>
      </c>
      <c r="I15" s="193"/>
      <c r="J15" s="193" t="s">
        <v>17</v>
      </c>
      <c r="K15" s="193"/>
    </row>
  </sheetData>
  <mergeCells count="8">
    <mergeCell ref="A1:K1"/>
    <mergeCell ref="I2:K2"/>
    <mergeCell ref="A13:K14"/>
    <mergeCell ref="A15:B15"/>
    <mergeCell ref="C15:D15"/>
    <mergeCell ref="E15:G15"/>
    <mergeCell ref="H15:I15"/>
    <mergeCell ref="J15:K15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5CE-7E78-4C4B-9A27-B902FB34065F}">
  <sheetPr codeName="Sheet13">
    <pageSetUpPr fitToPage="1"/>
  </sheetPr>
  <dimension ref="A1:L8"/>
  <sheetViews>
    <sheetView zoomScale="90" zoomScaleNormal="90"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2" ht="27.75" customHeight="1">
      <c r="I2" s="200" t="s">
        <v>1</v>
      </c>
      <c r="J2" s="200"/>
      <c r="K2" s="20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34" t="s">
        <v>224</v>
      </c>
      <c r="C4" s="35" t="s">
        <v>225</v>
      </c>
      <c r="D4" s="12" t="s">
        <v>20</v>
      </c>
      <c r="E4" s="15">
        <v>1.1618999999999999</v>
      </c>
      <c r="F4" s="41">
        <v>0.13</v>
      </c>
      <c r="G4" s="9">
        <v>1.0282814999999998</v>
      </c>
      <c r="H4" s="9">
        <v>1.0282814999999998</v>
      </c>
      <c r="I4" s="9">
        <v>1.0282814999999998</v>
      </c>
      <c r="J4" s="40" t="s">
        <v>204</v>
      </c>
      <c r="K4" s="40" t="s">
        <v>228</v>
      </c>
      <c r="L4" s="8"/>
    </row>
    <row r="5" spans="1:12" ht="62.4" customHeight="1">
      <c r="A5" s="12">
        <v>2</v>
      </c>
      <c r="B5" s="34" t="s">
        <v>226</v>
      </c>
      <c r="C5" s="35" t="s">
        <v>227</v>
      </c>
      <c r="D5" s="12" t="s">
        <v>20</v>
      </c>
      <c r="E5" s="15">
        <v>1.1618999999999999</v>
      </c>
      <c r="F5" s="41">
        <v>0.13</v>
      </c>
      <c r="G5" s="45">
        <v>1.0282814999999998</v>
      </c>
      <c r="H5" s="45">
        <v>1.0282814999999998</v>
      </c>
      <c r="I5" s="45">
        <v>1.0282814999999998</v>
      </c>
      <c r="J5" s="40" t="s">
        <v>204</v>
      </c>
      <c r="K5" s="40" t="s">
        <v>228</v>
      </c>
      <c r="L5" s="8"/>
    </row>
    <row r="6" spans="1:12" ht="27.75" customHeight="1">
      <c r="A6" s="193" t="s">
        <v>229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spans="1:12" ht="50.4" customHeight="1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</row>
    <row r="8" spans="1:12" ht="93" customHeight="1">
      <c r="A8" s="194" t="s">
        <v>13</v>
      </c>
      <c r="B8" s="195"/>
      <c r="C8" s="196" t="s">
        <v>14</v>
      </c>
      <c r="D8" s="196"/>
      <c r="E8" s="193" t="s">
        <v>15</v>
      </c>
      <c r="F8" s="193"/>
      <c r="G8" s="193"/>
      <c r="H8" s="193" t="s">
        <v>16</v>
      </c>
      <c r="I8" s="193"/>
      <c r="J8" s="193" t="s">
        <v>17</v>
      </c>
      <c r="K8" s="193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C65-DDBB-4B6C-A319-576F852074C3}">
  <sheetPr codeName="Sheet14">
    <pageSetUpPr fitToPage="1"/>
  </sheetPr>
  <dimension ref="A1:L7"/>
  <sheetViews>
    <sheetView zoomScale="70" zoomScaleNormal="70" workbookViewId="0">
      <selection activeCell="K14" sqref="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2" ht="27.75" customHeight="1">
      <c r="I2" s="200" t="s">
        <v>1</v>
      </c>
      <c r="J2" s="200"/>
      <c r="K2" s="20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42" t="s">
        <v>235</v>
      </c>
      <c r="C4" s="14" t="s">
        <v>236</v>
      </c>
      <c r="D4" s="12" t="s">
        <v>20</v>
      </c>
      <c r="E4" s="15">
        <v>54</v>
      </c>
      <c r="F4" s="41">
        <v>0.13</v>
      </c>
      <c r="G4" s="9"/>
      <c r="H4" s="15">
        <v>52.6</v>
      </c>
      <c r="I4" s="15">
        <v>52.6</v>
      </c>
      <c r="J4" s="40" t="s">
        <v>237</v>
      </c>
      <c r="K4" s="40" t="s">
        <v>215</v>
      </c>
      <c r="L4" s="8"/>
    </row>
    <row r="5" spans="1:12" ht="27.75" customHeight="1">
      <c r="A5" s="193" t="s">
        <v>219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</row>
    <row r="6" spans="1:12" ht="50.4" customHeight="1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spans="1:12" ht="93" customHeight="1">
      <c r="A7" s="194" t="s">
        <v>13</v>
      </c>
      <c r="B7" s="195"/>
      <c r="C7" s="196" t="s">
        <v>14</v>
      </c>
      <c r="D7" s="196"/>
      <c r="E7" s="193" t="s">
        <v>15</v>
      </c>
      <c r="F7" s="193"/>
      <c r="G7" s="193"/>
      <c r="H7" s="193" t="s">
        <v>16</v>
      </c>
      <c r="I7" s="193"/>
      <c r="J7" s="193" t="s">
        <v>17</v>
      </c>
      <c r="K7" s="193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30BB-28EE-4D19-A3B7-0FB7B91864ED}">
  <sheetPr codeName="Sheet15">
    <pageSetUpPr fitToPage="1"/>
  </sheetPr>
  <dimension ref="A1:Q542"/>
  <sheetViews>
    <sheetView topLeftCell="A16" zoomScale="70" zoomScaleNormal="70" workbookViewId="0">
      <selection activeCell="G19" sqref="G19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23.109375" style="1" customWidth="1"/>
    <col min="16" max="16" width="36.55468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7" s="39" customFormat="1" ht="27.75" customHeight="1">
      <c r="M2" s="201" t="s">
        <v>1</v>
      </c>
      <c r="N2" s="201"/>
      <c r="O2" s="201"/>
      <c r="P2" s="201"/>
    </row>
    <row r="3" spans="1:1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11</v>
      </c>
      <c r="P3" s="81" t="s">
        <v>12</v>
      </c>
    </row>
    <row r="4" spans="1:17" s="21" customFormat="1" ht="62.4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252</v>
      </c>
      <c r="Q4" s="71"/>
    </row>
    <row r="5" spans="1:17" s="21" customFormat="1" ht="62.4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8" si="0">F5</f>
        <v>6.79</v>
      </c>
      <c r="L5" s="23">
        <f t="shared" si="0"/>
        <v>6.79</v>
      </c>
      <c r="M5" s="23">
        <f t="shared" ref="M5:N38" si="1">F5</f>
        <v>6.79</v>
      </c>
      <c r="N5" s="23">
        <f t="shared" si="1"/>
        <v>6.79</v>
      </c>
      <c r="O5" s="70" t="s">
        <v>243</v>
      </c>
      <c r="P5" s="70" t="s">
        <v>252</v>
      </c>
      <c r="Q5" s="71"/>
    </row>
    <row r="6" spans="1:17" s="60" customFormat="1" ht="62.4" customHeight="1">
      <c r="A6" s="53">
        <v>3</v>
      </c>
      <c r="B6" s="53" t="s">
        <v>80</v>
      </c>
      <c r="C6" s="54" t="s">
        <v>81</v>
      </c>
      <c r="D6" s="54" t="s">
        <v>194</v>
      </c>
      <c r="E6" s="53" t="s">
        <v>20</v>
      </c>
      <c r="F6" s="55">
        <f>VLOOKUP(D6,'[1]2021年7-12月 (调整后)'!$B$4:$AA$210,26,0)</f>
        <v>5.3799975056000005</v>
      </c>
      <c r="G6" s="55">
        <f>VLOOKUP(D6,'[1]2021年7-12月 (调整后)'!$B$4:$AE$210,30,0)</f>
        <v>5.3799975056000005</v>
      </c>
      <c r="H6" s="56">
        <v>0.13</v>
      </c>
      <c r="I6" s="57">
        <f>VLOOKUP(D6,'[2]2022年7-12月'!$B$4:$AA$210,26,0)</f>
        <v>5.1618043480000004</v>
      </c>
      <c r="J6" s="57">
        <f>VLOOKUP(D6,'[2]2022年7-12月'!$B$4:$AE$210,30,0)</f>
        <v>5.1618043480000004</v>
      </c>
      <c r="K6" s="55">
        <f t="shared" si="0"/>
        <v>5.3799975056000005</v>
      </c>
      <c r="L6" s="55">
        <f t="shared" si="0"/>
        <v>5.3799975056000005</v>
      </c>
      <c r="M6" s="55">
        <f t="shared" si="1"/>
        <v>5.3799975056000005</v>
      </c>
      <c r="N6" s="55">
        <f t="shared" si="1"/>
        <v>5.3799975056000005</v>
      </c>
      <c r="O6" s="58" t="s">
        <v>241</v>
      </c>
      <c r="P6" s="58" t="s">
        <v>251</v>
      </c>
      <c r="Q6" s="59"/>
    </row>
    <row r="7" spans="1:17" s="68" customFormat="1" ht="5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249</v>
      </c>
      <c r="Q7" s="67"/>
    </row>
    <row r="8" spans="1:17" s="60" customFormat="1" ht="62.4" customHeight="1">
      <c r="A8" s="53">
        <v>5</v>
      </c>
      <c r="B8" s="53" t="s">
        <v>82</v>
      </c>
      <c r="C8" s="54" t="s">
        <v>83</v>
      </c>
      <c r="D8" s="54" t="s">
        <v>193</v>
      </c>
      <c r="E8" s="53" t="s">
        <v>20</v>
      </c>
      <c r="F8" s="55">
        <v>5.25</v>
      </c>
      <c r="G8" s="55">
        <v>5.25</v>
      </c>
      <c r="H8" s="56">
        <v>0.13</v>
      </c>
      <c r="I8" s="57">
        <f>VLOOKUP(D8,'[2]2022年7-12月'!$B$4:$AA$210,26,0)</f>
        <v>5.127304348</v>
      </c>
      <c r="J8" s="57">
        <f>VLOOKUP(D8,'[2]2022年7-12月'!$B$4:$AE$210,30,0)</f>
        <v>5.3873043479999998</v>
      </c>
      <c r="K8" s="55">
        <f t="shared" si="0"/>
        <v>5.25</v>
      </c>
      <c r="L8" s="55">
        <f t="shared" si="0"/>
        <v>5.25</v>
      </c>
      <c r="M8" s="55">
        <f t="shared" si="1"/>
        <v>5.25</v>
      </c>
      <c r="N8" s="55">
        <f t="shared" si="1"/>
        <v>5.25</v>
      </c>
      <c r="O8" s="58" t="s">
        <v>240</v>
      </c>
      <c r="P8" s="58" t="s">
        <v>251</v>
      </c>
      <c r="Q8" s="59"/>
    </row>
    <row r="9" spans="1:17" s="68" customFormat="1" ht="62.4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249</v>
      </c>
      <c r="Q9" s="67"/>
    </row>
    <row r="10" spans="1:17" s="21" customFormat="1" ht="62.4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251</v>
      </c>
      <c r="Q10" s="71"/>
    </row>
    <row r="11" spans="1:17" s="39" customFormat="1" ht="62.4" customHeight="1">
      <c r="A11" s="34">
        <v>8</v>
      </c>
      <c r="B11" s="34" t="s">
        <v>86</v>
      </c>
      <c r="C11" s="35" t="s">
        <v>87</v>
      </c>
      <c r="D11" s="35" t="s">
        <v>161</v>
      </c>
      <c r="E11" s="34" t="s">
        <v>20</v>
      </c>
      <c r="F11" s="80"/>
      <c r="G11" s="80"/>
      <c r="H11" s="36">
        <v>0.13</v>
      </c>
      <c r="I11" s="45">
        <f>VLOOKUP(D11,'[2]2022年7-12月'!$B$4:$AA$210,26,0)</f>
        <v>0.35213895575221243</v>
      </c>
      <c r="J11" s="45">
        <f>VLOOKUP(D11,'[2]2022年7-12月'!$B$4:$AE$210,30,0)</f>
        <v>0.35213895575221243</v>
      </c>
      <c r="K11" s="80"/>
      <c r="L11" s="80"/>
      <c r="M11" s="80"/>
      <c r="N11" s="80"/>
      <c r="O11" s="37" t="s">
        <v>244</v>
      </c>
      <c r="P11" s="37" t="s">
        <v>251</v>
      </c>
      <c r="Q11" s="38"/>
    </row>
    <row r="12" spans="1:17" s="79" customFormat="1" ht="62.4" customHeight="1">
      <c r="A12" s="72">
        <v>9</v>
      </c>
      <c r="B12" s="72" t="s">
        <v>88</v>
      </c>
      <c r="C12" s="73" t="s">
        <v>89</v>
      </c>
      <c r="D12" s="73" t="s">
        <v>162</v>
      </c>
      <c r="E12" s="72" t="s">
        <v>20</v>
      </c>
      <c r="F12" s="74">
        <v>2.65</v>
      </c>
      <c r="G12" s="74">
        <v>2.65</v>
      </c>
      <c r="H12" s="75">
        <v>0.13</v>
      </c>
      <c r="I12" s="76">
        <f>VLOOKUP(D12,'[2]2022年7-12月'!$B$4:$AA$210,26,0)</f>
        <v>2.5352687850000004</v>
      </c>
      <c r="J12" s="76">
        <f>VLOOKUP(D12,'[2]2022年7-12月'!$B$4:$AE$210,30,0)</f>
        <v>2.5352687850000004</v>
      </c>
      <c r="K12" s="74">
        <f t="shared" si="0"/>
        <v>2.65</v>
      </c>
      <c r="L12" s="74">
        <f t="shared" si="0"/>
        <v>2.65</v>
      </c>
      <c r="M12" s="74">
        <f t="shared" si="1"/>
        <v>2.65</v>
      </c>
      <c r="N12" s="74">
        <f t="shared" si="1"/>
        <v>2.65</v>
      </c>
      <c r="O12" s="77" t="s">
        <v>241</v>
      </c>
      <c r="P12" s="77" t="s">
        <v>251</v>
      </c>
      <c r="Q12" s="78"/>
    </row>
    <row r="13" spans="1:17" s="79" customFormat="1" ht="62.4" customHeight="1">
      <c r="A13" s="72">
        <v>10</v>
      </c>
      <c r="B13" s="72" t="s">
        <v>90</v>
      </c>
      <c r="C13" s="73" t="s">
        <v>91</v>
      </c>
      <c r="D13" s="73" t="s">
        <v>163</v>
      </c>
      <c r="E13" s="72" t="s">
        <v>20</v>
      </c>
      <c r="F13" s="74">
        <v>2.65</v>
      </c>
      <c r="G13" s="74">
        <v>2.65</v>
      </c>
      <c r="H13" s="75">
        <v>0.13</v>
      </c>
      <c r="I13" s="76">
        <f>VLOOKUP(D13,'[2]2022年7-12月'!$B$4:$AA$210,26,0)</f>
        <v>2.5352687850000004</v>
      </c>
      <c r="J13" s="76">
        <f>VLOOKUP(D13,'[2]2022年7-12月'!$B$4:$AE$210,30,0)</f>
        <v>2.5352687850000004</v>
      </c>
      <c r="K13" s="74">
        <f t="shared" si="0"/>
        <v>2.65</v>
      </c>
      <c r="L13" s="74">
        <f t="shared" si="0"/>
        <v>2.65</v>
      </c>
      <c r="M13" s="74">
        <f t="shared" si="1"/>
        <v>2.65</v>
      </c>
      <c r="N13" s="74">
        <f t="shared" si="1"/>
        <v>2.65</v>
      </c>
      <c r="O13" s="77" t="s">
        <v>241</v>
      </c>
      <c r="P13" s="77" t="s">
        <v>251</v>
      </c>
      <c r="Q13" s="78"/>
    </row>
    <row r="14" spans="1:17" s="39" customFormat="1" ht="62.4" customHeight="1">
      <c r="A14" s="34">
        <v>11</v>
      </c>
      <c r="B14" s="34" t="s">
        <v>92</v>
      </c>
      <c r="C14" s="35" t="s">
        <v>93</v>
      </c>
      <c r="D14" s="35" t="s">
        <v>164</v>
      </c>
      <c r="E14" s="34" t="s">
        <v>20</v>
      </c>
      <c r="F14" s="80"/>
      <c r="G14" s="80"/>
      <c r="H14" s="36">
        <v>0.13</v>
      </c>
      <c r="I14" s="45">
        <v>0.36985742952212386</v>
      </c>
      <c r="J14" s="45">
        <v>0.36985742952212386</v>
      </c>
      <c r="K14" s="80"/>
      <c r="L14" s="80"/>
      <c r="M14" s="80"/>
      <c r="N14" s="80"/>
      <c r="O14" s="37" t="s">
        <v>244</v>
      </c>
      <c r="P14" s="37" t="s">
        <v>251</v>
      </c>
      <c r="Q14" s="38"/>
    </row>
    <row r="15" spans="1:17" s="91" customFormat="1" ht="62.4" customHeight="1">
      <c r="A15" s="84">
        <v>12</v>
      </c>
      <c r="B15" s="84" t="s">
        <v>94</v>
      </c>
      <c r="C15" s="85" t="s">
        <v>95</v>
      </c>
      <c r="D15" s="85" t="s">
        <v>165</v>
      </c>
      <c r="E15" s="84" t="s">
        <v>20</v>
      </c>
      <c r="F15" s="86"/>
      <c r="G15" s="86"/>
      <c r="H15" s="87">
        <v>0.13</v>
      </c>
      <c r="I15" s="88">
        <f>VLOOKUP(D15,'[2]2022年7-12月'!$B$4:$AA$210,26,0)</f>
        <v>1.5302411956999997</v>
      </c>
      <c r="J15" s="88">
        <f>VLOOKUP(D15,'[2]2022年7-12月'!$B$4:$AE$210,30,0)</f>
        <v>1.9862411956999997</v>
      </c>
      <c r="K15" s="86"/>
      <c r="L15" s="86"/>
      <c r="M15" s="86"/>
      <c r="N15" s="86"/>
      <c r="O15" s="89" t="s">
        <v>250</v>
      </c>
      <c r="P15" s="89" t="s">
        <v>248</v>
      </c>
      <c r="Q15" s="90"/>
    </row>
    <row r="16" spans="1:17" s="79" customFormat="1" ht="62.4" customHeight="1">
      <c r="A16" s="72">
        <v>13</v>
      </c>
      <c r="B16" s="72" t="s">
        <v>94</v>
      </c>
      <c r="C16" s="73" t="s">
        <v>96</v>
      </c>
      <c r="D16" s="73" t="s">
        <v>191</v>
      </c>
      <c r="E16" s="72" t="s">
        <v>20</v>
      </c>
      <c r="F16" s="74">
        <v>2.35</v>
      </c>
      <c r="G16" s="74">
        <v>2.35</v>
      </c>
      <c r="H16" s="75">
        <v>0.13</v>
      </c>
      <c r="I16" s="76">
        <f>VLOOKUP(D16,'[2]2022年7-12月'!$B$4:$AA$210,26,0)</f>
        <v>2.3347773750549994</v>
      </c>
      <c r="J16" s="76">
        <f>VLOOKUP(D16,'[2]2022年7-12月'!$B$4:$AE$210,30,0)</f>
        <v>2.3347773750549994</v>
      </c>
      <c r="K16" s="74">
        <f t="shared" si="0"/>
        <v>2.35</v>
      </c>
      <c r="L16" s="74">
        <f t="shared" si="0"/>
        <v>2.35</v>
      </c>
      <c r="M16" s="74">
        <f t="shared" si="1"/>
        <v>2.35</v>
      </c>
      <c r="N16" s="74">
        <f t="shared" si="1"/>
        <v>2.35</v>
      </c>
      <c r="O16" s="77" t="s">
        <v>241</v>
      </c>
      <c r="P16" s="77" t="s">
        <v>251</v>
      </c>
      <c r="Q16" s="78"/>
    </row>
    <row r="17" spans="1:17" s="79" customFormat="1" ht="62.4" customHeight="1">
      <c r="A17" s="72">
        <v>14</v>
      </c>
      <c r="B17" s="72" t="s">
        <v>97</v>
      </c>
      <c r="C17" s="73" t="s">
        <v>98</v>
      </c>
      <c r="D17" s="73" t="s">
        <v>166</v>
      </c>
      <c r="E17" s="72" t="s">
        <v>20</v>
      </c>
      <c r="F17" s="74">
        <v>6.6</v>
      </c>
      <c r="G17" s="74">
        <v>6.6</v>
      </c>
      <c r="H17" s="75">
        <v>0.13</v>
      </c>
      <c r="I17" s="76">
        <f>VLOOKUP(D17,'[2]2022年7-12月'!$B$4:$AA$210,26,0)</f>
        <v>6.5321581249999996</v>
      </c>
      <c r="J17" s="76">
        <f>VLOOKUP(D17,'[2]2022年7-12月'!$B$4:$AE$210,30,0)</f>
        <v>7.2621581249999991</v>
      </c>
      <c r="K17" s="74">
        <f t="shared" si="0"/>
        <v>6.6</v>
      </c>
      <c r="L17" s="74">
        <f t="shared" si="0"/>
        <v>6.6</v>
      </c>
      <c r="M17" s="74">
        <f t="shared" si="1"/>
        <v>6.6</v>
      </c>
      <c r="N17" s="74">
        <f t="shared" si="1"/>
        <v>6.6</v>
      </c>
      <c r="O17" s="77" t="s">
        <v>241</v>
      </c>
      <c r="P17" s="77" t="s">
        <v>251</v>
      </c>
      <c r="Q17" s="78"/>
    </row>
    <row r="18" spans="1:17" s="21" customFormat="1" ht="62.4" customHeight="1">
      <c r="A18" s="43">
        <v>15</v>
      </c>
      <c r="B18" s="43" t="s">
        <v>99</v>
      </c>
      <c r="C18" s="52" t="s">
        <v>100</v>
      </c>
      <c r="D18" s="52" t="s">
        <v>167</v>
      </c>
      <c r="E18" s="43" t="s">
        <v>20</v>
      </c>
      <c r="F18" s="23">
        <v>4.62</v>
      </c>
      <c r="G18" s="23">
        <v>4.62</v>
      </c>
      <c r="H18" s="69">
        <v>0.13</v>
      </c>
      <c r="I18" s="24">
        <f>VLOOKUP(D18,'[2]2022年7-12月'!$B$4:$AA$210,26,0)</f>
        <v>4.6393573996125008</v>
      </c>
      <c r="J18" s="24">
        <f>VLOOKUP(D18,'[2]2022年7-12月'!$B$4:$AE$210,30,0)</f>
        <v>4.6393573996125008</v>
      </c>
      <c r="K18" s="23">
        <f t="shared" si="0"/>
        <v>4.62</v>
      </c>
      <c r="L18" s="23">
        <f t="shared" si="0"/>
        <v>4.62</v>
      </c>
      <c r="M18" s="23">
        <f t="shared" si="1"/>
        <v>4.62</v>
      </c>
      <c r="N18" s="23">
        <f t="shared" si="1"/>
        <v>4.62</v>
      </c>
      <c r="O18" s="70" t="s">
        <v>243</v>
      </c>
      <c r="P18" s="70" t="s">
        <v>251</v>
      </c>
      <c r="Q18" s="71"/>
    </row>
    <row r="19" spans="1:17" s="21" customFormat="1" ht="62.4" customHeight="1">
      <c r="A19" s="43">
        <v>16</v>
      </c>
      <c r="B19" s="43" t="s">
        <v>101</v>
      </c>
      <c r="C19" s="52" t="s">
        <v>102</v>
      </c>
      <c r="D19" s="52" t="s">
        <v>168</v>
      </c>
      <c r="E19" s="43" t="s">
        <v>20</v>
      </c>
      <c r="F19" s="23">
        <v>4.1100000000000003</v>
      </c>
      <c r="G19" s="23">
        <v>4.1100000000000003</v>
      </c>
      <c r="H19" s="69">
        <v>0.13</v>
      </c>
      <c r="I19" s="24">
        <f>VLOOKUP(D19,'[2]2022年7-12月'!$B$4:$AA$210,26,0)</f>
        <v>4.1140506568124993</v>
      </c>
      <c r="J19" s="24">
        <f>VLOOKUP(D19,'[2]2022年7-12月'!$B$4:$AE$210,30,0)</f>
        <v>4.1140506568124993</v>
      </c>
      <c r="K19" s="23">
        <f t="shared" si="0"/>
        <v>4.1100000000000003</v>
      </c>
      <c r="L19" s="23">
        <f t="shared" si="0"/>
        <v>4.1100000000000003</v>
      </c>
      <c r="M19" s="23">
        <f t="shared" si="1"/>
        <v>4.1100000000000003</v>
      </c>
      <c r="N19" s="23">
        <f t="shared" si="1"/>
        <v>4.1100000000000003</v>
      </c>
      <c r="O19" s="70" t="s">
        <v>243</v>
      </c>
      <c r="P19" s="70" t="s">
        <v>251</v>
      </c>
      <c r="Q19" s="71"/>
    </row>
    <row r="20" spans="1:17" s="79" customFormat="1" ht="62.4" customHeight="1">
      <c r="A20" s="72">
        <v>17</v>
      </c>
      <c r="B20" s="72" t="s">
        <v>103</v>
      </c>
      <c r="C20" s="73" t="s">
        <v>104</v>
      </c>
      <c r="D20" s="73" t="s">
        <v>169</v>
      </c>
      <c r="E20" s="72" t="s">
        <v>20</v>
      </c>
      <c r="F20" s="74">
        <v>4.0999999999999996</v>
      </c>
      <c r="G20" s="74">
        <v>4.0999999999999996</v>
      </c>
      <c r="H20" s="75">
        <v>0.13</v>
      </c>
      <c r="I20" s="76">
        <f>VLOOKUP(D20,'[2]2022年7-12月'!$B$4:$AA$210,26,0)</f>
        <v>4.0565506568124992</v>
      </c>
      <c r="J20" s="76">
        <f>VLOOKUP(D20,'[2]2022年7-12月'!$B$4:$AE$210,30,0)</f>
        <v>4.0565506568124992</v>
      </c>
      <c r="K20" s="74">
        <f t="shared" si="0"/>
        <v>4.0999999999999996</v>
      </c>
      <c r="L20" s="74">
        <f t="shared" si="0"/>
        <v>4.0999999999999996</v>
      </c>
      <c r="M20" s="74">
        <f t="shared" si="1"/>
        <v>4.0999999999999996</v>
      </c>
      <c r="N20" s="74">
        <f t="shared" si="1"/>
        <v>4.0999999999999996</v>
      </c>
      <c r="O20" s="77" t="s">
        <v>241</v>
      </c>
      <c r="P20" s="77" t="s">
        <v>251</v>
      </c>
      <c r="Q20" s="78"/>
    </row>
    <row r="21" spans="1:17" s="21" customFormat="1" ht="62.4" customHeight="1">
      <c r="A21" s="43">
        <v>18</v>
      </c>
      <c r="B21" s="43" t="s">
        <v>105</v>
      </c>
      <c r="C21" s="52" t="s">
        <v>106</v>
      </c>
      <c r="D21" s="52" t="s">
        <v>170</v>
      </c>
      <c r="E21" s="43" t="s">
        <v>20</v>
      </c>
      <c r="F21" s="23">
        <v>4.62</v>
      </c>
      <c r="G21" s="23">
        <v>4.62</v>
      </c>
      <c r="H21" s="69">
        <v>0.13</v>
      </c>
      <c r="I21" s="24">
        <f>VLOOKUP(D21,'[2]2022年7-12月'!$B$4:$AA$210,26,0)</f>
        <v>4.6393573996125008</v>
      </c>
      <c r="J21" s="24">
        <f>VLOOKUP(D21,'[2]2022年7-12月'!$B$4:$AE$210,30,0)</f>
        <v>4.6393573996125008</v>
      </c>
      <c r="K21" s="23">
        <f t="shared" si="0"/>
        <v>4.62</v>
      </c>
      <c r="L21" s="23">
        <f t="shared" si="0"/>
        <v>4.62</v>
      </c>
      <c r="M21" s="23">
        <f t="shared" si="1"/>
        <v>4.62</v>
      </c>
      <c r="N21" s="23">
        <f t="shared" si="1"/>
        <v>4.62</v>
      </c>
      <c r="O21" s="70" t="s">
        <v>242</v>
      </c>
      <c r="P21" s="70" t="s">
        <v>251</v>
      </c>
      <c r="Q21" s="71"/>
    </row>
    <row r="22" spans="1:17" s="39" customFormat="1" ht="62.4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/>
      <c r="N22" s="80"/>
      <c r="O22" s="37" t="s">
        <v>244</v>
      </c>
      <c r="P22" s="37" t="s">
        <v>251</v>
      </c>
      <c r="Q22" s="38"/>
    </row>
    <row r="23" spans="1:17" s="21" customFormat="1" ht="62.4" customHeight="1">
      <c r="A23" s="43">
        <v>20</v>
      </c>
      <c r="B23" s="43" t="s">
        <v>109</v>
      </c>
      <c r="C23" s="52" t="s">
        <v>110</v>
      </c>
      <c r="D23" s="52" t="s">
        <v>172</v>
      </c>
      <c r="E23" s="43" t="s">
        <v>20</v>
      </c>
      <c r="F23" s="92">
        <v>0.26602887407142856</v>
      </c>
      <c r="G23" s="23">
        <v>0.26602887407142856</v>
      </c>
      <c r="H23" s="69">
        <v>0.13</v>
      </c>
      <c r="I23" s="24">
        <f>VLOOKUP(D23,'[2]2022年7-12月'!$B$4:$AA$210,26,0)</f>
        <v>0.26602887407142856</v>
      </c>
      <c r="J23" s="24">
        <f>VLOOKUP(D23,'[2]2022年7-12月'!$B$4:$AE$210,30,0)</f>
        <v>0.26602887407142856</v>
      </c>
      <c r="K23" s="23">
        <f t="shared" si="0"/>
        <v>0.26602887407142856</v>
      </c>
      <c r="L23" s="23">
        <f t="shared" si="0"/>
        <v>0.26602887407142856</v>
      </c>
      <c r="M23" s="23">
        <f t="shared" si="1"/>
        <v>0.26602887407142856</v>
      </c>
      <c r="N23" s="23">
        <f t="shared" si="1"/>
        <v>0.26602887407142856</v>
      </c>
      <c r="O23" s="70" t="s">
        <v>253</v>
      </c>
      <c r="P23" s="70" t="s">
        <v>251</v>
      </c>
      <c r="Q23" s="71"/>
    </row>
    <row r="24" spans="1:17" s="39" customFormat="1" ht="62.4" customHeight="1">
      <c r="A24" s="34">
        <v>21</v>
      </c>
      <c r="B24" s="34" t="s">
        <v>111</v>
      </c>
      <c r="C24" s="35" t="s">
        <v>112</v>
      </c>
      <c r="D24" s="35" t="s">
        <v>173</v>
      </c>
      <c r="E24" s="34" t="s">
        <v>20</v>
      </c>
      <c r="F24" s="80"/>
      <c r="G24" s="80"/>
      <c r="H24" s="36">
        <v>0.13</v>
      </c>
      <c r="I24" s="45">
        <f>VLOOKUP(D24,'[2]2022年7-12月'!$B$4:$AA$210,26,0)</f>
        <v>4.0731055467762332</v>
      </c>
      <c r="J24" s="45">
        <f>VLOOKUP(D24,'[2]2022年7-12月'!$B$4:$AE$210,30,0)</f>
        <v>4.0731055467762332</v>
      </c>
      <c r="K24" s="80">
        <f t="shared" si="0"/>
        <v>0</v>
      </c>
      <c r="L24" s="80">
        <f t="shared" si="0"/>
        <v>0</v>
      </c>
      <c r="M24" s="80">
        <f t="shared" si="1"/>
        <v>0</v>
      </c>
      <c r="N24" s="80">
        <f t="shared" si="1"/>
        <v>0</v>
      </c>
      <c r="O24" s="37" t="s">
        <v>244</v>
      </c>
      <c r="P24" s="37" t="s">
        <v>251</v>
      </c>
      <c r="Q24" s="38"/>
    </row>
    <row r="25" spans="1:17" s="39" customFormat="1" ht="62.4" customHeight="1">
      <c r="A25" s="34">
        <v>22</v>
      </c>
      <c r="B25" s="34" t="s">
        <v>113</v>
      </c>
      <c r="C25" s="35" t="s">
        <v>114</v>
      </c>
      <c r="D25" s="35" t="s">
        <v>174</v>
      </c>
      <c r="E25" s="34" t="s">
        <v>20</v>
      </c>
      <c r="F25" s="80"/>
      <c r="G25" s="80"/>
      <c r="H25" s="36">
        <v>0.13</v>
      </c>
      <c r="I25" s="45">
        <f>VLOOKUP(D25,'[2]2022年7-12月'!$B$4:$AA$210,26,0)</f>
        <v>4.0731055467762332</v>
      </c>
      <c r="J25" s="45">
        <f>VLOOKUP(D25,'[2]2022年7-12月'!$B$4:$AE$210,30,0)</f>
        <v>4.0731055467762332</v>
      </c>
      <c r="K25" s="80">
        <f t="shared" si="0"/>
        <v>0</v>
      </c>
      <c r="L25" s="80">
        <f t="shared" si="0"/>
        <v>0</v>
      </c>
      <c r="M25" s="80">
        <f t="shared" si="1"/>
        <v>0</v>
      </c>
      <c r="N25" s="80">
        <f t="shared" si="1"/>
        <v>0</v>
      </c>
      <c r="O25" s="37" t="s">
        <v>244</v>
      </c>
      <c r="P25" s="37" t="s">
        <v>251</v>
      </c>
      <c r="Q25" s="38"/>
    </row>
    <row r="26" spans="1:17" s="39" customFormat="1" ht="62.4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244</v>
      </c>
      <c r="P26" s="37" t="s">
        <v>251</v>
      </c>
      <c r="Q26" s="38"/>
    </row>
    <row r="27" spans="1:17" s="39" customFormat="1" ht="62.4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244</v>
      </c>
      <c r="P27" s="37" t="s">
        <v>251</v>
      </c>
      <c r="Q27" s="38"/>
    </row>
    <row r="28" spans="1:17" s="39" customFormat="1" ht="62.4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244</v>
      </c>
      <c r="P28" s="37" t="s">
        <v>251</v>
      </c>
      <c r="Q28" s="38"/>
    </row>
    <row r="29" spans="1:17" s="39" customFormat="1" ht="62.4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244</v>
      </c>
      <c r="P29" s="37" t="s">
        <v>251</v>
      </c>
      <c r="Q29" s="38"/>
    </row>
    <row r="30" spans="1:17" s="39" customFormat="1" ht="62.4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244</v>
      </c>
      <c r="P30" s="37" t="s">
        <v>251</v>
      </c>
      <c r="Q30" s="38"/>
    </row>
    <row r="31" spans="1:17" s="39" customFormat="1" ht="62.4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244</v>
      </c>
      <c r="P31" s="37" t="s">
        <v>251</v>
      </c>
      <c r="Q31" s="38"/>
    </row>
    <row r="32" spans="1:17" s="39" customFormat="1" ht="62.4" customHeight="1">
      <c r="A32" s="34">
        <v>29</v>
      </c>
      <c r="B32" s="34" t="s">
        <v>127</v>
      </c>
      <c r="C32" s="35" t="s">
        <v>128</v>
      </c>
      <c r="D32" s="35" t="s">
        <v>181</v>
      </c>
      <c r="E32" s="34" t="s">
        <v>20</v>
      </c>
      <c r="F32" s="80"/>
      <c r="G32" s="80"/>
      <c r="H32" s="36">
        <v>0.13</v>
      </c>
      <c r="I32" s="45">
        <f>VLOOKUP(D32,'[2]2022年7-12月'!$B$4:$AA$210,26,0)</f>
        <v>0.6985905</v>
      </c>
      <c r="J32" s="45">
        <f>VLOOKUP(D32,'[2]2022年7-12月'!$B$4:$AE$210,30,0)</f>
        <v>0.6985905</v>
      </c>
      <c r="K32" s="80">
        <f t="shared" si="0"/>
        <v>0</v>
      </c>
      <c r="L32" s="80">
        <f t="shared" si="0"/>
        <v>0</v>
      </c>
      <c r="M32" s="80">
        <f t="shared" si="1"/>
        <v>0</v>
      </c>
      <c r="N32" s="80">
        <f t="shared" si="1"/>
        <v>0</v>
      </c>
      <c r="O32" s="37" t="s">
        <v>244</v>
      </c>
      <c r="P32" s="37" t="s">
        <v>251</v>
      </c>
      <c r="Q32" s="38"/>
    </row>
    <row r="33" spans="1:17" s="91" customFormat="1" ht="62.4" customHeight="1">
      <c r="A33" s="84">
        <v>30</v>
      </c>
      <c r="B33" s="84" t="s">
        <v>129</v>
      </c>
      <c r="C33" s="85" t="s">
        <v>130</v>
      </c>
      <c r="D33" s="85" t="s">
        <v>182</v>
      </c>
      <c r="E33" s="84" t="s">
        <v>20</v>
      </c>
      <c r="F33" s="86"/>
      <c r="G33" s="86"/>
      <c r="H33" s="87">
        <v>0.13</v>
      </c>
      <c r="I33" s="88">
        <f>VLOOKUP(D33,'[2]2022年7-12月'!$B$4:$AA$210,26,0)</f>
        <v>0.34455465100000005</v>
      </c>
      <c r="J33" s="88">
        <f>VLOOKUP(D33,'[2]2022年7-12月'!$B$4:$AE$210,30,0)</f>
        <v>0.34455465100000005</v>
      </c>
      <c r="K33" s="86"/>
      <c r="L33" s="86"/>
      <c r="M33" s="86"/>
      <c r="N33" s="86"/>
      <c r="O33" s="89" t="s">
        <v>245</v>
      </c>
      <c r="P33" s="89"/>
      <c r="Q33" s="90"/>
    </row>
    <row r="34" spans="1:17" s="21" customFormat="1" ht="62.4" customHeight="1">
      <c r="A34" s="43">
        <v>31</v>
      </c>
      <c r="B34" s="43" t="s">
        <v>131</v>
      </c>
      <c r="C34" s="52" t="s">
        <v>132</v>
      </c>
      <c r="D34" s="52" t="s">
        <v>183</v>
      </c>
      <c r="E34" s="43" t="s">
        <v>20</v>
      </c>
      <c r="F34" s="23">
        <v>4.97</v>
      </c>
      <c r="G34" s="23">
        <v>4.97</v>
      </c>
      <c r="H34" s="69">
        <v>0.13</v>
      </c>
      <c r="I34" s="24">
        <f>VLOOKUP(D34,'[2]2022年7-12月'!$B$4:$AA$210,26,0)</f>
        <v>4.8115245974004415</v>
      </c>
      <c r="J34" s="24">
        <f>VLOOKUP(D34,'[2]2022年7-12月'!$B$4:$AE$210,30,0)</f>
        <v>4.8115245974004415</v>
      </c>
      <c r="K34" s="23">
        <f t="shared" si="0"/>
        <v>4.97</v>
      </c>
      <c r="L34" s="23">
        <f t="shared" si="0"/>
        <v>4.97</v>
      </c>
      <c r="M34" s="23">
        <f t="shared" si="1"/>
        <v>4.97</v>
      </c>
      <c r="N34" s="23">
        <f t="shared" si="1"/>
        <v>4.97</v>
      </c>
      <c r="O34" s="70" t="s">
        <v>243</v>
      </c>
      <c r="P34" s="70" t="s">
        <v>251</v>
      </c>
      <c r="Q34" s="71"/>
    </row>
    <row r="35" spans="1:17" s="21" customFormat="1" ht="62.4" customHeight="1">
      <c r="A35" s="43">
        <v>32</v>
      </c>
      <c r="B35" s="43" t="s">
        <v>133</v>
      </c>
      <c r="C35" s="52" t="s">
        <v>134</v>
      </c>
      <c r="D35" s="52" t="s">
        <v>184</v>
      </c>
      <c r="E35" s="43" t="s">
        <v>20</v>
      </c>
      <c r="F35" s="23">
        <v>4.97</v>
      </c>
      <c r="G35" s="23">
        <v>4.97</v>
      </c>
      <c r="H35" s="69">
        <v>0.13</v>
      </c>
      <c r="I35" s="24">
        <f>VLOOKUP(D35,'[2]2022年7-12月'!$B$4:$AA$210,26,0)</f>
        <v>4.8115245974004415</v>
      </c>
      <c r="J35" s="24">
        <f>VLOOKUP(D35,'[2]2022年7-12月'!$B$4:$AE$210,30,0)</f>
        <v>4.8115245974004415</v>
      </c>
      <c r="K35" s="23">
        <f t="shared" si="0"/>
        <v>4.97</v>
      </c>
      <c r="L35" s="23">
        <f t="shared" si="0"/>
        <v>4.97</v>
      </c>
      <c r="M35" s="23">
        <f t="shared" si="1"/>
        <v>4.97</v>
      </c>
      <c r="N35" s="23">
        <f t="shared" si="1"/>
        <v>4.97</v>
      </c>
      <c r="O35" s="70" t="s">
        <v>243</v>
      </c>
      <c r="P35" s="70" t="s">
        <v>251</v>
      </c>
      <c r="Q35" s="71"/>
    </row>
    <row r="36" spans="1:17" s="79" customFormat="1" ht="62.4" customHeight="1">
      <c r="A36" s="72">
        <v>33</v>
      </c>
      <c r="B36" s="72" t="s">
        <v>135</v>
      </c>
      <c r="C36" s="73" t="s">
        <v>136</v>
      </c>
      <c r="D36" s="73" t="s">
        <v>185</v>
      </c>
      <c r="E36" s="72" t="s">
        <v>20</v>
      </c>
      <c r="F36" s="74">
        <v>11.5</v>
      </c>
      <c r="G36" s="74">
        <v>11.5</v>
      </c>
      <c r="H36" s="75">
        <v>0.13</v>
      </c>
      <c r="I36" s="76">
        <f>VLOOKUP(D36,'[2]2022年7-12月'!$B$4:$AA$210,26,0)</f>
        <v>11.412496431814159</v>
      </c>
      <c r="J36" s="76">
        <f>VLOOKUP(D36,'[2]2022年7-12月'!$B$4:$AE$210,30,0)</f>
        <v>11.412496431814159</v>
      </c>
      <c r="K36" s="74">
        <f t="shared" si="0"/>
        <v>11.5</v>
      </c>
      <c r="L36" s="74">
        <f t="shared" si="0"/>
        <v>11.5</v>
      </c>
      <c r="M36" s="74">
        <f t="shared" si="1"/>
        <v>11.5</v>
      </c>
      <c r="N36" s="74">
        <f t="shared" si="1"/>
        <v>11.5</v>
      </c>
      <c r="O36" s="77" t="s">
        <v>241</v>
      </c>
      <c r="P36" s="77" t="s">
        <v>251</v>
      </c>
      <c r="Q36" s="78"/>
    </row>
    <row r="37" spans="1:17" s="79" customFormat="1" ht="62.4" customHeight="1">
      <c r="A37" s="72">
        <v>34</v>
      </c>
      <c r="B37" s="72" t="s">
        <v>137</v>
      </c>
      <c r="C37" s="73" t="s">
        <v>138</v>
      </c>
      <c r="D37" s="73" t="s">
        <v>186</v>
      </c>
      <c r="E37" s="72" t="s">
        <v>20</v>
      </c>
      <c r="F37" s="74">
        <v>11.6</v>
      </c>
      <c r="G37" s="74">
        <v>11.6</v>
      </c>
      <c r="H37" s="75">
        <v>0.13</v>
      </c>
      <c r="I37" s="76">
        <f>VLOOKUP(D37,'[2]2022年7-12月'!$B$4:$AA$210,26,0)</f>
        <v>11.453896431814158</v>
      </c>
      <c r="J37" s="76">
        <f>VLOOKUP(D37,'[2]2022年7-12月'!$B$4:$AE$210,30,0)</f>
        <v>11.841796431814158</v>
      </c>
      <c r="K37" s="74">
        <f t="shared" si="0"/>
        <v>11.6</v>
      </c>
      <c r="L37" s="74">
        <f t="shared" si="0"/>
        <v>11.6</v>
      </c>
      <c r="M37" s="74">
        <f t="shared" si="1"/>
        <v>11.6</v>
      </c>
      <c r="N37" s="74">
        <f t="shared" si="1"/>
        <v>11.6</v>
      </c>
      <c r="O37" s="77" t="s">
        <v>241</v>
      </c>
      <c r="P37" s="77" t="s">
        <v>251</v>
      </c>
      <c r="Q37" s="78"/>
    </row>
    <row r="38" spans="1:17" s="79" customFormat="1" ht="62.4" customHeight="1">
      <c r="A38" s="72">
        <v>35</v>
      </c>
      <c r="B38" s="72" t="s">
        <v>139</v>
      </c>
      <c r="C38" s="73" t="s">
        <v>140</v>
      </c>
      <c r="D38" s="73" t="s">
        <v>187</v>
      </c>
      <c r="E38" s="72" t="s">
        <v>20</v>
      </c>
      <c r="F38" s="74">
        <v>11.9</v>
      </c>
      <c r="G38" s="74">
        <v>11.9</v>
      </c>
      <c r="H38" s="75">
        <v>0.13</v>
      </c>
      <c r="I38" s="76">
        <f>VLOOKUP(D38,'[2]2022年7-12月'!$B$4:$AA$210,26,0)</f>
        <v>11.740246431814159</v>
      </c>
      <c r="J38" s="76">
        <f>VLOOKUP(D38,'[2]2022年7-12月'!$B$4:$AE$210,30,0)</f>
        <v>12.128146431814159</v>
      </c>
      <c r="K38" s="74">
        <f t="shared" si="0"/>
        <v>11.9</v>
      </c>
      <c r="L38" s="74">
        <f t="shared" si="0"/>
        <v>11.9</v>
      </c>
      <c r="M38" s="74">
        <f t="shared" si="1"/>
        <v>11.9</v>
      </c>
      <c r="N38" s="74">
        <f t="shared" si="1"/>
        <v>11.9</v>
      </c>
      <c r="O38" s="77" t="s">
        <v>241</v>
      </c>
      <c r="P38" s="77" t="s">
        <v>251</v>
      </c>
      <c r="Q38" s="78"/>
    </row>
    <row r="39" spans="1:17" s="39" customFormat="1" ht="27.75" customHeight="1">
      <c r="A39" s="202" t="s">
        <v>254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</row>
    <row r="40" spans="1:17" s="39" customFormat="1" ht="82.2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7" s="39" customFormat="1" ht="93" customHeight="1">
      <c r="A41" s="203" t="s">
        <v>13</v>
      </c>
      <c r="B41" s="204"/>
      <c r="C41" s="205" t="s">
        <v>14</v>
      </c>
      <c r="D41" s="205"/>
      <c r="E41" s="205"/>
      <c r="F41" s="206" t="s">
        <v>15</v>
      </c>
      <c r="G41" s="207"/>
      <c r="H41" s="207"/>
      <c r="I41" s="207"/>
      <c r="J41" s="208"/>
      <c r="K41" s="206" t="s">
        <v>16</v>
      </c>
      <c r="L41" s="207"/>
      <c r="M41" s="207"/>
      <c r="N41" s="208"/>
      <c r="O41" s="202" t="s">
        <v>17</v>
      </c>
      <c r="P41" s="202"/>
    </row>
    <row r="42" spans="1:17" s="39" customFormat="1" ht="27.75" customHeight="1"/>
    <row r="43" spans="1:17" s="39" customFormat="1" ht="27.75" customHeight="1"/>
    <row r="44" spans="1:17" s="39" customFormat="1" ht="27.75" customHeight="1"/>
    <row r="45" spans="1:17" s="39" customFormat="1" ht="27.75" customHeight="1"/>
    <row r="46" spans="1:17" s="39" customFormat="1" ht="27.75" customHeight="1"/>
    <row r="47" spans="1:17" s="39" customFormat="1" ht="27.75" customHeight="1"/>
    <row r="48" spans="1:17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</sheetData>
  <autoFilter ref="A3:Q41" xr:uid="{5E8330BB-28EE-4D19-A3B7-0FB7B91864ED}"/>
  <mergeCells count="8">
    <mergeCell ref="A1:P1"/>
    <mergeCell ref="M2:P2"/>
    <mergeCell ref="A39:P40"/>
    <mergeCell ref="A41:B41"/>
    <mergeCell ref="C41:E41"/>
    <mergeCell ref="O41:P41"/>
    <mergeCell ref="F41:J41"/>
    <mergeCell ref="K41:N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EFB-4AD6-47B1-A8F5-97E30E36B0B6}">
  <sheetPr codeName="Sheet16">
    <pageSetUpPr fitToPage="1"/>
  </sheetPr>
  <dimension ref="A1:Z508"/>
  <sheetViews>
    <sheetView zoomScale="70" zoomScaleNormal="70" workbookViewId="0">
      <selection activeCell="A5" sqref="A5:L6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6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6" s="39" customFormat="1" ht="27.75" customHeight="1">
      <c r="J2" s="201" t="s">
        <v>1</v>
      </c>
      <c r="K2" s="201"/>
      <c r="L2" s="201"/>
      <c r="T2" s="201" t="s">
        <v>265</v>
      </c>
      <c r="U2" s="201"/>
      <c r="V2" s="201"/>
      <c r="W2" s="201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O3" s="83" t="s">
        <v>258</v>
      </c>
      <c r="P3" s="83" t="s">
        <v>257</v>
      </c>
      <c r="Q3" s="83" t="s">
        <v>263</v>
      </c>
      <c r="R3" s="83" t="s">
        <v>261</v>
      </c>
      <c r="S3" s="83" t="s">
        <v>262</v>
      </c>
      <c r="T3" s="83" t="s">
        <v>266</v>
      </c>
      <c r="U3" s="83" t="s">
        <v>267</v>
      </c>
      <c r="V3" s="83" t="s">
        <v>268</v>
      </c>
      <c r="W3" s="83" t="s">
        <v>269</v>
      </c>
      <c r="X3" s="83" t="s">
        <v>270</v>
      </c>
      <c r="Y3" s="83" t="s">
        <v>271</v>
      </c>
      <c r="Z3" s="83" t="s">
        <v>272</v>
      </c>
    </row>
    <row r="4" spans="1:26" s="39" customFormat="1" ht="62.4" customHeight="1">
      <c r="A4" s="34">
        <v>1</v>
      </c>
      <c r="B4" s="34" t="s">
        <v>255</v>
      </c>
      <c r="C4" s="35" t="s">
        <v>256</v>
      </c>
      <c r="D4" s="35"/>
      <c r="E4" s="34" t="s">
        <v>20</v>
      </c>
      <c r="F4" s="80">
        <v>1.8</v>
      </c>
      <c r="G4" s="36">
        <v>0.13</v>
      </c>
      <c r="H4" s="45" t="e">
        <f>VLOOKUP(D4,'[2]2022年7-12月'!$B$4:$AA$210,26,0)</f>
        <v>#N/A</v>
      </c>
      <c r="I4" s="80">
        <f>F4</f>
        <v>1.8</v>
      </c>
      <c r="J4" s="80">
        <f>F4</f>
        <v>1.8</v>
      </c>
      <c r="K4" s="93" t="s">
        <v>24</v>
      </c>
      <c r="L4" s="37"/>
      <c r="M4" s="38"/>
      <c r="O4" s="39" t="s">
        <v>259</v>
      </c>
      <c r="P4" s="39" t="s">
        <v>260</v>
      </c>
      <c r="Q4" s="83" t="s">
        <v>264</v>
      </c>
      <c r="R4" s="83" t="s">
        <v>274</v>
      </c>
      <c r="S4" s="39">
        <f>30/35</f>
        <v>0.8571428571428571</v>
      </c>
      <c r="T4" s="83">
        <v>0.1</v>
      </c>
      <c r="U4" s="39">
        <f>40/3600*30</f>
        <v>0.33333333333333337</v>
      </c>
      <c r="V4" s="83">
        <v>0.1</v>
      </c>
      <c r="W4" s="39">
        <f>15/3600*20</f>
        <v>8.3333333333333329E-2</v>
      </c>
      <c r="X4" s="38">
        <v>1.2</v>
      </c>
      <c r="Y4" s="39">
        <f>SUM(S4:W4)*X4</f>
        <v>1.7685714285714285</v>
      </c>
      <c r="Z4" s="39" t="s">
        <v>273</v>
      </c>
    </row>
    <row r="5" spans="1:26" s="39" customFormat="1" ht="27.75" customHeight="1">
      <c r="A5" s="202" t="s">
        <v>275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26" s="39" customFormat="1" ht="82.2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6" s="39" customFormat="1" ht="93" customHeight="1">
      <c r="A7" s="203" t="s">
        <v>13</v>
      </c>
      <c r="B7" s="204"/>
      <c r="C7" s="205" t="s">
        <v>14</v>
      </c>
      <c r="D7" s="205"/>
      <c r="E7" s="205"/>
      <c r="F7" s="206" t="s">
        <v>15</v>
      </c>
      <c r="G7" s="207"/>
      <c r="H7" s="207"/>
      <c r="I7" s="206" t="s">
        <v>16</v>
      </c>
      <c r="J7" s="207"/>
      <c r="K7" s="202" t="s">
        <v>17</v>
      </c>
      <c r="L7" s="202"/>
    </row>
    <row r="8" spans="1:26" s="39" customFormat="1" ht="27.75" customHeight="1"/>
    <row r="9" spans="1:26" s="39" customFormat="1" ht="27.75" customHeight="1"/>
    <row r="10" spans="1:26" s="39" customFormat="1" ht="27.75" customHeight="1"/>
    <row r="11" spans="1:26" s="39" customFormat="1" ht="27.75" customHeight="1"/>
    <row r="12" spans="1:26" s="39" customFormat="1" ht="27.75" customHeight="1"/>
    <row r="13" spans="1:26" s="39" customFormat="1" ht="27.75" customHeight="1"/>
    <row r="14" spans="1:26" s="39" customFormat="1" ht="27.75" customHeight="1"/>
    <row r="15" spans="1:26" s="39" customFormat="1" ht="27.75" customHeight="1"/>
    <row r="16" spans="1:26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</sheetData>
  <autoFilter ref="A3:M7" xr:uid="{5E8330BB-28EE-4D19-A3B7-0FB7B91864ED}"/>
  <mergeCells count="9">
    <mergeCell ref="T2:W2"/>
    <mergeCell ref="A1:L1"/>
    <mergeCell ref="J2:L2"/>
    <mergeCell ref="A5:L6"/>
    <mergeCell ref="A7:B7"/>
    <mergeCell ref="C7:E7"/>
    <mergeCell ref="F7:H7"/>
    <mergeCell ref="I7:J7"/>
    <mergeCell ref="K7:L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4D60-8083-4112-B4CA-FFDB3EEF5EB2}">
  <sheetPr codeName="Sheet17">
    <pageSetUpPr fitToPage="1"/>
  </sheetPr>
  <dimension ref="A1:X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4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276</v>
      </c>
      <c r="C4" s="35" t="s">
        <v>277</v>
      </c>
      <c r="D4" s="35"/>
      <c r="E4" s="34" t="s">
        <v>20</v>
      </c>
      <c r="F4" s="80">
        <v>10</v>
      </c>
      <c r="G4" s="36">
        <v>0.13</v>
      </c>
      <c r="H4" s="45" t="e">
        <f>VLOOKUP(D4,'[2]2022年7-12月'!$B$4:$AA$210,26,0)</f>
        <v>#N/A</v>
      </c>
      <c r="I4" s="80">
        <f>F4</f>
        <v>10</v>
      </c>
      <c r="J4" s="80">
        <f>F4</f>
        <v>10</v>
      </c>
      <c r="K4" s="93" t="s">
        <v>278</v>
      </c>
      <c r="L4" s="37" t="s">
        <v>279</v>
      </c>
    </row>
    <row r="5" spans="1:24" s="39" customFormat="1" ht="67.8" customHeight="1">
      <c r="A5" s="34">
        <v>1</v>
      </c>
      <c r="B5" s="34" t="s">
        <v>280</v>
      </c>
      <c r="C5" s="35" t="s">
        <v>281</v>
      </c>
      <c r="D5" s="35"/>
      <c r="E5" s="34" t="s">
        <v>20</v>
      </c>
      <c r="F5" s="80">
        <v>1.8</v>
      </c>
      <c r="G5" s="36">
        <v>0.13</v>
      </c>
      <c r="H5" s="45" t="e">
        <f>VLOOKUP(D5,'[2]2022年7-12月'!$B$4:$AA$210,26,0)</f>
        <v>#N/A</v>
      </c>
      <c r="I5" s="80">
        <f>F5</f>
        <v>1.8</v>
      </c>
      <c r="J5" s="80">
        <f>F5</f>
        <v>1.8</v>
      </c>
      <c r="K5" s="93" t="s">
        <v>278</v>
      </c>
      <c r="L5" s="37" t="s">
        <v>282</v>
      </c>
      <c r="M5" s="38"/>
      <c r="Q5" s="83"/>
      <c r="R5" s="83"/>
      <c r="T5" s="83"/>
      <c r="V5" s="83"/>
      <c r="X5" s="38"/>
    </row>
    <row r="6" spans="1:24" s="39" customFormat="1" ht="27.75" customHeight="1">
      <c r="A6" s="202" t="s">
        <v>283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4" s="39" customFormat="1" ht="96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4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4" s="39" customFormat="1" ht="27.75" customHeight="1"/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409E-486E-4867-B2FA-FEEF3F396CA1}">
  <sheetPr codeName="Sheet18">
    <pageSetUpPr fitToPage="1"/>
  </sheetPr>
  <dimension ref="A1:AB522"/>
  <sheetViews>
    <sheetView topLeftCell="D9" zoomScale="70" zoomScaleNormal="70" workbookViewId="0">
      <selection activeCell="U4" sqref="U4:U1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1" width="13.21875" style="21" customWidth="1"/>
    <col min="12" max="13" width="16.88671875" style="21" customWidth="1"/>
    <col min="14" max="14" width="23.109375" style="1" customWidth="1"/>
    <col min="15" max="15" width="18.6640625" style="1" customWidth="1"/>
    <col min="16" max="16" width="14.44140625" style="1" customWidth="1"/>
    <col min="17" max="17" width="19.88671875" style="1" customWidth="1"/>
    <col min="18" max="18" width="22.5546875" style="1" customWidth="1"/>
    <col min="19" max="19" width="11" style="1" customWidth="1"/>
    <col min="20" max="20" width="17.8867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27" s="39" customFormat="1" ht="27.75" customHeight="1">
      <c r="L2" s="201" t="s">
        <v>1</v>
      </c>
      <c r="M2" s="201"/>
      <c r="N2" s="201"/>
      <c r="O2" s="201"/>
      <c r="X2" s="201"/>
      <c r="Y2" s="201"/>
      <c r="Z2" s="201"/>
      <c r="AA2" s="201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317</v>
      </c>
      <c r="G3" s="82" t="s">
        <v>7</v>
      </c>
      <c r="H3" s="82" t="s">
        <v>145</v>
      </c>
      <c r="I3" s="82" t="s">
        <v>147</v>
      </c>
      <c r="J3" s="82" t="s">
        <v>316</v>
      </c>
      <c r="K3" s="82" t="s">
        <v>148</v>
      </c>
      <c r="L3" s="82" t="s">
        <v>149</v>
      </c>
      <c r="M3" s="82" t="s">
        <v>150</v>
      </c>
      <c r="N3" s="81" t="s">
        <v>11</v>
      </c>
      <c r="O3" s="81" t="s">
        <v>12</v>
      </c>
      <c r="P3" s="95" t="s">
        <v>318</v>
      </c>
      <c r="Q3" s="95"/>
      <c r="R3" s="83" t="s">
        <v>319</v>
      </c>
      <c r="S3" s="83" t="s">
        <v>939</v>
      </c>
      <c r="T3" s="83" t="s">
        <v>940</v>
      </c>
    </row>
    <row r="4" spans="1:27" s="83" customFormat="1" ht="67.8" customHeight="1">
      <c r="A4" s="34">
        <v>1</v>
      </c>
      <c r="B4" s="34" t="s">
        <v>284</v>
      </c>
      <c r="C4" s="35" t="s">
        <v>285</v>
      </c>
      <c r="D4" s="35"/>
      <c r="E4" s="34" t="s">
        <v>20</v>
      </c>
      <c r="F4" s="80">
        <v>0.33628318584070799</v>
      </c>
      <c r="G4" s="36">
        <v>0.13</v>
      </c>
      <c r="H4" s="45">
        <v>0.65</v>
      </c>
      <c r="I4" s="80">
        <v>0.32619469026548675</v>
      </c>
      <c r="J4" s="80">
        <v>8000</v>
      </c>
      <c r="K4" s="80">
        <f>I4+J4/150000</f>
        <v>0.3795280235988201</v>
      </c>
      <c r="L4" s="80">
        <v>0.32619469026548675</v>
      </c>
      <c r="M4" s="80">
        <f>K4</f>
        <v>0.3795280235988201</v>
      </c>
      <c r="N4" s="93" t="s">
        <v>278</v>
      </c>
      <c r="O4" s="37" t="s">
        <v>312</v>
      </c>
      <c r="P4" s="83">
        <f>VLOOKUP(B4,[4]开发清单!$C$3:$J$16,8,0)</f>
        <v>0.65</v>
      </c>
      <c r="Q4" s="192">
        <f>M4-P4</f>
        <v>-0.27047197640117993</v>
      </c>
      <c r="R4" s="96">
        <f>(L4-P4)/P4</f>
        <v>-0.49816201497617424</v>
      </c>
      <c r="S4" s="83">
        <f>VLOOKUP(B4,[5]h6!$B:$G,6,0)</f>
        <v>14</v>
      </c>
      <c r="T4" s="83">
        <v>1000</v>
      </c>
      <c r="U4" s="83">
        <f>Q4*S4*T4</f>
        <v>-3786.6076696165187</v>
      </c>
    </row>
    <row r="5" spans="1:27" s="83" customFormat="1" ht="67.8" customHeight="1">
      <c r="A5" s="34">
        <v>2</v>
      </c>
      <c r="B5" s="34" t="s">
        <v>286</v>
      </c>
      <c r="C5" s="35" t="s">
        <v>287</v>
      </c>
      <c r="D5" s="35"/>
      <c r="E5" s="34" t="s">
        <v>20</v>
      </c>
      <c r="F5" s="80">
        <v>1.0619469026548674</v>
      </c>
      <c r="G5" s="36">
        <v>0.13</v>
      </c>
      <c r="H5" s="45">
        <v>1.05</v>
      </c>
      <c r="I5" s="80">
        <v>0.9</v>
      </c>
      <c r="J5" s="80">
        <v>11000</v>
      </c>
      <c r="K5" s="80">
        <f t="shared" ref="K5:K17" si="0">I5+J5/150000</f>
        <v>0.97333333333333338</v>
      </c>
      <c r="L5" s="80">
        <v>0.9</v>
      </c>
      <c r="M5" s="80">
        <f t="shared" ref="M5:M17" si="1">K5</f>
        <v>0.97333333333333338</v>
      </c>
      <c r="N5" s="93" t="s">
        <v>278</v>
      </c>
      <c r="O5" s="37" t="s">
        <v>312</v>
      </c>
      <c r="P5" s="83">
        <f>VLOOKUP(B5,[4]开发清单!$C$3:$J$16,8,0)</f>
        <v>1.05</v>
      </c>
      <c r="Q5" s="192">
        <f t="shared" ref="Q5:Q17" si="2">M5-P5</f>
        <v>-7.6666666666666661E-2</v>
      </c>
      <c r="R5" s="96">
        <f t="shared" ref="R5:R17" si="3">(L5-P5)/P5</f>
        <v>-0.14285714285714288</v>
      </c>
      <c r="S5" s="83">
        <f>VLOOKUP(B5,[5]h6!$B:$G,6,0)</f>
        <v>6</v>
      </c>
      <c r="T5" s="83">
        <v>1000</v>
      </c>
      <c r="U5" s="83">
        <f t="shared" ref="U5:U13" si="4">Q5*S5*T5</f>
        <v>-459.99999999999994</v>
      </c>
    </row>
    <row r="6" spans="1:27" s="83" customFormat="1" ht="67.8" customHeight="1">
      <c r="A6" s="34">
        <v>3</v>
      </c>
      <c r="B6" s="34" t="s">
        <v>288</v>
      </c>
      <c r="C6" s="35" t="s">
        <v>289</v>
      </c>
      <c r="D6" s="35"/>
      <c r="E6" s="34" t="s">
        <v>20</v>
      </c>
      <c r="F6" s="80">
        <v>1.946902654867257</v>
      </c>
      <c r="G6" s="36">
        <v>0.13</v>
      </c>
      <c r="H6" s="45">
        <v>1.4</v>
      </c>
      <c r="I6" s="80">
        <v>1.9</v>
      </c>
      <c r="J6" s="80">
        <v>12000</v>
      </c>
      <c r="K6" s="80">
        <f t="shared" si="0"/>
        <v>1.98</v>
      </c>
      <c r="L6" s="80">
        <v>1.9</v>
      </c>
      <c r="M6" s="80">
        <f t="shared" si="1"/>
        <v>1.98</v>
      </c>
      <c r="N6" s="93" t="s">
        <v>278</v>
      </c>
      <c r="O6" s="37" t="s">
        <v>312</v>
      </c>
      <c r="P6" s="83">
        <f>VLOOKUP(B6,[4]开发清单!$C$3:$J$16,8,0)</f>
        <v>1.4</v>
      </c>
      <c r="Q6" s="192">
        <f t="shared" si="2"/>
        <v>0.58000000000000007</v>
      </c>
      <c r="R6" s="96">
        <f t="shared" si="3"/>
        <v>0.35714285714285715</v>
      </c>
      <c r="S6" s="83">
        <f>VLOOKUP(B6,[5]h6!$B:$G,6,0)</f>
        <v>1</v>
      </c>
      <c r="T6" s="83">
        <v>1000</v>
      </c>
      <c r="U6" s="83">
        <f t="shared" si="4"/>
        <v>580.00000000000011</v>
      </c>
    </row>
    <row r="7" spans="1:27" s="83" customFormat="1" ht="67.8" customHeight="1">
      <c r="A7" s="34">
        <v>4</v>
      </c>
      <c r="B7" s="34" t="s">
        <v>290</v>
      </c>
      <c r="C7" s="35" t="s">
        <v>291</v>
      </c>
      <c r="D7" s="35"/>
      <c r="E7" s="34" t="s">
        <v>20</v>
      </c>
      <c r="F7" s="80">
        <v>0.63716814159292035</v>
      </c>
      <c r="G7" s="36">
        <v>0.13</v>
      </c>
      <c r="H7" s="45">
        <v>0.85</v>
      </c>
      <c r="I7" s="80">
        <v>0.6180530973451327</v>
      </c>
      <c r="J7" s="80">
        <v>8500</v>
      </c>
      <c r="K7" s="80">
        <f t="shared" si="0"/>
        <v>0.67471976401179934</v>
      </c>
      <c r="L7" s="80">
        <v>0.6180530973451327</v>
      </c>
      <c r="M7" s="80">
        <f t="shared" si="1"/>
        <v>0.67471976401179934</v>
      </c>
      <c r="N7" s="93" t="s">
        <v>278</v>
      </c>
      <c r="O7" s="37" t="s">
        <v>312</v>
      </c>
      <c r="P7" s="83">
        <f>VLOOKUP(B7,[4]开发清单!$C$3:$J$16,8,0)</f>
        <v>0.85</v>
      </c>
      <c r="Q7" s="192">
        <f t="shared" si="2"/>
        <v>-0.17528023598820064</v>
      </c>
      <c r="R7" s="96">
        <f t="shared" si="3"/>
        <v>-0.27287870900572619</v>
      </c>
      <c r="S7" s="83">
        <f>VLOOKUP(B7,[5]h6!$B:$G,6,0)</f>
        <v>1</v>
      </c>
      <c r="T7" s="83">
        <v>1000</v>
      </c>
      <c r="U7" s="83">
        <f t="shared" si="4"/>
        <v>-175.28023598820064</v>
      </c>
    </row>
    <row r="8" spans="1:27" s="83" customFormat="1" ht="67.8" customHeight="1">
      <c r="A8" s="34">
        <v>5</v>
      </c>
      <c r="B8" s="34" t="s">
        <v>292</v>
      </c>
      <c r="C8" s="35" t="s">
        <v>293</v>
      </c>
      <c r="D8" s="35"/>
      <c r="E8" s="34" t="s">
        <v>20</v>
      </c>
      <c r="F8" s="80">
        <v>0.46017699115044253</v>
      </c>
      <c r="G8" s="36">
        <v>0.13</v>
      </c>
      <c r="H8" s="45">
        <v>0.71</v>
      </c>
      <c r="I8" s="80">
        <v>0.44637168141592926</v>
      </c>
      <c r="J8" s="80">
        <v>8000</v>
      </c>
      <c r="K8" s="80">
        <f t="shared" si="0"/>
        <v>0.4997050147492626</v>
      </c>
      <c r="L8" s="80">
        <v>0.44637168141592926</v>
      </c>
      <c r="M8" s="80">
        <f t="shared" si="1"/>
        <v>0.4997050147492626</v>
      </c>
      <c r="N8" s="93" t="s">
        <v>278</v>
      </c>
      <c r="O8" s="37" t="s">
        <v>312</v>
      </c>
      <c r="P8" s="83">
        <f>VLOOKUP(B8,[4]开发清单!$C$3:$J$16,8,0)</f>
        <v>0.71</v>
      </c>
      <c r="Q8" s="192">
        <f t="shared" si="2"/>
        <v>-0.21029498525073737</v>
      </c>
      <c r="R8" s="96">
        <f t="shared" si="3"/>
        <v>-0.37130749096347987</v>
      </c>
      <c r="S8" s="83">
        <f>VLOOKUP(B8,[5]h6!$B:$G,6,0)</f>
        <v>2</v>
      </c>
      <c r="T8" s="83">
        <v>1000</v>
      </c>
      <c r="U8" s="83">
        <f t="shared" si="4"/>
        <v>-420.58997050147474</v>
      </c>
    </row>
    <row r="9" spans="1:27" s="83" customFormat="1" ht="67.8" customHeight="1">
      <c r="A9" s="34">
        <v>6</v>
      </c>
      <c r="B9" s="34" t="s">
        <v>294</v>
      </c>
      <c r="C9" s="35" t="s">
        <v>295</v>
      </c>
      <c r="D9" s="35"/>
      <c r="E9" s="34" t="s">
        <v>20</v>
      </c>
      <c r="F9" s="80">
        <v>0.46902654867256643</v>
      </c>
      <c r="G9" s="36">
        <v>0.13</v>
      </c>
      <c r="H9" s="45">
        <v>0.72</v>
      </c>
      <c r="I9" s="80">
        <v>0.45495575221238943</v>
      </c>
      <c r="J9" s="80">
        <v>7500</v>
      </c>
      <c r="K9" s="80">
        <f t="shared" si="0"/>
        <v>0.50495575221238942</v>
      </c>
      <c r="L9" s="80">
        <v>0.45495575221238943</v>
      </c>
      <c r="M9" s="80">
        <f t="shared" si="1"/>
        <v>0.50495575221238942</v>
      </c>
      <c r="N9" s="93" t="s">
        <v>278</v>
      </c>
      <c r="O9" s="37" t="s">
        <v>312</v>
      </c>
      <c r="P9" s="83">
        <f>VLOOKUP(B9,[4]开发清单!$C$3:$J$16,8,0)</f>
        <v>0.72</v>
      </c>
      <c r="Q9" s="192">
        <f t="shared" si="2"/>
        <v>-0.21504424778761055</v>
      </c>
      <c r="R9" s="96">
        <f t="shared" si="3"/>
        <v>-0.36811701081612574</v>
      </c>
      <c r="S9" s="83">
        <f>VLOOKUP(B9,[5]h6!$B:$G,6,0)</f>
        <v>2</v>
      </c>
      <c r="T9" s="83">
        <v>1000</v>
      </c>
      <c r="U9" s="83">
        <f t="shared" si="4"/>
        <v>-430.08849557522109</v>
      </c>
    </row>
    <row r="10" spans="1:27" s="83" customFormat="1" ht="67.8" customHeight="1">
      <c r="A10" s="34">
        <v>7</v>
      </c>
      <c r="B10" s="34" t="s">
        <v>296</v>
      </c>
      <c r="C10" s="35" t="s">
        <v>297</v>
      </c>
      <c r="D10" s="35"/>
      <c r="E10" s="34" t="s">
        <v>20</v>
      </c>
      <c r="F10" s="80">
        <v>1.8584070796460179</v>
      </c>
      <c r="G10" s="36">
        <v>0.13</v>
      </c>
      <c r="H10" s="45">
        <v>2.57</v>
      </c>
      <c r="I10" s="80">
        <v>1.8026548672566374</v>
      </c>
      <c r="J10" s="80">
        <v>12000</v>
      </c>
      <c r="K10" s="80">
        <f t="shared" si="0"/>
        <v>1.8826548672566374</v>
      </c>
      <c r="L10" s="80">
        <v>1.8026548672566374</v>
      </c>
      <c r="M10" s="80">
        <f t="shared" si="1"/>
        <v>1.8826548672566374</v>
      </c>
      <c r="N10" s="93" t="s">
        <v>278</v>
      </c>
      <c r="O10" s="37" t="s">
        <v>312</v>
      </c>
      <c r="P10" s="83">
        <f>VLOOKUP(B10,[4]开发清单!$C$3:$J$16,8,0)</f>
        <v>2.57</v>
      </c>
      <c r="Q10" s="192">
        <f t="shared" si="2"/>
        <v>-0.6873451327433624</v>
      </c>
      <c r="R10" s="96">
        <f t="shared" si="3"/>
        <v>-0.29857787266278696</v>
      </c>
      <c r="S10" s="83">
        <f>VLOOKUP(B10,[5]h6!$B:$G,6,0)</f>
        <v>2</v>
      </c>
      <c r="T10" s="83">
        <v>1000</v>
      </c>
      <c r="U10" s="83">
        <f t="shared" si="4"/>
        <v>-1374.6902654867247</v>
      </c>
    </row>
    <row r="11" spans="1:27" s="83" customFormat="1" ht="67.8" customHeight="1">
      <c r="A11" s="34">
        <v>8</v>
      </c>
      <c r="B11" s="34" t="s">
        <v>298</v>
      </c>
      <c r="C11" s="35" t="s">
        <v>299</v>
      </c>
      <c r="D11" s="35"/>
      <c r="E11" s="34" t="s">
        <v>20</v>
      </c>
      <c r="F11" s="80">
        <v>0.38053097345132747</v>
      </c>
      <c r="G11" s="36">
        <v>0.13</v>
      </c>
      <c r="H11" s="45">
        <v>0.45</v>
      </c>
      <c r="I11" s="80">
        <v>0.36911504424778763</v>
      </c>
      <c r="J11" s="80">
        <v>7500</v>
      </c>
      <c r="K11" s="80">
        <f t="shared" si="0"/>
        <v>0.41911504424778762</v>
      </c>
      <c r="L11" s="80">
        <v>0.36911504424778763</v>
      </c>
      <c r="M11" s="80">
        <f t="shared" si="1"/>
        <v>0.41911504424778762</v>
      </c>
      <c r="N11" s="93" t="s">
        <v>278</v>
      </c>
      <c r="O11" s="37" t="s">
        <v>312</v>
      </c>
      <c r="P11" s="83">
        <f>VLOOKUP(B11,[4]开发清单!$C$3:$J$16,8,0)</f>
        <v>0.45</v>
      </c>
      <c r="Q11" s="192">
        <f t="shared" si="2"/>
        <v>-3.0884955752212395E-2</v>
      </c>
      <c r="R11" s="96">
        <f t="shared" si="3"/>
        <v>-0.17974434611602752</v>
      </c>
      <c r="S11" s="83">
        <v>1</v>
      </c>
      <c r="T11" s="83">
        <v>1000</v>
      </c>
      <c r="U11" s="83">
        <f t="shared" si="4"/>
        <v>-30.884955752212395</v>
      </c>
    </row>
    <row r="12" spans="1:27" s="83" customFormat="1" ht="67.8" customHeight="1">
      <c r="A12" s="34">
        <v>9</v>
      </c>
      <c r="B12" s="34" t="s">
        <v>300</v>
      </c>
      <c r="C12" s="35" t="s">
        <v>301</v>
      </c>
      <c r="D12" s="35"/>
      <c r="E12" s="34" t="s">
        <v>20</v>
      </c>
      <c r="F12" s="80">
        <v>0.39823008849557529</v>
      </c>
      <c r="G12" s="36">
        <v>0.13</v>
      </c>
      <c r="H12" s="45">
        <v>0.54</v>
      </c>
      <c r="I12" s="80">
        <v>0.38628318584070803</v>
      </c>
      <c r="J12" s="80">
        <v>7500</v>
      </c>
      <c r="K12" s="80">
        <f t="shared" si="0"/>
        <v>0.43628318584070802</v>
      </c>
      <c r="L12" s="80">
        <v>0.38628318584070803</v>
      </c>
      <c r="M12" s="80">
        <f t="shared" si="1"/>
        <v>0.43628318584070802</v>
      </c>
      <c r="N12" s="93" t="s">
        <v>278</v>
      </c>
      <c r="O12" s="37" t="s">
        <v>312</v>
      </c>
      <c r="P12" s="83">
        <f>VLOOKUP(B12,[4]开发清单!$C$3:$J$16,8,0)</f>
        <v>0.54</v>
      </c>
      <c r="Q12" s="192">
        <f t="shared" si="2"/>
        <v>-0.10371681415929201</v>
      </c>
      <c r="R12" s="96">
        <f t="shared" si="3"/>
        <v>-0.28466076696165182</v>
      </c>
      <c r="S12" s="83">
        <f>VLOOKUP(B12,[5]h6!$B:$G,6,0)</f>
        <v>1</v>
      </c>
      <c r="T12" s="83">
        <v>1000</v>
      </c>
      <c r="U12" s="83">
        <f t="shared" si="4"/>
        <v>-103.71681415929201</v>
      </c>
    </row>
    <row r="13" spans="1:27" s="83" customFormat="1" ht="67.8" customHeight="1">
      <c r="A13" s="34">
        <v>10</v>
      </c>
      <c r="B13" s="34" t="s">
        <v>302</v>
      </c>
      <c r="C13" s="35" t="s">
        <v>303</v>
      </c>
      <c r="D13" s="35"/>
      <c r="E13" s="34" t="s">
        <v>20</v>
      </c>
      <c r="F13" s="80">
        <v>0.2035398230088496</v>
      </c>
      <c r="G13" s="36">
        <v>0.13</v>
      </c>
      <c r="H13" s="45">
        <v>0.56000000000000005</v>
      </c>
      <c r="I13" s="80">
        <v>0.1974336283185841</v>
      </c>
      <c r="J13" s="80">
        <v>8000</v>
      </c>
      <c r="K13" s="80">
        <f t="shared" si="0"/>
        <v>0.25076696165191742</v>
      </c>
      <c r="L13" s="80">
        <v>0.1974336283185841</v>
      </c>
      <c r="M13" s="80">
        <f t="shared" si="1"/>
        <v>0.25076696165191742</v>
      </c>
      <c r="N13" s="93" t="s">
        <v>278</v>
      </c>
      <c r="O13" s="37" t="s">
        <v>312</v>
      </c>
      <c r="P13" s="83">
        <f>VLOOKUP(B13,[4]开发清单!$C$3:$J$16,8,0)</f>
        <v>0.56000000000000005</v>
      </c>
      <c r="Q13" s="192">
        <f t="shared" si="2"/>
        <v>-0.30923303834808263</v>
      </c>
      <c r="R13" s="96">
        <f t="shared" si="3"/>
        <v>-0.64743994943109984</v>
      </c>
      <c r="S13" s="83">
        <v>1</v>
      </c>
      <c r="T13" s="83">
        <v>1000</v>
      </c>
      <c r="U13" s="83">
        <f t="shared" si="4"/>
        <v>-309.23303834808263</v>
      </c>
    </row>
    <row r="14" spans="1:27" s="83" customFormat="1" ht="67.8" customHeight="1">
      <c r="A14" s="34">
        <v>11</v>
      </c>
      <c r="B14" s="34" t="s">
        <v>304</v>
      </c>
      <c r="C14" s="35" t="s">
        <v>305</v>
      </c>
      <c r="D14" s="35"/>
      <c r="E14" s="34" t="s">
        <v>20</v>
      </c>
      <c r="F14" s="80">
        <v>0.78800000000000003</v>
      </c>
      <c r="G14" s="36">
        <v>0.13</v>
      </c>
      <c r="H14" s="45">
        <v>2.0350000000000001</v>
      </c>
      <c r="I14" s="80">
        <v>0.76436000000000004</v>
      </c>
      <c r="J14" s="80">
        <v>12000</v>
      </c>
      <c r="K14" s="80">
        <f t="shared" si="0"/>
        <v>0.84436</v>
      </c>
      <c r="L14" s="80">
        <v>0.76436000000000004</v>
      </c>
      <c r="M14" s="80">
        <f t="shared" si="1"/>
        <v>0.84436</v>
      </c>
      <c r="N14" s="93" t="s">
        <v>278</v>
      </c>
      <c r="O14" s="37" t="s">
        <v>313</v>
      </c>
      <c r="P14" s="83">
        <f>VLOOKUP(B14,[4]开发清单!$C$3:$J$16,8,0)</f>
        <v>2.0350000000000001</v>
      </c>
      <c r="Q14" s="192">
        <f t="shared" si="2"/>
        <v>-1.1906400000000001</v>
      </c>
      <c r="R14" s="96">
        <f t="shared" si="3"/>
        <v>-0.62439312039312045</v>
      </c>
      <c r="S14" s="83" t="e">
        <f>VLOOKUP(B14,[5]h6!$B:$G,6,0)</f>
        <v>#N/A</v>
      </c>
      <c r="T14" s="83">
        <v>1000</v>
      </c>
    </row>
    <row r="15" spans="1:27" s="83" customFormat="1" ht="67.8" customHeight="1">
      <c r="A15" s="34">
        <v>12</v>
      </c>
      <c r="B15" s="34" t="s">
        <v>306</v>
      </c>
      <c r="C15" s="35" t="s">
        <v>307</v>
      </c>
      <c r="D15" s="35"/>
      <c r="E15" s="34" t="s">
        <v>20</v>
      </c>
      <c r="F15" s="80">
        <v>1.1499999999999999</v>
      </c>
      <c r="G15" s="36">
        <v>0.13</v>
      </c>
      <c r="H15" s="45">
        <v>0.83</v>
      </c>
      <c r="I15" s="80">
        <v>0.7</v>
      </c>
      <c r="J15" s="80">
        <v>8500</v>
      </c>
      <c r="K15" s="80">
        <f t="shared" si="0"/>
        <v>0.7566666666666666</v>
      </c>
      <c r="L15" s="80">
        <v>0.7</v>
      </c>
      <c r="M15" s="80">
        <f t="shared" si="1"/>
        <v>0.7566666666666666</v>
      </c>
      <c r="N15" s="93" t="s">
        <v>278</v>
      </c>
      <c r="O15" s="37" t="s">
        <v>313</v>
      </c>
      <c r="P15" s="83">
        <f>VLOOKUP(B15,[4]开发清单!$C$3:$J$16,8,0)</f>
        <v>0.83</v>
      </c>
      <c r="Q15" s="192">
        <f t="shared" si="2"/>
        <v>-7.3333333333333361E-2</v>
      </c>
      <c r="R15" s="96">
        <f t="shared" si="3"/>
        <v>-0.15662650602409639</v>
      </c>
      <c r="S15" s="83" t="e">
        <f>VLOOKUP(B15,[5]h6!$B:$G,6,0)</f>
        <v>#N/A</v>
      </c>
      <c r="T15" s="83">
        <v>1000</v>
      </c>
    </row>
    <row r="16" spans="1:27" s="83" customFormat="1" ht="67.8" customHeight="1">
      <c r="A16" s="34">
        <v>13</v>
      </c>
      <c r="B16" s="34" t="s">
        <v>308</v>
      </c>
      <c r="C16" s="35" t="s">
        <v>309</v>
      </c>
      <c r="D16" s="35"/>
      <c r="E16" s="34" t="s">
        <v>20</v>
      </c>
      <c r="F16" s="80">
        <v>0.752</v>
      </c>
      <c r="G16" s="36">
        <v>0.13</v>
      </c>
      <c r="H16" s="45">
        <v>0.52249999999999996</v>
      </c>
      <c r="I16" s="80">
        <v>0.5</v>
      </c>
      <c r="J16" s="80">
        <v>10000</v>
      </c>
      <c r="K16" s="80">
        <f t="shared" si="0"/>
        <v>0.56666666666666665</v>
      </c>
      <c r="L16" s="80">
        <v>0.5</v>
      </c>
      <c r="M16" s="80">
        <f t="shared" si="1"/>
        <v>0.56666666666666665</v>
      </c>
      <c r="N16" s="93" t="s">
        <v>278</v>
      </c>
      <c r="O16" s="37" t="s">
        <v>314</v>
      </c>
      <c r="P16" s="83">
        <f>VLOOKUP(B16,[4]开发清单!$C$3:$J$16,8,0)</f>
        <v>0.52249999999999996</v>
      </c>
      <c r="Q16" s="192">
        <f t="shared" si="2"/>
        <v>4.4166666666666687E-2</v>
      </c>
      <c r="R16" s="96">
        <f t="shared" si="3"/>
        <v>-4.3062200956937732E-2</v>
      </c>
      <c r="S16" s="83" t="e">
        <f>VLOOKUP(B16,[5]h6!$B:$G,6,0)</f>
        <v>#N/A</v>
      </c>
      <c r="T16" s="83">
        <v>1000</v>
      </c>
    </row>
    <row r="17" spans="1:28" s="83" customFormat="1" ht="67.8" customHeight="1">
      <c r="A17" s="34">
        <v>14</v>
      </c>
      <c r="B17" s="34" t="s">
        <v>310</v>
      </c>
      <c r="C17" s="35" t="s">
        <v>311</v>
      </c>
      <c r="D17" s="35"/>
      <c r="E17" s="34" t="s">
        <v>20</v>
      </c>
      <c r="F17" s="80">
        <v>1.504</v>
      </c>
      <c r="G17" s="36">
        <v>0.13</v>
      </c>
      <c r="H17" s="45">
        <v>1.1499999999999999</v>
      </c>
      <c r="I17" s="80">
        <v>1.25</v>
      </c>
      <c r="J17" s="80">
        <v>12000</v>
      </c>
      <c r="K17" s="80">
        <f t="shared" si="0"/>
        <v>1.33</v>
      </c>
      <c r="L17" s="80">
        <v>1.25</v>
      </c>
      <c r="M17" s="80">
        <f t="shared" si="1"/>
        <v>1.33</v>
      </c>
      <c r="N17" s="93" t="s">
        <v>278</v>
      </c>
      <c r="O17" s="37" t="s">
        <v>315</v>
      </c>
      <c r="P17" s="83">
        <f>VLOOKUP(B17,[4]开发清单!$C$3:$J$16,8,0)</f>
        <v>1.1499999999999999</v>
      </c>
      <c r="Q17" s="192">
        <f t="shared" si="2"/>
        <v>0.18000000000000016</v>
      </c>
      <c r="R17" s="96">
        <f t="shared" si="3"/>
        <v>8.6956521739130516E-2</v>
      </c>
      <c r="S17" s="83" t="e">
        <f>VLOOKUP(B17,[5]h6!$B:$G,6,0)</f>
        <v>#N/A</v>
      </c>
      <c r="T17" s="83">
        <v>1000</v>
      </c>
    </row>
    <row r="18" spans="1:28" s="39" customFormat="1" ht="67.8" customHeight="1">
      <c r="A18" s="34"/>
      <c r="B18" s="34"/>
      <c r="C18" s="35"/>
      <c r="D18" s="35"/>
      <c r="E18" s="34"/>
      <c r="F18" s="80"/>
      <c r="G18" s="36"/>
      <c r="H18" s="45"/>
      <c r="I18" s="80"/>
      <c r="J18" s="80"/>
      <c r="K18" s="80"/>
      <c r="L18" s="80"/>
      <c r="M18" s="80"/>
      <c r="N18" s="93"/>
      <c r="O18" s="37"/>
      <c r="P18" s="38"/>
      <c r="Q18" s="38"/>
      <c r="U18" s="83"/>
      <c r="V18" s="83"/>
      <c r="X18" s="83"/>
      <c r="Z18" s="83"/>
      <c r="AB18" s="38"/>
    </row>
    <row r="19" spans="1:28" s="39" customFormat="1" ht="27.75" customHeight="1">
      <c r="A19" s="202" t="s">
        <v>320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</row>
    <row r="20" spans="1:28" s="39" customFormat="1" ht="96" customHeight="1">
      <c r="A20" s="202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</row>
    <row r="21" spans="1:28" s="39" customFormat="1" ht="93" customHeight="1">
      <c r="A21" s="203" t="s">
        <v>13</v>
      </c>
      <c r="B21" s="204"/>
      <c r="C21" s="205" t="s">
        <v>14</v>
      </c>
      <c r="D21" s="205"/>
      <c r="E21" s="205"/>
      <c r="F21" s="206" t="s">
        <v>15</v>
      </c>
      <c r="G21" s="207"/>
      <c r="H21" s="207"/>
      <c r="I21" s="206" t="s">
        <v>16</v>
      </c>
      <c r="J21" s="207"/>
      <c r="K21" s="207"/>
      <c r="L21" s="207"/>
      <c r="M21" s="94"/>
      <c r="N21" s="202" t="s">
        <v>17</v>
      </c>
      <c r="O21" s="202"/>
    </row>
    <row r="22" spans="1:28" s="39" customFormat="1" ht="27.75" customHeight="1"/>
    <row r="23" spans="1:28" s="39" customFormat="1" ht="27.75" customHeight="1"/>
    <row r="24" spans="1:28" s="39" customFormat="1" ht="27.75" customHeight="1"/>
    <row r="25" spans="1:28" s="39" customFormat="1" ht="27.75" customHeight="1"/>
    <row r="26" spans="1:28" s="39" customFormat="1" ht="27.75" customHeight="1"/>
    <row r="27" spans="1:28" s="39" customFormat="1" ht="27.75" customHeight="1"/>
    <row r="28" spans="1:28" s="39" customFormat="1" ht="27.75" customHeight="1"/>
    <row r="29" spans="1:28" s="39" customFormat="1" ht="27.75" customHeight="1"/>
    <row r="30" spans="1:28" s="39" customFormat="1" ht="27.75" customHeight="1"/>
    <row r="31" spans="1:28" s="39" customFormat="1" ht="27.75" customHeight="1"/>
    <row r="32" spans="1:28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</sheetData>
  <autoFilter ref="A3:P21" xr:uid="{5E8330BB-28EE-4D19-A3B7-0FB7B91864ED}"/>
  <mergeCells count="9">
    <mergeCell ref="A1:O1"/>
    <mergeCell ref="L2:O2"/>
    <mergeCell ref="X2:AA2"/>
    <mergeCell ref="A19:O20"/>
    <mergeCell ref="A21:B21"/>
    <mergeCell ref="C21:E21"/>
    <mergeCell ref="F21:H21"/>
    <mergeCell ref="I21:L21"/>
    <mergeCell ref="N21:O2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E045-C390-4DA6-AA85-6852A60745BD}">
  <sheetPr codeName="Sheet19">
    <pageSetUpPr fitToPage="1"/>
  </sheetPr>
  <dimension ref="A1:W510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321</v>
      </c>
      <c r="C4" s="35" t="s">
        <v>322</v>
      </c>
      <c r="D4" s="35"/>
      <c r="E4" s="34" t="s">
        <v>20</v>
      </c>
      <c r="F4" s="80">
        <v>0.5</v>
      </c>
      <c r="G4" s="36">
        <v>0.13</v>
      </c>
      <c r="H4" s="97">
        <v>0.3</v>
      </c>
      <c r="I4" s="80">
        <f>H4</f>
        <v>0.3</v>
      </c>
      <c r="J4" s="80">
        <f>I4</f>
        <v>0.3</v>
      </c>
      <c r="K4" s="93" t="s">
        <v>323</v>
      </c>
      <c r="L4" s="37" t="s">
        <v>324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45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45"/>
      <c r="I6" s="80"/>
      <c r="J6" s="80"/>
      <c r="K6" s="93"/>
      <c r="L6" s="37"/>
      <c r="N6" s="96"/>
    </row>
    <row r="7" spans="1:23" s="39" customFormat="1" ht="27.75" customHeight="1">
      <c r="A7" s="202" t="s">
        <v>325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75.599999999999994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93" customHeight="1">
      <c r="A9" s="203" t="s">
        <v>13</v>
      </c>
      <c r="B9" s="204"/>
      <c r="C9" s="205" t="s">
        <v>14</v>
      </c>
      <c r="D9" s="205"/>
      <c r="E9" s="205"/>
      <c r="F9" s="206" t="s">
        <v>15</v>
      </c>
      <c r="G9" s="207"/>
      <c r="H9" s="207"/>
      <c r="I9" s="206" t="s">
        <v>16</v>
      </c>
      <c r="J9" s="207"/>
      <c r="K9" s="202" t="s">
        <v>17</v>
      </c>
      <c r="L9" s="202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 codeName="Sheet2"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2" ht="27.75" customHeight="1">
      <c r="I2" s="200" t="s">
        <v>1</v>
      </c>
      <c r="J2" s="200"/>
      <c r="K2" s="20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7">
        <v>1</v>
      </c>
      <c r="B4" s="197" t="s">
        <v>27</v>
      </c>
      <c r="C4" s="197" t="s">
        <v>28</v>
      </c>
      <c r="D4" s="197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198"/>
      <c r="B5" s="198"/>
      <c r="C5" s="198"/>
      <c r="D5" s="198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193" t="s">
        <v>30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spans="1:12" ht="78.599999999999994" customHeight="1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</row>
    <row r="8" spans="1:12" ht="93" customHeight="1">
      <c r="A8" s="194" t="s">
        <v>13</v>
      </c>
      <c r="B8" s="195"/>
      <c r="C8" s="196" t="s">
        <v>14</v>
      </c>
      <c r="D8" s="196"/>
      <c r="E8" s="193" t="s">
        <v>15</v>
      </c>
      <c r="F8" s="193"/>
      <c r="G8" s="193"/>
      <c r="H8" s="193" t="s">
        <v>16</v>
      </c>
      <c r="I8" s="193"/>
      <c r="J8" s="193" t="s">
        <v>17</v>
      </c>
      <c r="K8" s="193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C2DE-D648-43EF-A30C-884EB3EC5F51}">
  <sheetPr codeName="Sheet20">
    <pageSetUpPr fitToPage="1"/>
  </sheetPr>
  <dimension ref="A1:W512"/>
  <sheetViews>
    <sheetView topLeftCell="A4" zoomScale="70" zoomScaleNormal="70" workbookViewId="0">
      <selection activeCell="C11" sqref="C11:E11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326</v>
      </c>
      <c r="C4" s="35" t="s">
        <v>327</v>
      </c>
      <c r="D4" s="35"/>
      <c r="E4" s="34" t="s">
        <v>20</v>
      </c>
      <c r="F4" s="80">
        <v>0.70940170940170899</v>
      </c>
      <c r="G4" s="36">
        <v>0.13</v>
      </c>
      <c r="H4" s="97"/>
      <c r="I4" s="80">
        <v>0.70940170940170899</v>
      </c>
      <c r="J4" s="80">
        <v>0.70940170940170899</v>
      </c>
      <c r="K4" s="93" t="s">
        <v>336</v>
      </c>
      <c r="L4" s="37" t="s">
        <v>337</v>
      </c>
      <c r="N4" s="96"/>
    </row>
    <row r="5" spans="1:23" s="83" customFormat="1" ht="67.8" customHeight="1">
      <c r="A5" s="34">
        <v>2</v>
      </c>
      <c r="B5" s="34" t="s">
        <v>328</v>
      </c>
      <c r="C5" s="35" t="s">
        <v>329</v>
      </c>
      <c r="D5" s="35"/>
      <c r="E5" s="34" t="s">
        <v>20</v>
      </c>
      <c r="F5" s="80">
        <v>0.2</v>
      </c>
      <c r="G5" s="36">
        <v>0.13</v>
      </c>
      <c r="H5" s="97"/>
      <c r="I5" s="80">
        <v>0.2</v>
      </c>
      <c r="J5" s="80">
        <v>0.2</v>
      </c>
      <c r="K5" s="93" t="s">
        <v>336</v>
      </c>
      <c r="L5" s="37" t="s">
        <v>337</v>
      </c>
      <c r="N5" s="96"/>
    </row>
    <row r="6" spans="1:23" s="83" customFormat="1" ht="67.8" customHeight="1">
      <c r="A6" s="34">
        <v>3</v>
      </c>
      <c r="B6" s="34" t="s">
        <v>330</v>
      </c>
      <c r="C6" s="35" t="s">
        <v>331</v>
      </c>
      <c r="D6" s="35"/>
      <c r="E6" s="34" t="s">
        <v>20</v>
      </c>
      <c r="F6" s="80">
        <v>43.442399999999999</v>
      </c>
      <c r="G6" s="36">
        <v>0.13</v>
      </c>
      <c r="H6" s="97"/>
      <c r="I6" s="80">
        <v>43.442399999999999</v>
      </c>
      <c r="J6" s="80">
        <v>43.442399999999999</v>
      </c>
      <c r="K6" s="93" t="s">
        <v>336</v>
      </c>
      <c r="L6" s="37" t="s">
        <v>337</v>
      </c>
      <c r="N6" s="96"/>
    </row>
    <row r="7" spans="1:23" s="83" customFormat="1" ht="67.8" customHeight="1">
      <c r="A7" s="34">
        <v>4</v>
      </c>
      <c r="B7" s="34" t="s">
        <v>332</v>
      </c>
      <c r="C7" s="35" t="s">
        <v>333</v>
      </c>
      <c r="D7" s="35"/>
      <c r="E7" s="34" t="s">
        <v>20</v>
      </c>
      <c r="F7" s="80">
        <v>2.9401709401709399</v>
      </c>
      <c r="G7" s="36">
        <v>0.13</v>
      </c>
      <c r="H7" s="97"/>
      <c r="I7" s="80">
        <v>2.9401709401709399</v>
      </c>
      <c r="J7" s="80">
        <v>2.9401709401709399</v>
      </c>
      <c r="K7" s="93" t="s">
        <v>336</v>
      </c>
      <c r="L7" s="37" t="s">
        <v>337</v>
      </c>
      <c r="N7" s="96"/>
    </row>
    <row r="8" spans="1:23" s="83" customFormat="1" ht="67.8" customHeight="1">
      <c r="A8" s="34">
        <v>5</v>
      </c>
      <c r="B8" s="34" t="s">
        <v>334</v>
      </c>
      <c r="C8" s="35" t="s">
        <v>335</v>
      </c>
      <c r="D8" s="35"/>
      <c r="E8" s="34" t="s">
        <v>20</v>
      </c>
      <c r="F8" s="80">
        <v>1.70940170940171</v>
      </c>
      <c r="G8" s="36">
        <v>0.13</v>
      </c>
      <c r="H8" s="97"/>
      <c r="I8" s="80">
        <v>1.70940170940171</v>
      </c>
      <c r="J8" s="80">
        <v>1.70940170940171</v>
      </c>
      <c r="K8" s="93" t="s">
        <v>336</v>
      </c>
      <c r="L8" s="37" t="s">
        <v>337</v>
      </c>
      <c r="N8" s="96"/>
    </row>
    <row r="9" spans="1:23" s="39" customFormat="1" ht="27.75" customHeight="1">
      <c r="A9" s="202" t="s">
        <v>338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43.2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23" s="39" customFormat="1" ht="93" customHeight="1">
      <c r="A11" s="203" t="s">
        <v>13</v>
      </c>
      <c r="B11" s="204"/>
      <c r="C11" s="205" t="s">
        <v>14</v>
      </c>
      <c r="D11" s="205"/>
      <c r="E11" s="205"/>
      <c r="F11" s="206" t="s">
        <v>15</v>
      </c>
      <c r="G11" s="207"/>
      <c r="H11" s="207"/>
      <c r="I11" s="206" t="s">
        <v>16</v>
      </c>
      <c r="J11" s="207"/>
      <c r="K11" s="202" t="s">
        <v>17</v>
      </c>
      <c r="L11" s="202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66B5-91C5-4256-8A6F-D22064744EA4}">
  <sheetPr codeName="Sheet21">
    <pageSetUpPr fitToPage="1"/>
  </sheetPr>
  <dimension ref="A1:W530"/>
  <sheetViews>
    <sheetView topLeftCell="A23" zoomScale="70" zoomScaleNormal="70" workbookViewId="0">
      <selection activeCell="C29" sqref="C29:E2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339</v>
      </c>
      <c r="C4" s="35" t="s">
        <v>340</v>
      </c>
      <c r="D4" s="35"/>
      <c r="E4" s="34" t="s">
        <v>20</v>
      </c>
      <c r="F4" s="80">
        <v>0.6</v>
      </c>
      <c r="G4" s="36">
        <v>0.13</v>
      </c>
      <c r="H4" s="97"/>
      <c r="I4" s="80">
        <v>0.6</v>
      </c>
      <c r="J4" s="80">
        <v>0.6</v>
      </c>
      <c r="K4" s="93" t="s">
        <v>385</v>
      </c>
      <c r="L4" s="37"/>
      <c r="N4" s="96"/>
    </row>
    <row r="5" spans="1:23" s="83" customFormat="1" ht="67.8" customHeight="1">
      <c r="A5" s="34">
        <v>2</v>
      </c>
      <c r="B5" s="34" t="s">
        <v>341</v>
      </c>
      <c r="C5" s="35" t="s">
        <v>342</v>
      </c>
      <c r="D5" s="35"/>
      <c r="E5" s="34" t="s">
        <v>20</v>
      </c>
      <c r="F5" s="80">
        <v>2.2999999999999998</v>
      </c>
      <c r="G5" s="36">
        <v>0.13</v>
      </c>
      <c r="H5" s="97"/>
      <c r="I5" s="80">
        <v>2.2999999999999998</v>
      </c>
      <c r="J5" s="80">
        <v>2.2999999999999998</v>
      </c>
      <c r="K5" s="93" t="s">
        <v>385</v>
      </c>
      <c r="L5" s="37"/>
      <c r="N5" s="96"/>
    </row>
    <row r="6" spans="1:23" s="83" customFormat="1" ht="67.8" customHeight="1">
      <c r="A6" s="34">
        <v>3</v>
      </c>
      <c r="B6" s="34" t="s">
        <v>343</v>
      </c>
      <c r="C6" s="35" t="s">
        <v>344</v>
      </c>
      <c r="D6" s="35"/>
      <c r="E6" s="34" t="s">
        <v>20</v>
      </c>
      <c r="F6" s="80">
        <v>0.8</v>
      </c>
      <c r="G6" s="36">
        <v>0.13</v>
      </c>
      <c r="H6" s="97"/>
      <c r="I6" s="80">
        <v>0.8</v>
      </c>
      <c r="J6" s="80">
        <v>0.8</v>
      </c>
      <c r="K6" s="93" t="s">
        <v>385</v>
      </c>
      <c r="L6" s="37"/>
      <c r="N6" s="96"/>
    </row>
    <row r="7" spans="1:23" s="83" customFormat="1" ht="67.8" customHeight="1">
      <c r="A7" s="34"/>
      <c r="B7" s="34" t="s">
        <v>345</v>
      </c>
      <c r="C7" s="35" t="s">
        <v>346</v>
      </c>
      <c r="D7" s="35"/>
      <c r="E7" s="34" t="s">
        <v>20</v>
      </c>
      <c r="F7" s="80">
        <v>16</v>
      </c>
      <c r="G7" s="36">
        <v>0.13</v>
      </c>
      <c r="H7" s="97"/>
      <c r="I7" s="80">
        <v>16</v>
      </c>
      <c r="J7" s="80">
        <v>16</v>
      </c>
      <c r="K7" s="93" t="s">
        <v>385</v>
      </c>
      <c r="L7" s="37"/>
      <c r="N7" s="96"/>
    </row>
    <row r="8" spans="1:23" s="83" customFormat="1" ht="67.8" customHeight="1">
      <c r="A8" s="34"/>
      <c r="B8" s="34" t="s">
        <v>347</v>
      </c>
      <c r="C8" s="35" t="s">
        <v>348</v>
      </c>
      <c r="D8" s="35"/>
      <c r="E8" s="34" t="s">
        <v>20</v>
      </c>
      <c r="F8" s="80">
        <v>16</v>
      </c>
      <c r="G8" s="36">
        <v>0.13</v>
      </c>
      <c r="H8" s="97"/>
      <c r="I8" s="80">
        <v>16</v>
      </c>
      <c r="J8" s="80">
        <v>16</v>
      </c>
      <c r="K8" s="93" t="s">
        <v>385</v>
      </c>
      <c r="L8" s="37"/>
      <c r="N8" s="96"/>
    </row>
    <row r="9" spans="1:23" s="83" customFormat="1" ht="67.8" customHeight="1">
      <c r="A9" s="34"/>
      <c r="B9" s="34" t="s">
        <v>349</v>
      </c>
      <c r="C9" s="35" t="s">
        <v>350</v>
      </c>
      <c r="D9" s="35"/>
      <c r="E9" s="34" t="s">
        <v>20</v>
      </c>
      <c r="F9" s="80">
        <v>14</v>
      </c>
      <c r="G9" s="36">
        <v>0.13</v>
      </c>
      <c r="H9" s="97"/>
      <c r="I9" s="80">
        <v>14</v>
      </c>
      <c r="J9" s="80">
        <v>14</v>
      </c>
      <c r="K9" s="93" t="s">
        <v>385</v>
      </c>
      <c r="L9" s="37"/>
      <c r="N9" s="96"/>
    </row>
    <row r="10" spans="1:23" s="83" customFormat="1" ht="67.8" customHeight="1">
      <c r="A10" s="34"/>
      <c r="B10" s="34" t="s">
        <v>351</v>
      </c>
      <c r="C10" s="35" t="s">
        <v>352</v>
      </c>
      <c r="D10" s="35"/>
      <c r="E10" s="34" t="s">
        <v>20</v>
      </c>
      <c r="F10" s="80">
        <v>14</v>
      </c>
      <c r="G10" s="36">
        <v>0.13</v>
      </c>
      <c r="H10" s="97"/>
      <c r="I10" s="80">
        <v>14</v>
      </c>
      <c r="J10" s="80">
        <v>14</v>
      </c>
      <c r="K10" s="93" t="s">
        <v>385</v>
      </c>
      <c r="L10" s="37"/>
      <c r="N10" s="96"/>
    </row>
    <row r="11" spans="1:23" s="83" customFormat="1" ht="67.8" customHeight="1">
      <c r="A11" s="34"/>
      <c r="B11" s="34" t="s">
        <v>353</v>
      </c>
      <c r="C11" s="35" t="s">
        <v>354</v>
      </c>
      <c r="D11" s="35"/>
      <c r="E11" s="34" t="s">
        <v>20</v>
      </c>
      <c r="F11" s="80">
        <v>16</v>
      </c>
      <c r="G11" s="36">
        <v>0.13</v>
      </c>
      <c r="H11" s="97"/>
      <c r="I11" s="80">
        <v>16</v>
      </c>
      <c r="J11" s="80">
        <v>16</v>
      </c>
      <c r="K11" s="93" t="s">
        <v>385</v>
      </c>
      <c r="L11" s="37"/>
      <c r="N11" s="96"/>
    </row>
    <row r="12" spans="1:23" s="83" customFormat="1" ht="67.8" customHeight="1">
      <c r="A12" s="34"/>
      <c r="B12" s="34" t="s">
        <v>355</v>
      </c>
      <c r="C12" s="35" t="s">
        <v>356</v>
      </c>
      <c r="D12" s="35"/>
      <c r="E12" s="34" t="s">
        <v>20</v>
      </c>
      <c r="F12" s="80">
        <v>16</v>
      </c>
      <c r="G12" s="36">
        <v>0.13</v>
      </c>
      <c r="H12" s="97"/>
      <c r="I12" s="80">
        <v>16</v>
      </c>
      <c r="J12" s="80">
        <v>16</v>
      </c>
      <c r="K12" s="93" t="s">
        <v>385</v>
      </c>
      <c r="L12" s="37"/>
      <c r="N12" s="96"/>
    </row>
    <row r="13" spans="1:23" s="83" customFormat="1" ht="67.8" customHeight="1">
      <c r="A13" s="34"/>
      <c r="B13" s="34" t="s">
        <v>357</v>
      </c>
      <c r="C13" s="35" t="s">
        <v>358</v>
      </c>
      <c r="D13" s="35"/>
      <c r="E13" s="34" t="s">
        <v>20</v>
      </c>
      <c r="F13" s="80">
        <v>0.6</v>
      </c>
      <c r="G13" s="36">
        <v>0.13</v>
      </c>
      <c r="H13" s="97"/>
      <c r="I13" s="80">
        <v>0.6</v>
      </c>
      <c r="J13" s="80">
        <v>0.6</v>
      </c>
      <c r="K13" s="93" t="s">
        <v>385</v>
      </c>
      <c r="L13" s="37"/>
      <c r="N13" s="96"/>
    </row>
    <row r="14" spans="1:23" s="83" customFormat="1" ht="67.8" customHeight="1">
      <c r="A14" s="34"/>
      <c r="B14" s="34" t="s">
        <v>359</v>
      </c>
      <c r="C14" s="35" t="s">
        <v>360</v>
      </c>
      <c r="D14" s="35"/>
      <c r="E14" s="34" t="s">
        <v>20</v>
      </c>
      <c r="F14" s="80">
        <v>0.6</v>
      </c>
      <c r="G14" s="36">
        <v>0.13</v>
      </c>
      <c r="H14" s="97"/>
      <c r="I14" s="80">
        <v>0.6</v>
      </c>
      <c r="J14" s="80">
        <v>0.6</v>
      </c>
      <c r="K14" s="93" t="s">
        <v>385</v>
      </c>
      <c r="L14" s="37"/>
      <c r="N14" s="96"/>
    </row>
    <row r="15" spans="1:23" s="83" customFormat="1" ht="67.8" customHeight="1">
      <c r="A15" s="34"/>
      <c r="B15" s="34" t="s">
        <v>361</v>
      </c>
      <c r="C15" s="35" t="s">
        <v>362</v>
      </c>
      <c r="D15" s="35"/>
      <c r="E15" s="34" t="s">
        <v>20</v>
      </c>
      <c r="F15" s="80">
        <v>2.2999999999999998</v>
      </c>
      <c r="G15" s="36">
        <v>0.13</v>
      </c>
      <c r="H15" s="97"/>
      <c r="I15" s="80">
        <v>2.2999999999999998</v>
      </c>
      <c r="J15" s="80">
        <v>2.2999999999999998</v>
      </c>
      <c r="K15" s="93" t="s">
        <v>385</v>
      </c>
      <c r="L15" s="37"/>
      <c r="N15" s="96"/>
    </row>
    <row r="16" spans="1:23" s="83" customFormat="1" ht="67.8" customHeight="1">
      <c r="A16" s="34"/>
      <c r="B16" s="34" t="s">
        <v>363</v>
      </c>
      <c r="C16" s="35" t="s">
        <v>364</v>
      </c>
      <c r="D16" s="35"/>
      <c r="E16" s="34" t="s">
        <v>20</v>
      </c>
      <c r="F16" s="80">
        <v>10.5</v>
      </c>
      <c r="G16" s="36">
        <v>0.13</v>
      </c>
      <c r="H16" s="97"/>
      <c r="I16" s="80">
        <v>10.5</v>
      </c>
      <c r="J16" s="80">
        <v>10.5</v>
      </c>
      <c r="K16" s="93" t="s">
        <v>385</v>
      </c>
      <c r="L16" s="37"/>
      <c r="N16" s="96"/>
    </row>
    <row r="17" spans="1:14" s="83" customFormat="1" ht="67.8" customHeight="1">
      <c r="A17" s="34"/>
      <c r="B17" s="34" t="s">
        <v>365</v>
      </c>
      <c r="C17" s="35" t="s">
        <v>366</v>
      </c>
      <c r="D17" s="35"/>
      <c r="E17" s="34" t="s">
        <v>20</v>
      </c>
      <c r="F17" s="80">
        <v>16</v>
      </c>
      <c r="G17" s="36">
        <v>0.13</v>
      </c>
      <c r="H17" s="97"/>
      <c r="I17" s="80">
        <v>16</v>
      </c>
      <c r="J17" s="80">
        <v>16</v>
      </c>
      <c r="K17" s="93" t="s">
        <v>385</v>
      </c>
      <c r="L17" s="37"/>
      <c r="N17" s="96"/>
    </row>
    <row r="18" spans="1:14" s="83" customFormat="1" ht="67.8" customHeight="1">
      <c r="A18" s="34"/>
      <c r="B18" s="34" t="s">
        <v>367</v>
      </c>
      <c r="C18" s="35" t="s">
        <v>368</v>
      </c>
      <c r="D18" s="35"/>
      <c r="E18" s="34" t="s">
        <v>20</v>
      </c>
      <c r="F18" s="80">
        <v>16</v>
      </c>
      <c r="G18" s="36">
        <v>0.13</v>
      </c>
      <c r="H18" s="97"/>
      <c r="I18" s="80">
        <v>16</v>
      </c>
      <c r="J18" s="80">
        <v>16</v>
      </c>
      <c r="K18" s="93" t="s">
        <v>385</v>
      </c>
      <c r="L18" s="37"/>
      <c r="N18" s="96"/>
    </row>
    <row r="19" spans="1:14" s="83" customFormat="1" ht="67.8" customHeight="1">
      <c r="A19" s="34"/>
      <c r="B19" s="34" t="s">
        <v>369</v>
      </c>
      <c r="C19" s="35" t="s">
        <v>370</v>
      </c>
      <c r="D19" s="35"/>
      <c r="E19" s="34" t="s">
        <v>20</v>
      </c>
      <c r="F19" s="80">
        <v>16</v>
      </c>
      <c r="G19" s="36">
        <v>0.13</v>
      </c>
      <c r="H19" s="97"/>
      <c r="I19" s="80">
        <v>16</v>
      </c>
      <c r="J19" s="80">
        <v>16</v>
      </c>
      <c r="K19" s="93" t="s">
        <v>385</v>
      </c>
      <c r="L19" s="37"/>
      <c r="N19" s="96"/>
    </row>
    <row r="20" spans="1:14" s="83" customFormat="1" ht="67.8" customHeight="1">
      <c r="A20" s="34"/>
      <c r="B20" s="34" t="s">
        <v>371</v>
      </c>
      <c r="C20" s="35" t="s">
        <v>372</v>
      </c>
      <c r="D20" s="35"/>
      <c r="E20" s="34" t="s">
        <v>20</v>
      </c>
      <c r="F20" s="80">
        <v>16</v>
      </c>
      <c r="G20" s="36">
        <v>0.13</v>
      </c>
      <c r="H20" s="97"/>
      <c r="I20" s="80">
        <v>16</v>
      </c>
      <c r="J20" s="80">
        <v>16</v>
      </c>
      <c r="K20" s="93" t="s">
        <v>385</v>
      </c>
      <c r="L20" s="37"/>
      <c r="N20" s="96"/>
    </row>
    <row r="21" spans="1:14" s="83" customFormat="1" ht="67.8" customHeight="1">
      <c r="A21" s="34"/>
      <c r="B21" s="34" t="s">
        <v>373</v>
      </c>
      <c r="C21" s="35" t="s">
        <v>374</v>
      </c>
      <c r="D21" s="35"/>
      <c r="E21" s="34" t="s">
        <v>20</v>
      </c>
      <c r="F21" s="80">
        <v>0.16</v>
      </c>
      <c r="G21" s="36">
        <v>0.13</v>
      </c>
      <c r="H21" s="97"/>
      <c r="I21" s="80">
        <v>0.16</v>
      </c>
      <c r="J21" s="80">
        <v>0.16</v>
      </c>
      <c r="K21" s="93" t="s">
        <v>385</v>
      </c>
      <c r="L21" s="37"/>
      <c r="N21" s="96"/>
    </row>
    <row r="22" spans="1:14" s="83" customFormat="1" ht="67.8" customHeight="1">
      <c r="A22" s="34"/>
      <c r="B22" s="34" t="s">
        <v>375</v>
      </c>
      <c r="C22" s="35" t="s">
        <v>376</v>
      </c>
      <c r="D22" s="35"/>
      <c r="E22" s="34" t="s">
        <v>20</v>
      </c>
      <c r="F22" s="80">
        <v>0.45</v>
      </c>
      <c r="G22" s="36">
        <v>0.13</v>
      </c>
      <c r="H22" s="97"/>
      <c r="I22" s="80">
        <v>0.45</v>
      </c>
      <c r="J22" s="80">
        <v>0.45</v>
      </c>
      <c r="K22" s="93" t="s">
        <v>385</v>
      </c>
      <c r="L22" s="37"/>
      <c r="N22" s="96"/>
    </row>
    <row r="23" spans="1:14" s="83" customFormat="1" ht="67.8" customHeight="1">
      <c r="A23" s="34"/>
      <c r="B23" s="34" t="s">
        <v>377</v>
      </c>
      <c r="C23" s="35" t="s">
        <v>378</v>
      </c>
      <c r="D23" s="35"/>
      <c r="E23" s="34" t="s">
        <v>20</v>
      </c>
      <c r="F23" s="80">
        <v>0.2</v>
      </c>
      <c r="G23" s="36">
        <v>0.13</v>
      </c>
      <c r="H23" s="97"/>
      <c r="I23" s="80">
        <v>0.2</v>
      </c>
      <c r="J23" s="80">
        <v>0.2</v>
      </c>
      <c r="K23" s="93" t="s">
        <v>385</v>
      </c>
      <c r="L23" s="37"/>
      <c r="N23" s="96"/>
    </row>
    <row r="24" spans="1:14" s="83" customFormat="1" ht="67.8" customHeight="1">
      <c r="A24" s="34"/>
      <c r="B24" s="34" t="s">
        <v>379</v>
      </c>
      <c r="C24" s="35" t="s">
        <v>380</v>
      </c>
      <c r="D24" s="35"/>
      <c r="E24" s="34" t="s">
        <v>20</v>
      </c>
      <c r="F24" s="80">
        <v>0.57999999999999996</v>
      </c>
      <c r="G24" s="36">
        <v>0.13</v>
      </c>
      <c r="H24" s="97"/>
      <c r="I24" s="80">
        <v>0.57999999999999996</v>
      </c>
      <c r="J24" s="80">
        <v>0.57999999999999996</v>
      </c>
      <c r="K24" s="93" t="s">
        <v>385</v>
      </c>
      <c r="L24" s="37"/>
      <c r="N24" s="96"/>
    </row>
    <row r="25" spans="1:14" s="83" customFormat="1" ht="67.8" customHeight="1">
      <c r="A25" s="34"/>
      <c r="B25" s="34" t="s">
        <v>381</v>
      </c>
      <c r="C25" s="35" t="s">
        <v>382</v>
      </c>
      <c r="D25" s="35"/>
      <c r="E25" s="34" t="s">
        <v>20</v>
      </c>
      <c r="F25" s="80">
        <v>0.57999999999999996</v>
      </c>
      <c r="G25" s="36">
        <v>0.13</v>
      </c>
      <c r="H25" s="97"/>
      <c r="I25" s="80">
        <v>0.57999999999999996</v>
      </c>
      <c r="J25" s="80">
        <v>0.57999999999999996</v>
      </c>
      <c r="K25" s="93" t="s">
        <v>385</v>
      </c>
      <c r="L25" s="37"/>
      <c r="N25" s="96"/>
    </row>
    <row r="26" spans="1:14" s="83" customFormat="1" ht="67.8" customHeight="1">
      <c r="A26" s="34"/>
      <c r="B26" s="34" t="s">
        <v>383</v>
      </c>
      <c r="C26" s="35" t="s">
        <v>384</v>
      </c>
      <c r="D26" s="35"/>
      <c r="E26" s="34" t="s">
        <v>20</v>
      </c>
      <c r="F26" s="80">
        <v>0.2</v>
      </c>
      <c r="G26" s="36">
        <v>0.13</v>
      </c>
      <c r="H26" s="97"/>
      <c r="I26" s="80">
        <v>0.2</v>
      </c>
      <c r="J26" s="80">
        <v>0.2</v>
      </c>
      <c r="K26" s="93" t="s">
        <v>385</v>
      </c>
      <c r="L26" s="37"/>
      <c r="N26" s="96"/>
    </row>
    <row r="27" spans="1:14" s="39" customFormat="1" ht="27.75" customHeight="1">
      <c r="A27" s="202" t="s">
        <v>386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</row>
    <row r="28" spans="1:14" s="39" customFormat="1" ht="43.2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</row>
    <row r="29" spans="1:14" s="39" customFormat="1" ht="93" customHeight="1">
      <c r="A29" s="203" t="s">
        <v>13</v>
      </c>
      <c r="B29" s="204"/>
      <c r="C29" s="205" t="s">
        <v>14</v>
      </c>
      <c r="D29" s="205"/>
      <c r="E29" s="205"/>
      <c r="F29" s="206" t="s">
        <v>15</v>
      </c>
      <c r="G29" s="207"/>
      <c r="H29" s="207"/>
      <c r="I29" s="206" t="s">
        <v>16</v>
      </c>
      <c r="J29" s="207"/>
      <c r="K29" s="202" t="s">
        <v>17</v>
      </c>
      <c r="L29" s="202"/>
    </row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AE01-3EB8-4032-BBE7-AB72F61B7C95}">
  <sheetPr codeName="Sheet22" filterMode="1">
    <pageSetUpPr fitToPage="1"/>
  </sheetPr>
  <dimension ref="A1:R543"/>
  <sheetViews>
    <sheetView topLeftCell="A14" zoomScale="60" zoomScaleNormal="60" workbookViewId="0">
      <selection activeCell="B12" sqref="A1:WVY54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6" width="23.109375" style="1" customWidth="1"/>
    <col min="17" max="17" width="36.5546875" style="1" customWidth="1"/>
    <col min="18" max="262" width="10" style="1"/>
    <col min="263" max="263" width="6.109375" style="1" bestFit="1" customWidth="1"/>
    <col min="264" max="264" width="25.5546875" style="1" customWidth="1"/>
    <col min="265" max="265" width="23.44140625" style="1" customWidth="1"/>
    <col min="266" max="266" width="7.21875" style="1" customWidth="1"/>
    <col min="267" max="267" width="11.77734375" style="1" customWidth="1"/>
    <col min="268" max="268" width="5.6640625" style="1" customWidth="1"/>
    <col min="269" max="269" width="11.77734375" style="1" customWidth="1"/>
    <col min="270" max="271" width="11.88671875" style="1" customWidth="1"/>
    <col min="272" max="272" width="15.21875" style="1" customWidth="1"/>
    <col min="273" max="273" width="11.6640625" style="1" customWidth="1"/>
    <col min="274" max="518" width="10" style="1"/>
    <col min="519" max="519" width="6.109375" style="1" bestFit="1" customWidth="1"/>
    <col min="520" max="520" width="25.5546875" style="1" customWidth="1"/>
    <col min="521" max="521" width="23.44140625" style="1" customWidth="1"/>
    <col min="522" max="522" width="7.21875" style="1" customWidth="1"/>
    <col min="523" max="523" width="11.77734375" style="1" customWidth="1"/>
    <col min="524" max="524" width="5.6640625" style="1" customWidth="1"/>
    <col min="525" max="525" width="11.77734375" style="1" customWidth="1"/>
    <col min="526" max="527" width="11.88671875" style="1" customWidth="1"/>
    <col min="528" max="528" width="15.21875" style="1" customWidth="1"/>
    <col min="529" max="529" width="11.6640625" style="1" customWidth="1"/>
    <col min="530" max="774" width="10" style="1"/>
    <col min="775" max="775" width="6.109375" style="1" bestFit="1" customWidth="1"/>
    <col min="776" max="776" width="25.5546875" style="1" customWidth="1"/>
    <col min="777" max="777" width="23.44140625" style="1" customWidth="1"/>
    <col min="778" max="778" width="7.21875" style="1" customWidth="1"/>
    <col min="779" max="779" width="11.77734375" style="1" customWidth="1"/>
    <col min="780" max="780" width="5.6640625" style="1" customWidth="1"/>
    <col min="781" max="781" width="11.77734375" style="1" customWidth="1"/>
    <col min="782" max="783" width="11.88671875" style="1" customWidth="1"/>
    <col min="784" max="784" width="15.21875" style="1" customWidth="1"/>
    <col min="785" max="785" width="11.6640625" style="1" customWidth="1"/>
    <col min="786" max="1030" width="10" style="1"/>
    <col min="1031" max="1031" width="6.109375" style="1" bestFit="1" customWidth="1"/>
    <col min="1032" max="1032" width="25.5546875" style="1" customWidth="1"/>
    <col min="1033" max="1033" width="23.44140625" style="1" customWidth="1"/>
    <col min="1034" max="1034" width="7.21875" style="1" customWidth="1"/>
    <col min="1035" max="1035" width="11.77734375" style="1" customWidth="1"/>
    <col min="1036" max="1036" width="5.6640625" style="1" customWidth="1"/>
    <col min="1037" max="1037" width="11.77734375" style="1" customWidth="1"/>
    <col min="1038" max="1039" width="11.88671875" style="1" customWidth="1"/>
    <col min="1040" max="1040" width="15.21875" style="1" customWidth="1"/>
    <col min="1041" max="1041" width="11.6640625" style="1" customWidth="1"/>
    <col min="1042" max="1286" width="10" style="1"/>
    <col min="1287" max="1287" width="6.109375" style="1" bestFit="1" customWidth="1"/>
    <col min="1288" max="1288" width="25.5546875" style="1" customWidth="1"/>
    <col min="1289" max="1289" width="23.44140625" style="1" customWidth="1"/>
    <col min="1290" max="1290" width="7.21875" style="1" customWidth="1"/>
    <col min="1291" max="1291" width="11.77734375" style="1" customWidth="1"/>
    <col min="1292" max="1292" width="5.6640625" style="1" customWidth="1"/>
    <col min="1293" max="1293" width="11.77734375" style="1" customWidth="1"/>
    <col min="1294" max="1295" width="11.88671875" style="1" customWidth="1"/>
    <col min="1296" max="1296" width="15.21875" style="1" customWidth="1"/>
    <col min="1297" max="1297" width="11.6640625" style="1" customWidth="1"/>
    <col min="1298" max="1542" width="10" style="1"/>
    <col min="1543" max="1543" width="6.109375" style="1" bestFit="1" customWidth="1"/>
    <col min="1544" max="1544" width="25.5546875" style="1" customWidth="1"/>
    <col min="1545" max="1545" width="23.44140625" style="1" customWidth="1"/>
    <col min="1546" max="1546" width="7.21875" style="1" customWidth="1"/>
    <col min="1547" max="1547" width="11.77734375" style="1" customWidth="1"/>
    <col min="1548" max="1548" width="5.6640625" style="1" customWidth="1"/>
    <col min="1549" max="1549" width="11.77734375" style="1" customWidth="1"/>
    <col min="1550" max="1551" width="11.88671875" style="1" customWidth="1"/>
    <col min="1552" max="1552" width="15.21875" style="1" customWidth="1"/>
    <col min="1553" max="1553" width="11.6640625" style="1" customWidth="1"/>
    <col min="1554" max="1798" width="10" style="1"/>
    <col min="1799" max="1799" width="6.109375" style="1" bestFit="1" customWidth="1"/>
    <col min="1800" max="1800" width="25.5546875" style="1" customWidth="1"/>
    <col min="1801" max="1801" width="23.44140625" style="1" customWidth="1"/>
    <col min="1802" max="1802" width="7.21875" style="1" customWidth="1"/>
    <col min="1803" max="1803" width="11.77734375" style="1" customWidth="1"/>
    <col min="1804" max="1804" width="5.6640625" style="1" customWidth="1"/>
    <col min="1805" max="1805" width="11.77734375" style="1" customWidth="1"/>
    <col min="1806" max="1807" width="11.88671875" style="1" customWidth="1"/>
    <col min="1808" max="1808" width="15.21875" style="1" customWidth="1"/>
    <col min="1809" max="1809" width="11.6640625" style="1" customWidth="1"/>
    <col min="1810" max="2054" width="10" style="1"/>
    <col min="2055" max="2055" width="6.109375" style="1" bestFit="1" customWidth="1"/>
    <col min="2056" max="2056" width="25.5546875" style="1" customWidth="1"/>
    <col min="2057" max="2057" width="23.44140625" style="1" customWidth="1"/>
    <col min="2058" max="2058" width="7.21875" style="1" customWidth="1"/>
    <col min="2059" max="2059" width="11.77734375" style="1" customWidth="1"/>
    <col min="2060" max="2060" width="5.6640625" style="1" customWidth="1"/>
    <col min="2061" max="2061" width="11.77734375" style="1" customWidth="1"/>
    <col min="2062" max="2063" width="11.88671875" style="1" customWidth="1"/>
    <col min="2064" max="2064" width="15.21875" style="1" customWidth="1"/>
    <col min="2065" max="2065" width="11.6640625" style="1" customWidth="1"/>
    <col min="2066" max="2310" width="10" style="1"/>
    <col min="2311" max="2311" width="6.109375" style="1" bestFit="1" customWidth="1"/>
    <col min="2312" max="2312" width="25.5546875" style="1" customWidth="1"/>
    <col min="2313" max="2313" width="23.44140625" style="1" customWidth="1"/>
    <col min="2314" max="2314" width="7.21875" style="1" customWidth="1"/>
    <col min="2315" max="2315" width="11.77734375" style="1" customWidth="1"/>
    <col min="2316" max="2316" width="5.6640625" style="1" customWidth="1"/>
    <col min="2317" max="2317" width="11.77734375" style="1" customWidth="1"/>
    <col min="2318" max="2319" width="11.88671875" style="1" customWidth="1"/>
    <col min="2320" max="2320" width="15.21875" style="1" customWidth="1"/>
    <col min="2321" max="2321" width="11.6640625" style="1" customWidth="1"/>
    <col min="2322" max="2566" width="10" style="1"/>
    <col min="2567" max="2567" width="6.109375" style="1" bestFit="1" customWidth="1"/>
    <col min="2568" max="2568" width="25.5546875" style="1" customWidth="1"/>
    <col min="2569" max="2569" width="23.44140625" style="1" customWidth="1"/>
    <col min="2570" max="2570" width="7.21875" style="1" customWidth="1"/>
    <col min="2571" max="2571" width="11.77734375" style="1" customWidth="1"/>
    <col min="2572" max="2572" width="5.6640625" style="1" customWidth="1"/>
    <col min="2573" max="2573" width="11.77734375" style="1" customWidth="1"/>
    <col min="2574" max="2575" width="11.88671875" style="1" customWidth="1"/>
    <col min="2576" max="2576" width="15.21875" style="1" customWidth="1"/>
    <col min="2577" max="2577" width="11.6640625" style="1" customWidth="1"/>
    <col min="2578" max="2822" width="10" style="1"/>
    <col min="2823" max="2823" width="6.109375" style="1" bestFit="1" customWidth="1"/>
    <col min="2824" max="2824" width="25.5546875" style="1" customWidth="1"/>
    <col min="2825" max="2825" width="23.44140625" style="1" customWidth="1"/>
    <col min="2826" max="2826" width="7.21875" style="1" customWidth="1"/>
    <col min="2827" max="2827" width="11.77734375" style="1" customWidth="1"/>
    <col min="2828" max="2828" width="5.6640625" style="1" customWidth="1"/>
    <col min="2829" max="2829" width="11.77734375" style="1" customWidth="1"/>
    <col min="2830" max="2831" width="11.88671875" style="1" customWidth="1"/>
    <col min="2832" max="2832" width="15.21875" style="1" customWidth="1"/>
    <col min="2833" max="2833" width="11.6640625" style="1" customWidth="1"/>
    <col min="2834" max="3078" width="10" style="1"/>
    <col min="3079" max="3079" width="6.109375" style="1" bestFit="1" customWidth="1"/>
    <col min="3080" max="3080" width="25.5546875" style="1" customWidth="1"/>
    <col min="3081" max="3081" width="23.44140625" style="1" customWidth="1"/>
    <col min="3082" max="3082" width="7.21875" style="1" customWidth="1"/>
    <col min="3083" max="3083" width="11.77734375" style="1" customWidth="1"/>
    <col min="3084" max="3084" width="5.6640625" style="1" customWidth="1"/>
    <col min="3085" max="3085" width="11.77734375" style="1" customWidth="1"/>
    <col min="3086" max="3087" width="11.88671875" style="1" customWidth="1"/>
    <col min="3088" max="3088" width="15.21875" style="1" customWidth="1"/>
    <col min="3089" max="3089" width="11.6640625" style="1" customWidth="1"/>
    <col min="3090" max="3334" width="10" style="1"/>
    <col min="3335" max="3335" width="6.109375" style="1" bestFit="1" customWidth="1"/>
    <col min="3336" max="3336" width="25.5546875" style="1" customWidth="1"/>
    <col min="3337" max="3337" width="23.44140625" style="1" customWidth="1"/>
    <col min="3338" max="3338" width="7.21875" style="1" customWidth="1"/>
    <col min="3339" max="3339" width="11.77734375" style="1" customWidth="1"/>
    <col min="3340" max="3340" width="5.6640625" style="1" customWidth="1"/>
    <col min="3341" max="3341" width="11.77734375" style="1" customWidth="1"/>
    <col min="3342" max="3343" width="11.88671875" style="1" customWidth="1"/>
    <col min="3344" max="3344" width="15.21875" style="1" customWidth="1"/>
    <col min="3345" max="3345" width="11.6640625" style="1" customWidth="1"/>
    <col min="3346" max="3590" width="10" style="1"/>
    <col min="3591" max="3591" width="6.109375" style="1" bestFit="1" customWidth="1"/>
    <col min="3592" max="3592" width="25.5546875" style="1" customWidth="1"/>
    <col min="3593" max="3593" width="23.44140625" style="1" customWidth="1"/>
    <col min="3594" max="3594" width="7.21875" style="1" customWidth="1"/>
    <col min="3595" max="3595" width="11.77734375" style="1" customWidth="1"/>
    <col min="3596" max="3596" width="5.6640625" style="1" customWidth="1"/>
    <col min="3597" max="3597" width="11.77734375" style="1" customWidth="1"/>
    <col min="3598" max="3599" width="11.88671875" style="1" customWidth="1"/>
    <col min="3600" max="3600" width="15.21875" style="1" customWidth="1"/>
    <col min="3601" max="3601" width="11.6640625" style="1" customWidth="1"/>
    <col min="3602" max="3846" width="10" style="1"/>
    <col min="3847" max="3847" width="6.109375" style="1" bestFit="1" customWidth="1"/>
    <col min="3848" max="3848" width="25.5546875" style="1" customWidth="1"/>
    <col min="3849" max="3849" width="23.44140625" style="1" customWidth="1"/>
    <col min="3850" max="3850" width="7.21875" style="1" customWidth="1"/>
    <col min="3851" max="3851" width="11.77734375" style="1" customWidth="1"/>
    <col min="3852" max="3852" width="5.6640625" style="1" customWidth="1"/>
    <col min="3853" max="3853" width="11.77734375" style="1" customWidth="1"/>
    <col min="3854" max="3855" width="11.88671875" style="1" customWidth="1"/>
    <col min="3856" max="3856" width="15.21875" style="1" customWidth="1"/>
    <col min="3857" max="3857" width="11.6640625" style="1" customWidth="1"/>
    <col min="3858" max="4102" width="10" style="1"/>
    <col min="4103" max="4103" width="6.109375" style="1" bestFit="1" customWidth="1"/>
    <col min="4104" max="4104" width="25.5546875" style="1" customWidth="1"/>
    <col min="4105" max="4105" width="23.44140625" style="1" customWidth="1"/>
    <col min="4106" max="4106" width="7.21875" style="1" customWidth="1"/>
    <col min="4107" max="4107" width="11.77734375" style="1" customWidth="1"/>
    <col min="4108" max="4108" width="5.6640625" style="1" customWidth="1"/>
    <col min="4109" max="4109" width="11.77734375" style="1" customWidth="1"/>
    <col min="4110" max="4111" width="11.88671875" style="1" customWidth="1"/>
    <col min="4112" max="4112" width="15.21875" style="1" customWidth="1"/>
    <col min="4113" max="4113" width="11.6640625" style="1" customWidth="1"/>
    <col min="4114" max="4358" width="10" style="1"/>
    <col min="4359" max="4359" width="6.109375" style="1" bestFit="1" customWidth="1"/>
    <col min="4360" max="4360" width="25.5546875" style="1" customWidth="1"/>
    <col min="4361" max="4361" width="23.44140625" style="1" customWidth="1"/>
    <col min="4362" max="4362" width="7.21875" style="1" customWidth="1"/>
    <col min="4363" max="4363" width="11.77734375" style="1" customWidth="1"/>
    <col min="4364" max="4364" width="5.6640625" style="1" customWidth="1"/>
    <col min="4365" max="4365" width="11.77734375" style="1" customWidth="1"/>
    <col min="4366" max="4367" width="11.88671875" style="1" customWidth="1"/>
    <col min="4368" max="4368" width="15.21875" style="1" customWidth="1"/>
    <col min="4369" max="4369" width="11.6640625" style="1" customWidth="1"/>
    <col min="4370" max="4614" width="10" style="1"/>
    <col min="4615" max="4615" width="6.109375" style="1" bestFit="1" customWidth="1"/>
    <col min="4616" max="4616" width="25.5546875" style="1" customWidth="1"/>
    <col min="4617" max="4617" width="23.44140625" style="1" customWidth="1"/>
    <col min="4618" max="4618" width="7.21875" style="1" customWidth="1"/>
    <col min="4619" max="4619" width="11.77734375" style="1" customWidth="1"/>
    <col min="4620" max="4620" width="5.6640625" style="1" customWidth="1"/>
    <col min="4621" max="4621" width="11.77734375" style="1" customWidth="1"/>
    <col min="4622" max="4623" width="11.88671875" style="1" customWidth="1"/>
    <col min="4624" max="4624" width="15.21875" style="1" customWidth="1"/>
    <col min="4625" max="4625" width="11.6640625" style="1" customWidth="1"/>
    <col min="4626" max="4870" width="10" style="1"/>
    <col min="4871" max="4871" width="6.109375" style="1" bestFit="1" customWidth="1"/>
    <col min="4872" max="4872" width="25.5546875" style="1" customWidth="1"/>
    <col min="4873" max="4873" width="23.44140625" style="1" customWidth="1"/>
    <col min="4874" max="4874" width="7.21875" style="1" customWidth="1"/>
    <col min="4875" max="4875" width="11.77734375" style="1" customWidth="1"/>
    <col min="4876" max="4876" width="5.6640625" style="1" customWidth="1"/>
    <col min="4877" max="4877" width="11.77734375" style="1" customWidth="1"/>
    <col min="4878" max="4879" width="11.88671875" style="1" customWidth="1"/>
    <col min="4880" max="4880" width="15.21875" style="1" customWidth="1"/>
    <col min="4881" max="4881" width="11.6640625" style="1" customWidth="1"/>
    <col min="4882" max="5126" width="10" style="1"/>
    <col min="5127" max="5127" width="6.109375" style="1" bestFit="1" customWidth="1"/>
    <col min="5128" max="5128" width="25.5546875" style="1" customWidth="1"/>
    <col min="5129" max="5129" width="23.44140625" style="1" customWidth="1"/>
    <col min="5130" max="5130" width="7.21875" style="1" customWidth="1"/>
    <col min="5131" max="5131" width="11.77734375" style="1" customWidth="1"/>
    <col min="5132" max="5132" width="5.6640625" style="1" customWidth="1"/>
    <col min="5133" max="5133" width="11.77734375" style="1" customWidth="1"/>
    <col min="5134" max="5135" width="11.88671875" style="1" customWidth="1"/>
    <col min="5136" max="5136" width="15.21875" style="1" customWidth="1"/>
    <col min="5137" max="5137" width="11.6640625" style="1" customWidth="1"/>
    <col min="5138" max="5382" width="10" style="1"/>
    <col min="5383" max="5383" width="6.109375" style="1" bestFit="1" customWidth="1"/>
    <col min="5384" max="5384" width="25.5546875" style="1" customWidth="1"/>
    <col min="5385" max="5385" width="23.44140625" style="1" customWidth="1"/>
    <col min="5386" max="5386" width="7.21875" style="1" customWidth="1"/>
    <col min="5387" max="5387" width="11.77734375" style="1" customWidth="1"/>
    <col min="5388" max="5388" width="5.6640625" style="1" customWidth="1"/>
    <col min="5389" max="5389" width="11.77734375" style="1" customWidth="1"/>
    <col min="5390" max="5391" width="11.88671875" style="1" customWidth="1"/>
    <col min="5392" max="5392" width="15.21875" style="1" customWidth="1"/>
    <col min="5393" max="5393" width="11.6640625" style="1" customWidth="1"/>
    <col min="5394" max="5638" width="10" style="1"/>
    <col min="5639" max="5639" width="6.109375" style="1" bestFit="1" customWidth="1"/>
    <col min="5640" max="5640" width="25.5546875" style="1" customWidth="1"/>
    <col min="5641" max="5641" width="23.44140625" style="1" customWidth="1"/>
    <col min="5642" max="5642" width="7.21875" style="1" customWidth="1"/>
    <col min="5643" max="5643" width="11.77734375" style="1" customWidth="1"/>
    <col min="5644" max="5644" width="5.6640625" style="1" customWidth="1"/>
    <col min="5645" max="5645" width="11.77734375" style="1" customWidth="1"/>
    <col min="5646" max="5647" width="11.88671875" style="1" customWidth="1"/>
    <col min="5648" max="5648" width="15.21875" style="1" customWidth="1"/>
    <col min="5649" max="5649" width="11.6640625" style="1" customWidth="1"/>
    <col min="5650" max="5894" width="10" style="1"/>
    <col min="5895" max="5895" width="6.109375" style="1" bestFit="1" customWidth="1"/>
    <col min="5896" max="5896" width="25.5546875" style="1" customWidth="1"/>
    <col min="5897" max="5897" width="23.44140625" style="1" customWidth="1"/>
    <col min="5898" max="5898" width="7.21875" style="1" customWidth="1"/>
    <col min="5899" max="5899" width="11.77734375" style="1" customWidth="1"/>
    <col min="5900" max="5900" width="5.6640625" style="1" customWidth="1"/>
    <col min="5901" max="5901" width="11.77734375" style="1" customWidth="1"/>
    <col min="5902" max="5903" width="11.88671875" style="1" customWidth="1"/>
    <col min="5904" max="5904" width="15.21875" style="1" customWidth="1"/>
    <col min="5905" max="5905" width="11.6640625" style="1" customWidth="1"/>
    <col min="5906" max="6150" width="10" style="1"/>
    <col min="6151" max="6151" width="6.109375" style="1" bestFit="1" customWidth="1"/>
    <col min="6152" max="6152" width="25.5546875" style="1" customWidth="1"/>
    <col min="6153" max="6153" width="23.44140625" style="1" customWidth="1"/>
    <col min="6154" max="6154" width="7.21875" style="1" customWidth="1"/>
    <col min="6155" max="6155" width="11.77734375" style="1" customWidth="1"/>
    <col min="6156" max="6156" width="5.6640625" style="1" customWidth="1"/>
    <col min="6157" max="6157" width="11.77734375" style="1" customWidth="1"/>
    <col min="6158" max="6159" width="11.88671875" style="1" customWidth="1"/>
    <col min="6160" max="6160" width="15.21875" style="1" customWidth="1"/>
    <col min="6161" max="6161" width="11.6640625" style="1" customWidth="1"/>
    <col min="6162" max="6406" width="10" style="1"/>
    <col min="6407" max="6407" width="6.109375" style="1" bestFit="1" customWidth="1"/>
    <col min="6408" max="6408" width="25.5546875" style="1" customWidth="1"/>
    <col min="6409" max="6409" width="23.44140625" style="1" customWidth="1"/>
    <col min="6410" max="6410" width="7.21875" style="1" customWidth="1"/>
    <col min="6411" max="6411" width="11.77734375" style="1" customWidth="1"/>
    <col min="6412" max="6412" width="5.6640625" style="1" customWidth="1"/>
    <col min="6413" max="6413" width="11.77734375" style="1" customWidth="1"/>
    <col min="6414" max="6415" width="11.88671875" style="1" customWidth="1"/>
    <col min="6416" max="6416" width="15.21875" style="1" customWidth="1"/>
    <col min="6417" max="6417" width="11.6640625" style="1" customWidth="1"/>
    <col min="6418" max="6662" width="10" style="1"/>
    <col min="6663" max="6663" width="6.109375" style="1" bestFit="1" customWidth="1"/>
    <col min="6664" max="6664" width="25.5546875" style="1" customWidth="1"/>
    <col min="6665" max="6665" width="23.44140625" style="1" customWidth="1"/>
    <col min="6666" max="6666" width="7.21875" style="1" customWidth="1"/>
    <col min="6667" max="6667" width="11.77734375" style="1" customWidth="1"/>
    <col min="6668" max="6668" width="5.6640625" style="1" customWidth="1"/>
    <col min="6669" max="6669" width="11.77734375" style="1" customWidth="1"/>
    <col min="6670" max="6671" width="11.88671875" style="1" customWidth="1"/>
    <col min="6672" max="6672" width="15.21875" style="1" customWidth="1"/>
    <col min="6673" max="6673" width="11.6640625" style="1" customWidth="1"/>
    <col min="6674" max="6918" width="10" style="1"/>
    <col min="6919" max="6919" width="6.109375" style="1" bestFit="1" customWidth="1"/>
    <col min="6920" max="6920" width="25.5546875" style="1" customWidth="1"/>
    <col min="6921" max="6921" width="23.44140625" style="1" customWidth="1"/>
    <col min="6922" max="6922" width="7.21875" style="1" customWidth="1"/>
    <col min="6923" max="6923" width="11.77734375" style="1" customWidth="1"/>
    <col min="6924" max="6924" width="5.6640625" style="1" customWidth="1"/>
    <col min="6925" max="6925" width="11.77734375" style="1" customWidth="1"/>
    <col min="6926" max="6927" width="11.88671875" style="1" customWidth="1"/>
    <col min="6928" max="6928" width="15.21875" style="1" customWidth="1"/>
    <col min="6929" max="6929" width="11.6640625" style="1" customWidth="1"/>
    <col min="6930" max="7174" width="10" style="1"/>
    <col min="7175" max="7175" width="6.109375" style="1" bestFit="1" customWidth="1"/>
    <col min="7176" max="7176" width="25.5546875" style="1" customWidth="1"/>
    <col min="7177" max="7177" width="23.44140625" style="1" customWidth="1"/>
    <col min="7178" max="7178" width="7.21875" style="1" customWidth="1"/>
    <col min="7179" max="7179" width="11.77734375" style="1" customWidth="1"/>
    <col min="7180" max="7180" width="5.6640625" style="1" customWidth="1"/>
    <col min="7181" max="7181" width="11.77734375" style="1" customWidth="1"/>
    <col min="7182" max="7183" width="11.88671875" style="1" customWidth="1"/>
    <col min="7184" max="7184" width="15.21875" style="1" customWidth="1"/>
    <col min="7185" max="7185" width="11.6640625" style="1" customWidth="1"/>
    <col min="7186" max="7430" width="10" style="1"/>
    <col min="7431" max="7431" width="6.109375" style="1" bestFit="1" customWidth="1"/>
    <col min="7432" max="7432" width="25.5546875" style="1" customWidth="1"/>
    <col min="7433" max="7433" width="23.44140625" style="1" customWidth="1"/>
    <col min="7434" max="7434" width="7.21875" style="1" customWidth="1"/>
    <col min="7435" max="7435" width="11.77734375" style="1" customWidth="1"/>
    <col min="7436" max="7436" width="5.6640625" style="1" customWidth="1"/>
    <col min="7437" max="7437" width="11.77734375" style="1" customWidth="1"/>
    <col min="7438" max="7439" width="11.88671875" style="1" customWidth="1"/>
    <col min="7440" max="7440" width="15.21875" style="1" customWidth="1"/>
    <col min="7441" max="7441" width="11.6640625" style="1" customWidth="1"/>
    <col min="7442" max="7686" width="10" style="1"/>
    <col min="7687" max="7687" width="6.109375" style="1" bestFit="1" customWidth="1"/>
    <col min="7688" max="7688" width="25.5546875" style="1" customWidth="1"/>
    <col min="7689" max="7689" width="23.44140625" style="1" customWidth="1"/>
    <col min="7690" max="7690" width="7.21875" style="1" customWidth="1"/>
    <col min="7691" max="7691" width="11.77734375" style="1" customWidth="1"/>
    <col min="7692" max="7692" width="5.6640625" style="1" customWidth="1"/>
    <col min="7693" max="7693" width="11.77734375" style="1" customWidth="1"/>
    <col min="7694" max="7695" width="11.88671875" style="1" customWidth="1"/>
    <col min="7696" max="7696" width="15.21875" style="1" customWidth="1"/>
    <col min="7697" max="7697" width="11.6640625" style="1" customWidth="1"/>
    <col min="7698" max="7942" width="10" style="1"/>
    <col min="7943" max="7943" width="6.109375" style="1" bestFit="1" customWidth="1"/>
    <col min="7944" max="7944" width="25.5546875" style="1" customWidth="1"/>
    <col min="7945" max="7945" width="23.44140625" style="1" customWidth="1"/>
    <col min="7946" max="7946" width="7.21875" style="1" customWidth="1"/>
    <col min="7947" max="7947" width="11.77734375" style="1" customWidth="1"/>
    <col min="7948" max="7948" width="5.6640625" style="1" customWidth="1"/>
    <col min="7949" max="7949" width="11.77734375" style="1" customWidth="1"/>
    <col min="7950" max="7951" width="11.88671875" style="1" customWidth="1"/>
    <col min="7952" max="7952" width="15.21875" style="1" customWidth="1"/>
    <col min="7953" max="7953" width="11.6640625" style="1" customWidth="1"/>
    <col min="7954" max="8198" width="10" style="1"/>
    <col min="8199" max="8199" width="6.109375" style="1" bestFit="1" customWidth="1"/>
    <col min="8200" max="8200" width="25.5546875" style="1" customWidth="1"/>
    <col min="8201" max="8201" width="23.44140625" style="1" customWidth="1"/>
    <col min="8202" max="8202" width="7.21875" style="1" customWidth="1"/>
    <col min="8203" max="8203" width="11.77734375" style="1" customWidth="1"/>
    <col min="8204" max="8204" width="5.6640625" style="1" customWidth="1"/>
    <col min="8205" max="8205" width="11.77734375" style="1" customWidth="1"/>
    <col min="8206" max="8207" width="11.88671875" style="1" customWidth="1"/>
    <col min="8208" max="8208" width="15.21875" style="1" customWidth="1"/>
    <col min="8209" max="8209" width="11.6640625" style="1" customWidth="1"/>
    <col min="8210" max="8454" width="10" style="1"/>
    <col min="8455" max="8455" width="6.109375" style="1" bestFit="1" customWidth="1"/>
    <col min="8456" max="8456" width="25.5546875" style="1" customWidth="1"/>
    <col min="8457" max="8457" width="23.44140625" style="1" customWidth="1"/>
    <col min="8458" max="8458" width="7.21875" style="1" customWidth="1"/>
    <col min="8459" max="8459" width="11.77734375" style="1" customWidth="1"/>
    <col min="8460" max="8460" width="5.6640625" style="1" customWidth="1"/>
    <col min="8461" max="8461" width="11.77734375" style="1" customWidth="1"/>
    <col min="8462" max="8463" width="11.88671875" style="1" customWidth="1"/>
    <col min="8464" max="8464" width="15.21875" style="1" customWidth="1"/>
    <col min="8465" max="8465" width="11.6640625" style="1" customWidth="1"/>
    <col min="8466" max="8710" width="10" style="1"/>
    <col min="8711" max="8711" width="6.109375" style="1" bestFit="1" customWidth="1"/>
    <col min="8712" max="8712" width="25.5546875" style="1" customWidth="1"/>
    <col min="8713" max="8713" width="23.44140625" style="1" customWidth="1"/>
    <col min="8714" max="8714" width="7.21875" style="1" customWidth="1"/>
    <col min="8715" max="8715" width="11.77734375" style="1" customWidth="1"/>
    <col min="8716" max="8716" width="5.6640625" style="1" customWidth="1"/>
    <col min="8717" max="8717" width="11.77734375" style="1" customWidth="1"/>
    <col min="8718" max="8719" width="11.88671875" style="1" customWidth="1"/>
    <col min="8720" max="8720" width="15.21875" style="1" customWidth="1"/>
    <col min="8721" max="8721" width="11.6640625" style="1" customWidth="1"/>
    <col min="8722" max="8966" width="10" style="1"/>
    <col min="8967" max="8967" width="6.109375" style="1" bestFit="1" customWidth="1"/>
    <col min="8968" max="8968" width="25.5546875" style="1" customWidth="1"/>
    <col min="8969" max="8969" width="23.44140625" style="1" customWidth="1"/>
    <col min="8970" max="8970" width="7.21875" style="1" customWidth="1"/>
    <col min="8971" max="8971" width="11.77734375" style="1" customWidth="1"/>
    <col min="8972" max="8972" width="5.6640625" style="1" customWidth="1"/>
    <col min="8973" max="8973" width="11.77734375" style="1" customWidth="1"/>
    <col min="8974" max="8975" width="11.88671875" style="1" customWidth="1"/>
    <col min="8976" max="8976" width="15.21875" style="1" customWidth="1"/>
    <col min="8977" max="8977" width="11.6640625" style="1" customWidth="1"/>
    <col min="8978" max="9222" width="10" style="1"/>
    <col min="9223" max="9223" width="6.109375" style="1" bestFit="1" customWidth="1"/>
    <col min="9224" max="9224" width="25.5546875" style="1" customWidth="1"/>
    <col min="9225" max="9225" width="23.44140625" style="1" customWidth="1"/>
    <col min="9226" max="9226" width="7.21875" style="1" customWidth="1"/>
    <col min="9227" max="9227" width="11.77734375" style="1" customWidth="1"/>
    <col min="9228" max="9228" width="5.6640625" style="1" customWidth="1"/>
    <col min="9229" max="9229" width="11.77734375" style="1" customWidth="1"/>
    <col min="9230" max="9231" width="11.88671875" style="1" customWidth="1"/>
    <col min="9232" max="9232" width="15.21875" style="1" customWidth="1"/>
    <col min="9233" max="9233" width="11.6640625" style="1" customWidth="1"/>
    <col min="9234" max="9478" width="10" style="1"/>
    <col min="9479" max="9479" width="6.109375" style="1" bestFit="1" customWidth="1"/>
    <col min="9480" max="9480" width="25.5546875" style="1" customWidth="1"/>
    <col min="9481" max="9481" width="23.44140625" style="1" customWidth="1"/>
    <col min="9482" max="9482" width="7.21875" style="1" customWidth="1"/>
    <col min="9483" max="9483" width="11.77734375" style="1" customWidth="1"/>
    <col min="9484" max="9484" width="5.6640625" style="1" customWidth="1"/>
    <col min="9485" max="9485" width="11.77734375" style="1" customWidth="1"/>
    <col min="9486" max="9487" width="11.88671875" style="1" customWidth="1"/>
    <col min="9488" max="9488" width="15.21875" style="1" customWidth="1"/>
    <col min="9489" max="9489" width="11.6640625" style="1" customWidth="1"/>
    <col min="9490" max="9734" width="10" style="1"/>
    <col min="9735" max="9735" width="6.109375" style="1" bestFit="1" customWidth="1"/>
    <col min="9736" max="9736" width="25.5546875" style="1" customWidth="1"/>
    <col min="9737" max="9737" width="23.44140625" style="1" customWidth="1"/>
    <col min="9738" max="9738" width="7.21875" style="1" customWidth="1"/>
    <col min="9739" max="9739" width="11.77734375" style="1" customWidth="1"/>
    <col min="9740" max="9740" width="5.6640625" style="1" customWidth="1"/>
    <col min="9741" max="9741" width="11.77734375" style="1" customWidth="1"/>
    <col min="9742" max="9743" width="11.88671875" style="1" customWidth="1"/>
    <col min="9744" max="9744" width="15.21875" style="1" customWidth="1"/>
    <col min="9745" max="9745" width="11.6640625" style="1" customWidth="1"/>
    <col min="9746" max="9990" width="10" style="1"/>
    <col min="9991" max="9991" width="6.109375" style="1" bestFit="1" customWidth="1"/>
    <col min="9992" max="9992" width="25.5546875" style="1" customWidth="1"/>
    <col min="9993" max="9993" width="23.44140625" style="1" customWidth="1"/>
    <col min="9994" max="9994" width="7.21875" style="1" customWidth="1"/>
    <col min="9995" max="9995" width="11.77734375" style="1" customWidth="1"/>
    <col min="9996" max="9996" width="5.6640625" style="1" customWidth="1"/>
    <col min="9997" max="9997" width="11.77734375" style="1" customWidth="1"/>
    <col min="9998" max="9999" width="11.88671875" style="1" customWidth="1"/>
    <col min="10000" max="10000" width="15.21875" style="1" customWidth="1"/>
    <col min="10001" max="10001" width="11.6640625" style="1" customWidth="1"/>
    <col min="10002" max="10246" width="10" style="1"/>
    <col min="10247" max="10247" width="6.109375" style="1" bestFit="1" customWidth="1"/>
    <col min="10248" max="10248" width="25.5546875" style="1" customWidth="1"/>
    <col min="10249" max="10249" width="23.44140625" style="1" customWidth="1"/>
    <col min="10250" max="10250" width="7.21875" style="1" customWidth="1"/>
    <col min="10251" max="10251" width="11.77734375" style="1" customWidth="1"/>
    <col min="10252" max="10252" width="5.6640625" style="1" customWidth="1"/>
    <col min="10253" max="10253" width="11.77734375" style="1" customWidth="1"/>
    <col min="10254" max="10255" width="11.88671875" style="1" customWidth="1"/>
    <col min="10256" max="10256" width="15.21875" style="1" customWidth="1"/>
    <col min="10257" max="10257" width="11.6640625" style="1" customWidth="1"/>
    <col min="10258" max="10502" width="10" style="1"/>
    <col min="10503" max="10503" width="6.109375" style="1" bestFit="1" customWidth="1"/>
    <col min="10504" max="10504" width="25.5546875" style="1" customWidth="1"/>
    <col min="10505" max="10505" width="23.44140625" style="1" customWidth="1"/>
    <col min="10506" max="10506" width="7.21875" style="1" customWidth="1"/>
    <col min="10507" max="10507" width="11.77734375" style="1" customWidth="1"/>
    <col min="10508" max="10508" width="5.6640625" style="1" customWidth="1"/>
    <col min="10509" max="10509" width="11.77734375" style="1" customWidth="1"/>
    <col min="10510" max="10511" width="11.88671875" style="1" customWidth="1"/>
    <col min="10512" max="10512" width="15.21875" style="1" customWidth="1"/>
    <col min="10513" max="10513" width="11.6640625" style="1" customWidth="1"/>
    <col min="10514" max="10758" width="10" style="1"/>
    <col min="10759" max="10759" width="6.109375" style="1" bestFit="1" customWidth="1"/>
    <col min="10760" max="10760" width="25.5546875" style="1" customWidth="1"/>
    <col min="10761" max="10761" width="23.44140625" style="1" customWidth="1"/>
    <col min="10762" max="10762" width="7.21875" style="1" customWidth="1"/>
    <col min="10763" max="10763" width="11.77734375" style="1" customWidth="1"/>
    <col min="10764" max="10764" width="5.6640625" style="1" customWidth="1"/>
    <col min="10765" max="10765" width="11.77734375" style="1" customWidth="1"/>
    <col min="10766" max="10767" width="11.88671875" style="1" customWidth="1"/>
    <col min="10768" max="10768" width="15.21875" style="1" customWidth="1"/>
    <col min="10769" max="10769" width="11.6640625" style="1" customWidth="1"/>
    <col min="10770" max="11014" width="10" style="1"/>
    <col min="11015" max="11015" width="6.109375" style="1" bestFit="1" customWidth="1"/>
    <col min="11016" max="11016" width="25.5546875" style="1" customWidth="1"/>
    <col min="11017" max="11017" width="23.44140625" style="1" customWidth="1"/>
    <col min="11018" max="11018" width="7.21875" style="1" customWidth="1"/>
    <col min="11019" max="11019" width="11.77734375" style="1" customWidth="1"/>
    <col min="11020" max="11020" width="5.6640625" style="1" customWidth="1"/>
    <col min="11021" max="11021" width="11.77734375" style="1" customWidth="1"/>
    <col min="11022" max="11023" width="11.88671875" style="1" customWidth="1"/>
    <col min="11024" max="11024" width="15.21875" style="1" customWidth="1"/>
    <col min="11025" max="11025" width="11.6640625" style="1" customWidth="1"/>
    <col min="11026" max="11270" width="10" style="1"/>
    <col min="11271" max="11271" width="6.109375" style="1" bestFit="1" customWidth="1"/>
    <col min="11272" max="11272" width="25.5546875" style="1" customWidth="1"/>
    <col min="11273" max="11273" width="23.44140625" style="1" customWidth="1"/>
    <col min="11274" max="11274" width="7.21875" style="1" customWidth="1"/>
    <col min="11275" max="11275" width="11.77734375" style="1" customWidth="1"/>
    <col min="11276" max="11276" width="5.6640625" style="1" customWidth="1"/>
    <col min="11277" max="11277" width="11.77734375" style="1" customWidth="1"/>
    <col min="11278" max="11279" width="11.88671875" style="1" customWidth="1"/>
    <col min="11280" max="11280" width="15.21875" style="1" customWidth="1"/>
    <col min="11281" max="11281" width="11.6640625" style="1" customWidth="1"/>
    <col min="11282" max="11526" width="10" style="1"/>
    <col min="11527" max="11527" width="6.109375" style="1" bestFit="1" customWidth="1"/>
    <col min="11528" max="11528" width="25.5546875" style="1" customWidth="1"/>
    <col min="11529" max="11529" width="23.44140625" style="1" customWidth="1"/>
    <col min="11530" max="11530" width="7.21875" style="1" customWidth="1"/>
    <col min="11531" max="11531" width="11.77734375" style="1" customWidth="1"/>
    <col min="11532" max="11532" width="5.6640625" style="1" customWidth="1"/>
    <col min="11533" max="11533" width="11.77734375" style="1" customWidth="1"/>
    <col min="11534" max="11535" width="11.88671875" style="1" customWidth="1"/>
    <col min="11536" max="11536" width="15.21875" style="1" customWidth="1"/>
    <col min="11537" max="11537" width="11.6640625" style="1" customWidth="1"/>
    <col min="11538" max="11782" width="10" style="1"/>
    <col min="11783" max="11783" width="6.109375" style="1" bestFit="1" customWidth="1"/>
    <col min="11784" max="11784" width="25.5546875" style="1" customWidth="1"/>
    <col min="11785" max="11785" width="23.44140625" style="1" customWidth="1"/>
    <col min="11786" max="11786" width="7.21875" style="1" customWidth="1"/>
    <col min="11787" max="11787" width="11.77734375" style="1" customWidth="1"/>
    <col min="11788" max="11788" width="5.6640625" style="1" customWidth="1"/>
    <col min="11789" max="11789" width="11.77734375" style="1" customWidth="1"/>
    <col min="11790" max="11791" width="11.88671875" style="1" customWidth="1"/>
    <col min="11792" max="11792" width="15.21875" style="1" customWidth="1"/>
    <col min="11793" max="11793" width="11.6640625" style="1" customWidth="1"/>
    <col min="11794" max="12038" width="10" style="1"/>
    <col min="12039" max="12039" width="6.109375" style="1" bestFit="1" customWidth="1"/>
    <col min="12040" max="12040" width="25.5546875" style="1" customWidth="1"/>
    <col min="12041" max="12041" width="23.44140625" style="1" customWidth="1"/>
    <col min="12042" max="12042" width="7.21875" style="1" customWidth="1"/>
    <col min="12043" max="12043" width="11.77734375" style="1" customWidth="1"/>
    <col min="12044" max="12044" width="5.6640625" style="1" customWidth="1"/>
    <col min="12045" max="12045" width="11.77734375" style="1" customWidth="1"/>
    <col min="12046" max="12047" width="11.88671875" style="1" customWidth="1"/>
    <col min="12048" max="12048" width="15.21875" style="1" customWidth="1"/>
    <col min="12049" max="12049" width="11.6640625" style="1" customWidth="1"/>
    <col min="12050" max="12294" width="10" style="1"/>
    <col min="12295" max="12295" width="6.109375" style="1" bestFit="1" customWidth="1"/>
    <col min="12296" max="12296" width="25.5546875" style="1" customWidth="1"/>
    <col min="12297" max="12297" width="23.44140625" style="1" customWidth="1"/>
    <col min="12298" max="12298" width="7.21875" style="1" customWidth="1"/>
    <col min="12299" max="12299" width="11.77734375" style="1" customWidth="1"/>
    <col min="12300" max="12300" width="5.6640625" style="1" customWidth="1"/>
    <col min="12301" max="12301" width="11.77734375" style="1" customWidth="1"/>
    <col min="12302" max="12303" width="11.88671875" style="1" customWidth="1"/>
    <col min="12304" max="12304" width="15.21875" style="1" customWidth="1"/>
    <col min="12305" max="12305" width="11.6640625" style="1" customWidth="1"/>
    <col min="12306" max="12550" width="10" style="1"/>
    <col min="12551" max="12551" width="6.109375" style="1" bestFit="1" customWidth="1"/>
    <col min="12552" max="12552" width="25.5546875" style="1" customWidth="1"/>
    <col min="12553" max="12553" width="23.44140625" style="1" customWidth="1"/>
    <col min="12554" max="12554" width="7.21875" style="1" customWidth="1"/>
    <col min="12555" max="12555" width="11.77734375" style="1" customWidth="1"/>
    <col min="12556" max="12556" width="5.6640625" style="1" customWidth="1"/>
    <col min="12557" max="12557" width="11.77734375" style="1" customWidth="1"/>
    <col min="12558" max="12559" width="11.88671875" style="1" customWidth="1"/>
    <col min="12560" max="12560" width="15.21875" style="1" customWidth="1"/>
    <col min="12561" max="12561" width="11.6640625" style="1" customWidth="1"/>
    <col min="12562" max="12806" width="10" style="1"/>
    <col min="12807" max="12807" width="6.109375" style="1" bestFit="1" customWidth="1"/>
    <col min="12808" max="12808" width="25.5546875" style="1" customWidth="1"/>
    <col min="12809" max="12809" width="23.44140625" style="1" customWidth="1"/>
    <col min="12810" max="12810" width="7.21875" style="1" customWidth="1"/>
    <col min="12811" max="12811" width="11.77734375" style="1" customWidth="1"/>
    <col min="12812" max="12812" width="5.6640625" style="1" customWidth="1"/>
    <col min="12813" max="12813" width="11.77734375" style="1" customWidth="1"/>
    <col min="12814" max="12815" width="11.88671875" style="1" customWidth="1"/>
    <col min="12816" max="12816" width="15.21875" style="1" customWidth="1"/>
    <col min="12817" max="12817" width="11.6640625" style="1" customWidth="1"/>
    <col min="12818" max="13062" width="10" style="1"/>
    <col min="13063" max="13063" width="6.109375" style="1" bestFit="1" customWidth="1"/>
    <col min="13064" max="13064" width="25.5546875" style="1" customWidth="1"/>
    <col min="13065" max="13065" width="23.44140625" style="1" customWidth="1"/>
    <col min="13066" max="13066" width="7.21875" style="1" customWidth="1"/>
    <col min="13067" max="13067" width="11.77734375" style="1" customWidth="1"/>
    <col min="13068" max="13068" width="5.6640625" style="1" customWidth="1"/>
    <col min="13069" max="13069" width="11.77734375" style="1" customWidth="1"/>
    <col min="13070" max="13071" width="11.88671875" style="1" customWidth="1"/>
    <col min="13072" max="13072" width="15.21875" style="1" customWidth="1"/>
    <col min="13073" max="13073" width="11.6640625" style="1" customWidth="1"/>
    <col min="13074" max="13318" width="10" style="1"/>
    <col min="13319" max="13319" width="6.109375" style="1" bestFit="1" customWidth="1"/>
    <col min="13320" max="13320" width="25.5546875" style="1" customWidth="1"/>
    <col min="13321" max="13321" width="23.44140625" style="1" customWidth="1"/>
    <col min="13322" max="13322" width="7.21875" style="1" customWidth="1"/>
    <col min="13323" max="13323" width="11.77734375" style="1" customWidth="1"/>
    <col min="13324" max="13324" width="5.6640625" style="1" customWidth="1"/>
    <col min="13325" max="13325" width="11.77734375" style="1" customWidth="1"/>
    <col min="13326" max="13327" width="11.88671875" style="1" customWidth="1"/>
    <col min="13328" max="13328" width="15.21875" style="1" customWidth="1"/>
    <col min="13329" max="13329" width="11.6640625" style="1" customWidth="1"/>
    <col min="13330" max="13574" width="10" style="1"/>
    <col min="13575" max="13575" width="6.109375" style="1" bestFit="1" customWidth="1"/>
    <col min="13576" max="13576" width="25.5546875" style="1" customWidth="1"/>
    <col min="13577" max="13577" width="23.44140625" style="1" customWidth="1"/>
    <col min="13578" max="13578" width="7.21875" style="1" customWidth="1"/>
    <col min="13579" max="13579" width="11.77734375" style="1" customWidth="1"/>
    <col min="13580" max="13580" width="5.6640625" style="1" customWidth="1"/>
    <col min="13581" max="13581" width="11.77734375" style="1" customWidth="1"/>
    <col min="13582" max="13583" width="11.88671875" style="1" customWidth="1"/>
    <col min="13584" max="13584" width="15.21875" style="1" customWidth="1"/>
    <col min="13585" max="13585" width="11.6640625" style="1" customWidth="1"/>
    <col min="13586" max="13830" width="10" style="1"/>
    <col min="13831" max="13831" width="6.109375" style="1" bestFit="1" customWidth="1"/>
    <col min="13832" max="13832" width="25.5546875" style="1" customWidth="1"/>
    <col min="13833" max="13833" width="23.44140625" style="1" customWidth="1"/>
    <col min="13834" max="13834" width="7.21875" style="1" customWidth="1"/>
    <col min="13835" max="13835" width="11.77734375" style="1" customWidth="1"/>
    <col min="13836" max="13836" width="5.6640625" style="1" customWidth="1"/>
    <col min="13837" max="13837" width="11.77734375" style="1" customWidth="1"/>
    <col min="13838" max="13839" width="11.88671875" style="1" customWidth="1"/>
    <col min="13840" max="13840" width="15.21875" style="1" customWidth="1"/>
    <col min="13841" max="13841" width="11.6640625" style="1" customWidth="1"/>
    <col min="13842" max="14086" width="10" style="1"/>
    <col min="14087" max="14087" width="6.109375" style="1" bestFit="1" customWidth="1"/>
    <col min="14088" max="14088" width="25.5546875" style="1" customWidth="1"/>
    <col min="14089" max="14089" width="23.44140625" style="1" customWidth="1"/>
    <col min="14090" max="14090" width="7.21875" style="1" customWidth="1"/>
    <col min="14091" max="14091" width="11.77734375" style="1" customWidth="1"/>
    <col min="14092" max="14092" width="5.6640625" style="1" customWidth="1"/>
    <col min="14093" max="14093" width="11.77734375" style="1" customWidth="1"/>
    <col min="14094" max="14095" width="11.88671875" style="1" customWidth="1"/>
    <col min="14096" max="14096" width="15.21875" style="1" customWidth="1"/>
    <col min="14097" max="14097" width="11.6640625" style="1" customWidth="1"/>
    <col min="14098" max="14342" width="10" style="1"/>
    <col min="14343" max="14343" width="6.109375" style="1" bestFit="1" customWidth="1"/>
    <col min="14344" max="14344" width="25.5546875" style="1" customWidth="1"/>
    <col min="14345" max="14345" width="23.44140625" style="1" customWidth="1"/>
    <col min="14346" max="14346" width="7.21875" style="1" customWidth="1"/>
    <col min="14347" max="14347" width="11.77734375" style="1" customWidth="1"/>
    <col min="14348" max="14348" width="5.6640625" style="1" customWidth="1"/>
    <col min="14349" max="14349" width="11.77734375" style="1" customWidth="1"/>
    <col min="14350" max="14351" width="11.88671875" style="1" customWidth="1"/>
    <col min="14352" max="14352" width="15.21875" style="1" customWidth="1"/>
    <col min="14353" max="14353" width="11.6640625" style="1" customWidth="1"/>
    <col min="14354" max="14598" width="10" style="1"/>
    <col min="14599" max="14599" width="6.109375" style="1" bestFit="1" customWidth="1"/>
    <col min="14600" max="14600" width="25.5546875" style="1" customWidth="1"/>
    <col min="14601" max="14601" width="23.44140625" style="1" customWidth="1"/>
    <col min="14602" max="14602" width="7.21875" style="1" customWidth="1"/>
    <col min="14603" max="14603" width="11.77734375" style="1" customWidth="1"/>
    <col min="14604" max="14604" width="5.6640625" style="1" customWidth="1"/>
    <col min="14605" max="14605" width="11.77734375" style="1" customWidth="1"/>
    <col min="14606" max="14607" width="11.88671875" style="1" customWidth="1"/>
    <col min="14608" max="14608" width="15.21875" style="1" customWidth="1"/>
    <col min="14609" max="14609" width="11.6640625" style="1" customWidth="1"/>
    <col min="14610" max="14854" width="10" style="1"/>
    <col min="14855" max="14855" width="6.109375" style="1" bestFit="1" customWidth="1"/>
    <col min="14856" max="14856" width="25.5546875" style="1" customWidth="1"/>
    <col min="14857" max="14857" width="23.44140625" style="1" customWidth="1"/>
    <col min="14858" max="14858" width="7.21875" style="1" customWidth="1"/>
    <col min="14859" max="14859" width="11.77734375" style="1" customWidth="1"/>
    <col min="14860" max="14860" width="5.6640625" style="1" customWidth="1"/>
    <col min="14861" max="14861" width="11.77734375" style="1" customWidth="1"/>
    <col min="14862" max="14863" width="11.88671875" style="1" customWidth="1"/>
    <col min="14864" max="14864" width="15.21875" style="1" customWidth="1"/>
    <col min="14865" max="14865" width="11.6640625" style="1" customWidth="1"/>
    <col min="14866" max="15110" width="10" style="1"/>
    <col min="15111" max="15111" width="6.109375" style="1" bestFit="1" customWidth="1"/>
    <col min="15112" max="15112" width="25.5546875" style="1" customWidth="1"/>
    <col min="15113" max="15113" width="23.44140625" style="1" customWidth="1"/>
    <col min="15114" max="15114" width="7.21875" style="1" customWidth="1"/>
    <col min="15115" max="15115" width="11.77734375" style="1" customWidth="1"/>
    <col min="15116" max="15116" width="5.6640625" style="1" customWidth="1"/>
    <col min="15117" max="15117" width="11.77734375" style="1" customWidth="1"/>
    <col min="15118" max="15119" width="11.88671875" style="1" customWidth="1"/>
    <col min="15120" max="15120" width="15.21875" style="1" customWidth="1"/>
    <col min="15121" max="15121" width="11.6640625" style="1" customWidth="1"/>
    <col min="15122" max="15366" width="10" style="1"/>
    <col min="15367" max="15367" width="6.109375" style="1" bestFit="1" customWidth="1"/>
    <col min="15368" max="15368" width="25.5546875" style="1" customWidth="1"/>
    <col min="15369" max="15369" width="23.44140625" style="1" customWidth="1"/>
    <col min="15370" max="15370" width="7.21875" style="1" customWidth="1"/>
    <col min="15371" max="15371" width="11.77734375" style="1" customWidth="1"/>
    <col min="15372" max="15372" width="5.6640625" style="1" customWidth="1"/>
    <col min="15373" max="15373" width="11.77734375" style="1" customWidth="1"/>
    <col min="15374" max="15375" width="11.88671875" style="1" customWidth="1"/>
    <col min="15376" max="15376" width="15.21875" style="1" customWidth="1"/>
    <col min="15377" max="15377" width="11.6640625" style="1" customWidth="1"/>
    <col min="15378" max="15622" width="10" style="1"/>
    <col min="15623" max="15623" width="6.109375" style="1" bestFit="1" customWidth="1"/>
    <col min="15624" max="15624" width="25.5546875" style="1" customWidth="1"/>
    <col min="15625" max="15625" width="23.44140625" style="1" customWidth="1"/>
    <col min="15626" max="15626" width="7.21875" style="1" customWidth="1"/>
    <col min="15627" max="15627" width="11.77734375" style="1" customWidth="1"/>
    <col min="15628" max="15628" width="5.6640625" style="1" customWidth="1"/>
    <col min="15629" max="15629" width="11.77734375" style="1" customWidth="1"/>
    <col min="15630" max="15631" width="11.88671875" style="1" customWidth="1"/>
    <col min="15632" max="15632" width="15.21875" style="1" customWidth="1"/>
    <col min="15633" max="15633" width="11.6640625" style="1" customWidth="1"/>
    <col min="15634" max="15878" width="10" style="1"/>
    <col min="15879" max="15879" width="6.109375" style="1" bestFit="1" customWidth="1"/>
    <col min="15880" max="15880" width="25.5546875" style="1" customWidth="1"/>
    <col min="15881" max="15881" width="23.44140625" style="1" customWidth="1"/>
    <col min="15882" max="15882" width="7.21875" style="1" customWidth="1"/>
    <col min="15883" max="15883" width="11.77734375" style="1" customWidth="1"/>
    <col min="15884" max="15884" width="5.6640625" style="1" customWidth="1"/>
    <col min="15885" max="15885" width="11.77734375" style="1" customWidth="1"/>
    <col min="15886" max="15887" width="11.88671875" style="1" customWidth="1"/>
    <col min="15888" max="15888" width="15.21875" style="1" customWidth="1"/>
    <col min="15889" max="15889" width="11.6640625" style="1" customWidth="1"/>
    <col min="15890" max="16134" width="10" style="1"/>
    <col min="16135" max="16135" width="6.109375" style="1" bestFit="1" customWidth="1"/>
    <col min="16136" max="16136" width="25.5546875" style="1" customWidth="1"/>
    <col min="16137" max="16137" width="23.44140625" style="1" customWidth="1"/>
    <col min="16138" max="16138" width="7.21875" style="1" customWidth="1"/>
    <col min="16139" max="16139" width="11.77734375" style="1" customWidth="1"/>
    <col min="16140" max="16140" width="5.6640625" style="1" customWidth="1"/>
    <col min="16141" max="16141" width="11.77734375" style="1" customWidth="1"/>
    <col min="16142" max="16143" width="11.88671875" style="1" customWidth="1"/>
    <col min="16144" max="16144" width="15.21875" style="1" customWidth="1"/>
    <col min="16145" max="16145" width="11.6640625" style="1" customWidth="1"/>
    <col min="16146" max="16384" width="10" style="1"/>
  </cols>
  <sheetData>
    <row r="1" spans="1:18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s="39" customFormat="1" ht="27.75" customHeight="1">
      <c r="M2" s="201" t="s">
        <v>1</v>
      </c>
      <c r="N2" s="201"/>
      <c r="O2" s="201"/>
      <c r="P2" s="201"/>
      <c r="Q2" s="201"/>
    </row>
    <row r="3" spans="1:18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398</v>
      </c>
      <c r="P3" s="81" t="s">
        <v>387</v>
      </c>
      <c r="Q3" s="81" t="s">
        <v>12</v>
      </c>
    </row>
    <row r="4" spans="1:18" s="21" customFormat="1" ht="62.4" hidden="1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388</v>
      </c>
      <c r="Q4" s="70" t="s">
        <v>252</v>
      </c>
      <c r="R4" s="71"/>
    </row>
    <row r="5" spans="1:18" s="21" customFormat="1" ht="62.4" hidden="1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9" si="0">F5</f>
        <v>6.79</v>
      </c>
      <c r="L5" s="23">
        <f t="shared" si="0"/>
        <v>6.79</v>
      </c>
      <c r="M5" s="23">
        <f t="shared" ref="M5:N39" si="1">F5</f>
        <v>6.79</v>
      </c>
      <c r="N5" s="23">
        <f t="shared" si="1"/>
        <v>6.79</v>
      </c>
      <c r="O5" s="70" t="s">
        <v>243</v>
      </c>
      <c r="P5" s="70" t="s">
        <v>388</v>
      </c>
      <c r="Q5" s="70" t="s">
        <v>252</v>
      </c>
      <c r="R5" s="71"/>
    </row>
    <row r="6" spans="1:18" s="21" customFormat="1" ht="62.4" hidden="1" customHeight="1">
      <c r="A6" s="43">
        <v>3</v>
      </c>
      <c r="B6" s="43" t="s">
        <v>80</v>
      </c>
      <c r="C6" s="52" t="s">
        <v>81</v>
      </c>
      <c r="D6" s="52" t="s">
        <v>194</v>
      </c>
      <c r="E6" s="43" t="s">
        <v>20</v>
      </c>
      <c r="F6" s="23">
        <f>VLOOKUP(D6,'[1]2021年7-12月 (调整后)'!$B$4:$AA$210,26,0)</f>
        <v>5.3799975056000005</v>
      </c>
      <c r="G6" s="23">
        <f>VLOOKUP(D6,'[1]2021年7-12月 (调整后)'!$B$4:$AE$210,30,0)</f>
        <v>5.3799975056000005</v>
      </c>
      <c r="H6" s="69">
        <v>0.13</v>
      </c>
      <c r="I6" s="24">
        <f>VLOOKUP(D6,'[2]2022年7-12月'!$B$4:$AA$210,26,0)</f>
        <v>5.1618043480000004</v>
      </c>
      <c r="J6" s="24">
        <f>VLOOKUP(D6,'[2]2022年7-12月'!$B$4:$AE$210,30,0)</f>
        <v>5.1618043480000004</v>
      </c>
      <c r="K6" s="23">
        <f t="shared" si="0"/>
        <v>5.3799975056000005</v>
      </c>
      <c r="L6" s="23">
        <f t="shared" si="0"/>
        <v>5.3799975056000005</v>
      </c>
      <c r="M6" s="23">
        <f t="shared" si="1"/>
        <v>5.3799975056000005</v>
      </c>
      <c r="N6" s="23">
        <f t="shared" si="1"/>
        <v>5.3799975056000005</v>
      </c>
      <c r="O6" s="70" t="s">
        <v>241</v>
      </c>
      <c r="P6" s="70" t="s">
        <v>388</v>
      </c>
      <c r="Q6" s="70" t="s">
        <v>251</v>
      </c>
      <c r="R6" s="71"/>
    </row>
    <row r="7" spans="1:18" s="68" customFormat="1" ht="51" hidden="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395</v>
      </c>
      <c r="Q7" s="66" t="s">
        <v>249</v>
      </c>
      <c r="R7" s="67"/>
    </row>
    <row r="8" spans="1:18" s="21" customFormat="1" ht="62.4" hidden="1" customHeight="1">
      <c r="A8" s="43">
        <v>5</v>
      </c>
      <c r="B8" s="43" t="s">
        <v>82</v>
      </c>
      <c r="C8" s="52" t="s">
        <v>83</v>
      </c>
      <c r="D8" s="52" t="s">
        <v>193</v>
      </c>
      <c r="E8" s="43" t="s">
        <v>20</v>
      </c>
      <c r="F8" s="23">
        <v>5.25</v>
      </c>
      <c r="G8" s="23">
        <v>5.25</v>
      </c>
      <c r="H8" s="69">
        <v>0.13</v>
      </c>
      <c r="I8" s="24">
        <f>VLOOKUP(D8,'[2]2022年7-12月'!$B$4:$AA$210,26,0)</f>
        <v>5.127304348</v>
      </c>
      <c r="J8" s="24">
        <f>VLOOKUP(D8,'[2]2022年7-12月'!$B$4:$AE$210,30,0)</f>
        <v>5.3873043479999998</v>
      </c>
      <c r="K8" s="23">
        <f t="shared" si="0"/>
        <v>5.25</v>
      </c>
      <c r="L8" s="23">
        <f t="shared" si="0"/>
        <v>5.25</v>
      </c>
      <c r="M8" s="23">
        <f t="shared" si="1"/>
        <v>5.25</v>
      </c>
      <c r="N8" s="23">
        <f t="shared" si="1"/>
        <v>5.25</v>
      </c>
      <c r="O8" s="70" t="s">
        <v>240</v>
      </c>
      <c r="P8" s="70" t="s">
        <v>388</v>
      </c>
      <c r="Q8" s="70" t="s">
        <v>251</v>
      </c>
      <c r="R8" s="71"/>
    </row>
    <row r="9" spans="1:18" s="68" customFormat="1" ht="62.4" hidden="1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395</v>
      </c>
      <c r="Q9" s="66" t="s">
        <v>249</v>
      </c>
      <c r="R9" s="67"/>
    </row>
    <row r="10" spans="1:18" s="21" customFormat="1" ht="62.4" hidden="1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388</v>
      </c>
      <c r="Q10" s="70" t="s">
        <v>251</v>
      </c>
      <c r="R10" s="71"/>
    </row>
    <row r="11" spans="1:18" s="17" customFormat="1" ht="62.4" customHeight="1">
      <c r="A11" s="106">
        <v>8</v>
      </c>
      <c r="B11" s="106" t="s">
        <v>86</v>
      </c>
      <c r="C11" s="107" t="s">
        <v>87</v>
      </c>
      <c r="D11" s="107" t="s">
        <v>161</v>
      </c>
      <c r="E11" s="106" t="s">
        <v>20</v>
      </c>
      <c r="F11" s="19"/>
      <c r="G11" s="19"/>
      <c r="H11" s="108">
        <v>0.13</v>
      </c>
      <c r="I11" s="20">
        <f>VLOOKUP(D11,'[2]2022年7-12月'!$B$4:$AA$210,26,0)</f>
        <v>0.35213895575221243</v>
      </c>
      <c r="J11" s="20">
        <f>VLOOKUP(D11,'[2]2022年7-12月'!$B$4:$AE$210,30,0)</f>
        <v>0.35213895575221243</v>
      </c>
      <c r="K11" s="19"/>
      <c r="L11" s="19"/>
      <c r="M11" s="19"/>
      <c r="N11" s="19"/>
      <c r="O11" s="109" t="s">
        <v>244</v>
      </c>
      <c r="P11" s="109" t="s">
        <v>244</v>
      </c>
      <c r="Q11" s="109" t="s">
        <v>251</v>
      </c>
      <c r="R11" s="110"/>
    </row>
    <row r="12" spans="1:18" s="17" customFormat="1" ht="62.4" customHeight="1">
      <c r="A12" s="106">
        <v>9</v>
      </c>
      <c r="B12" s="106" t="s">
        <v>88</v>
      </c>
      <c r="C12" s="107" t="s">
        <v>89</v>
      </c>
      <c r="D12" s="107" t="s">
        <v>162</v>
      </c>
      <c r="E12" s="106" t="s">
        <v>20</v>
      </c>
      <c r="F12" s="19">
        <v>2.65</v>
      </c>
      <c r="G12" s="19">
        <v>2.65</v>
      </c>
      <c r="H12" s="108">
        <v>0.13</v>
      </c>
      <c r="I12" s="20">
        <f>VLOOKUP(D12,'[2]2022年7-12月'!$B$4:$AA$210,26,0)</f>
        <v>2.5352687850000004</v>
      </c>
      <c r="J12" s="20">
        <f>VLOOKUP(D12,'[2]2022年7-12月'!$B$4:$AE$210,30,0)</f>
        <v>2.5352687850000004</v>
      </c>
      <c r="K12" s="19">
        <f t="shared" si="0"/>
        <v>2.65</v>
      </c>
      <c r="L12" s="19">
        <f t="shared" si="0"/>
        <v>2.65</v>
      </c>
      <c r="M12" s="19">
        <f t="shared" si="1"/>
        <v>2.65</v>
      </c>
      <c r="N12" s="19">
        <f t="shared" si="1"/>
        <v>2.65</v>
      </c>
      <c r="O12" s="109" t="s">
        <v>241</v>
      </c>
      <c r="P12" s="109" t="s">
        <v>244</v>
      </c>
      <c r="Q12" s="109" t="s">
        <v>251</v>
      </c>
      <c r="R12" s="110"/>
    </row>
    <row r="13" spans="1:18" s="17" customFormat="1" ht="62.4" customHeight="1">
      <c r="A13" s="106">
        <v>10</v>
      </c>
      <c r="B13" s="106" t="s">
        <v>90</v>
      </c>
      <c r="C13" s="107" t="s">
        <v>91</v>
      </c>
      <c r="D13" s="107" t="s">
        <v>163</v>
      </c>
      <c r="E13" s="106" t="s">
        <v>20</v>
      </c>
      <c r="F13" s="19">
        <v>2.65</v>
      </c>
      <c r="G13" s="19">
        <v>2.65</v>
      </c>
      <c r="H13" s="108">
        <v>0.13</v>
      </c>
      <c r="I13" s="20">
        <f>VLOOKUP(D13,'[2]2022年7-12月'!$B$4:$AA$210,26,0)</f>
        <v>2.5352687850000004</v>
      </c>
      <c r="J13" s="20">
        <f>VLOOKUP(D13,'[2]2022年7-12月'!$B$4:$AE$210,30,0)</f>
        <v>2.5352687850000004</v>
      </c>
      <c r="K13" s="19">
        <f t="shared" si="0"/>
        <v>2.65</v>
      </c>
      <c r="L13" s="19">
        <f t="shared" si="0"/>
        <v>2.65</v>
      </c>
      <c r="M13" s="19">
        <f t="shared" si="1"/>
        <v>2.65</v>
      </c>
      <c r="N13" s="19">
        <f t="shared" si="1"/>
        <v>2.65</v>
      </c>
      <c r="O13" s="109" t="s">
        <v>241</v>
      </c>
      <c r="P13" s="109" t="s">
        <v>244</v>
      </c>
      <c r="Q13" s="109" t="s">
        <v>251</v>
      </c>
      <c r="R13" s="110"/>
    </row>
    <row r="14" spans="1:18" s="17" customFormat="1" ht="62.4" customHeight="1">
      <c r="A14" s="106">
        <v>11</v>
      </c>
      <c r="B14" s="106" t="s">
        <v>92</v>
      </c>
      <c r="C14" s="107" t="s">
        <v>93</v>
      </c>
      <c r="D14" s="107" t="s">
        <v>164</v>
      </c>
      <c r="E14" s="106" t="s">
        <v>20</v>
      </c>
      <c r="F14" s="19"/>
      <c r="G14" s="19"/>
      <c r="H14" s="108">
        <v>0.13</v>
      </c>
      <c r="I14" s="20">
        <v>0.36985742952212386</v>
      </c>
      <c r="J14" s="20">
        <v>0.36985742952212386</v>
      </c>
      <c r="K14" s="19"/>
      <c r="L14" s="19"/>
      <c r="M14" s="19"/>
      <c r="N14" s="19"/>
      <c r="O14" s="109" t="s">
        <v>244</v>
      </c>
      <c r="P14" s="109" t="s">
        <v>244</v>
      </c>
      <c r="Q14" s="109" t="s">
        <v>251</v>
      </c>
      <c r="R14" s="110"/>
    </row>
    <row r="15" spans="1:18" s="105" customFormat="1" ht="62.4" hidden="1" customHeight="1">
      <c r="A15" s="98">
        <v>12</v>
      </c>
      <c r="B15" s="98" t="s">
        <v>94</v>
      </c>
      <c r="C15" s="99" t="s">
        <v>95</v>
      </c>
      <c r="D15" s="99" t="s">
        <v>165</v>
      </c>
      <c r="E15" s="98" t="s">
        <v>20</v>
      </c>
      <c r="F15" s="100"/>
      <c r="G15" s="100"/>
      <c r="H15" s="101">
        <v>0.13</v>
      </c>
      <c r="I15" s="102">
        <f>VLOOKUP(D15,'[2]2022年7-12月'!$B$4:$AA$210,26,0)</f>
        <v>1.5302411956999997</v>
      </c>
      <c r="J15" s="102">
        <f>VLOOKUP(D15,'[2]2022年7-12月'!$B$4:$AE$210,30,0)</f>
        <v>1.9862411956999997</v>
      </c>
      <c r="K15" s="100"/>
      <c r="L15" s="100"/>
      <c r="M15" s="100"/>
      <c r="N15" s="100"/>
      <c r="O15" s="103" t="s">
        <v>250</v>
      </c>
      <c r="P15" s="66" t="s">
        <v>395</v>
      </c>
      <c r="Q15" s="103" t="s">
        <v>248</v>
      </c>
      <c r="R15" s="104"/>
    </row>
    <row r="16" spans="1:18" s="17" customFormat="1" ht="62.4" customHeight="1">
      <c r="A16" s="106">
        <v>13</v>
      </c>
      <c r="B16" s="106" t="s">
        <v>94</v>
      </c>
      <c r="C16" s="107" t="s">
        <v>96</v>
      </c>
      <c r="D16" s="107" t="s">
        <v>191</v>
      </c>
      <c r="E16" s="106" t="s">
        <v>20</v>
      </c>
      <c r="F16" s="19">
        <v>2.35</v>
      </c>
      <c r="G16" s="19">
        <v>2.35</v>
      </c>
      <c r="H16" s="108">
        <v>0.13</v>
      </c>
      <c r="I16" s="20">
        <f>VLOOKUP(D16,'[2]2022年7-12月'!$B$4:$AA$210,26,0)</f>
        <v>2.3347773750549994</v>
      </c>
      <c r="J16" s="20">
        <f>VLOOKUP(D16,'[2]2022年7-12月'!$B$4:$AE$210,30,0)</f>
        <v>2.3347773750549994</v>
      </c>
      <c r="K16" s="19">
        <f t="shared" si="0"/>
        <v>2.35</v>
      </c>
      <c r="L16" s="19">
        <f t="shared" si="0"/>
        <v>2.35</v>
      </c>
      <c r="M16" s="19">
        <f t="shared" si="1"/>
        <v>2.35</v>
      </c>
      <c r="N16" s="19">
        <f t="shared" si="1"/>
        <v>2.35</v>
      </c>
      <c r="O16" s="109" t="s">
        <v>241</v>
      </c>
      <c r="P16" s="109" t="s">
        <v>244</v>
      </c>
      <c r="Q16" s="109" t="s">
        <v>251</v>
      </c>
      <c r="R16" s="110"/>
    </row>
    <row r="17" spans="1:18" s="39" customFormat="1" ht="62.4" hidden="1" customHeight="1">
      <c r="A17" s="34">
        <v>14</v>
      </c>
      <c r="B17" s="34" t="s">
        <v>97</v>
      </c>
      <c r="C17" s="35" t="s">
        <v>98</v>
      </c>
      <c r="D17" s="35" t="s">
        <v>166</v>
      </c>
      <c r="E17" s="34" t="s">
        <v>20</v>
      </c>
      <c r="F17" s="80">
        <v>6.6</v>
      </c>
      <c r="G17" s="80">
        <v>6.6</v>
      </c>
      <c r="H17" s="36">
        <v>0.13</v>
      </c>
      <c r="I17" s="45">
        <f>VLOOKUP(D17,'[2]2022年7-12月'!$B$4:$AA$210,26,0)</f>
        <v>6.5321581249999996</v>
      </c>
      <c r="J17" s="45">
        <f>VLOOKUP(D17,'[2]2022年7-12月'!$B$4:$AE$210,30,0)</f>
        <v>7.2621581249999991</v>
      </c>
      <c r="K17" s="80">
        <f t="shared" si="0"/>
        <v>6.6</v>
      </c>
      <c r="L17" s="80">
        <f t="shared" si="0"/>
        <v>6.6</v>
      </c>
      <c r="M17" s="80">
        <f t="shared" si="1"/>
        <v>6.6</v>
      </c>
      <c r="N17" s="80">
        <f t="shared" si="1"/>
        <v>6.6</v>
      </c>
      <c r="O17" s="37" t="s">
        <v>241</v>
      </c>
      <c r="P17" s="37" t="s">
        <v>388</v>
      </c>
      <c r="Q17" s="37" t="s">
        <v>251</v>
      </c>
      <c r="R17" s="38"/>
    </row>
    <row r="18" spans="1:18" s="39" customFormat="1" ht="62.4" hidden="1" customHeight="1">
      <c r="A18" s="34">
        <v>15</v>
      </c>
      <c r="B18" s="34" t="s">
        <v>99</v>
      </c>
      <c r="C18" s="35" t="s">
        <v>100</v>
      </c>
      <c r="D18" s="35" t="s">
        <v>167</v>
      </c>
      <c r="E18" s="34" t="s">
        <v>20</v>
      </c>
      <c r="F18" s="80">
        <v>4.62</v>
      </c>
      <c r="G18" s="80">
        <v>4.62</v>
      </c>
      <c r="H18" s="36">
        <v>0.13</v>
      </c>
      <c r="I18" s="45">
        <f>VLOOKUP(D18,'[2]2022年7-12月'!$B$4:$AA$210,26,0)</f>
        <v>4.6393573996125008</v>
      </c>
      <c r="J18" s="45">
        <f>VLOOKUP(D18,'[2]2022年7-12月'!$B$4:$AE$210,30,0)</f>
        <v>4.6393573996125008</v>
      </c>
      <c r="K18" s="80">
        <f t="shared" si="0"/>
        <v>4.62</v>
      </c>
      <c r="L18" s="80">
        <f t="shared" si="0"/>
        <v>4.62</v>
      </c>
      <c r="M18" s="80">
        <f t="shared" si="1"/>
        <v>4.62</v>
      </c>
      <c r="N18" s="80">
        <f t="shared" si="1"/>
        <v>4.62</v>
      </c>
      <c r="O18" s="37" t="s">
        <v>243</v>
      </c>
      <c r="P18" s="37" t="s">
        <v>243</v>
      </c>
      <c r="Q18" s="37" t="s">
        <v>251</v>
      </c>
      <c r="R18" s="38"/>
    </row>
    <row r="19" spans="1:18" s="39" customFormat="1" ht="62.4" hidden="1" customHeight="1">
      <c r="A19" s="34">
        <v>16</v>
      </c>
      <c r="B19" s="34" t="s">
        <v>101</v>
      </c>
      <c r="C19" s="35" t="s">
        <v>102</v>
      </c>
      <c r="D19" s="35" t="s">
        <v>168</v>
      </c>
      <c r="E19" s="34" t="s">
        <v>20</v>
      </c>
      <c r="F19" s="80">
        <v>4.1100000000000003</v>
      </c>
      <c r="G19" s="80">
        <v>4.1100000000000003</v>
      </c>
      <c r="H19" s="36">
        <v>0.13</v>
      </c>
      <c r="I19" s="45">
        <f>VLOOKUP(D19,'[2]2022年7-12月'!$B$4:$AA$210,26,0)</f>
        <v>4.1140506568124993</v>
      </c>
      <c r="J19" s="45">
        <f>VLOOKUP(D19,'[2]2022年7-12月'!$B$4:$AE$210,30,0)</f>
        <v>4.1140506568124993</v>
      </c>
      <c r="K19" s="80">
        <f t="shared" si="0"/>
        <v>4.1100000000000003</v>
      </c>
      <c r="L19" s="80">
        <f t="shared" si="0"/>
        <v>4.1100000000000003</v>
      </c>
      <c r="M19" s="80">
        <f t="shared" si="1"/>
        <v>4.1100000000000003</v>
      </c>
      <c r="N19" s="80">
        <f t="shared" si="1"/>
        <v>4.1100000000000003</v>
      </c>
      <c r="O19" s="37" t="s">
        <v>243</v>
      </c>
      <c r="P19" s="37" t="s">
        <v>243</v>
      </c>
      <c r="Q19" s="37" t="s">
        <v>251</v>
      </c>
      <c r="R19" s="38"/>
    </row>
    <row r="20" spans="1:18" s="39" customFormat="1" ht="62.4" hidden="1" customHeight="1">
      <c r="A20" s="34">
        <v>17</v>
      </c>
      <c r="B20" s="34" t="s">
        <v>103</v>
      </c>
      <c r="C20" s="35" t="s">
        <v>104</v>
      </c>
      <c r="D20" s="35" t="s">
        <v>169</v>
      </c>
      <c r="E20" s="34" t="s">
        <v>20</v>
      </c>
      <c r="F20" s="80">
        <v>4.0999999999999996</v>
      </c>
      <c r="G20" s="80">
        <v>4.0999999999999996</v>
      </c>
      <c r="H20" s="36">
        <v>0.13</v>
      </c>
      <c r="I20" s="45">
        <f>VLOOKUP(D20,'[2]2022年7-12月'!$B$4:$AA$210,26,0)</f>
        <v>4.0565506568124992</v>
      </c>
      <c r="J20" s="45">
        <f>VLOOKUP(D20,'[2]2022年7-12月'!$B$4:$AE$210,30,0)</f>
        <v>4.0565506568124992</v>
      </c>
      <c r="K20" s="80">
        <f t="shared" si="0"/>
        <v>4.0999999999999996</v>
      </c>
      <c r="L20" s="80">
        <f t="shared" si="0"/>
        <v>4.0999999999999996</v>
      </c>
      <c r="M20" s="80">
        <f t="shared" si="1"/>
        <v>4.0999999999999996</v>
      </c>
      <c r="N20" s="80">
        <f t="shared" si="1"/>
        <v>4.0999999999999996</v>
      </c>
      <c r="O20" s="37" t="s">
        <v>243</v>
      </c>
      <c r="P20" s="37" t="s">
        <v>243</v>
      </c>
      <c r="Q20" s="37" t="s">
        <v>251</v>
      </c>
      <c r="R20" s="38"/>
    </row>
    <row r="21" spans="1:18" s="39" customFormat="1" ht="62.4" hidden="1" customHeight="1">
      <c r="A21" s="34">
        <v>18</v>
      </c>
      <c r="B21" s="34" t="s">
        <v>105</v>
      </c>
      <c r="C21" s="35" t="s">
        <v>106</v>
      </c>
      <c r="D21" s="35" t="s">
        <v>170</v>
      </c>
      <c r="E21" s="34" t="s">
        <v>20</v>
      </c>
      <c r="F21" s="80">
        <v>4.62</v>
      </c>
      <c r="G21" s="80">
        <v>4.62</v>
      </c>
      <c r="H21" s="36">
        <v>0.13</v>
      </c>
      <c r="I21" s="45">
        <f>VLOOKUP(D21,'[2]2022年7-12月'!$B$4:$AA$210,26,0)</f>
        <v>4.6393573996125008</v>
      </c>
      <c r="J21" s="45">
        <f>VLOOKUP(D21,'[2]2022年7-12月'!$B$4:$AE$210,30,0)</f>
        <v>4.6393573996125008</v>
      </c>
      <c r="K21" s="80">
        <f t="shared" si="0"/>
        <v>4.62</v>
      </c>
      <c r="L21" s="80">
        <f t="shared" si="0"/>
        <v>4.62</v>
      </c>
      <c r="M21" s="80">
        <f t="shared" si="1"/>
        <v>4.62</v>
      </c>
      <c r="N21" s="80">
        <f t="shared" si="1"/>
        <v>4.62</v>
      </c>
      <c r="O21" s="37" t="s">
        <v>242</v>
      </c>
      <c r="P21" s="37" t="s">
        <v>243</v>
      </c>
      <c r="Q21" s="37" t="s">
        <v>251</v>
      </c>
      <c r="R21" s="38"/>
    </row>
    <row r="22" spans="1:18" s="39" customFormat="1" ht="62.4" hidden="1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>
        <v>2.3063945965625003</v>
      </c>
      <c r="N22" s="80">
        <v>2.3063945965625003</v>
      </c>
      <c r="O22" s="37" t="s">
        <v>244</v>
      </c>
      <c r="P22" s="37" t="s">
        <v>388</v>
      </c>
      <c r="Q22" s="37" t="s">
        <v>251</v>
      </c>
      <c r="R22" s="38"/>
    </row>
    <row r="23" spans="1:18" s="39" customFormat="1" ht="62.4" hidden="1" customHeight="1">
      <c r="A23" s="34">
        <v>20</v>
      </c>
      <c r="B23" s="34" t="s">
        <v>109</v>
      </c>
      <c r="C23" s="35" t="s">
        <v>110</v>
      </c>
      <c r="D23" s="35" t="s">
        <v>172</v>
      </c>
      <c r="E23" s="34" t="s">
        <v>20</v>
      </c>
      <c r="F23" s="97">
        <v>0.26602887407142856</v>
      </c>
      <c r="G23" s="80">
        <v>0.26602887407142856</v>
      </c>
      <c r="H23" s="36">
        <v>0.13</v>
      </c>
      <c r="I23" s="45">
        <f>VLOOKUP(D23,'[2]2022年7-12月'!$B$4:$AA$210,26,0)</f>
        <v>0.26602887407142856</v>
      </c>
      <c r="J23" s="45">
        <f>VLOOKUP(D23,'[2]2022年7-12月'!$B$4:$AE$210,30,0)</f>
        <v>0.26602887407142856</v>
      </c>
      <c r="K23" s="80">
        <f t="shared" si="0"/>
        <v>0.26602887407142856</v>
      </c>
      <c r="L23" s="80">
        <f t="shared" si="0"/>
        <v>0.26602887407142856</v>
      </c>
      <c r="M23" s="80">
        <f t="shared" si="1"/>
        <v>0.26602887407142856</v>
      </c>
      <c r="N23" s="80">
        <f t="shared" si="1"/>
        <v>0.26602887407142856</v>
      </c>
      <c r="O23" s="37" t="s">
        <v>253</v>
      </c>
      <c r="P23" s="37" t="s">
        <v>243</v>
      </c>
      <c r="Q23" s="37" t="s">
        <v>251</v>
      </c>
      <c r="R23" s="38"/>
    </row>
    <row r="24" spans="1:18" s="17" customFormat="1" ht="62.4" customHeight="1">
      <c r="A24" s="106">
        <v>21</v>
      </c>
      <c r="B24" s="106" t="s">
        <v>111</v>
      </c>
      <c r="C24" s="107" t="s">
        <v>112</v>
      </c>
      <c r="D24" s="107" t="s">
        <v>173</v>
      </c>
      <c r="E24" s="106" t="s">
        <v>20</v>
      </c>
      <c r="F24" s="19"/>
      <c r="G24" s="19"/>
      <c r="H24" s="108">
        <v>0.13</v>
      </c>
      <c r="I24" s="20">
        <f>VLOOKUP(D24,'[2]2022年7-12月'!$B$4:$AA$210,26,0)</f>
        <v>4.0731055467762332</v>
      </c>
      <c r="J24" s="20">
        <f>VLOOKUP(D24,'[2]2022年7-12月'!$B$4:$AE$210,30,0)</f>
        <v>4.0731055467762332</v>
      </c>
      <c r="K24" s="19">
        <f t="shared" si="0"/>
        <v>0</v>
      </c>
      <c r="L24" s="19">
        <f t="shared" si="0"/>
        <v>0</v>
      </c>
      <c r="M24" s="19">
        <f t="shared" si="1"/>
        <v>0</v>
      </c>
      <c r="N24" s="19">
        <f t="shared" si="1"/>
        <v>0</v>
      </c>
      <c r="O24" s="109" t="s">
        <v>244</v>
      </c>
      <c r="P24" s="109" t="s">
        <v>389</v>
      </c>
      <c r="Q24" s="109" t="s">
        <v>251</v>
      </c>
      <c r="R24" s="110"/>
    </row>
    <row r="25" spans="1:18" s="17" customFormat="1" ht="62.4" customHeight="1">
      <c r="A25" s="106">
        <v>22</v>
      </c>
      <c r="B25" s="106" t="s">
        <v>113</v>
      </c>
      <c r="C25" s="107" t="s">
        <v>114</v>
      </c>
      <c r="D25" s="107" t="s">
        <v>174</v>
      </c>
      <c r="E25" s="106" t="s">
        <v>20</v>
      </c>
      <c r="F25" s="19"/>
      <c r="G25" s="19"/>
      <c r="H25" s="108">
        <v>0.13</v>
      </c>
      <c r="I25" s="20">
        <f>VLOOKUP(D25,'[2]2022年7-12月'!$B$4:$AA$210,26,0)</f>
        <v>4.0731055467762332</v>
      </c>
      <c r="J25" s="20">
        <f>VLOOKUP(D25,'[2]2022年7-12月'!$B$4:$AE$210,30,0)</f>
        <v>4.0731055467762332</v>
      </c>
      <c r="K25" s="19">
        <f t="shared" si="0"/>
        <v>0</v>
      </c>
      <c r="L25" s="19">
        <f t="shared" si="0"/>
        <v>0</v>
      </c>
      <c r="M25" s="19">
        <f t="shared" si="1"/>
        <v>0</v>
      </c>
      <c r="N25" s="19">
        <f t="shared" si="1"/>
        <v>0</v>
      </c>
      <c r="O25" s="109" t="s">
        <v>244</v>
      </c>
      <c r="P25" s="109" t="s">
        <v>389</v>
      </c>
      <c r="Q25" s="109" t="s">
        <v>251</v>
      </c>
      <c r="R25" s="110"/>
    </row>
    <row r="26" spans="1:18" s="39" customFormat="1" ht="62.4" hidden="1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394</v>
      </c>
      <c r="P26" s="37" t="s">
        <v>393</v>
      </c>
      <c r="Q26" s="37" t="s">
        <v>251</v>
      </c>
      <c r="R26" s="38"/>
    </row>
    <row r="27" spans="1:18" s="39" customFormat="1" ht="62.4" hidden="1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394</v>
      </c>
      <c r="P27" s="37" t="s">
        <v>393</v>
      </c>
      <c r="Q27" s="37" t="s">
        <v>251</v>
      </c>
      <c r="R27" s="38"/>
    </row>
    <row r="28" spans="1:18" s="39" customFormat="1" ht="62.4" hidden="1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394</v>
      </c>
      <c r="P28" s="37" t="s">
        <v>393</v>
      </c>
      <c r="Q28" s="37" t="s">
        <v>251</v>
      </c>
      <c r="R28" s="38"/>
    </row>
    <row r="29" spans="1:18" s="39" customFormat="1" ht="62.4" hidden="1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394</v>
      </c>
      <c r="P29" s="37" t="s">
        <v>393</v>
      </c>
      <c r="Q29" s="37" t="s">
        <v>251</v>
      </c>
      <c r="R29" s="38"/>
    </row>
    <row r="30" spans="1:18" s="39" customFormat="1" ht="62.4" hidden="1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394</v>
      </c>
      <c r="P30" s="37" t="s">
        <v>393</v>
      </c>
      <c r="Q30" s="37" t="s">
        <v>251</v>
      </c>
      <c r="R30" s="38"/>
    </row>
    <row r="31" spans="1:18" s="39" customFormat="1" ht="62.4" hidden="1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394</v>
      </c>
      <c r="P31" s="37" t="s">
        <v>393</v>
      </c>
      <c r="Q31" s="37" t="s">
        <v>251</v>
      </c>
      <c r="R31" s="38"/>
    </row>
    <row r="32" spans="1:18" s="17" customFormat="1" ht="62.4" customHeight="1">
      <c r="A32" s="106">
        <v>29</v>
      </c>
      <c r="B32" s="106" t="s">
        <v>127</v>
      </c>
      <c r="C32" s="107" t="s">
        <v>128</v>
      </c>
      <c r="D32" s="107" t="s">
        <v>181</v>
      </c>
      <c r="E32" s="106" t="s">
        <v>20</v>
      </c>
      <c r="F32" s="19"/>
      <c r="G32" s="19"/>
      <c r="H32" s="108">
        <v>0.13</v>
      </c>
      <c r="I32" s="20">
        <f>VLOOKUP(D32,'[2]2022年7-12月'!$B$4:$AA$210,26,0)</f>
        <v>0.6985905</v>
      </c>
      <c r="J32" s="20">
        <f>VLOOKUP(D32,'[2]2022年7-12月'!$B$4:$AE$210,30,0)</f>
        <v>0.6985905</v>
      </c>
      <c r="K32" s="19">
        <f t="shared" si="0"/>
        <v>0</v>
      </c>
      <c r="L32" s="19">
        <f t="shared" si="0"/>
        <v>0</v>
      </c>
      <c r="M32" s="19">
        <f t="shared" si="1"/>
        <v>0</v>
      </c>
      <c r="N32" s="19">
        <f t="shared" si="1"/>
        <v>0</v>
      </c>
      <c r="O32" s="109" t="s">
        <v>244</v>
      </c>
      <c r="P32" s="109" t="s">
        <v>389</v>
      </c>
      <c r="Q32" s="109" t="s">
        <v>251</v>
      </c>
      <c r="R32" s="110"/>
    </row>
    <row r="33" spans="1:18" s="105" customFormat="1" ht="62.4" hidden="1" customHeight="1">
      <c r="A33" s="98">
        <v>30</v>
      </c>
      <c r="B33" s="98" t="s">
        <v>129</v>
      </c>
      <c r="C33" s="99" t="s">
        <v>130</v>
      </c>
      <c r="D33" s="99" t="s">
        <v>182</v>
      </c>
      <c r="E33" s="98" t="s">
        <v>20</v>
      </c>
      <c r="F33" s="100"/>
      <c r="G33" s="100"/>
      <c r="H33" s="101">
        <v>0.13</v>
      </c>
      <c r="I33" s="102">
        <f>VLOOKUP(D33,'[2]2022年7-12月'!$B$4:$AA$210,26,0)</f>
        <v>0.34455465100000005</v>
      </c>
      <c r="J33" s="102">
        <f>VLOOKUP(D33,'[2]2022年7-12月'!$B$4:$AE$210,30,0)</f>
        <v>0.34455465100000005</v>
      </c>
      <c r="K33" s="100"/>
      <c r="L33" s="100"/>
      <c r="M33" s="100"/>
      <c r="N33" s="100"/>
      <c r="O33" s="103" t="s">
        <v>245</v>
      </c>
      <c r="P33" s="103" t="s">
        <v>396</v>
      </c>
      <c r="Q33" s="103"/>
      <c r="R33" s="104"/>
    </row>
    <row r="34" spans="1:18" s="39" customFormat="1" ht="62.4" hidden="1" customHeight="1">
      <c r="A34" s="34">
        <v>31</v>
      </c>
      <c r="B34" s="34" t="s">
        <v>131</v>
      </c>
      <c r="C34" s="35" t="s">
        <v>132</v>
      </c>
      <c r="D34" s="35" t="s">
        <v>183</v>
      </c>
      <c r="E34" s="34" t="s">
        <v>20</v>
      </c>
      <c r="F34" s="80">
        <v>4.97</v>
      </c>
      <c r="G34" s="80">
        <v>4.97</v>
      </c>
      <c r="H34" s="36">
        <v>0.13</v>
      </c>
      <c r="I34" s="45">
        <f>VLOOKUP(D34,'[2]2022年7-12月'!$B$4:$AA$210,26,0)</f>
        <v>4.8115245974004415</v>
      </c>
      <c r="J34" s="45">
        <f>VLOOKUP(D34,'[2]2022年7-12月'!$B$4:$AE$210,30,0)</f>
        <v>4.8115245974004415</v>
      </c>
      <c r="K34" s="80">
        <f t="shared" si="0"/>
        <v>4.97</v>
      </c>
      <c r="L34" s="80">
        <f t="shared" si="0"/>
        <v>4.97</v>
      </c>
      <c r="M34" s="80">
        <f t="shared" si="1"/>
        <v>4.97</v>
      </c>
      <c r="N34" s="80">
        <f t="shared" si="1"/>
        <v>4.97</v>
      </c>
      <c r="O34" s="37" t="s">
        <v>243</v>
      </c>
      <c r="P34" s="37" t="s">
        <v>243</v>
      </c>
      <c r="Q34" s="37" t="s">
        <v>251</v>
      </c>
      <c r="R34" s="38"/>
    </row>
    <row r="35" spans="1:18" s="39" customFormat="1" ht="62.4" hidden="1" customHeight="1">
      <c r="A35" s="34">
        <v>32</v>
      </c>
      <c r="B35" s="34" t="s">
        <v>133</v>
      </c>
      <c r="C35" s="35" t="s">
        <v>134</v>
      </c>
      <c r="D35" s="35" t="s">
        <v>184</v>
      </c>
      <c r="E35" s="34" t="s">
        <v>20</v>
      </c>
      <c r="F35" s="80">
        <v>4.97</v>
      </c>
      <c r="G35" s="80">
        <v>4.97</v>
      </c>
      <c r="H35" s="36">
        <v>0.13</v>
      </c>
      <c r="I35" s="45">
        <f>VLOOKUP(D35,'[2]2022年7-12月'!$B$4:$AA$210,26,0)</f>
        <v>4.8115245974004415</v>
      </c>
      <c r="J35" s="45">
        <f>VLOOKUP(D35,'[2]2022年7-12月'!$B$4:$AE$210,30,0)</f>
        <v>4.8115245974004415</v>
      </c>
      <c r="K35" s="80">
        <f t="shared" si="0"/>
        <v>4.97</v>
      </c>
      <c r="L35" s="80">
        <f t="shared" si="0"/>
        <v>4.97</v>
      </c>
      <c r="M35" s="80">
        <f t="shared" si="1"/>
        <v>4.97</v>
      </c>
      <c r="N35" s="80">
        <f t="shared" si="1"/>
        <v>4.97</v>
      </c>
      <c r="O35" s="37" t="s">
        <v>243</v>
      </c>
      <c r="P35" s="37" t="s">
        <v>243</v>
      </c>
      <c r="Q35" s="37" t="s">
        <v>251</v>
      </c>
      <c r="R35" s="38"/>
    </row>
    <row r="36" spans="1:18" s="39" customFormat="1" ht="62.4" hidden="1" customHeight="1">
      <c r="A36" s="34">
        <v>33</v>
      </c>
      <c r="B36" s="34" t="s">
        <v>390</v>
      </c>
      <c r="C36" s="35" t="s">
        <v>391</v>
      </c>
      <c r="D36" s="35"/>
      <c r="E36" s="34" t="s">
        <v>20</v>
      </c>
      <c r="F36" s="80">
        <v>4.97</v>
      </c>
      <c r="G36" s="80">
        <v>4.97</v>
      </c>
      <c r="H36" s="36">
        <v>0.13</v>
      </c>
      <c r="I36" s="45">
        <v>4.8115245974004415</v>
      </c>
      <c r="J36" s="45">
        <v>4.8115245974004415</v>
      </c>
      <c r="K36" s="80">
        <v>4.97</v>
      </c>
      <c r="L36" s="80">
        <v>4.97</v>
      </c>
      <c r="M36" s="80">
        <v>4.97</v>
      </c>
      <c r="N36" s="80">
        <v>4.97</v>
      </c>
      <c r="O36" s="37" t="s">
        <v>242</v>
      </c>
      <c r="P36" s="37" t="s">
        <v>242</v>
      </c>
      <c r="Q36" s="37" t="s">
        <v>251</v>
      </c>
      <c r="R36" s="38" t="s">
        <v>392</v>
      </c>
    </row>
    <row r="37" spans="1:18" s="39" customFormat="1" ht="62.4" hidden="1" customHeight="1">
      <c r="A37" s="34">
        <v>34</v>
      </c>
      <c r="B37" s="34" t="s">
        <v>135</v>
      </c>
      <c r="C37" s="35" t="s">
        <v>136</v>
      </c>
      <c r="D37" s="35" t="s">
        <v>185</v>
      </c>
      <c r="E37" s="34" t="s">
        <v>20</v>
      </c>
      <c r="F37" s="80">
        <v>11.5</v>
      </c>
      <c r="G37" s="80">
        <v>11.5</v>
      </c>
      <c r="H37" s="36">
        <v>0.13</v>
      </c>
      <c r="I37" s="45">
        <f>VLOOKUP(D37,'[2]2022年7-12月'!$B$4:$AA$210,26,0)</f>
        <v>11.412496431814159</v>
      </c>
      <c r="J37" s="45">
        <f>VLOOKUP(D37,'[2]2022年7-12月'!$B$4:$AE$210,30,0)</f>
        <v>11.412496431814159</v>
      </c>
      <c r="K37" s="80">
        <f t="shared" si="0"/>
        <v>11.5</v>
      </c>
      <c r="L37" s="80">
        <f t="shared" si="0"/>
        <v>11.5</v>
      </c>
      <c r="M37" s="80">
        <f t="shared" si="1"/>
        <v>11.5</v>
      </c>
      <c r="N37" s="80">
        <f t="shared" si="1"/>
        <v>11.5</v>
      </c>
      <c r="O37" s="37" t="s">
        <v>241</v>
      </c>
      <c r="P37" s="37" t="s">
        <v>388</v>
      </c>
      <c r="Q37" s="37" t="s">
        <v>251</v>
      </c>
      <c r="R37" s="38"/>
    </row>
    <row r="38" spans="1:18" s="39" customFormat="1" ht="62.4" hidden="1" customHeight="1">
      <c r="A38" s="34">
        <v>35</v>
      </c>
      <c r="B38" s="34" t="s">
        <v>137</v>
      </c>
      <c r="C38" s="35" t="s">
        <v>138</v>
      </c>
      <c r="D38" s="35" t="s">
        <v>186</v>
      </c>
      <c r="E38" s="34" t="s">
        <v>20</v>
      </c>
      <c r="F38" s="80">
        <v>11.6</v>
      </c>
      <c r="G38" s="80">
        <v>11.6</v>
      </c>
      <c r="H38" s="36">
        <v>0.13</v>
      </c>
      <c r="I38" s="45">
        <f>VLOOKUP(D38,'[2]2022年7-12月'!$B$4:$AA$210,26,0)</f>
        <v>11.453896431814158</v>
      </c>
      <c r="J38" s="45">
        <f>VLOOKUP(D38,'[2]2022年7-12月'!$B$4:$AE$210,30,0)</f>
        <v>11.841796431814158</v>
      </c>
      <c r="K38" s="80">
        <f t="shared" si="0"/>
        <v>11.6</v>
      </c>
      <c r="L38" s="80">
        <f t="shared" si="0"/>
        <v>11.6</v>
      </c>
      <c r="M38" s="80">
        <f t="shared" si="1"/>
        <v>11.6</v>
      </c>
      <c r="N38" s="80">
        <f t="shared" si="1"/>
        <v>11.6</v>
      </c>
      <c r="O38" s="37" t="s">
        <v>241</v>
      </c>
      <c r="P38" s="37" t="s">
        <v>388</v>
      </c>
      <c r="Q38" s="37" t="s">
        <v>251</v>
      </c>
      <c r="R38" s="38"/>
    </row>
    <row r="39" spans="1:18" s="39" customFormat="1" ht="62.4" hidden="1" customHeight="1">
      <c r="A39" s="34">
        <v>36</v>
      </c>
      <c r="B39" s="34" t="s">
        <v>139</v>
      </c>
      <c r="C39" s="35" t="s">
        <v>140</v>
      </c>
      <c r="D39" s="35" t="s">
        <v>187</v>
      </c>
      <c r="E39" s="34" t="s">
        <v>20</v>
      </c>
      <c r="F39" s="80">
        <v>11.9</v>
      </c>
      <c r="G39" s="80">
        <v>11.9</v>
      </c>
      <c r="H39" s="36">
        <v>0.13</v>
      </c>
      <c r="I39" s="45">
        <f>VLOOKUP(D39,'[2]2022年7-12月'!$B$4:$AA$210,26,0)</f>
        <v>11.740246431814159</v>
      </c>
      <c r="J39" s="45">
        <f>VLOOKUP(D39,'[2]2022年7-12月'!$B$4:$AE$210,30,0)</f>
        <v>12.128146431814159</v>
      </c>
      <c r="K39" s="80">
        <f t="shared" si="0"/>
        <v>11.9</v>
      </c>
      <c r="L39" s="80">
        <f t="shared" si="0"/>
        <v>11.9</v>
      </c>
      <c r="M39" s="80">
        <f t="shared" si="1"/>
        <v>11.9</v>
      </c>
      <c r="N39" s="80">
        <f t="shared" si="1"/>
        <v>11.9</v>
      </c>
      <c r="O39" s="37" t="s">
        <v>241</v>
      </c>
      <c r="P39" s="37" t="s">
        <v>388</v>
      </c>
      <c r="Q39" s="37" t="s">
        <v>251</v>
      </c>
      <c r="R39" s="38"/>
    </row>
    <row r="40" spans="1:18" s="39" customFormat="1" ht="27.75" hidden="1" customHeight="1">
      <c r="A40" s="202" t="s">
        <v>397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</row>
    <row r="41" spans="1:18" s="39" customFormat="1" ht="106.2" hidden="1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</row>
    <row r="42" spans="1:18" s="39" customFormat="1" ht="93" hidden="1" customHeight="1">
      <c r="A42" s="203" t="s">
        <v>13</v>
      </c>
      <c r="B42" s="204"/>
      <c r="C42" s="205" t="s">
        <v>14</v>
      </c>
      <c r="D42" s="205"/>
      <c r="E42" s="205"/>
      <c r="F42" s="206" t="s">
        <v>15</v>
      </c>
      <c r="G42" s="207"/>
      <c r="H42" s="207"/>
      <c r="I42" s="207"/>
      <c r="J42" s="208"/>
      <c r="K42" s="206" t="s">
        <v>16</v>
      </c>
      <c r="L42" s="207"/>
      <c r="M42" s="207"/>
      <c r="N42" s="208"/>
      <c r="O42" s="202" t="s">
        <v>17</v>
      </c>
      <c r="P42" s="202"/>
      <c r="Q42" s="202"/>
    </row>
    <row r="43" spans="1:18" s="39" customFormat="1" ht="27.75" customHeight="1"/>
    <row r="44" spans="1:18" s="39" customFormat="1" ht="27.75" customHeight="1"/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</sheetData>
  <autoFilter ref="A3:R42" xr:uid="{5E8330BB-28EE-4D19-A3B7-0FB7B91864ED}">
    <filterColumn colId="15">
      <filters>
        <filter val="自制"/>
      </filters>
    </filterColumn>
  </autoFilter>
  <mergeCells count="8">
    <mergeCell ref="A1:Q1"/>
    <mergeCell ref="M2:Q2"/>
    <mergeCell ref="A40:Q41"/>
    <mergeCell ref="A42:B42"/>
    <mergeCell ref="C42:E42"/>
    <mergeCell ref="F42:J42"/>
    <mergeCell ref="K42:N42"/>
    <mergeCell ref="O42:Q4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7B56-1568-4AD4-A72E-28FAC1075809}">
  <sheetPr codeName="Sheet23">
    <pageSetUpPr fitToPage="1"/>
  </sheetPr>
  <dimension ref="A1:W509"/>
  <sheetViews>
    <sheetView zoomScale="70" zoomScaleNormal="70" workbookViewId="0">
      <selection activeCell="J9" sqref="J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399</v>
      </c>
      <c r="C4" s="35" t="s">
        <v>400</v>
      </c>
      <c r="D4" s="35"/>
      <c r="E4" s="34" t="s">
        <v>20</v>
      </c>
      <c r="F4" s="80">
        <v>4.3220000000000001</v>
      </c>
      <c r="G4" s="36">
        <v>0.13</v>
      </c>
      <c r="H4" s="97"/>
      <c r="I4" s="80">
        <v>4.1219999999999999</v>
      </c>
      <c r="J4" s="80">
        <v>4.1219999999999999</v>
      </c>
      <c r="K4" s="93" t="s">
        <v>401</v>
      </c>
      <c r="L4" s="37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39" customFormat="1" ht="27.75" customHeight="1">
      <c r="A6" s="202" t="s">
        <v>402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3.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9781-529D-4B27-A00C-AC19AA693976}">
  <sheetPr codeName="Sheet24">
    <pageSetUpPr fitToPage="1"/>
  </sheetPr>
  <dimension ref="A1:W510"/>
  <sheetViews>
    <sheetView zoomScale="70" zoomScaleNormal="70" workbookViewId="0">
      <selection activeCell="O8" sqref="O8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403</v>
      </c>
      <c r="C4" s="35" t="s">
        <v>404</v>
      </c>
      <c r="D4" s="35"/>
      <c r="E4" s="34" t="s">
        <v>20</v>
      </c>
      <c r="F4" s="80"/>
      <c r="G4" s="36">
        <v>0.13</v>
      </c>
      <c r="H4" s="97"/>
      <c r="I4" s="80">
        <v>2.496</v>
      </c>
      <c r="J4" s="80">
        <f>I4</f>
        <v>2.496</v>
      </c>
      <c r="K4" s="93" t="s">
        <v>278</v>
      </c>
      <c r="L4" s="37"/>
      <c r="N4" s="96"/>
    </row>
    <row r="5" spans="1:23" s="83" customFormat="1" ht="67.8" customHeight="1">
      <c r="A5" s="34">
        <v>2</v>
      </c>
      <c r="B5" s="34" t="s">
        <v>405</v>
      </c>
      <c r="C5" s="35" t="s">
        <v>406</v>
      </c>
      <c r="D5" s="35"/>
      <c r="E5" s="34" t="s">
        <v>20</v>
      </c>
      <c r="F5" s="80"/>
      <c r="G5" s="36">
        <v>0.13</v>
      </c>
      <c r="H5" s="97"/>
      <c r="I5" s="80">
        <v>4.4249999999999998</v>
      </c>
      <c r="J5" s="80">
        <f t="shared" ref="J5:J6" si="0">I5</f>
        <v>4.4249999999999998</v>
      </c>
      <c r="K5" s="93" t="s">
        <v>278</v>
      </c>
      <c r="L5" s="37"/>
      <c r="N5" s="96"/>
    </row>
    <row r="6" spans="1:23" s="83" customFormat="1" ht="67.8" customHeight="1">
      <c r="A6" s="34">
        <v>3</v>
      </c>
      <c r="B6" s="34" t="s">
        <v>407</v>
      </c>
      <c r="C6" s="35" t="s">
        <v>408</v>
      </c>
      <c r="D6" s="35"/>
      <c r="E6" s="34" t="s">
        <v>20</v>
      </c>
      <c r="F6" s="80"/>
      <c r="G6" s="36">
        <v>0.13</v>
      </c>
      <c r="H6" s="97"/>
      <c r="I6" s="80">
        <v>4.867</v>
      </c>
      <c r="J6" s="80">
        <f t="shared" si="0"/>
        <v>4.867</v>
      </c>
      <c r="K6" s="93" t="s">
        <v>278</v>
      </c>
      <c r="L6" s="37"/>
      <c r="N6" s="96"/>
    </row>
    <row r="7" spans="1:23" s="39" customFormat="1" ht="27.75" customHeight="1">
      <c r="A7" s="202" t="s">
        <v>409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77.400000000000006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93" customHeight="1">
      <c r="A9" s="203" t="s">
        <v>13</v>
      </c>
      <c r="B9" s="204"/>
      <c r="C9" s="205" t="s">
        <v>14</v>
      </c>
      <c r="D9" s="205"/>
      <c r="E9" s="205"/>
      <c r="F9" s="206" t="s">
        <v>15</v>
      </c>
      <c r="G9" s="207"/>
      <c r="H9" s="207"/>
      <c r="I9" s="206" t="s">
        <v>16</v>
      </c>
      <c r="J9" s="207"/>
      <c r="K9" s="202" t="s">
        <v>17</v>
      </c>
      <c r="L9" s="202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452A-F3EC-4253-B6F1-C65DF0218F4A}">
  <sheetPr codeName="Sheet25">
    <pageSetUpPr fitToPage="1"/>
  </sheetPr>
  <dimension ref="A1:W510"/>
  <sheetViews>
    <sheetView zoomScale="70" zoomScaleNormal="70" workbookViewId="0">
      <selection activeCell="L4" sqref="L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410</v>
      </c>
      <c r="C4" s="35" t="s">
        <v>411</v>
      </c>
      <c r="D4" s="35"/>
      <c r="E4" s="34" t="s">
        <v>20</v>
      </c>
      <c r="F4" s="80">
        <v>26.96</v>
      </c>
      <c r="G4" s="36">
        <v>0.13</v>
      </c>
      <c r="H4" s="97"/>
      <c r="I4" s="80">
        <v>22.69</v>
      </c>
      <c r="J4" s="80">
        <f>I4</f>
        <v>22.69</v>
      </c>
      <c r="K4" s="93" t="s">
        <v>204</v>
      </c>
      <c r="L4" s="93" t="s">
        <v>413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37"/>
      <c r="N6" s="96"/>
    </row>
    <row r="7" spans="1:23" s="39" customFormat="1" ht="27.75" customHeight="1">
      <c r="A7" s="202" t="s">
        <v>412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57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93" customHeight="1">
      <c r="A9" s="203" t="s">
        <v>13</v>
      </c>
      <c r="B9" s="204"/>
      <c r="C9" s="205" t="s">
        <v>14</v>
      </c>
      <c r="D9" s="205"/>
      <c r="E9" s="205"/>
      <c r="F9" s="206" t="s">
        <v>15</v>
      </c>
      <c r="G9" s="207"/>
      <c r="H9" s="207"/>
      <c r="I9" s="206" t="s">
        <v>16</v>
      </c>
      <c r="J9" s="207"/>
      <c r="K9" s="202" t="s">
        <v>17</v>
      </c>
      <c r="L9" s="202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BCA9-60CA-445B-AF85-CA276398C738}">
  <sheetPr codeName="Sheet26">
    <pageSetUpPr fitToPage="1"/>
  </sheetPr>
  <dimension ref="A1:W530"/>
  <sheetViews>
    <sheetView topLeftCell="A19" zoomScale="70" zoomScaleNormal="70" workbookViewId="0">
      <selection activeCell="O4" sqref="O4:O2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24.109375" style="1" customWidth="1"/>
    <col min="16" max="16" width="17.5546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83" t="s">
        <v>528</v>
      </c>
      <c r="O3" s="83" t="s">
        <v>529</v>
      </c>
    </row>
    <row r="4" spans="1:23" s="83" customFormat="1" ht="67.8" customHeight="1">
      <c r="A4" s="34">
        <v>1</v>
      </c>
      <c r="B4" s="34" t="s">
        <v>414</v>
      </c>
      <c r="C4" s="35" t="s">
        <v>415</v>
      </c>
      <c r="D4" s="35"/>
      <c r="E4" s="34" t="s">
        <v>20</v>
      </c>
      <c r="F4" s="80">
        <v>0.16189999999999999</v>
      </c>
      <c r="G4" s="36">
        <v>0.13</v>
      </c>
      <c r="H4" s="97"/>
      <c r="I4" s="80">
        <v>0.16189999999999999</v>
      </c>
      <c r="J4" s="80">
        <v>0.16189999999999999</v>
      </c>
      <c r="K4" s="93" t="s">
        <v>455</v>
      </c>
      <c r="L4" s="93"/>
      <c r="N4" s="111" t="e">
        <f>VLOOKUP(B4,[6]已签订!$F$3:$R$604,13,0)</f>
        <v>#N/A</v>
      </c>
      <c r="O4" s="96" t="e">
        <f>(J4-N4)/N4</f>
        <v>#N/A</v>
      </c>
    </row>
    <row r="5" spans="1:23" s="83" customFormat="1" ht="67.8" customHeight="1">
      <c r="A5" s="34">
        <v>2</v>
      </c>
      <c r="B5" s="34" t="s">
        <v>416</v>
      </c>
      <c r="C5" s="35" t="s">
        <v>417</v>
      </c>
      <c r="D5" s="35"/>
      <c r="E5" s="34" t="s">
        <v>20</v>
      </c>
      <c r="F5" s="80">
        <v>0.21590000000000001</v>
      </c>
      <c r="G5" s="36">
        <v>0.13</v>
      </c>
      <c r="H5" s="97"/>
      <c r="I5" s="80">
        <v>0.21590000000000001</v>
      </c>
      <c r="J5" s="80">
        <v>0.21590000000000001</v>
      </c>
      <c r="K5" s="93" t="s">
        <v>455</v>
      </c>
      <c r="L5" s="93"/>
      <c r="N5" s="111" t="e">
        <f>VLOOKUP(B5,[6]已签订!$F$3:$R$604,13,0)</f>
        <v>#N/A</v>
      </c>
      <c r="O5" s="96" t="e">
        <f t="shared" ref="O5:O26" si="0">(J5-N5)/N5</f>
        <v>#N/A</v>
      </c>
    </row>
    <row r="6" spans="1:23" s="83" customFormat="1" ht="67.8" customHeight="1">
      <c r="A6" s="34">
        <v>3</v>
      </c>
      <c r="B6" s="34" t="s">
        <v>418</v>
      </c>
      <c r="C6" s="35" t="s">
        <v>419</v>
      </c>
      <c r="D6" s="35"/>
      <c r="E6" s="34" t="s">
        <v>20</v>
      </c>
      <c r="F6" s="80">
        <v>0.13489999999999999</v>
      </c>
      <c r="G6" s="36">
        <v>0.13</v>
      </c>
      <c r="H6" s="97"/>
      <c r="I6" s="80">
        <v>0.13489999999999999</v>
      </c>
      <c r="J6" s="80">
        <v>0.13489999999999999</v>
      </c>
      <c r="K6" s="93" t="s">
        <v>455</v>
      </c>
      <c r="L6" s="93"/>
      <c r="N6" s="111" t="e">
        <f>VLOOKUP(B6,[6]已签订!$F$3:$R$604,13,0)</f>
        <v>#N/A</v>
      </c>
      <c r="O6" s="96" t="e">
        <f t="shared" si="0"/>
        <v>#N/A</v>
      </c>
    </row>
    <row r="7" spans="1:23" s="83" customFormat="1" ht="67.8" customHeight="1">
      <c r="A7" s="34">
        <v>4</v>
      </c>
      <c r="B7" s="34" t="s">
        <v>420</v>
      </c>
      <c r="C7" s="35" t="s">
        <v>419</v>
      </c>
      <c r="D7" s="35"/>
      <c r="E7" s="34" t="s">
        <v>20</v>
      </c>
      <c r="F7" s="80">
        <v>8.589999999999999E-2</v>
      </c>
      <c r="G7" s="36">
        <v>0.13</v>
      </c>
      <c r="H7" s="97"/>
      <c r="I7" s="80">
        <v>8.589999999999999E-2</v>
      </c>
      <c r="J7" s="80">
        <v>8.589999999999999E-2</v>
      </c>
      <c r="K7" s="93" t="s">
        <v>455</v>
      </c>
      <c r="L7" s="93"/>
      <c r="N7" s="111" t="e">
        <f>VLOOKUP(B7,[6]已签订!$F$3:$R$604,13,0)</f>
        <v>#N/A</v>
      </c>
      <c r="O7" s="96" t="e">
        <f t="shared" si="0"/>
        <v>#N/A</v>
      </c>
    </row>
    <row r="8" spans="1:23" s="83" customFormat="1" ht="67.8" customHeight="1">
      <c r="A8" s="34">
        <v>5</v>
      </c>
      <c r="B8" s="34" t="s">
        <v>421</v>
      </c>
      <c r="C8" s="35" t="s">
        <v>422</v>
      </c>
      <c r="D8" s="35"/>
      <c r="E8" s="34" t="s">
        <v>20</v>
      </c>
      <c r="F8" s="80">
        <v>3</v>
      </c>
      <c r="G8" s="36">
        <v>0.13</v>
      </c>
      <c r="H8" s="97"/>
      <c r="I8" s="80">
        <v>3</v>
      </c>
      <c r="J8" s="80">
        <v>3</v>
      </c>
      <c r="K8" s="93" t="s">
        <v>455</v>
      </c>
      <c r="L8" s="93"/>
      <c r="N8" s="111" t="e">
        <f>VLOOKUP(B8,[6]已签订!$F$3:$R$604,13,0)</f>
        <v>#N/A</v>
      </c>
      <c r="O8" s="96" t="e">
        <f t="shared" si="0"/>
        <v>#N/A</v>
      </c>
    </row>
    <row r="9" spans="1:23" s="83" customFormat="1" ht="67.8" customHeight="1">
      <c r="A9" s="34">
        <v>6</v>
      </c>
      <c r="B9" s="34" t="s">
        <v>423</v>
      </c>
      <c r="C9" s="35" t="s">
        <v>424</v>
      </c>
      <c r="D9" s="35"/>
      <c r="E9" s="34" t="s">
        <v>20</v>
      </c>
      <c r="F9" s="80">
        <v>0.1275</v>
      </c>
      <c r="G9" s="36">
        <v>0.13</v>
      </c>
      <c r="H9" s="97"/>
      <c r="I9" s="80">
        <v>0.1275</v>
      </c>
      <c r="J9" s="80">
        <v>0.1275</v>
      </c>
      <c r="K9" s="93" t="s">
        <v>455</v>
      </c>
      <c r="L9" s="93"/>
      <c r="N9" s="111" t="e">
        <f>VLOOKUP(B9,[6]已签订!$F$3:$R$604,13,0)</f>
        <v>#N/A</v>
      </c>
      <c r="O9" s="96" t="e">
        <f t="shared" si="0"/>
        <v>#N/A</v>
      </c>
    </row>
    <row r="10" spans="1:23" s="83" customFormat="1" ht="67.8" customHeight="1">
      <c r="A10" s="34">
        <v>7</v>
      </c>
      <c r="B10" s="34" t="s">
        <v>425</v>
      </c>
      <c r="C10" s="35" t="s">
        <v>426</v>
      </c>
      <c r="D10" s="35"/>
      <c r="E10" s="34" t="s">
        <v>20</v>
      </c>
      <c r="F10" s="80">
        <v>0.20219999999999999</v>
      </c>
      <c r="G10" s="36">
        <v>0.13</v>
      </c>
      <c r="H10" s="97"/>
      <c r="I10" s="80">
        <v>0.20219999999999999</v>
      </c>
      <c r="J10" s="80">
        <v>0.20219999999999999</v>
      </c>
      <c r="K10" s="93" t="s">
        <v>455</v>
      </c>
      <c r="L10" s="93"/>
      <c r="N10" s="111" t="e">
        <f>VLOOKUP(B10,[6]已签订!$F$3:$R$604,13,0)</f>
        <v>#N/A</v>
      </c>
      <c r="O10" s="96" t="e">
        <f t="shared" si="0"/>
        <v>#N/A</v>
      </c>
    </row>
    <row r="11" spans="1:23" s="83" customFormat="1" ht="67.8" customHeight="1">
      <c r="A11" s="34">
        <v>8</v>
      </c>
      <c r="B11" s="34" t="s">
        <v>427</v>
      </c>
      <c r="C11" s="35" t="s">
        <v>428</v>
      </c>
      <c r="D11" s="35"/>
      <c r="E11" s="34" t="s">
        <v>20</v>
      </c>
      <c r="F11" s="80">
        <v>7.1800000000000003E-2</v>
      </c>
      <c r="G11" s="36">
        <v>0.13</v>
      </c>
      <c r="H11" s="97"/>
      <c r="I11" s="80">
        <v>7.1800000000000003E-2</v>
      </c>
      <c r="J11" s="80">
        <v>7.1800000000000003E-2</v>
      </c>
      <c r="K11" s="93" t="s">
        <v>455</v>
      </c>
      <c r="L11" s="93"/>
      <c r="N11" s="111" t="e">
        <f>VLOOKUP(B11,[6]已签订!$F$3:$R$604,13,0)</f>
        <v>#N/A</v>
      </c>
      <c r="O11" s="96" t="e">
        <f t="shared" si="0"/>
        <v>#N/A</v>
      </c>
    </row>
    <row r="12" spans="1:23" s="83" customFormat="1" ht="67.8" customHeight="1">
      <c r="A12" s="34">
        <v>9</v>
      </c>
      <c r="B12" s="34" t="s">
        <v>429</v>
      </c>
      <c r="C12" s="35" t="s">
        <v>430</v>
      </c>
      <c r="D12" s="35"/>
      <c r="E12" s="34" t="s">
        <v>20</v>
      </c>
      <c r="F12" s="80">
        <v>0.13489999999999999</v>
      </c>
      <c r="G12" s="36">
        <v>0.13</v>
      </c>
      <c r="H12" s="97"/>
      <c r="I12" s="80">
        <v>0.13489999999999999</v>
      </c>
      <c r="J12" s="80">
        <v>0.13489999999999999</v>
      </c>
      <c r="K12" s="93" t="s">
        <v>455</v>
      </c>
      <c r="L12" s="93"/>
      <c r="N12" s="111" t="e">
        <f>VLOOKUP(B12,[6]已签订!$F$3:$R$604,13,0)</f>
        <v>#N/A</v>
      </c>
      <c r="O12" s="96" t="e">
        <f t="shared" si="0"/>
        <v>#N/A</v>
      </c>
    </row>
    <row r="13" spans="1:23" s="83" customFormat="1" ht="67.8" customHeight="1">
      <c r="A13" s="34">
        <v>10</v>
      </c>
      <c r="B13" s="34" t="s">
        <v>431</v>
      </c>
      <c r="C13" s="35" t="s">
        <v>432</v>
      </c>
      <c r="D13" s="35"/>
      <c r="E13" s="34" t="s">
        <v>20</v>
      </c>
      <c r="F13" s="80">
        <v>0.15</v>
      </c>
      <c r="G13" s="36">
        <v>0.13</v>
      </c>
      <c r="H13" s="97"/>
      <c r="I13" s="80">
        <v>0.15</v>
      </c>
      <c r="J13" s="80">
        <v>0.15</v>
      </c>
      <c r="K13" s="93" t="s">
        <v>455</v>
      </c>
      <c r="L13" s="93"/>
      <c r="N13" s="111" t="e">
        <f>VLOOKUP(B13,[6]已签订!$F$3:$R$604,13,0)</f>
        <v>#N/A</v>
      </c>
      <c r="O13" s="96" t="e">
        <f t="shared" si="0"/>
        <v>#N/A</v>
      </c>
    </row>
    <row r="14" spans="1:23" s="83" customFormat="1" ht="67.8" customHeight="1">
      <c r="A14" s="34">
        <v>11</v>
      </c>
      <c r="B14" s="34" t="s">
        <v>433</v>
      </c>
      <c r="C14" s="35" t="s">
        <v>434</v>
      </c>
      <c r="D14" s="35"/>
      <c r="E14" s="34" t="s">
        <v>20</v>
      </c>
      <c r="F14" s="80">
        <v>0.15</v>
      </c>
      <c r="G14" s="36">
        <v>0.13</v>
      </c>
      <c r="H14" s="97"/>
      <c r="I14" s="80">
        <v>0.15</v>
      </c>
      <c r="J14" s="80">
        <v>0.15</v>
      </c>
      <c r="K14" s="93" t="s">
        <v>455</v>
      </c>
      <c r="L14" s="93"/>
      <c r="N14" s="111" t="e">
        <f>VLOOKUP(B14,[6]已签订!$F$3:$R$604,13,0)</f>
        <v>#N/A</v>
      </c>
      <c r="O14" s="96" t="e">
        <f t="shared" si="0"/>
        <v>#N/A</v>
      </c>
    </row>
    <row r="15" spans="1:23" s="83" customFormat="1" ht="67.8" customHeight="1">
      <c r="A15" s="34">
        <v>12</v>
      </c>
      <c r="B15" s="34" t="s">
        <v>435</v>
      </c>
      <c r="C15" s="35" t="s">
        <v>436</v>
      </c>
      <c r="D15" s="35"/>
      <c r="E15" s="34" t="s">
        <v>20</v>
      </c>
      <c r="F15" s="80">
        <v>0.157</v>
      </c>
      <c r="G15" s="36">
        <v>0.13</v>
      </c>
      <c r="H15" s="97"/>
      <c r="I15" s="80">
        <v>0.157</v>
      </c>
      <c r="J15" s="80">
        <v>0.157</v>
      </c>
      <c r="K15" s="93" t="s">
        <v>455</v>
      </c>
      <c r="L15" s="93"/>
      <c r="N15" s="111" t="e">
        <f>VLOOKUP(B15,[6]已签订!$F$3:$R$604,13,0)</f>
        <v>#N/A</v>
      </c>
      <c r="O15" s="96" t="e">
        <f t="shared" si="0"/>
        <v>#N/A</v>
      </c>
    </row>
    <row r="16" spans="1:23" s="83" customFormat="1" ht="67.8" customHeight="1">
      <c r="A16" s="34">
        <v>13</v>
      </c>
      <c r="B16" s="34" t="s">
        <v>437</v>
      </c>
      <c r="C16" s="35" t="s">
        <v>438</v>
      </c>
      <c r="D16" s="35"/>
      <c r="E16" s="34" t="s">
        <v>20</v>
      </c>
      <c r="F16" s="80">
        <v>6.3199999999999992E-2</v>
      </c>
      <c r="G16" s="36">
        <v>0.13</v>
      </c>
      <c r="H16" s="97"/>
      <c r="I16" s="80">
        <v>6.3199999999999992E-2</v>
      </c>
      <c r="J16" s="80">
        <v>6.3199999999999992E-2</v>
      </c>
      <c r="K16" s="93" t="s">
        <v>455</v>
      </c>
      <c r="L16" s="93"/>
      <c r="N16" s="111" t="e">
        <f>VLOOKUP(B16,[6]已签订!$F$3:$R$604,13,0)</f>
        <v>#N/A</v>
      </c>
      <c r="O16" s="96" t="e">
        <f t="shared" si="0"/>
        <v>#N/A</v>
      </c>
    </row>
    <row r="17" spans="1:16" s="83" customFormat="1" ht="67.8" customHeight="1">
      <c r="A17" s="34">
        <v>14</v>
      </c>
      <c r="B17" s="34" t="s">
        <v>439</v>
      </c>
      <c r="C17" s="35" t="s">
        <v>440</v>
      </c>
      <c r="D17" s="35"/>
      <c r="E17" s="34" t="s">
        <v>20</v>
      </c>
      <c r="F17" s="80">
        <v>6.3199999999999992E-2</v>
      </c>
      <c r="G17" s="36">
        <v>0.13</v>
      </c>
      <c r="H17" s="97"/>
      <c r="I17" s="80">
        <v>6.3199999999999992E-2</v>
      </c>
      <c r="J17" s="80">
        <v>6.3199999999999992E-2</v>
      </c>
      <c r="K17" s="93" t="s">
        <v>455</v>
      </c>
      <c r="L17" s="93"/>
      <c r="N17" s="111" t="e">
        <f>VLOOKUP(B17,[6]已签订!$F$3:$R$604,13,0)</f>
        <v>#N/A</v>
      </c>
      <c r="O17" s="96" t="e">
        <f t="shared" si="0"/>
        <v>#N/A</v>
      </c>
    </row>
    <row r="18" spans="1:16" s="83" customFormat="1" ht="67.8" customHeight="1">
      <c r="A18" s="34">
        <v>15</v>
      </c>
      <c r="B18" s="34" t="s">
        <v>530</v>
      </c>
      <c r="C18" s="35" t="s">
        <v>59</v>
      </c>
      <c r="D18" s="35"/>
      <c r="E18" s="34" t="s">
        <v>20</v>
      </c>
      <c r="F18" s="80">
        <v>4.5472999999999999</v>
      </c>
      <c r="G18" s="36">
        <v>0.13</v>
      </c>
      <c r="H18" s="97"/>
      <c r="I18" s="80">
        <v>4.5472999999999999</v>
      </c>
      <c r="J18" s="80">
        <v>4.5472999999999999</v>
      </c>
      <c r="K18" s="93" t="s">
        <v>455</v>
      </c>
      <c r="L18" s="93"/>
      <c r="N18" s="111">
        <v>5.71</v>
      </c>
      <c r="O18" s="96">
        <f t="shared" si="0"/>
        <v>-0.20362521891418564</v>
      </c>
      <c r="P18" s="83" t="s">
        <v>531</v>
      </c>
    </row>
    <row r="19" spans="1:16" s="83" customFormat="1" ht="67.8" customHeight="1">
      <c r="A19" s="34">
        <v>16</v>
      </c>
      <c r="B19" s="34" t="s">
        <v>441</v>
      </c>
      <c r="C19" s="35" t="s">
        <v>442</v>
      </c>
      <c r="D19" s="35"/>
      <c r="E19" s="34" t="s">
        <v>20</v>
      </c>
      <c r="F19" s="80">
        <v>0.14720000000000003</v>
      </c>
      <c r="G19" s="36">
        <v>0.13</v>
      </c>
      <c r="H19" s="97"/>
      <c r="I19" s="80">
        <v>0.14720000000000003</v>
      </c>
      <c r="J19" s="80">
        <v>0.14720000000000003</v>
      </c>
      <c r="K19" s="93" t="s">
        <v>455</v>
      </c>
      <c r="L19" s="93"/>
      <c r="N19" s="111" t="e">
        <f>VLOOKUP(B19,[6]已签订!$F$3:$R$604,13,0)</f>
        <v>#N/A</v>
      </c>
      <c r="O19" s="96" t="e">
        <f t="shared" si="0"/>
        <v>#N/A</v>
      </c>
    </row>
    <row r="20" spans="1:16" s="83" customFormat="1" ht="67.8" customHeight="1">
      <c r="A20" s="34">
        <v>17</v>
      </c>
      <c r="B20" s="34" t="s">
        <v>443</v>
      </c>
      <c r="C20" s="35" t="s">
        <v>444</v>
      </c>
      <c r="D20" s="35"/>
      <c r="E20" s="34" t="s">
        <v>20</v>
      </c>
      <c r="F20" s="80">
        <v>6.9900000000000004E-2</v>
      </c>
      <c r="G20" s="36">
        <v>0.13</v>
      </c>
      <c r="H20" s="97"/>
      <c r="I20" s="80">
        <v>6.9900000000000004E-2</v>
      </c>
      <c r="J20" s="80">
        <v>6.9900000000000004E-2</v>
      </c>
      <c r="K20" s="93" t="s">
        <v>455</v>
      </c>
      <c r="L20" s="93"/>
      <c r="N20" s="111" t="e">
        <f>VLOOKUP(B20,[6]已签订!$F$3:$R$604,13,0)</f>
        <v>#N/A</v>
      </c>
      <c r="O20" s="96" t="e">
        <f t="shared" si="0"/>
        <v>#N/A</v>
      </c>
    </row>
    <row r="21" spans="1:16" s="83" customFormat="1" ht="67.8" customHeight="1">
      <c r="A21" s="34">
        <v>18</v>
      </c>
      <c r="B21" s="34" t="s">
        <v>445</v>
      </c>
      <c r="C21" s="35" t="s">
        <v>446</v>
      </c>
      <c r="D21" s="35"/>
      <c r="E21" s="34" t="s">
        <v>20</v>
      </c>
      <c r="F21" s="80">
        <v>7.7299999999999994E-2</v>
      </c>
      <c r="G21" s="36">
        <v>0.13</v>
      </c>
      <c r="H21" s="97"/>
      <c r="I21" s="80">
        <v>7.7299999999999994E-2</v>
      </c>
      <c r="J21" s="80">
        <v>7.7299999999999994E-2</v>
      </c>
      <c r="K21" s="93" t="s">
        <v>455</v>
      </c>
      <c r="L21" s="93"/>
      <c r="N21" s="111" t="e">
        <f>VLOOKUP(B21,[6]已签订!$F$3:$R$604,13,0)</f>
        <v>#N/A</v>
      </c>
      <c r="O21" s="96" t="e">
        <f t="shared" si="0"/>
        <v>#N/A</v>
      </c>
    </row>
    <row r="22" spans="1:16" s="83" customFormat="1" ht="67.8" customHeight="1">
      <c r="A22" s="34">
        <v>19</v>
      </c>
      <c r="B22" s="34" t="s">
        <v>447</v>
      </c>
      <c r="C22" s="35" t="s">
        <v>448</v>
      </c>
      <c r="D22" s="35"/>
      <c r="E22" s="34" t="s">
        <v>20</v>
      </c>
      <c r="F22" s="80">
        <v>0.14720000000000003</v>
      </c>
      <c r="G22" s="36">
        <v>0.13</v>
      </c>
      <c r="H22" s="97"/>
      <c r="I22" s="80">
        <v>0.14720000000000003</v>
      </c>
      <c r="J22" s="80">
        <v>0.14720000000000003</v>
      </c>
      <c r="K22" s="93" t="s">
        <v>455</v>
      </c>
      <c r="L22" s="93"/>
      <c r="N22" s="111" t="e">
        <f>VLOOKUP(B22,[6]已签订!$F$3:$R$604,13,0)</f>
        <v>#N/A</v>
      </c>
      <c r="O22" s="96" t="e">
        <f t="shared" si="0"/>
        <v>#N/A</v>
      </c>
    </row>
    <row r="23" spans="1:16" s="83" customFormat="1" ht="67.8" customHeight="1">
      <c r="A23" s="34">
        <v>20</v>
      </c>
      <c r="B23" s="34" t="s">
        <v>449</v>
      </c>
      <c r="C23" s="35" t="s">
        <v>450</v>
      </c>
      <c r="D23" s="35"/>
      <c r="E23" s="34" t="s">
        <v>20</v>
      </c>
      <c r="F23" s="80">
        <v>7.2899999999999993E-2</v>
      </c>
      <c r="G23" s="36">
        <v>0.13</v>
      </c>
      <c r="H23" s="97"/>
      <c r="I23" s="80">
        <v>7.2899999999999993E-2</v>
      </c>
      <c r="J23" s="80">
        <v>7.2899999999999993E-2</v>
      </c>
      <c r="K23" s="93" t="s">
        <v>455</v>
      </c>
      <c r="L23" s="93"/>
      <c r="N23" s="111" t="e">
        <f>VLOOKUP(B23,[6]已签订!$F$3:$R$604,13,0)</f>
        <v>#N/A</v>
      </c>
      <c r="O23" s="96" t="e">
        <f t="shared" si="0"/>
        <v>#N/A</v>
      </c>
    </row>
    <row r="24" spans="1:16" s="83" customFormat="1" ht="67.8" customHeight="1">
      <c r="A24" s="34">
        <v>21</v>
      </c>
      <c r="B24" s="34" t="s">
        <v>451</v>
      </c>
      <c r="C24" s="35" t="s">
        <v>452</v>
      </c>
      <c r="D24" s="35"/>
      <c r="E24" s="34" t="s">
        <v>20</v>
      </c>
      <c r="F24" s="80">
        <v>21.7</v>
      </c>
      <c r="G24" s="36">
        <v>0.13</v>
      </c>
      <c r="H24" s="97"/>
      <c r="I24" s="80">
        <v>21.7</v>
      </c>
      <c r="J24" s="80">
        <v>21.7</v>
      </c>
      <c r="K24" s="93" t="s">
        <v>455</v>
      </c>
      <c r="L24" s="93"/>
      <c r="N24" s="111">
        <v>23.205300000000001</v>
      </c>
      <c r="O24" s="96">
        <f t="shared" si="0"/>
        <v>-6.4868801523789904E-2</v>
      </c>
    </row>
    <row r="25" spans="1:16" s="83" customFormat="1" ht="67.8" customHeight="1">
      <c r="A25" s="34">
        <v>22</v>
      </c>
      <c r="B25" s="34" t="s">
        <v>207</v>
      </c>
      <c r="C25" s="35" t="s">
        <v>453</v>
      </c>
      <c r="D25" s="35"/>
      <c r="E25" s="34" t="s">
        <v>20</v>
      </c>
      <c r="F25" s="80">
        <v>0.12990000000000002</v>
      </c>
      <c r="G25" s="36">
        <v>0.13</v>
      </c>
      <c r="H25" s="97"/>
      <c r="I25" s="80">
        <v>0.12990000000000002</v>
      </c>
      <c r="J25" s="80">
        <v>0.12990000000000002</v>
      </c>
      <c r="K25" s="93" t="s">
        <v>455</v>
      </c>
      <c r="L25" s="93"/>
      <c r="N25" s="111" t="e">
        <f>VLOOKUP(B25,[6]已签订!$F$3:$R$604,13,0)</f>
        <v>#N/A</v>
      </c>
      <c r="O25" s="96" t="e">
        <f t="shared" si="0"/>
        <v>#N/A</v>
      </c>
    </row>
    <row r="26" spans="1:16" s="83" customFormat="1" ht="67.8" customHeight="1">
      <c r="A26" s="34">
        <v>23</v>
      </c>
      <c r="B26" s="34" t="s">
        <v>659</v>
      </c>
      <c r="C26" s="35" t="s">
        <v>454</v>
      </c>
      <c r="D26" s="35"/>
      <c r="E26" s="34" t="s">
        <v>20</v>
      </c>
      <c r="F26" s="80">
        <v>0.10439999999999999</v>
      </c>
      <c r="G26" s="36">
        <v>0.13</v>
      </c>
      <c r="H26" s="97"/>
      <c r="I26" s="80">
        <v>0.10439999999999999</v>
      </c>
      <c r="J26" s="80">
        <v>0.10439999999999999</v>
      </c>
      <c r="K26" s="93" t="s">
        <v>455</v>
      </c>
      <c r="L26" s="93"/>
      <c r="N26" s="111">
        <v>0.13</v>
      </c>
      <c r="O26" s="96">
        <f t="shared" si="0"/>
        <v>-0.19692307692307701</v>
      </c>
    </row>
    <row r="27" spans="1:16" s="39" customFormat="1" ht="27.75" customHeight="1">
      <c r="A27" s="202" t="s">
        <v>456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</row>
    <row r="28" spans="1:16" s="39" customFormat="1" ht="42.6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</row>
    <row r="29" spans="1:16" s="39" customFormat="1" ht="93" customHeight="1">
      <c r="A29" s="203" t="s">
        <v>13</v>
      </c>
      <c r="B29" s="204"/>
      <c r="C29" s="205" t="s">
        <v>14</v>
      </c>
      <c r="D29" s="205"/>
      <c r="E29" s="205"/>
      <c r="F29" s="206" t="s">
        <v>15</v>
      </c>
      <c r="G29" s="207"/>
      <c r="H29" s="207"/>
      <c r="I29" s="206" t="s">
        <v>16</v>
      </c>
      <c r="J29" s="207"/>
      <c r="K29" s="202" t="s">
        <v>17</v>
      </c>
      <c r="L29" s="202"/>
    </row>
    <row r="30" spans="1:16" s="39" customFormat="1" ht="27.75" customHeight="1"/>
    <row r="31" spans="1:16" s="39" customFormat="1" ht="27.75" customHeight="1"/>
    <row r="32" spans="1:16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BDBC-AB1F-4D7C-A513-2E3C5AA86DD1}">
  <sheetPr codeName="Sheet27">
    <pageSetUpPr fitToPage="1"/>
  </sheetPr>
  <dimension ref="A1:W527"/>
  <sheetViews>
    <sheetView topLeftCell="A19" zoomScale="70" zoomScaleNormal="70" workbookViewId="0">
      <selection activeCell="O25" sqref="O2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VLOOKUP(B4,[7]补差价核算!$C$30:$M$48,11,0)</f>
        <v>28.7578575</v>
      </c>
      <c r="J4" s="80">
        <v>28.7578575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VLOOKUP(B5,[7]补差价核算!$C$30:$M$48,11,0)</f>
        <v>28.194447499999999</v>
      </c>
      <c r="J5" s="80">
        <v>28.194447499999999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VLOOKUP(B6,[7]补差价核算!$C$30:$M$48,11,0)</f>
        <v>30.553147500000001</v>
      </c>
      <c r="J6" s="80">
        <v>30.553147500000001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VLOOKUP(B7,[7]补差价核算!$C$30:$M$48,11,0)</f>
        <v>35.81699668141593</v>
      </c>
      <c r="J7" s="80">
        <v>35.81699668141593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VLOOKUP(B8,[7]补差价核算!$C$30:$M$48,11,0)</f>
        <v>35.196645000000004</v>
      </c>
      <c r="J8" s="80">
        <v>35.196645000000004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VLOOKUP(B9,[7]补差价核算!$C$30:$M$48,11,0)</f>
        <v>43.184809999999999</v>
      </c>
      <c r="J9" s="80">
        <v>43.184809999999999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VLOOKUP(B10,[7]补差价核算!$C$30:$M$48,11,0)</f>
        <v>41.278691999999999</v>
      </c>
      <c r="J10" s="80">
        <v>41.278691999999999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VLOOKUP(B11,[7]补差价核算!$C$30:$M$48,11,0)</f>
        <v>31.573414000000003</v>
      </c>
      <c r="J11" s="80">
        <v>31.573414000000003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VLOOKUP(B12,[7]补差价核算!$C$30:$M$48,11,0)</f>
        <v>56.388998000000001</v>
      </c>
      <c r="J12" s="80">
        <v>56.388998000000001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VLOOKUP(B13,[7]补差价核算!$C$30:$M$48,11,0)</f>
        <v>56.388998000000001</v>
      </c>
      <c r="J13" s="80">
        <v>56.388998000000001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VLOOKUP(B14,[7]补差价核算!$C$30:$M$48,11,0)</f>
        <v>54.364224</v>
      </c>
      <c r="J14" s="80">
        <v>54.364224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VLOOKUP(B15,[7]补差价核算!$C$30:$M$48,11,0)</f>
        <v>54.364224</v>
      </c>
      <c r="J15" s="80">
        <v>54.364224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VLOOKUP(B16,[7]补差价核算!$C$30:$M$48,11,0)</f>
        <v>60.033653000000001</v>
      </c>
      <c r="J16" s="80">
        <v>60.033653000000001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VLOOKUP(B17,[7]补差价核算!$C$30:$M$48,11,0)</f>
        <v>58.588563000000001</v>
      </c>
      <c r="J17" s="80">
        <v>58.588563000000001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VLOOKUP(B18,[7]补差价核算!$C$30:$M$48,11,0)</f>
        <v>70.451588000000001</v>
      </c>
      <c r="J18" s="80">
        <v>70.451588000000001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VLOOKUP(B19,[7]补差价核算!$C$30:$M$48,11,0)</f>
        <v>67.505891000000005</v>
      </c>
      <c r="J19" s="80">
        <v>67.505891000000005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VLOOKUP(B20,[7]补差价核算!$C$30:$M$48,11,0)</f>
        <v>28.857303999999999</v>
      </c>
      <c r="J20" s="80">
        <v>28.857303999999999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VLOOKUP(B21,[7]补差价核算!$C$30:$M$48,11,0)</f>
        <v>34.833157999999997</v>
      </c>
      <c r="J21" s="80">
        <v>34.833157999999997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VLOOKUP(B22,[7]补差价核算!$C$30:$M$48,11,0)</f>
        <v>34.833157999999997</v>
      </c>
      <c r="J22" s="80">
        <v>34.833157999999997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v>60.410990000000005</v>
      </c>
      <c r="J23" s="80">
        <v>60.410990000000005</v>
      </c>
      <c r="K23" s="93" t="s">
        <v>497</v>
      </c>
      <c r="L23" s="93" t="s">
        <v>498</v>
      </c>
      <c r="N23" s="96"/>
    </row>
    <row r="24" spans="1:14" s="39" customFormat="1" ht="27.75" customHeight="1">
      <c r="A24" s="202" t="s">
        <v>499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</row>
    <row r="25" spans="1:14" s="39" customFormat="1" ht="96.6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</row>
    <row r="26" spans="1:14" s="39" customFormat="1" ht="93" customHeight="1">
      <c r="A26" s="203" t="s">
        <v>13</v>
      </c>
      <c r="B26" s="204"/>
      <c r="C26" s="205" t="s">
        <v>14</v>
      </c>
      <c r="D26" s="205"/>
      <c r="E26" s="205"/>
      <c r="F26" s="206" t="s">
        <v>15</v>
      </c>
      <c r="G26" s="207"/>
      <c r="H26" s="207"/>
      <c r="I26" s="206" t="s">
        <v>16</v>
      </c>
      <c r="J26" s="207"/>
      <c r="K26" s="202" t="s">
        <v>17</v>
      </c>
      <c r="L26" s="202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FA87-7A55-4A95-B9B2-E69C0DC59A0E}">
  <sheetPr codeName="Sheet28">
    <pageSetUpPr fitToPage="1"/>
  </sheetPr>
  <dimension ref="A1:W512"/>
  <sheetViews>
    <sheetView zoomScale="70" zoomScaleNormal="70" workbookViewId="0">
      <selection activeCell="I4" sqref="I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500</v>
      </c>
      <c r="C4" s="35" t="s">
        <v>501</v>
      </c>
      <c r="D4" s="35"/>
      <c r="E4" s="34" t="s">
        <v>20</v>
      </c>
      <c r="F4" s="80">
        <f>2.15/1.13</f>
        <v>1.9026548672566372</v>
      </c>
      <c r="G4" s="36">
        <v>0.13</v>
      </c>
      <c r="H4" s="97"/>
      <c r="I4" s="80">
        <v>1.2141900000000001</v>
      </c>
      <c r="J4" s="80">
        <v>1.1088</v>
      </c>
      <c r="K4" s="93" t="s">
        <v>497</v>
      </c>
      <c r="L4" s="93"/>
      <c r="N4" s="96"/>
    </row>
    <row r="5" spans="1:23" s="83" customFormat="1" ht="67.8" customHeight="1">
      <c r="A5" s="34">
        <v>2</v>
      </c>
      <c r="B5" s="34" t="s">
        <v>502</v>
      </c>
      <c r="C5" s="35" t="s">
        <v>503</v>
      </c>
      <c r="D5" s="35"/>
      <c r="E5" s="34" t="s">
        <v>20</v>
      </c>
      <c r="F5" s="80">
        <f>2.15/1.13</f>
        <v>1.9026548672566372</v>
      </c>
      <c r="G5" s="36">
        <v>0.13</v>
      </c>
      <c r="H5" s="97"/>
      <c r="I5" s="80">
        <v>1.1088</v>
      </c>
      <c r="J5" s="80">
        <v>1.1088</v>
      </c>
      <c r="K5" s="93" t="s">
        <v>497</v>
      </c>
      <c r="L5" s="93"/>
      <c r="N5" s="96"/>
    </row>
    <row r="6" spans="1:23" s="83" customFormat="1" ht="67.8" customHeight="1">
      <c r="A6" s="34">
        <v>3</v>
      </c>
      <c r="B6" s="34" t="s">
        <v>504</v>
      </c>
      <c r="C6" s="35" t="s">
        <v>505</v>
      </c>
      <c r="D6" s="35"/>
      <c r="E6" s="34" t="s">
        <v>20</v>
      </c>
      <c r="F6" s="80">
        <v>0.88</v>
      </c>
      <c r="G6" s="36">
        <v>0.13</v>
      </c>
      <c r="H6" s="97"/>
      <c r="I6" s="80">
        <v>0.82879999999999998</v>
      </c>
      <c r="J6" s="80">
        <v>0.82879999999999998</v>
      </c>
      <c r="K6" s="93" t="s">
        <v>497</v>
      </c>
      <c r="L6" s="93"/>
      <c r="N6" s="96"/>
    </row>
    <row r="7" spans="1:23" s="83" customFormat="1" ht="67.8" customHeight="1">
      <c r="A7" s="34">
        <v>4</v>
      </c>
      <c r="B7" s="34" t="s">
        <v>506</v>
      </c>
      <c r="C7" s="35" t="s">
        <v>507</v>
      </c>
      <c r="D7" s="35"/>
      <c r="E7" s="34" t="s">
        <v>20</v>
      </c>
      <c r="F7" s="80">
        <v>0.88</v>
      </c>
      <c r="G7" s="36">
        <v>0.13</v>
      </c>
      <c r="H7" s="97"/>
      <c r="I7" s="80">
        <v>0.82879999999999998</v>
      </c>
      <c r="J7" s="80">
        <v>0.82879999999999998</v>
      </c>
      <c r="K7" s="93" t="s">
        <v>497</v>
      </c>
      <c r="L7" s="93"/>
      <c r="N7" s="96"/>
    </row>
    <row r="8" spans="1:23" s="83" customFormat="1" ht="67.8" customHeight="1">
      <c r="A8" s="34">
        <v>5</v>
      </c>
      <c r="B8" s="34" t="s">
        <v>508</v>
      </c>
      <c r="C8" s="35" t="s">
        <v>503</v>
      </c>
      <c r="D8" s="35"/>
      <c r="E8" s="34" t="s">
        <v>20</v>
      </c>
      <c r="F8" s="80">
        <v>1.41</v>
      </c>
      <c r="G8" s="36">
        <v>0.13</v>
      </c>
      <c r="H8" s="97"/>
      <c r="I8" s="80">
        <v>0.86240000000000006</v>
      </c>
      <c r="J8" s="80">
        <v>0.86240000000000006</v>
      </c>
      <c r="K8" s="93" t="s">
        <v>497</v>
      </c>
      <c r="L8" s="93"/>
      <c r="N8" s="96"/>
    </row>
    <row r="9" spans="1:23" s="39" customFormat="1" ht="27.75" customHeight="1">
      <c r="A9" s="202" t="s">
        <v>509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33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23" s="39" customFormat="1" ht="93" customHeight="1">
      <c r="A11" s="203" t="s">
        <v>13</v>
      </c>
      <c r="B11" s="204"/>
      <c r="C11" s="205" t="s">
        <v>14</v>
      </c>
      <c r="D11" s="205"/>
      <c r="E11" s="205"/>
      <c r="F11" s="206" t="s">
        <v>15</v>
      </c>
      <c r="G11" s="207"/>
      <c r="H11" s="207"/>
      <c r="I11" s="206" t="s">
        <v>16</v>
      </c>
      <c r="J11" s="207"/>
      <c r="K11" s="202" t="s">
        <v>17</v>
      </c>
      <c r="L11" s="202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C906-3EB1-4EE0-B644-416AAAE28268}">
  <sheetPr codeName="Sheet29">
    <pageSetUpPr fitToPage="1"/>
  </sheetPr>
  <dimension ref="A1:W512"/>
  <sheetViews>
    <sheetView zoomScale="70" zoomScaleNormal="70" workbookViewId="0">
      <selection activeCell="B4" sqref="B4:C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510</v>
      </c>
      <c r="C4" s="35" t="s">
        <v>511</v>
      </c>
      <c r="D4" s="35"/>
      <c r="E4" s="34" t="s">
        <v>20</v>
      </c>
      <c r="F4" s="80">
        <v>5.0999999999999996</v>
      </c>
      <c r="G4" s="36">
        <v>0.13</v>
      </c>
      <c r="H4" s="97"/>
      <c r="I4" s="80">
        <v>5.0999999999999996</v>
      </c>
      <c r="J4" s="80">
        <v>5.0999999999999996</v>
      </c>
      <c r="K4" s="93" t="s">
        <v>512</v>
      </c>
      <c r="L4" s="93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93"/>
      <c r="N6" s="96"/>
    </row>
    <row r="7" spans="1:23" s="83" customFormat="1" ht="67.8" customHeight="1">
      <c r="A7" s="34"/>
      <c r="B7" s="34"/>
      <c r="C7" s="35"/>
      <c r="D7" s="35"/>
      <c r="E7" s="34"/>
      <c r="F7" s="80"/>
      <c r="G7" s="36"/>
      <c r="H7" s="97"/>
      <c r="I7" s="80"/>
      <c r="J7" s="80"/>
      <c r="K7" s="93"/>
      <c r="L7" s="93"/>
      <c r="N7" s="96"/>
    </row>
    <row r="8" spans="1:23" s="83" customFormat="1" ht="67.8" customHeight="1">
      <c r="A8" s="34"/>
      <c r="B8" s="34"/>
      <c r="C8" s="35"/>
      <c r="D8" s="35"/>
      <c r="E8" s="34"/>
      <c r="F8" s="80"/>
      <c r="G8" s="36"/>
      <c r="H8" s="97"/>
      <c r="I8" s="80"/>
      <c r="J8" s="80"/>
      <c r="K8" s="93"/>
      <c r="L8" s="93"/>
      <c r="N8" s="96"/>
    </row>
    <row r="9" spans="1:23" s="39" customFormat="1" ht="27.75" customHeight="1">
      <c r="A9" s="202" t="s">
        <v>513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61.2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23" s="39" customFormat="1" ht="93" customHeight="1">
      <c r="A11" s="203" t="s">
        <v>13</v>
      </c>
      <c r="B11" s="204"/>
      <c r="C11" s="205" t="s">
        <v>14</v>
      </c>
      <c r="D11" s="205"/>
      <c r="E11" s="205"/>
      <c r="F11" s="206" t="s">
        <v>15</v>
      </c>
      <c r="G11" s="207"/>
      <c r="H11" s="207"/>
      <c r="I11" s="206" t="s">
        <v>16</v>
      </c>
      <c r="J11" s="207"/>
      <c r="K11" s="202" t="s">
        <v>17</v>
      </c>
      <c r="L11" s="202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 codeName="Sheet3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2" ht="27.75" customHeight="1">
      <c r="I2" s="200" t="s">
        <v>1</v>
      </c>
      <c r="J2" s="200"/>
      <c r="K2" s="20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2" t="s">
        <v>35</v>
      </c>
      <c r="C4" s="14" t="s">
        <v>36</v>
      </c>
      <c r="D4" s="12" t="s">
        <v>20</v>
      </c>
      <c r="E4" s="13" t="s">
        <v>39</v>
      </c>
      <c r="F4" s="7">
        <v>0.13</v>
      </c>
      <c r="G4" s="9">
        <v>29.62</v>
      </c>
      <c r="H4" s="13" t="s">
        <v>39</v>
      </c>
      <c r="I4" s="13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2" t="s">
        <v>37</v>
      </c>
      <c r="C5" s="14" t="s">
        <v>38</v>
      </c>
      <c r="D5" s="12" t="s">
        <v>20</v>
      </c>
      <c r="E5" s="15" t="s">
        <v>41</v>
      </c>
      <c r="F5" s="7">
        <v>0.13</v>
      </c>
      <c r="G5" s="9">
        <v>27.65</v>
      </c>
      <c r="H5" s="15" t="s">
        <v>41</v>
      </c>
      <c r="I5" s="15" t="s">
        <v>41</v>
      </c>
      <c r="J5" s="5" t="s">
        <v>40</v>
      </c>
      <c r="K5" s="5"/>
      <c r="L5" s="8">
        <v>0.3</v>
      </c>
    </row>
    <row r="6" spans="1:12" ht="27.75" customHeight="1">
      <c r="A6" s="193" t="s">
        <v>42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spans="1:12" ht="152.4" customHeight="1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</row>
    <row r="8" spans="1:12" ht="93" customHeight="1">
      <c r="A8" s="194" t="s">
        <v>13</v>
      </c>
      <c r="B8" s="195"/>
      <c r="C8" s="196" t="s">
        <v>14</v>
      </c>
      <c r="D8" s="196"/>
      <c r="E8" s="193" t="s">
        <v>15</v>
      </c>
      <c r="F8" s="193"/>
      <c r="G8" s="193"/>
      <c r="H8" s="193" t="s">
        <v>16</v>
      </c>
      <c r="I8" s="193"/>
      <c r="J8" s="193" t="s">
        <v>17</v>
      </c>
      <c r="K8" s="193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4C47-A005-4B0D-BC6E-5ADF97B75ADF}">
  <sheetPr codeName="Sheet30">
    <pageSetUpPr fitToPage="1"/>
  </sheetPr>
  <dimension ref="A1:W512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514</v>
      </c>
      <c r="C4" s="35" t="s">
        <v>519</v>
      </c>
      <c r="D4" s="35"/>
      <c r="E4" s="34" t="s">
        <v>524</v>
      </c>
      <c r="F4" s="80">
        <v>5273.4513274336286</v>
      </c>
      <c r="G4" s="36">
        <v>0.13</v>
      </c>
      <c r="H4" s="97"/>
      <c r="I4" s="80">
        <v>4607.2212389380538</v>
      </c>
      <c r="J4" s="80">
        <v>4607.2212389380538</v>
      </c>
      <c r="K4" s="93" t="s">
        <v>525</v>
      </c>
      <c r="L4" s="93" t="s">
        <v>526</v>
      </c>
      <c r="N4" s="96"/>
    </row>
    <row r="5" spans="1:23" s="83" customFormat="1" ht="67.8" customHeight="1">
      <c r="A5" s="34">
        <v>2</v>
      </c>
      <c r="B5" s="34" t="s">
        <v>515</v>
      </c>
      <c r="C5" s="35" t="s">
        <v>520</v>
      </c>
      <c r="D5" s="35"/>
      <c r="E5" s="34" t="s">
        <v>524</v>
      </c>
      <c r="F5" s="80">
        <v>5116.8141592920356</v>
      </c>
      <c r="G5" s="36">
        <v>0.13</v>
      </c>
      <c r="H5" s="97"/>
      <c r="I5" s="80">
        <v>4385.8407079646022</v>
      </c>
      <c r="J5" s="80">
        <v>4385.8407079646022</v>
      </c>
      <c r="K5" s="93" t="s">
        <v>525</v>
      </c>
      <c r="L5" s="93" t="s">
        <v>526</v>
      </c>
      <c r="N5" s="96"/>
    </row>
    <row r="6" spans="1:23" s="83" customFormat="1" ht="67.8" customHeight="1">
      <c r="A6" s="34">
        <v>3</v>
      </c>
      <c r="B6" s="34" t="s">
        <v>516</v>
      </c>
      <c r="C6" s="35" t="s">
        <v>521</v>
      </c>
      <c r="D6" s="35"/>
      <c r="E6" s="34" t="s">
        <v>524</v>
      </c>
      <c r="F6" s="80">
        <v>5116.8141592920356</v>
      </c>
      <c r="G6" s="36">
        <v>0.13</v>
      </c>
      <c r="H6" s="97"/>
      <c r="I6" s="80">
        <v>4338.8495575221241</v>
      </c>
      <c r="J6" s="80">
        <v>4338.8495575221241</v>
      </c>
      <c r="K6" s="93" t="s">
        <v>525</v>
      </c>
      <c r="L6" s="93" t="s">
        <v>526</v>
      </c>
      <c r="N6" s="96"/>
    </row>
    <row r="7" spans="1:23" s="83" customFormat="1" ht="67.8" customHeight="1">
      <c r="A7" s="34">
        <v>4</v>
      </c>
      <c r="B7" s="34" t="s">
        <v>517</v>
      </c>
      <c r="C7" s="35" t="s">
        <v>522</v>
      </c>
      <c r="D7" s="35"/>
      <c r="E7" s="34" t="s">
        <v>524</v>
      </c>
      <c r="F7" s="80">
        <v>5116.8141592920356</v>
      </c>
      <c r="G7" s="36">
        <v>0.13</v>
      </c>
      <c r="H7" s="97"/>
      <c r="I7" s="80">
        <v>4344.0707964601779</v>
      </c>
      <c r="J7" s="80">
        <v>4344.0707964601779</v>
      </c>
      <c r="K7" s="93" t="s">
        <v>525</v>
      </c>
      <c r="L7" s="93" t="s">
        <v>526</v>
      </c>
      <c r="N7" s="96"/>
    </row>
    <row r="8" spans="1:23" s="83" customFormat="1" ht="67.8" customHeight="1">
      <c r="A8" s="34">
        <v>5</v>
      </c>
      <c r="B8" s="34" t="s">
        <v>518</v>
      </c>
      <c r="C8" s="35" t="s">
        <v>523</v>
      </c>
      <c r="D8" s="35"/>
      <c r="E8" s="34" t="s">
        <v>524</v>
      </c>
      <c r="F8" s="80">
        <v>5116.8141592920356</v>
      </c>
      <c r="G8" s="36">
        <v>0.13</v>
      </c>
      <c r="H8" s="97"/>
      <c r="I8" s="80">
        <v>4447.7876106194699</v>
      </c>
      <c r="J8" s="80">
        <v>4447.7876106194699</v>
      </c>
      <c r="K8" s="93" t="s">
        <v>525</v>
      </c>
      <c r="L8" s="93" t="s">
        <v>526</v>
      </c>
      <c r="N8" s="96"/>
    </row>
    <row r="9" spans="1:23" s="39" customFormat="1" ht="27.75" customHeight="1">
      <c r="A9" s="202" t="s">
        <v>527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61.2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23" s="39" customFormat="1" ht="93" customHeight="1">
      <c r="A11" s="203" t="s">
        <v>13</v>
      </c>
      <c r="B11" s="204"/>
      <c r="C11" s="205" t="s">
        <v>14</v>
      </c>
      <c r="D11" s="205"/>
      <c r="E11" s="205"/>
      <c r="F11" s="206" t="s">
        <v>15</v>
      </c>
      <c r="G11" s="207"/>
      <c r="H11" s="207"/>
      <c r="I11" s="206" t="s">
        <v>16</v>
      </c>
      <c r="J11" s="207"/>
      <c r="K11" s="202" t="s">
        <v>17</v>
      </c>
      <c r="L11" s="202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3C75-BE78-47F6-A017-3C4ECDD4EBA9}">
  <sheetPr codeName="Sheet31">
    <pageSetUpPr fitToPage="1"/>
  </sheetPr>
  <dimension ref="A1:W511"/>
  <sheetViews>
    <sheetView topLeftCell="A4" zoomScale="70" zoomScaleNormal="70" workbookViewId="0">
      <selection activeCell="A8" sqref="A8:L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112.2" customHeight="1">
      <c r="A4" s="34">
        <v>1</v>
      </c>
      <c r="B4" s="34" t="s">
        <v>532</v>
      </c>
      <c r="C4" s="35" t="s">
        <v>538</v>
      </c>
      <c r="D4" s="35"/>
      <c r="E4" s="34" t="s">
        <v>524</v>
      </c>
      <c r="F4" s="80">
        <f>2718.45+2718.45+2000</f>
        <v>7436.9</v>
      </c>
      <c r="G4" s="36">
        <v>0.03</v>
      </c>
      <c r="H4" s="97"/>
      <c r="I4" s="80">
        <f>2718.45+2718.45+2000</f>
        <v>7436.9</v>
      </c>
      <c r="J4" s="80">
        <f>2718.45+2718.45+2000</f>
        <v>7436.9</v>
      </c>
      <c r="K4" s="93" t="s">
        <v>535</v>
      </c>
      <c r="L4" s="112" t="s">
        <v>536</v>
      </c>
      <c r="N4" s="113"/>
    </row>
    <row r="5" spans="1:23" s="83" customFormat="1" ht="67.8" customHeight="1">
      <c r="A5" s="34">
        <v>2</v>
      </c>
      <c r="B5" s="34" t="s">
        <v>533</v>
      </c>
      <c r="C5" s="35" t="s">
        <v>539</v>
      </c>
      <c r="D5" s="35"/>
      <c r="E5" s="34" t="s">
        <v>524</v>
      </c>
      <c r="F5" s="80">
        <v>1000</v>
      </c>
      <c r="G5" s="36">
        <v>0.03</v>
      </c>
      <c r="H5" s="97"/>
      <c r="I5" s="80">
        <v>1000</v>
      </c>
      <c r="J5" s="80">
        <v>1000</v>
      </c>
      <c r="K5" s="93" t="s">
        <v>535</v>
      </c>
      <c r="L5" s="93" t="s">
        <v>537</v>
      </c>
      <c r="N5" s="96"/>
    </row>
    <row r="6" spans="1:23" s="83" customFormat="1" ht="67.8" customHeight="1">
      <c r="A6" s="34">
        <v>3</v>
      </c>
      <c r="B6" s="34" t="s">
        <v>534</v>
      </c>
      <c r="C6" s="35" t="s">
        <v>540</v>
      </c>
      <c r="D6" s="35"/>
      <c r="E6" s="34" t="s">
        <v>524</v>
      </c>
      <c r="F6" s="80">
        <v>1000</v>
      </c>
      <c r="G6" s="36">
        <v>0.03</v>
      </c>
      <c r="H6" s="97"/>
      <c r="I6" s="80">
        <v>1000</v>
      </c>
      <c r="J6" s="80">
        <v>1000</v>
      </c>
      <c r="K6" s="93" t="s">
        <v>535</v>
      </c>
      <c r="L6" s="93" t="s">
        <v>537</v>
      </c>
      <c r="N6" s="96"/>
    </row>
    <row r="7" spans="1:23" s="83" customFormat="1" ht="67.8" customHeight="1">
      <c r="A7" s="34">
        <v>4</v>
      </c>
      <c r="B7" s="34"/>
      <c r="C7" s="35" t="s">
        <v>543</v>
      </c>
      <c r="D7" s="35"/>
      <c r="E7" s="34" t="s">
        <v>541</v>
      </c>
      <c r="F7" s="80">
        <v>1000</v>
      </c>
      <c r="G7" s="36">
        <v>0.03</v>
      </c>
      <c r="H7" s="97"/>
      <c r="I7" s="80">
        <v>1000</v>
      </c>
      <c r="J7" s="80">
        <v>1000</v>
      </c>
      <c r="K7" s="93" t="s">
        <v>535</v>
      </c>
      <c r="L7" s="93" t="s">
        <v>542</v>
      </c>
      <c r="N7" s="96"/>
    </row>
    <row r="8" spans="1:23" s="39" customFormat="1" ht="27.75" customHeight="1">
      <c r="A8" s="202" t="s">
        <v>544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101.4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93" customHeight="1">
      <c r="A10" s="203" t="s">
        <v>13</v>
      </c>
      <c r="B10" s="204"/>
      <c r="C10" s="205" t="s">
        <v>14</v>
      </c>
      <c r="D10" s="205"/>
      <c r="E10" s="205"/>
      <c r="F10" s="206" t="s">
        <v>15</v>
      </c>
      <c r="G10" s="207"/>
      <c r="H10" s="207"/>
      <c r="I10" s="206" t="s">
        <v>16</v>
      </c>
      <c r="J10" s="207"/>
      <c r="K10" s="202" t="s">
        <v>17</v>
      </c>
      <c r="L10" s="202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8B36-3B86-4345-8B43-D7202C7066B1}">
  <sheetPr codeName="Sheet32">
    <pageSetUpPr fitToPage="1"/>
  </sheetPr>
  <dimension ref="A1:W509"/>
  <sheetViews>
    <sheetView zoomScale="70" zoomScaleNormal="70"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545</v>
      </c>
      <c r="C4" s="35" t="s">
        <v>546</v>
      </c>
      <c r="D4" s="35"/>
      <c r="E4" s="34" t="s">
        <v>20</v>
      </c>
      <c r="F4" s="80">
        <v>0.35</v>
      </c>
      <c r="G4" s="36">
        <v>0.03</v>
      </c>
      <c r="H4" s="97"/>
      <c r="I4" s="80">
        <v>0.28320000000000001</v>
      </c>
      <c r="J4" s="80">
        <v>0.28320000000000001</v>
      </c>
      <c r="K4" s="93" t="s">
        <v>547</v>
      </c>
      <c r="L4" s="112"/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2" t="s">
        <v>548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95FB-700D-474C-A88C-197F9D1DF82D}">
  <sheetPr codeName="Sheet33">
    <pageSetUpPr fitToPage="1"/>
  </sheetPr>
  <dimension ref="A1:W511"/>
  <sheetViews>
    <sheetView zoomScale="70" zoomScaleNormal="70" workbookViewId="0">
      <selection activeCell="D7" sqref="D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50.4" customHeight="1">
      <c r="A4" s="34">
        <v>1</v>
      </c>
      <c r="B4" s="34" t="s">
        <v>549</v>
      </c>
      <c r="C4" s="35" t="s">
        <v>556</v>
      </c>
      <c r="D4" s="35"/>
      <c r="E4" s="34" t="s">
        <v>524</v>
      </c>
      <c r="F4" s="80">
        <v>1946.4</v>
      </c>
      <c r="G4" s="36">
        <v>0.13</v>
      </c>
      <c r="H4" s="97"/>
      <c r="I4" s="80">
        <v>1946.4</v>
      </c>
      <c r="J4" s="80">
        <v>1946.4</v>
      </c>
      <c r="K4" s="93" t="s">
        <v>551</v>
      </c>
      <c r="L4" s="112"/>
      <c r="N4" s="113"/>
    </row>
    <row r="5" spans="1:23" s="83" customFormat="1" ht="50.4" customHeight="1">
      <c r="A5" s="34">
        <v>2</v>
      </c>
      <c r="B5" s="34" t="s">
        <v>550</v>
      </c>
      <c r="C5" s="35" t="s">
        <v>557</v>
      </c>
      <c r="D5" s="35"/>
      <c r="E5" s="34" t="s">
        <v>524</v>
      </c>
      <c r="F5" s="80">
        <v>1432</v>
      </c>
      <c r="G5" s="36">
        <v>0.13</v>
      </c>
      <c r="H5" s="97"/>
      <c r="I5" s="80">
        <v>1432</v>
      </c>
      <c r="J5" s="80">
        <v>1432</v>
      </c>
      <c r="K5" s="93" t="s">
        <v>551</v>
      </c>
      <c r="L5" s="93"/>
      <c r="N5" s="96"/>
    </row>
    <row r="6" spans="1:23" s="83" customFormat="1" ht="50.4" customHeight="1">
      <c r="A6" s="34">
        <v>3</v>
      </c>
      <c r="B6" s="35" t="s">
        <v>553</v>
      </c>
      <c r="C6" s="35" t="s">
        <v>558</v>
      </c>
      <c r="D6" s="35"/>
      <c r="E6" s="34" t="s">
        <v>524</v>
      </c>
      <c r="F6" s="80">
        <v>672</v>
      </c>
      <c r="G6" s="36">
        <v>0.13</v>
      </c>
      <c r="H6" s="97"/>
      <c r="I6" s="80">
        <v>672</v>
      </c>
      <c r="J6" s="80">
        <v>672</v>
      </c>
      <c r="K6" s="93" t="s">
        <v>551</v>
      </c>
      <c r="L6" s="93" t="s">
        <v>554</v>
      </c>
      <c r="N6" s="96"/>
    </row>
    <row r="7" spans="1:23" s="83" customFormat="1" ht="50.4" customHeight="1">
      <c r="A7" s="34">
        <v>4</v>
      </c>
      <c r="B7" s="34" t="s">
        <v>552</v>
      </c>
      <c r="C7" s="35" t="s">
        <v>559</v>
      </c>
      <c r="D7" s="35"/>
      <c r="E7" s="34" t="s">
        <v>524</v>
      </c>
      <c r="F7" s="80">
        <v>665.6</v>
      </c>
      <c r="G7" s="36">
        <v>0.13</v>
      </c>
      <c r="H7" s="97"/>
      <c r="I7" s="80">
        <v>665.6</v>
      </c>
      <c r="J7" s="80">
        <v>665.6</v>
      </c>
      <c r="K7" s="93" t="s">
        <v>551</v>
      </c>
      <c r="L7" s="93"/>
      <c r="N7" s="96"/>
    </row>
    <row r="8" spans="1:23" s="39" customFormat="1" ht="27.75" customHeight="1">
      <c r="A8" s="202" t="s">
        <v>555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75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93" customHeight="1">
      <c r="A10" s="203" t="s">
        <v>13</v>
      </c>
      <c r="B10" s="204"/>
      <c r="C10" s="205" t="s">
        <v>14</v>
      </c>
      <c r="D10" s="205"/>
      <c r="E10" s="205"/>
      <c r="F10" s="206" t="s">
        <v>15</v>
      </c>
      <c r="G10" s="207"/>
      <c r="H10" s="207"/>
      <c r="I10" s="206" t="s">
        <v>16</v>
      </c>
      <c r="J10" s="207"/>
      <c r="K10" s="202" t="s">
        <v>17</v>
      </c>
      <c r="L10" s="202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039C-2532-4B49-A381-F645DCC8633E}">
  <sheetPr codeName="Sheet34">
    <pageSetUpPr fitToPage="1"/>
  </sheetPr>
  <dimension ref="A1:W509"/>
  <sheetViews>
    <sheetView zoomScale="70" zoomScaleNormal="70" workbookViewId="0">
      <selection activeCell="N5" sqref="N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560</v>
      </c>
      <c r="C4" s="35" t="s">
        <v>561</v>
      </c>
      <c r="D4" s="35"/>
      <c r="E4" s="34" t="s">
        <v>20</v>
      </c>
      <c r="F4" s="80">
        <v>3.69</v>
      </c>
      <c r="G4" s="36">
        <v>0.13</v>
      </c>
      <c r="H4" s="97"/>
      <c r="I4" s="80">
        <v>3</v>
      </c>
      <c r="J4" s="80">
        <v>3</v>
      </c>
      <c r="K4" s="93" t="s">
        <v>562</v>
      </c>
      <c r="L4" s="112" t="s">
        <v>564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2" t="s">
        <v>563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BA4E-4C77-4042-A311-243B40D6DF00}">
  <sheetPr codeName="Sheet35">
    <pageSetUpPr fitToPage="1"/>
  </sheetPr>
  <dimension ref="A1:AA545"/>
  <sheetViews>
    <sheetView view="pageBreakPreview" zoomScale="60" zoomScaleNormal="70" workbookViewId="0">
      <selection activeCell="M45" sqref="M4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31.109375" style="1" customWidth="1"/>
    <col min="4" max="4" width="16" style="1" customWidth="1"/>
    <col min="5" max="5" width="9.21875" style="1" customWidth="1"/>
    <col min="6" max="6" width="8.44140625" style="1" customWidth="1"/>
    <col min="7" max="8" width="17.5546875" style="21" customWidth="1"/>
    <col min="9" max="9" width="5.6640625" style="1" customWidth="1"/>
    <col min="10" max="10" width="11.77734375" style="21" customWidth="1"/>
    <col min="11" max="12" width="17.21875" style="21" customWidth="1"/>
    <col min="13" max="14" width="16.88671875" style="21" customWidth="1"/>
    <col min="15" max="15" width="21" style="1" customWidth="1"/>
    <col min="16" max="16" width="41.6640625" style="1" customWidth="1"/>
    <col min="17" max="17" width="14.44140625" style="1" customWidth="1"/>
    <col min="18" max="18" width="22.5546875" style="1" customWidth="1"/>
    <col min="19" max="19" width="11" style="1" customWidth="1"/>
    <col min="20" max="20" width="11.2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7" s="39" customFormat="1" ht="27.75" customHeight="1">
      <c r="M2" s="201" t="s">
        <v>1</v>
      </c>
      <c r="N2" s="201"/>
      <c r="O2" s="201"/>
      <c r="P2" s="201"/>
      <c r="X2" s="201"/>
      <c r="Y2" s="201"/>
      <c r="Z2" s="201"/>
      <c r="AA2" s="201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600</v>
      </c>
      <c r="F3" s="81" t="s">
        <v>5</v>
      </c>
      <c r="G3" s="82" t="s">
        <v>602</v>
      </c>
      <c r="H3" s="82" t="s">
        <v>603</v>
      </c>
      <c r="I3" s="82" t="s">
        <v>7</v>
      </c>
      <c r="J3" s="82" t="s">
        <v>8</v>
      </c>
      <c r="K3" s="82" t="s">
        <v>606</v>
      </c>
      <c r="L3" s="82" t="s">
        <v>604</v>
      </c>
      <c r="M3" s="82" t="s">
        <v>607</v>
      </c>
      <c r="N3" s="82" t="s">
        <v>605</v>
      </c>
      <c r="O3" s="81" t="s">
        <v>11</v>
      </c>
      <c r="P3" s="81" t="s">
        <v>12</v>
      </c>
      <c r="Q3" s="95"/>
    </row>
    <row r="4" spans="1:27" s="83" customFormat="1" ht="39.6" customHeight="1">
      <c r="A4" s="34">
        <v>1</v>
      </c>
      <c r="B4" s="114"/>
      <c r="C4" s="114" t="s">
        <v>565</v>
      </c>
      <c r="D4" s="35"/>
      <c r="E4" s="35">
        <v>1800</v>
      </c>
      <c r="F4" s="34" t="s">
        <v>601</v>
      </c>
      <c r="G4" s="80">
        <v>1.00373</v>
      </c>
      <c r="H4" s="80">
        <f>E4*G4</f>
        <v>1806.7139999999999</v>
      </c>
      <c r="I4" s="36">
        <v>0.13</v>
      </c>
      <c r="J4" s="97"/>
      <c r="K4" s="80">
        <v>1</v>
      </c>
      <c r="L4" s="80">
        <f>K4*E4</f>
        <v>1800</v>
      </c>
      <c r="M4" s="80">
        <v>1</v>
      </c>
      <c r="N4" s="80">
        <v>1800</v>
      </c>
      <c r="O4" s="93" t="s">
        <v>385</v>
      </c>
      <c r="P4" s="112"/>
      <c r="R4" s="113"/>
    </row>
    <row r="5" spans="1:27" s="83" customFormat="1" ht="39.6" customHeight="1">
      <c r="A5" s="34">
        <v>2</v>
      </c>
      <c r="B5" s="114"/>
      <c r="C5" s="114" t="s">
        <v>566</v>
      </c>
      <c r="D5" s="35"/>
      <c r="E5" s="35">
        <v>665</v>
      </c>
      <c r="F5" s="34" t="s">
        <v>601</v>
      </c>
      <c r="G5" s="80">
        <v>1.6133000000000002</v>
      </c>
      <c r="H5" s="80">
        <f t="shared" ref="H5:H40" si="0">E5*G5</f>
        <v>1072.8445000000002</v>
      </c>
      <c r="I5" s="36">
        <v>0.13</v>
      </c>
      <c r="J5" s="97"/>
      <c r="K5" s="80">
        <v>1.5</v>
      </c>
      <c r="L5" s="80">
        <f t="shared" ref="L5:L40" si="1">K5*E5</f>
        <v>997.5</v>
      </c>
      <c r="M5" s="80">
        <v>1.5</v>
      </c>
      <c r="N5" s="80">
        <v>997.5</v>
      </c>
      <c r="O5" s="93" t="s">
        <v>385</v>
      </c>
      <c r="P5" s="112"/>
      <c r="R5" s="113"/>
    </row>
    <row r="6" spans="1:27" s="83" customFormat="1" ht="39.6" customHeight="1">
      <c r="A6" s="34">
        <v>3</v>
      </c>
      <c r="B6" s="114"/>
      <c r="C6" s="114" t="s">
        <v>567</v>
      </c>
      <c r="D6" s="35"/>
      <c r="E6" s="35">
        <v>4048</v>
      </c>
      <c r="F6" s="34" t="s">
        <v>601</v>
      </c>
      <c r="G6" s="80">
        <v>1.00373</v>
      </c>
      <c r="H6" s="80">
        <f t="shared" si="0"/>
        <v>4063.0990400000001</v>
      </c>
      <c r="I6" s="36">
        <v>0.13</v>
      </c>
      <c r="J6" s="97"/>
      <c r="K6" s="80">
        <v>1</v>
      </c>
      <c r="L6" s="80">
        <f t="shared" si="1"/>
        <v>4048</v>
      </c>
      <c r="M6" s="80">
        <v>1</v>
      </c>
      <c r="N6" s="80">
        <v>4048</v>
      </c>
      <c r="O6" s="93" t="s">
        <v>385</v>
      </c>
      <c r="P6" s="112"/>
      <c r="R6" s="113"/>
    </row>
    <row r="7" spans="1:27" s="83" customFormat="1" ht="39.6" customHeight="1">
      <c r="A7" s="34">
        <v>4</v>
      </c>
      <c r="B7" s="114"/>
      <c r="C7" s="114" t="s">
        <v>568</v>
      </c>
      <c r="D7" s="35"/>
      <c r="E7" s="35">
        <v>236</v>
      </c>
      <c r="F7" s="34" t="s">
        <v>601</v>
      </c>
      <c r="G7" s="80">
        <v>10.5</v>
      </c>
      <c r="H7" s="80">
        <f t="shared" si="0"/>
        <v>2478</v>
      </c>
      <c r="I7" s="36">
        <v>0.13</v>
      </c>
      <c r="J7" s="97"/>
      <c r="K7" s="80">
        <v>10</v>
      </c>
      <c r="L7" s="80">
        <f t="shared" si="1"/>
        <v>2360</v>
      </c>
      <c r="M7" s="80">
        <v>10</v>
      </c>
      <c r="N7" s="80">
        <v>2360</v>
      </c>
      <c r="O7" s="93" t="s">
        <v>385</v>
      </c>
      <c r="P7" s="112"/>
      <c r="R7" s="113"/>
    </row>
    <row r="8" spans="1:27" s="83" customFormat="1" ht="39.6" customHeight="1">
      <c r="A8" s="34">
        <v>5</v>
      </c>
      <c r="B8" s="114"/>
      <c r="C8" s="114" t="s">
        <v>569</v>
      </c>
      <c r="D8" s="35"/>
      <c r="E8" s="35">
        <v>3430</v>
      </c>
      <c r="F8" s="34" t="s">
        <v>601</v>
      </c>
      <c r="G8" s="80">
        <v>3.4642400000000002</v>
      </c>
      <c r="H8" s="80">
        <f t="shared" si="0"/>
        <v>11882.343200000001</v>
      </c>
      <c r="I8" s="36">
        <v>0.13</v>
      </c>
      <c r="J8" s="97"/>
      <c r="K8" s="80">
        <v>3</v>
      </c>
      <c r="L8" s="80">
        <f t="shared" si="1"/>
        <v>10290</v>
      </c>
      <c r="M8" s="80">
        <v>3</v>
      </c>
      <c r="N8" s="80">
        <v>10290</v>
      </c>
      <c r="O8" s="93" t="s">
        <v>385</v>
      </c>
      <c r="P8" s="112"/>
      <c r="R8" s="113"/>
    </row>
    <row r="9" spans="1:27" s="83" customFormat="1" ht="39.6" customHeight="1">
      <c r="A9" s="34">
        <v>6</v>
      </c>
      <c r="B9" s="114"/>
      <c r="C9" s="114" t="s">
        <v>570</v>
      </c>
      <c r="D9" s="35"/>
      <c r="E9" s="35">
        <v>210</v>
      </c>
      <c r="F9" s="34" t="s">
        <v>601</v>
      </c>
      <c r="G9" s="80">
        <v>5.6088500000000003</v>
      </c>
      <c r="H9" s="80">
        <f t="shared" si="0"/>
        <v>1177.8585</v>
      </c>
      <c r="I9" s="36">
        <v>0.13</v>
      </c>
      <c r="J9" s="97"/>
      <c r="K9" s="80">
        <v>5</v>
      </c>
      <c r="L9" s="80">
        <f t="shared" si="1"/>
        <v>1050</v>
      </c>
      <c r="M9" s="80">
        <v>5</v>
      </c>
      <c r="N9" s="80">
        <v>1050</v>
      </c>
      <c r="O9" s="93" t="s">
        <v>385</v>
      </c>
      <c r="P9" s="112"/>
      <c r="R9" s="113"/>
    </row>
    <row r="10" spans="1:27" s="83" customFormat="1" ht="39.6" customHeight="1">
      <c r="A10" s="34">
        <v>7</v>
      </c>
      <c r="B10" s="114"/>
      <c r="C10" s="114" t="s">
        <v>571</v>
      </c>
      <c r="D10" s="35"/>
      <c r="E10" s="35">
        <v>238</v>
      </c>
      <c r="F10" s="34" t="s">
        <v>601</v>
      </c>
      <c r="G10" s="80">
        <v>1.4157</v>
      </c>
      <c r="H10" s="80">
        <f t="shared" si="0"/>
        <v>336.9366</v>
      </c>
      <c r="I10" s="36">
        <v>0.13</v>
      </c>
      <c r="J10" s="97"/>
      <c r="K10" s="80">
        <v>1</v>
      </c>
      <c r="L10" s="80">
        <f t="shared" si="1"/>
        <v>238</v>
      </c>
      <c r="M10" s="80">
        <v>1</v>
      </c>
      <c r="N10" s="80">
        <v>238</v>
      </c>
      <c r="O10" s="93" t="s">
        <v>385</v>
      </c>
      <c r="P10" s="112"/>
      <c r="R10" s="113"/>
    </row>
    <row r="11" spans="1:27" s="83" customFormat="1" ht="39.6" customHeight="1">
      <c r="A11" s="34">
        <v>8</v>
      </c>
      <c r="B11" s="114"/>
      <c r="C11" s="114" t="s">
        <v>572</v>
      </c>
      <c r="D11" s="35"/>
      <c r="E11" s="35">
        <v>810</v>
      </c>
      <c r="F11" s="34" t="s">
        <v>601</v>
      </c>
      <c r="G11" s="80">
        <v>1.4157</v>
      </c>
      <c r="H11" s="80">
        <f t="shared" si="0"/>
        <v>1146.7169999999999</v>
      </c>
      <c r="I11" s="36">
        <v>0.13</v>
      </c>
      <c r="J11" s="97"/>
      <c r="K11" s="80">
        <v>1</v>
      </c>
      <c r="L11" s="80">
        <f t="shared" si="1"/>
        <v>810</v>
      </c>
      <c r="M11" s="80">
        <v>1</v>
      </c>
      <c r="N11" s="80">
        <v>810</v>
      </c>
      <c r="O11" s="93" t="s">
        <v>385</v>
      </c>
      <c r="P11" s="112"/>
      <c r="R11" s="113"/>
    </row>
    <row r="12" spans="1:27" s="83" customFormat="1" ht="39.6" customHeight="1">
      <c r="A12" s="34">
        <v>9</v>
      </c>
      <c r="B12" s="114"/>
      <c r="C12" s="114" t="s">
        <v>573</v>
      </c>
      <c r="D12" s="35"/>
      <c r="E12" s="35">
        <v>660</v>
      </c>
      <c r="F12" s="34" t="s">
        <v>601</v>
      </c>
      <c r="G12" s="80">
        <v>5.6095000000000006</v>
      </c>
      <c r="H12" s="80">
        <f t="shared" si="0"/>
        <v>3702.2700000000004</v>
      </c>
      <c r="I12" s="36">
        <v>0.13</v>
      </c>
      <c r="J12" s="97"/>
      <c r="K12" s="80">
        <v>5.6</v>
      </c>
      <c r="L12" s="80">
        <f t="shared" si="1"/>
        <v>3695.9999999999995</v>
      </c>
      <c r="M12" s="80">
        <v>5.6</v>
      </c>
      <c r="N12" s="80">
        <v>3695.9999999999995</v>
      </c>
      <c r="O12" s="93" t="s">
        <v>385</v>
      </c>
      <c r="P12" s="112"/>
      <c r="R12" s="113"/>
    </row>
    <row r="13" spans="1:27" s="83" customFormat="1" ht="39.6" customHeight="1">
      <c r="A13" s="34">
        <v>10</v>
      </c>
      <c r="B13" s="114"/>
      <c r="C13" s="114" t="s">
        <v>574</v>
      </c>
      <c r="D13" s="35"/>
      <c r="E13" s="35">
        <v>700</v>
      </c>
      <c r="F13" s="34" t="s">
        <v>601</v>
      </c>
      <c r="G13" s="80">
        <v>5.6088500000000003</v>
      </c>
      <c r="H13" s="80">
        <f t="shared" si="0"/>
        <v>3926.1950000000002</v>
      </c>
      <c r="I13" s="36">
        <v>0.13</v>
      </c>
      <c r="J13" s="97"/>
      <c r="K13" s="80">
        <v>5.6</v>
      </c>
      <c r="L13" s="80">
        <f t="shared" si="1"/>
        <v>3919.9999999999995</v>
      </c>
      <c r="M13" s="80">
        <v>5.6</v>
      </c>
      <c r="N13" s="80">
        <v>3919.9999999999995</v>
      </c>
      <c r="O13" s="93" t="s">
        <v>385</v>
      </c>
      <c r="P13" s="112"/>
      <c r="R13" s="113"/>
    </row>
    <row r="14" spans="1:27" s="83" customFormat="1" ht="39.6" customHeight="1">
      <c r="A14" s="34">
        <v>11</v>
      </c>
      <c r="B14" s="114"/>
      <c r="C14" s="114" t="s">
        <v>575</v>
      </c>
      <c r="D14" s="35"/>
      <c r="E14" s="35">
        <v>1350</v>
      </c>
      <c r="F14" s="34" t="s">
        <v>601</v>
      </c>
      <c r="G14" s="80">
        <v>1.06717</v>
      </c>
      <c r="H14" s="80">
        <f t="shared" si="0"/>
        <v>1440.6795</v>
      </c>
      <c r="I14" s="36">
        <v>0.13</v>
      </c>
      <c r="J14" s="97"/>
      <c r="K14" s="80">
        <v>1</v>
      </c>
      <c r="L14" s="80">
        <f t="shared" si="1"/>
        <v>1350</v>
      </c>
      <c r="M14" s="80">
        <v>1</v>
      </c>
      <c r="N14" s="80">
        <v>1350</v>
      </c>
      <c r="O14" s="93" t="s">
        <v>385</v>
      </c>
      <c r="P14" s="112"/>
      <c r="R14" s="113"/>
    </row>
    <row r="15" spans="1:27" s="83" customFormat="1" ht="39.6" customHeight="1">
      <c r="A15" s="34">
        <v>12</v>
      </c>
      <c r="B15" s="114"/>
      <c r="C15" s="114" t="s">
        <v>576</v>
      </c>
      <c r="D15" s="35"/>
      <c r="E15" s="35">
        <v>532</v>
      </c>
      <c r="F15" s="34" t="s">
        <v>601</v>
      </c>
      <c r="G15" s="80">
        <v>5.2215800000000003</v>
      </c>
      <c r="H15" s="80">
        <f t="shared" si="0"/>
        <v>2777.8805600000001</v>
      </c>
      <c r="I15" s="36">
        <v>0.13</v>
      </c>
      <c r="J15" s="97"/>
      <c r="K15" s="80">
        <v>5</v>
      </c>
      <c r="L15" s="80">
        <f t="shared" si="1"/>
        <v>2660</v>
      </c>
      <c r="M15" s="80">
        <v>5</v>
      </c>
      <c r="N15" s="80">
        <v>2660</v>
      </c>
      <c r="O15" s="93" t="s">
        <v>385</v>
      </c>
      <c r="P15" s="112"/>
      <c r="R15" s="113"/>
    </row>
    <row r="16" spans="1:27" s="83" customFormat="1" ht="39.6" customHeight="1">
      <c r="A16" s="34">
        <v>13</v>
      </c>
      <c r="B16" s="114"/>
      <c r="C16" s="114" t="s">
        <v>577</v>
      </c>
      <c r="D16" s="35"/>
      <c r="E16" s="35">
        <v>55</v>
      </c>
      <c r="F16" s="34" t="s">
        <v>601</v>
      </c>
      <c r="G16" s="80">
        <v>16</v>
      </c>
      <c r="H16" s="80">
        <f t="shared" si="0"/>
        <v>880</v>
      </c>
      <c r="I16" s="36">
        <v>0.13</v>
      </c>
      <c r="J16" s="97"/>
      <c r="K16" s="80">
        <v>16</v>
      </c>
      <c r="L16" s="80">
        <f t="shared" si="1"/>
        <v>880</v>
      </c>
      <c r="M16" s="80">
        <v>16</v>
      </c>
      <c r="N16" s="80">
        <v>880</v>
      </c>
      <c r="O16" s="93" t="s">
        <v>385</v>
      </c>
      <c r="P16" s="112"/>
      <c r="R16" s="113"/>
    </row>
    <row r="17" spans="1:18" s="83" customFormat="1" ht="39.6" customHeight="1">
      <c r="A17" s="34">
        <v>14</v>
      </c>
      <c r="B17" s="114"/>
      <c r="C17" s="114" t="s">
        <v>578</v>
      </c>
      <c r="D17" s="35"/>
      <c r="E17" s="35">
        <v>6200</v>
      </c>
      <c r="F17" s="34" t="s">
        <v>601</v>
      </c>
      <c r="G17" s="80">
        <v>0.44186999999999999</v>
      </c>
      <c r="H17" s="80">
        <f t="shared" si="0"/>
        <v>2739.5940000000001</v>
      </c>
      <c r="I17" s="36">
        <v>0.13</v>
      </c>
      <c r="J17" s="97"/>
      <c r="K17" s="80">
        <v>0.4</v>
      </c>
      <c r="L17" s="80">
        <f t="shared" si="1"/>
        <v>2480</v>
      </c>
      <c r="M17" s="80">
        <v>0.4</v>
      </c>
      <c r="N17" s="80">
        <v>2480</v>
      </c>
      <c r="O17" s="93" t="s">
        <v>385</v>
      </c>
      <c r="P17" s="112"/>
      <c r="R17" s="113"/>
    </row>
    <row r="18" spans="1:18" s="83" customFormat="1" ht="39.6" customHeight="1">
      <c r="A18" s="34">
        <v>15</v>
      </c>
      <c r="B18" s="114"/>
      <c r="C18" s="114" t="s">
        <v>579</v>
      </c>
      <c r="D18" s="35"/>
      <c r="E18" s="35">
        <v>293</v>
      </c>
      <c r="F18" s="34" t="s">
        <v>601</v>
      </c>
      <c r="G18" s="80">
        <v>3.4642400000000002</v>
      </c>
      <c r="H18" s="80">
        <f t="shared" si="0"/>
        <v>1015.02232</v>
      </c>
      <c r="I18" s="36">
        <v>0.13</v>
      </c>
      <c r="J18" s="97"/>
      <c r="K18" s="80">
        <v>3</v>
      </c>
      <c r="L18" s="80">
        <f t="shared" si="1"/>
        <v>879</v>
      </c>
      <c r="M18" s="80">
        <v>3</v>
      </c>
      <c r="N18" s="80">
        <v>879</v>
      </c>
      <c r="O18" s="93" t="s">
        <v>385</v>
      </c>
      <c r="P18" s="112"/>
      <c r="R18" s="113"/>
    </row>
    <row r="19" spans="1:18" s="83" customFormat="1" ht="39.6" customHeight="1">
      <c r="A19" s="34">
        <v>16</v>
      </c>
      <c r="B19" s="114"/>
      <c r="C19" s="114" t="s">
        <v>579</v>
      </c>
      <c r="D19" s="35"/>
      <c r="E19" s="35">
        <v>371</v>
      </c>
      <c r="F19" s="34" t="s">
        <v>601</v>
      </c>
      <c r="G19" s="80">
        <v>3.4642400000000002</v>
      </c>
      <c r="H19" s="80">
        <f t="shared" si="0"/>
        <v>1285.2330400000001</v>
      </c>
      <c r="I19" s="36">
        <v>0.13</v>
      </c>
      <c r="J19" s="97"/>
      <c r="K19" s="80">
        <v>3</v>
      </c>
      <c r="L19" s="80">
        <f t="shared" si="1"/>
        <v>1113</v>
      </c>
      <c r="M19" s="80">
        <v>3</v>
      </c>
      <c r="N19" s="80">
        <v>1113</v>
      </c>
      <c r="O19" s="93" t="s">
        <v>385</v>
      </c>
      <c r="P19" s="112"/>
      <c r="R19" s="113"/>
    </row>
    <row r="20" spans="1:18" s="83" customFormat="1" ht="39.6" customHeight="1">
      <c r="A20" s="34">
        <v>17</v>
      </c>
      <c r="B20" s="114"/>
      <c r="C20" s="114" t="s">
        <v>580</v>
      </c>
      <c r="D20" s="35"/>
      <c r="E20" s="35">
        <v>720</v>
      </c>
      <c r="F20" s="34" t="s">
        <v>601</v>
      </c>
      <c r="G20" s="80">
        <v>5.48977</v>
      </c>
      <c r="H20" s="80">
        <f t="shared" si="0"/>
        <v>3952.6343999999999</v>
      </c>
      <c r="I20" s="36">
        <v>0.13</v>
      </c>
      <c r="J20" s="97"/>
      <c r="K20" s="80">
        <v>5</v>
      </c>
      <c r="L20" s="80">
        <f t="shared" si="1"/>
        <v>3600</v>
      </c>
      <c r="M20" s="80">
        <v>5</v>
      </c>
      <c r="N20" s="80">
        <v>3600</v>
      </c>
      <c r="O20" s="93" t="s">
        <v>385</v>
      </c>
      <c r="P20" s="112"/>
      <c r="R20" s="113"/>
    </row>
    <row r="21" spans="1:18" s="83" customFormat="1" ht="39.6" customHeight="1">
      <c r="A21" s="34">
        <v>18</v>
      </c>
      <c r="B21" s="114"/>
      <c r="C21" s="114" t="s">
        <v>581</v>
      </c>
      <c r="D21" s="35"/>
      <c r="E21" s="35">
        <v>6950</v>
      </c>
      <c r="F21" s="34" t="s">
        <v>601</v>
      </c>
      <c r="G21" s="80">
        <v>0.44186999999999999</v>
      </c>
      <c r="H21" s="80">
        <f t="shared" si="0"/>
        <v>3070.9964999999997</v>
      </c>
      <c r="I21" s="36">
        <v>0.13</v>
      </c>
      <c r="J21" s="97"/>
      <c r="K21" s="80">
        <v>0.4</v>
      </c>
      <c r="L21" s="80">
        <f t="shared" si="1"/>
        <v>2780</v>
      </c>
      <c r="M21" s="80">
        <v>0.4</v>
      </c>
      <c r="N21" s="80">
        <v>2780</v>
      </c>
      <c r="O21" s="93" t="s">
        <v>385</v>
      </c>
      <c r="P21" s="112"/>
      <c r="R21" s="113"/>
    </row>
    <row r="22" spans="1:18" s="83" customFormat="1" ht="39.6" customHeight="1">
      <c r="A22" s="34">
        <v>19</v>
      </c>
      <c r="B22" s="114"/>
      <c r="C22" s="114" t="s">
        <v>582</v>
      </c>
      <c r="D22" s="35"/>
      <c r="E22" s="35">
        <v>1530</v>
      </c>
      <c r="F22" s="34" t="s">
        <v>601</v>
      </c>
      <c r="G22" s="80">
        <v>0.61074000000000006</v>
      </c>
      <c r="H22" s="80">
        <f t="shared" si="0"/>
        <v>934.43220000000008</v>
      </c>
      <c r="I22" s="36">
        <v>0.13</v>
      </c>
      <c r="J22" s="97"/>
      <c r="K22" s="80">
        <v>0.6</v>
      </c>
      <c r="L22" s="80">
        <f t="shared" si="1"/>
        <v>918</v>
      </c>
      <c r="M22" s="80">
        <v>0.6</v>
      </c>
      <c r="N22" s="80">
        <v>918</v>
      </c>
      <c r="O22" s="93" t="s">
        <v>385</v>
      </c>
      <c r="P22" s="112"/>
      <c r="R22" s="113"/>
    </row>
    <row r="23" spans="1:18" s="83" customFormat="1" ht="39.6" customHeight="1">
      <c r="A23" s="34">
        <v>20</v>
      </c>
      <c r="B23" s="114"/>
      <c r="C23" s="114" t="s">
        <v>582</v>
      </c>
      <c r="D23" s="35"/>
      <c r="E23" s="35">
        <v>390</v>
      </c>
      <c r="F23" s="34" t="s">
        <v>601</v>
      </c>
      <c r="G23" s="80">
        <v>0.61074000000000006</v>
      </c>
      <c r="H23" s="80">
        <f t="shared" si="0"/>
        <v>238.18860000000004</v>
      </c>
      <c r="I23" s="36">
        <v>0.13</v>
      </c>
      <c r="J23" s="97"/>
      <c r="K23" s="80">
        <v>0.6</v>
      </c>
      <c r="L23" s="80">
        <f t="shared" si="1"/>
        <v>234</v>
      </c>
      <c r="M23" s="80">
        <v>0.6</v>
      </c>
      <c r="N23" s="80">
        <v>234</v>
      </c>
      <c r="O23" s="93" t="s">
        <v>385</v>
      </c>
      <c r="P23" s="112"/>
      <c r="R23" s="113"/>
    </row>
    <row r="24" spans="1:18" s="83" customFormat="1" ht="39.6" customHeight="1">
      <c r="A24" s="34">
        <v>21</v>
      </c>
      <c r="B24" s="114"/>
      <c r="C24" s="114" t="s">
        <v>583</v>
      </c>
      <c r="D24" s="35"/>
      <c r="E24" s="35">
        <v>1360</v>
      </c>
      <c r="F24" s="34" t="s">
        <v>601</v>
      </c>
      <c r="G24" s="80">
        <v>0.49153000000000002</v>
      </c>
      <c r="H24" s="80">
        <f t="shared" si="0"/>
        <v>668.48080000000004</v>
      </c>
      <c r="I24" s="36">
        <v>0.13</v>
      </c>
      <c r="J24" s="97"/>
      <c r="K24" s="80">
        <v>0.4</v>
      </c>
      <c r="L24" s="80">
        <f t="shared" si="1"/>
        <v>544</v>
      </c>
      <c r="M24" s="80">
        <v>0.4</v>
      </c>
      <c r="N24" s="80">
        <v>544</v>
      </c>
      <c r="O24" s="93" t="s">
        <v>385</v>
      </c>
      <c r="P24" s="112"/>
      <c r="R24" s="113"/>
    </row>
    <row r="25" spans="1:18" s="83" customFormat="1" ht="39.6" customHeight="1">
      <c r="A25" s="34">
        <v>22</v>
      </c>
      <c r="B25" s="114"/>
      <c r="C25" s="114" t="s">
        <v>584</v>
      </c>
      <c r="D25" s="35"/>
      <c r="E25" s="35">
        <v>120</v>
      </c>
      <c r="F25" s="34" t="s">
        <v>601</v>
      </c>
      <c r="G25" s="80">
        <v>3.4642400000000002</v>
      </c>
      <c r="H25" s="80">
        <f t="shared" si="0"/>
        <v>415.7088</v>
      </c>
      <c r="I25" s="36">
        <v>0.13</v>
      </c>
      <c r="J25" s="97"/>
      <c r="K25" s="80">
        <v>3</v>
      </c>
      <c r="L25" s="80">
        <f t="shared" si="1"/>
        <v>360</v>
      </c>
      <c r="M25" s="80">
        <v>3</v>
      </c>
      <c r="N25" s="80">
        <v>360</v>
      </c>
      <c r="O25" s="93" t="s">
        <v>385</v>
      </c>
      <c r="P25" s="112"/>
      <c r="R25" s="113"/>
    </row>
    <row r="26" spans="1:18" s="83" customFormat="1" ht="39.6" customHeight="1">
      <c r="A26" s="34">
        <v>23</v>
      </c>
      <c r="B26" s="114"/>
      <c r="C26" s="114" t="s">
        <v>585</v>
      </c>
      <c r="D26" s="35"/>
      <c r="E26" s="35">
        <v>120</v>
      </c>
      <c r="F26" s="34" t="s">
        <v>601</v>
      </c>
      <c r="G26" s="80">
        <v>5.6088500000000003</v>
      </c>
      <c r="H26" s="80">
        <f t="shared" si="0"/>
        <v>673.06200000000001</v>
      </c>
      <c r="I26" s="36">
        <v>0.13</v>
      </c>
      <c r="J26" s="97"/>
      <c r="K26" s="80">
        <v>5</v>
      </c>
      <c r="L26" s="80">
        <f t="shared" si="1"/>
        <v>600</v>
      </c>
      <c r="M26" s="80">
        <v>5</v>
      </c>
      <c r="N26" s="80">
        <v>600</v>
      </c>
      <c r="O26" s="93" t="s">
        <v>385</v>
      </c>
      <c r="P26" s="112"/>
      <c r="R26" s="113"/>
    </row>
    <row r="27" spans="1:18" s="83" customFormat="1" ht="39.6" customHeight="1">
      <c r="A27" s="34">
        <v>24</v>
      </c>
      <c r="B27" s="114"/>
      <c r="C27" s="114" t="s">
        <v>586</v>
      </c>
      <c r="D27" s="35"/>
      <c r="E27" s="35">
        <v>227</v>
      </c>
      <c r="F27" s="34" t="s">
        <v>601</v>
      </c>
      <c r="G27" s="80">
        <v>0.94224000000000008</v>
      </c>
      <c r="H27" s="80">
        <f t="shared" si="0"/>
        <v>213.88848000000002</v>
      </c>
      <c r="I27" s="36">
        <v>0.13</v>
      </c>
      <c r="J27" s="97"/>
      <c r="K27" s="80">
        <v>0.9</v>
      </c>
      <c r="L27" s="80">
        <f t="shared" si="1"/>
        <v>204.3</v>
      </c>
      <c r="M27" s="80">
        <v>0.9</v>
      </c>
      <c r="N27" s="80">
        <v>204.3</v>
      </c>
      <c r="O27" s="93" t="s">
        <v>385</v>
      </c>
      <c r="P27" s="112"/>
      <c r="R27" s="113"/>
    </row>
    <row r="28" spans="1:18" s="83" customFormat="1" ht="39.6" customHeight="1">
      <c r="A28" s="34">
        <v>25</v>
      </c>
      <c r="B28" s="114"/>
      <c r="C28" s="114" t="s">
        <v>587</v>
      </c>
      <c r="D28" s="35"/>
      <c r="E28" s="35">
        <v>550</v>
      </c>
      <c r="F28" s="34" t="s">
        <v>601</v>
      </c>
      <c r="G28" s="80">
        <v>5.8372599999999997</v>
      </c>
      <c r="H28" s="80">
        <f t="shared" si="0"/>
        <v>3210.4929999999999</v>
      </c>
      <c r="I28" s="36">
        <v>0.13</v>
      </c>
      <c r="J28" s="97"/>
      <c r="K28" s="80">
        <v>5.8</v>
      </c>
      <c r="L28" s="80">
        <f t="shared" si="1"/>
        <v>3190</v>
      </c>
      <c r="M28" s="80">
        <v>5.8</v>
      </c>
      <c r="N28" s="80">
        <v>3190</v>
      </c>
      <c r="O28" s="93" t="s">
        <v>385</v>
      </c>
      <c r="P28" s="112"/>
      <c r="R28" s="113"/>
    </row>
    <row r="29" spans="1:18" s="83" customFormat="1" ht="39.6" customHeight="1">
      <c r="A29" s="34">
        <v>26</v>
      </c>
      <c r="B29" s="114"/>
      <c r="C29" s="114" t="s">
        <v>588</v>
      </c>
      <c r="D29" s="35"/>
      <c r="E29" s="35">
        <v>2200</v>
      </c>
      <c r="F29" s="34" t="s">
        <v>601</v>
      </c>
      <c r="G29" s="80">
        <v>0.45188000000000006</v>
      </c>
      <c r="H29" s="80">
        <f t="shared" si="0"/>
        <v>994.13600000000008</v>
      </c>
      <c r="I29" s="36">
        <v>0.13</v>
      </c>
      <c r="J29" s="97"/>
      <c r="K29" s="80">
        <v>0.4</v>
      </c>
      <c r="L29" s="80">
        <f t="shared" si="1"/>
        <v>880</v>
      </c>
      <c r="M29" s="80">
        <v>0.4</v>
      </c>
      <c r="N29" s="80">
        <v>880</v>
      </c>
      <c r="O29" s="93" t="s">
        <v>385</v>
      </c>
      <c r="P29" s="112"/>
      <c r="R29" s="113"/>
    </row>
    <row r="30" spans="1:18" s="83" customFormat="1" ht="39.6" customHeight="1">
      <c r="A30" s="34">
        <v>27</v>
      </c>
      <c r="B30" s="114"/>
      <c r="C30" s="114" t="s">
        <v>589</v>
      </c>
      <c r="D30" s="35"/>
      <c r="E30" s="35">
        <v>18</v>
      </c>
      <c r="F30" s="34" t="s">
        <v>601</v>
      </c>
      <c r="G30" s="80">
        <v>7.1372599999999995</v>
      </c>
      <c r="H30" s="80">
        <f t="shared" si="0"/>
        <v>128.47067999999999</v>
      </c>
      <c r="I30" s="36">
        <v>0.13</v>
      </c>
      <c r="J30" s="97"/>
      <c r="K30" s="80">
        <v>7</v>
      </c>
      <c r="L30" s="80">
        <f t="shared" si="1"/>
        <v>126</v>
      </c>
      <c r="M30" s="80">
        <v>7</v>
      </c>
      <c r="N30" s="80">
        <v>126</v>
      </c>
      <c r="O30" s="93" t="s">
        <v>385</v>
      </c>
      <c r="P30" s="112"/>
      <c r="R30" s="113"/>
    </row>
    <row r="31" spans="1:18" s="83" customFormat="1" ht="39.6" customHeight="1">
      <c r="A31" s="34">
        <v>28</v>
      </c>
      <c r="B31" s="114"/>
      <c r="C31" s="114" t="s">
        <v>590</v>
      </c>
      <c r="D31" s="35"/>
      <c r="E31" s="35">
        <v>1013</v>
      </c>
      <c r="F31" s="34" t="s">
        <v>601</v>
      </c>
      <c r="G31" s="80">
        <v>5.8372599999999997</v>
      </c>
      <c r="H31" s="80">
        <f t="shared" si="0"/>
        <v>5913.1443799999997</v>
      </c>
      <c r="I31" s="36">
        <v>0.13</v>
      </c>
      <c r="J31" s="97"/>
      <c r="K31" s="115">
        <v>5.8600197433366237</v>
      </c>
      <c r="L31" s="80">
        <f>E31*K31</f>
        <v>5936.2</v>
      </c>
      <c r="M31" s="80">
        <v>5.8600197433366237</v>
      </c>
      <c r="N31" s="80">
        <v>5936.2</v>
      </c>
      <c r="O31" s="93" t="s">
        <v>385</v>
      </c>
      <c r="P31" s="112"/>
      <c r="R31" s="113"/>
    </row>
    <row r="32" spans="1:18" s="83" customFormat="1" ht="39.6" customHeight="1">
      <c r="A32" s="34">
        <v>29</v>
      </c>
      <c r="B32" s="114"/>
      <c r="C32" s="114" t="s">
        <v>591</v>
      </c>
      <c r="D32" s="35"/>
      <c r="E32" s="35">
        <v>210</v>
      </c>
      <c r="F32" s="34" t="s">
        <v>601</v>
      </c>
      <c r="G32" s="80">
        <v>1.4159599999999999</v>
      </c>
      <c r="H32" s="80">
        <f t="shared" si="0"/>
        <v>297.35159999999996</v>
      </c>
      <c r="I32" s="36">
        <v>0.13</v>
      </c>
      <c r="J32" s="97"/>
      <c r="K32" s="80">
        <v>1</v>
      </c>
      <c r="L32" s="80">
        <f t="shared" si="1"/>
        <v>210</v>
      </c>
      <c r="M32" s="80">
        <v>1</v>
      </c>
      <c r="N32" s="80">
        <v>210</v>
      </c>
      <c r="O32" s="93" t="s">
        <v>385</v>
      </c>
      <c r="P32" s="112"/>
      <c r="R32" s="113"/>
    </row>
    <row r="33" spans="1:18" s="83" customFormat="1" ht="39.6" customHeight="1">
      <c r="A33" s="34">
        <v>30</v>
      </c>
      <c r="B33" s="114"/>
      <c r="C33" s="114" t="s">
        <v>592</v>
      </c>
      <c r="D33" s="35"/>
      <c r="E33" s="35">
        <v>1250</v>
      </c>
      <c r="F33" s="34" t="s">
        <v>601</v>
      </c>
      <c r="G33" s="80">
        <v>0.61074000000000006</v>
      </c>
      <c r="H33" s="80">
        <f t="shared" si="0"/>
        <v>763.42500000000007</v>
      </c>
      <c r="I33" s="36">
        <v>0.13</v>
      </c>
      <c r="J33" s="97"/>
      <c r="K33" s="80">
        <v>0.6</v>
      </c>
      <c r="L33" s="80">
        <f t="shared" si="1"/>
        <v>750</v>
      </c>
      <c r="M33" s="80">
        <v>0.6</v>
      </c>
      <c r="N33" s="80">
        <v>750</v>
      </c>
      <c r="O33" s="93" t="s">
        <v>385</v>
      </c>
      <c r="P33" s="112"/>
      <c r="R33" s="113"/>
    </row>
    <row r="34" spans="1:18" s="83" customFormat="1" ht="39.6" customHeight="1">
      <c r="A34" s="34">
        <v>31</v>
      </c>
      <c r="B34" s="114"/>
      <c r="C34" s="114" t="s">
        <v>593</v>
      </c>
      <c r="D34" s="35"/>
      <c r="E34" s="35">
        <v>16</v>
      </c>
      <c r="F34" s="34" t="s">
        <v>601</v>
      </c>
      <c r="G34" s="80">
        <v>7.1372599999999995</v>
      </c>
      <c r="H34" s="80">
        <f t="shared" si="0"/>
        <v>114.19615999999999</v>
      </c>
      <c r="I34" s="36">
        <v>0.13</v>
      </c>
      <c r="J34" s="97"/>
      <c r="K34" s="80">
        <v>7</v>
      </c>
      <c r="L34" s="80">
        <f t="shared" si="1"/>
        <v>112</v>
      </c>
      <c r="M34" s="80">
        <v>7</v>
      </c>
      <c r="N34" s="80">
        <v>112</v>
      </c>
      <c r="O34" s="93" t="s">
        <v>385</v>
      </c>
      <c r="P34" s="112"/>
      <c r="R34" s="113"/>
    </row>
    <row r="35" spans="1:18" s="83" customFormat="1" ht="39.6" customHeight="1">
      <c r="A35" s="34">
        <v>32</v>
      </c>
      <c r="B35" s="114"/>
      <c r="C35" s="114" t="s">
        <v>594</v>
      </c>
      <c r="D35" s="35"/>
      <c r="E35" s="35">
        <v>330</v>
      </c>
      <c r="F35" s="34" t="s">
        <v>601</v>
      </c>
      <c r="G35" s="80">
        <v>14.168699999999999</v>
      </c>
      <c r="H35" s="80">
        <f t="shared" si="0"/>
        <v>4675.6709999999994</v>
      </c>
      <c r="I35" s="36">
        <v>0.13</v>
      </c>
      <c r="J35" s="97"/>
      <c r="K35" s="80">
        <v>14</v>
      </c>
      <c r="L35" s="80">
        <f>E35*K35</f>
        <v>4620</v>
      </c>
      <c r="M35" s="80">
        <v>14</v>
      </c>
      <c r="N35" s="80">
        <v>4620</v>
      </c>
      <c r="O35" s="93" t="s">
        <v>385</v>
      </c>
      <c r="P35" s="112"/>
      <c r="R35" s="113"/>
    </row>
    <row r="36" spans="1:18" s="83" customFormat="1" ht="39.6" customHeight="1">
      <c r="A36" s="34">
        <v>33</v>
      </c>
      <c r="B36" s="114"/>
      <c r="C36" s="114" t="s">
        <v>595</v>
      </c>
      <c r="D36" s="35"/>
      <c r="E36" s="35">
        <v>150</v>
      </c>
      <c r="F36" s="34" t="s">
        <v>601</v>
      </c>
      <c r="G36" s="80">
        <v>5.8370000000000006</v>
      </c>
      <c r="H36" s="80">
        <f t="shared" si="0"/>
        <v>875.55000000000007</v>
      </c>
      <c r="I36" s="36">
        <v>0.13</v>
      </c>
      <c r="J36" s="97"/>
      <c r="K36" s="80">
        <v>5</v>
      </c>
      <c r="L36" s="80">
        <f t="shared" si="1"/>
        <v>750</v>
      </c>
      <c r="M36" s="80">
        <v>5</v>
      </c>
      <c r="N36" s="80">
        <v>750</v>
      </c>
      <c r="O36" s="93" t="s">
        <v>385</v>
      </c>
      <c r="P36" s="112"/>
      <c r="R36" s="113"/>
    </row>
    <row r="37" spans="1:18" s="83" customFormat="1" ht="39.6" customHeight="1">
      <c r="A37" s="34">
        <v>34</v>
      </c>
      <c r="B37" s="114"/>
      <c r="C37" s="114" t="s">
        <v>596</v>
      </c>
      <c r="D37" s="35"/>
      <c r="E37" s="35">
        <v>236</v>
      </c>
      <c r="F37" s="34" t="s">
        <v>601</v>
      </c>
      <c r="G37" s="80">
        <v>14.168699999999999</v>
      </c>
      <c r="H37" s="80">
        <f t="shared" si="0"/>
        <v>3343.8132000000001</v>
      </c>
      <c r="I37" s="36">
        <v>0.13</v>
      </c>
      <c r="J37" s="97"/>
      <c r="K37" s="80">
        <v>14</v>
      </c>
      <c r="L37" s="80">
        <f t="shared" si="1"/>
        <v>3304</v>
      </c>
      <c r="M37" s="80">
        <v>14</v>
      </c>
      <c r="N37" s="80">
        <v>3304</v>
      </c>
      <c r="O37" s="93" t="s">
        <v>385</v>
      </c>
      <c r="P37" s="112"/>
      <c r="R37" s="113"/>
    </row>
    <row r="38" spans="1:18" s="83" customFormat="1" ht="39.6" customHeight="1">
      <c r="A38" s="34">
        <v>35</v>
      </c>
      <c r="B38" s="114"/>
      <c r="C38" s="114" t="s">
        <v>597</v>
      </c>
      <c r="D38" s="35"/>
      <c r="E38" s="35">
        <v>1452</v>
      </c>
      <c r="F38" s="34" t="s">
        <v>601</v>
      </c>
      <c r="G38" s="80">
        <v>1.4159599999999999</v>
      </c>
      <c r="H38" s="80">
        <f t="shared" si="0"/>
        <v>2055.9739199999999</v>
      </c>
      <c r="I38" s="36">
        <v>0.13</v>
      </c>
      <c r="J38" s="97"/>
      <c r="K38" s="80">
        <v>1</v>
      </c>
      <c r="L38" s="80">
        <f t="shared" si="1"/>
        <v>1452</v>
      </c>
      <c r="M38" s="80">
        <v>1</v>
      </c>
      <c r="N38" s="80">
        <v>1452</v>
      </c>
      <c r="O38" s="93" t="s">
        <v>385</v>
      </c>
      <c r="P38" s="112"/>
      <c r="R38" s="113"/>
    </row>
    <row r="39" spans="1:18" s="83" customFormat="1" ht="39.6" customHeight="1">
      <c r="A39" s="34">
        <v>36</v>
      </c>
      <c r="B39" s="114"/>
      <c r="C39" s="114" t="s">
        <v>598</v>
      </c>
      <c r="D39" s="35"/>
      <c r="E39" s="35">
        <v>245</v>
      </c>
      <c r="F39" s="34" t="s">
        <v>601</v>
      </c>
      <c r="G39" s="80">
        <v>0.67027999999999999</v>
      </c>
      <c r="H39" s="80">
        <f t="shared" si="0"/>
        <v>164.21860000000001</v>
      </c>
      <c r="I39" s="36">
        <v>0.13</v>
      </c>
      <c r="J39" s="97"/>
      <c r="K39" s="80">
        <v>0.6</v>
      </c>
      <c r="L39" s="80">
        <f t="shared" si="1"/>
        <v>147</v>
      </c>
      <c r="M39" s="80">
        <v>0.6</v>
      </c>
      <c r="N39" s="80">
        <v>147</v>
      </c>
      <c r="O39" s="93" t="s">
        <v>385</v>
      </c>
      <c r="P39" s="112"/>
      <c r="R39" s="113"/>
    </row>
    <row r="40" spans="1:18" s="83" customFormat="1" ht="39.6" customHeight="1">
      <c r="A40" s="34">
        <v>37</v>
      </c>
      <c r="B40" s="114"/>
      <c r="C40" s="114" t="s">
        <v>599</v>
      </c>
      <c r="D40" s="35"/>
      <c r="E40" s="35">
        <v>1185</v>
      </c>
      <c r="F40" s="34" t="s">
        <v>601</v>
      </c>
      <c r="G40" s="80">
        <v>0.67027999999999999</v>
      </c>
      <c r="H40" s="80">
        <f t="shared" si="0"/>
        <v>794.28179999999998</v>
      </c>
      <c r="I40" s="36">
        <v>0.13</v>
      </c>
      <c r="J40" s="97"/>
      <c r="K40" s="80">
        <v>0.6</v>
      </c>
      <c r="L40" s="80">
        <f t="shared" si="1"/>
        <v>711</v>
      </c>
      <c r="M40" s="80">
        <v>0.6</v>
      </c>
      <c r="N40" s="80">
        <v>711</v>
      </c>
      <c r="O40" s="93" t="s">
        <v>385</v>
      </c>
      <c r="P40" s="112"/>
      <c r="R40" s="113"/>
    </row>
    <row r="41" spans="1:18" s="83" customFormat="1" ht="39.6" customHeight="1">
      <c r="A41" s="34"/>
      <c r="B41" s="114"/>
      <c r="C41" s="114"/>
      <c r="D41" s="35"/>
      <c r="E41" s="35"/>
      <c r="F41" s="34"/>
      <c r="G41" s="80"/>
      <c r="H41" s="80">
        <f>SUM(H4:H40)</f>
        <v>75229.504379999998</v>
      </c>
      <c r="I41" s="36"/>
      <c r="J41" s="97"/>
      <c r="K41" s="80"/>
      <c r="L41" s="80">
        <f>SUM(L4:L40)</f>
        <v>70000</v>
      </c>
      <c r="M41" s="80"/>
      <c r="N41" s="80"/>
      <c r="O41" s="93"/>
      <c r="P41" s="112"/>
      <c r="R41" s="113"/>
    </row>
    <row r="42" spans="1:18" s="39" customFormat="1" ht="27.75" customHeight="1">
      <c r="A42" s="202" t="s">
        <v>608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</row>
    <row r="43" spans="1:18" s="39" customFormat="1" ht="42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</row>
    <row r="44" spans="1:18" s="39" customFormat="1" ht="93" customHeight="1">
      <c r="A44" s="203" t="s">
        <v>13</v>
      </c>
      <c r="B44" s="204"/>
      <c r="C44" s="205" t="s">
        <v>14</v>
      </c>
      <c r="D44" s="205"/>
      <c r="E44" s="205"/>
      <c r="F44" s="205"/>
      <c r="G44" s="206" t="s">
        <v>15</v>
      </c>
      <c r="H44" s="207"/>
      <c r="I44" s="207"/>
      <c r="J44" s="207"/>
      <c r="K44" s="206" t="s">
        <v>16</v>
      </c>
      <c r="L44" s="207"/>
      <c r="M44" s="207"/>
      <c r="N44" s="94"/>
      <c r="O44" s="202" t="s">
        <v>17</v>
      </c>
      <c r="P44" s="202"/>
    </row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  <row r="544" s="39" customFormat="1" ht="27.75" customHeight="1"/>
    <row r="545" s="39" customFormat="1" ht="27.75" customHeight="1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3" type="noConversion"/>
  <pageMargins left="0.75" right="0.75" top="1" bottom="1" header="0.5" footer="0.5"/>
  <pageSetup paperSize="9" scale="1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75B6-C3FC-4C43-BF04-D3EA6C24B00B}">
  <sheetPr codeName="Sheet36">
    <pageSetUpPr fitToPage="1"/>
  </sheetPr>
  <dimension ref="A1:W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310</v>
      </c>
      <c r="C4" s="35" t="s">
        <v>311</v>
      </c>
      <c r="D4" s="35"/>
      <c r="E4" s="34" t="s">
        <v>20</v>
      </c>
      <c r="F4" s="80">
        <v>1.25</v>
      </c>
      <c r="G4" s="36">
        <v>0.13</v>
      </c>
      <c r="H4" s="97"/>
      <c r="I4" s="80">
        <v>1.25</v>
      </c>
      <c r="J4" s="80">
        <v>1.25</v>
      </c>
      <c r="K4" s="93" t="s">
        <v>278</v>
      </c>
      <c r="L4" s="112" t="s">
        <v>609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2" t="s">
        <v>610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00D5-5B69-4272-95C6-19189A158C53}">
  <sheetPr codeName="Sheet37">
    <pageSetUpPr fitToPage="1"/>
  </sheetPr>
  <dimension ref="A1:W509"/>
  <sheetViews>
    <sheetView zoomScale="70" zoomScaleNormal="70" workbookViewId="0">
      <selection activeCell="A6" sqref="A6:L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611</v>
      </c>
      <c r="C4" s="35" t="s">
        <v>612</v>
      </c>
      <c r="D4" s="35"/>
      <c r="E4" s="34" t="s">
        <v>20</v>
      </c>
      <c r="F4" s="80">
        <v>0.3</v>
      </c>
      <c r="G4" s="36">
        <v>0.13</v>
      </c>
      <c r="H4" s="97">
        <f>0.037*7.96</f>
        <v>0.29452</v>
      </c>
      <c r="I4" s="80">
        <v>0.29452</v>
      </c>
      <c r="J4" s="80">
        <v>0.29452</v>
      </c>
      <c r="K4" s="93" t="s">
        <v>204</v>
      </c>
      <c r="L4" s="112" t="s">
        <v>613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2" t="s">
        <v>614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3BBA-20C2-40BE-B843-F22B7EE8790C}">
  <sheetPr codeName="Sheet38">
    <pageSetUpPr fitToPage="1"/>
  </sheetPr>
  <dimension ref="A1:W527"/>
  <sheetViews>
    <sheetView topLeftCell="A15" zoomScale="70" zoomScaleNormal="70" workbookViewId="0">
      <selection activeCell="D19" sqref="D1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VLOOKUP(B4,'[8]恒伟1 (2)'!$B$9:$G$28,6,0)</f>
        <v>28.374565</v>
      </c>
      <c r="J4" s="80">
        <f>I4</f>
        <v>28.374565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VLOOKUP(B5,'[8]恒伟1 (2)'!$B$9:$G$28,6,0)</f>
        <v>27.843975</v>
      </c>
      <c r="J5" s="80">
        <f t="shared" ref="J5:J23" si="0">I5</f>
        <v>27.843975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VLOOKUP(B6,'[8]恒伟1 (2)'!$B$9:$G$28,6,0)</f>
        <v>30.083260000000003</v>
      </c>
      <c r="J6" s="80">
        <f t="shared" si="0"/>
        <v>30.083260000000003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VLOOKUP(B7,'[8]恒伟1 (2)'!$B$9:$G$28,6,0)</f>
        <v>34.805144690265486</v>
      </c>
      <c r="J7" s="80">
        <f t="shared" si="0"/>
        <v>34.805144690265486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VLOOKUP(B8,'[8]恒伟1 (2)'!$B$9:$G$28,6,0)</f>
        <v>32.807155000000002</v>
      </c>
      <c r="J8" s="80">
        <f t="shared" si="0"/>
        <v>32.807155000000002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VLOOKUP(B9,'[8]恒伟1 (2)'!$B$9:$G$28,6,0)</f>
        <v>42.093620000000001</v>
      </c>
      <c r="J9" s="80">
        <f t="shared" si="0"/>
        <v>42.093620000000001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VLOOKUP(B10,'[8]恒伟1 (2)'!$B$9:$G$28,6,0)</f>
        <v>40.216428000000001</v>
      </c>
      <c r="J10" s="80">
        <f t="shared" si="0"/>
        <v>40.216428000000001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VLOOKUP(B11,'[8]恒伟1 (2)'!$B$9:$G$28,6,0)</f>
        <v>30.933706000000001</v>
      </c>
      <c r="J11" s="80">
        <f t="shared" si="0"/>
        <v>30.933706000000001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VLOOKUP(B12,'[8]恒伟1 (2)'!$B$9:$G$28,6,0)</f>
        <v>54.495202000000006</v>
      </c>
      <c r="J12" s="80">
        <f t="shared" si="0"/>
        <v>54.495202000000006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VLOOKUP(B13,'[8]恒伟1 (2)'!$B$9:$G$28,6,0)</f>
        <v>54.495202000000006</v>
      </c>
      <c r="J13" s="80">
        <f t="shared" si="0"/>
        <v>54.495202000000006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VLOOKUP(B14,'[8]恒伟1 (2)'!$B$9:$G$28,6,0)</f>
        <v>52.588376000000004</v>
      </c>
      <c r="J14" s="80">
        <f t="shared" si="0"/>
        <v>52.588376000000004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VLOOKUP(B15,'[8]恒伟1 (2)'!$B$9:$G$28,6,0)</f>
        <v>52.588376000000004</v>
      </c>
      <c r="J15" s="80">
        <f t="shared" si="0"/>
        <v>52.588376000000004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VLOOKUP(B16,'[8]恒伟1 (2)'!$B$9:$G$28,6,0)</f>
        <v>57.927547000000004</v>
      </c>
      <c r="J16" s="80">
        <f t="shared" si="0"/>
        <v>57.927547000000004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VLOOKUP(B17,'[8]恒伟1 (2)'!$B$9:$G$28,6,0)</f>
        <v>55.571637000000003</v>
      </c>
      <c r="J17" s="80">
        <f t="shared" si="0"/>
        <v>55.571637000000003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VLOOKUP(B18,'[8]恒伟1 (2)'!$B$9:$G$28,6,0)</f>
        <v>71.413387</v>
      </c>
      <c r="J18" s="80">
        <f t="shared" si="0"/>
        <v>71.413387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VLOOKUP(B19,'[8]恒伟1 (2)'!$B$9:$G$28,6,0)</f>
        <v>64.160248999999993</v>
      </c>
      <c r="J19" s="80">
        <f t="shared" si="0"/>
        <v>64.160248999999993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VLOOKUP(B20,'[8]恒伟1 (2)'!$B$9:$G$28,6,0)</f>
        <v>27.732126000000001</v>
      </c>
      <c r="J20" s="80">
        <f t="shared" si="0"/>
        <v>27.732126000000001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VLOOKUP(B21,'[8]恒伟1 (2)'!$B$9:$G$28,6,0)</f>
        <v>33.430641999999999</v>
      </c>
      <c r="J21" s="80">
        <f t="shared" si="0"/>
        <v>33.430641999999999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VLOOKUP(B22,'[8]恒伟1 (2)'!$B$9:$G$28,6,0)</f>
        <v>33.430641999999999</v>
      </c>
      <c r="J22" s="80">
        <f t="shared" si="0"/>
        <v>33.430641999999999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f>VLOOKUP(B23,'[8]恒伟1 (2)'!$B$9:$G$28,6,0)</f>
        <v>56.991500000000002</v>
      </c>
      <c r="J23" s="80">
        <f t="shared" si="0"/>
        <v>56.991500000000002</v>
      </c>
      <c r="K23" s="93" t="s">
        <v>497</v>
      </c>
      <c r="L23" s="93" t="s">
        <v>498</v>
      </c>
      <c r="N23" s="96"/>
    </row>
    <row r="24" spans="1:14" s="39" customFormat="1" ht="27.75" customHeight="1">
      <c r="A24" s="202" t="s">
        <v>615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</row>
    <row r="25" spans="1:14" s="39" customFormat="1" ht="96.6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</row>
    <row r="26" spans="1:14" s="39" customFormat="1" ht="93" customHeight="1">
      <c r="A26" s="203" t="s">
        <v>13</v>
      </c>
      <c r="B26" s="204"/>
      <c r="C26" s="205" t="s">
        <v>14</v>
      </c>
      <c r="D26" s="205"/>
      <c r="E26" s="205"/>
      <c r="F26" s="206" t="s">
        <v>15</v>
      </c>
      <c r="G26" s="207"/>
      <c r="H26" s="207"/>
      <c r="I26" s="206" t="s">
        <v>16</v>
      </c>
      <c r="J26" s="207"/>
      <c r="K26" s="202" t="s">
        <v>17</v>
      </c>
      <c r="L26" s="202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1B5F-51FF-47A8-92D5-EF1B9BA08603}">
  <sheetPr codeName="Sheet39">
    <pageSetUpPr fitToPage="1"/>
  </sheetPr>
  <dimension ref="A1:U518"/>
  <sheetViews>
    <sheetView zoomScale="70" zoomScaleNormal="70" workbookViewId="0">
      <selection activeCell="L6" sqref="L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0" width="10" style="1"/>
    <col min="21" max="21" width="15.88671875" style="1" customWidth="1"/>
    <col min="22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1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1" s="39" customFormat="1" ht="27.75" customHeight="1">
      <c r="J2" s="201" t="s">
        <v>1</v>
      </c>
      <c r="K2" s="201"/>
      <c r="L2" s="201"/>
      <c r="N2" s="209" t="s">
        <v>640</v>
      </c>
      <c r="O2" s="209" t="s">
        <v>641</v>
      </c>
      <c r="P2" s="209" t="s">
        <v>642</v>
      </c>
      <c r="Q2" s="209" t="s">
        <v>643</v>
      </c>
      <c r="R2" s="209" t="s">
        <v>641</v>
      </c>
      <c r="S2" s="209" t="s">
        <v>642</v>
      </c>
      <c r="T2" s="116"/>
      <c r="U2" s="116"/>
    </row>
    <row r="3" spans="1:21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210"/>
      <c r="O3" s="210"/>
      <c r="P3" s="210"/>
      <c r="Q3" s="210"/>
      <c r="R3" s="211"/>
      <c r="S3" s="210"/>
      <c r="T3" s="116"/>
      <c r="U3" s="116"/>
    </row>
    <row r="4" spans="1:21" s="83" customFormat="1" ht="67.8" customHeight="1">
      <c r="A4" s="34">
        <v>1</v>
      </c>
      <c r="B4" s="34" t="s">
        <v>616</v>
      </c>
      <c r="C4" s="35" t="s">
        <v>617</v>
      </c>
      <c r="D4" s="35"/>
      <c r="E4" s="34" t="s">
        <v>20</v>
      </c>
      <c r="F4" s="80">
        <v>1.3</v>
      </c>
      <c r="G4" s="36">
        <v>0.13</v>
      </c>
      <c r="H4" s="97">
        <v>0.9904302697955556</v>
      </c>
      <c r="I4" s="80">
        <v>0.9904302697955556</v>
      </c>
      <c r="J4" s="80">
        <v>0.9904302697955556</v>
      </c>
      <c r="K4" s="93" t="s">
        <v>638</v>
      </c>
      <c r="L4" s="93"/>
      <c r="N4" s="45">
        <v>1.605</v>
      </c>
      <c r="O4" s="117" t="s">
        <v>644</v>
      </c>
      <c r="P4" s="117"/>
      <c r="Q4" s="117">
        <v>1.45</v>
      </c>
      <c r="R4" s="117" t="s">
        <v>645</v>
      </c>
      <c r="S4" s="117"/>
      <c r="T4" s="39"/>
      <c r="U4" s="39" t="s">
        <v>646</v>
      </c>
    </row>
    <row r="5" spans="1:21" s="83" customFormat="1" ht="67.8" customHeight="1">
      <c r="A5" s="34">
        <v>2</v>
      </c>
      <c r="B5" s="34" t="s">
        <v>308</v>
      </c>
      <c r="C5" s="35" t="s">
        <v>618</v>
      </c>
      <c r="D5" s="35"/>
      <c r="E5" s="34" t="s">
        <v>20</v>
      </c>
      <c r="F5" s="80">
        <v>1</v>
      </c>
      <c r="G5" s="36">
        <v>0.13</v>
      </c>
      <c r="H5" s="97">
        <v>0.53291718791111109</v>
      </c>
      <c r="I5" s="80">
        <v>0.96</v>
      </c>
      <c r="J5" s="80">
        <v>0.96</v>
      </c>
      <c r="K5" s="93" t="s">
        <v>638</v>
      </c>
      <c r="L5" s="93"/>
      <c r="N5" s="45">
        <v>0.52200000000000002</v>
      </c>
      <c r="O5" s="117" t="s">
        <v>647</v>
      </c>
      <c r="P5" s="117" t="s">
        <v>648</v>
      </c>
      <c r="Q5" s="117">
        <v>0.56699999999999995</v>
      </c>
      <c r="R5" s="117" t="s">
        <v>649</v>
      </c>
      <c r="S5" s="117" t="s">
        <v>650</v>
      </c>
      <c r="T5" s="39"/>
      <c r="U5" s="39" t="s">
        <v>651</v>
      </c>
    </row>
    <row r="6" spans="1:21" s="83" customFormat="1" ht="67.8" customHeight="1">
      <c r="A6" s="34">
        <v>3</v>
      </c>
      <c r="B6" s="34" t="s">
        <v>619</v>
      </c>
      <c r="C6" s="35" t="s">
        <v>620</v>
      </c>
      <c r="D6" s="35"/>
      <c r="E6" s="34" t="s">
        <v>20</v>
      </c>
      <c r="F6" s="80">
        <v>0.72</v>
      </c>
      <c r="G6" s="36">
        <v>0.13</v>
      </c>
      <c r="H6" s="97">
        <v>0.47639822222222222</v>
      </c>
      <c r="I6" s="80">
        <v>0.72</v>
      </c>
      <c r="J6" s="80">
        <v>0.72</v>
      </c>
      <c r="K6" s="93" t="s">
        <v>638</v>
      </c>
      <c r="L6" s="93"/>
      <c r="N6" s="45"/>
      <c r="O6" s="117"/>
      <c r="P6" s="117"/>
      <c r="Q6" s="117"/>
      <c r="R6" s="117"/>
      <c r="S6" s="117"/>
      <c r="T6" s="39"/>
      <c r="U6" s="39" t="s">
        <v>646</v>
      </c>
    </row>
    <row r="7" spans="1:21" s="83" customFormat="1" ht="67.8" customHeight="1">
      <c r="A7" s="34">
        <v>4</v>
      </c>
      <c r="B7" s="34" t="s">
        <v>621</v>
      </c>
      <c r="C7" s="35" t="s">
        <v>622</v>
      </c>
      <c r="D7" s="35"/>
      <c r="E7" s="34" t="s">
        <v>20</v>
      </c>
      <c r="F7" s="80">
        <v>3.3</v>
      </c>
      <c r="G7" s="36">
        <v>0.13</v>
      </c>
      <c r="H7" s="97">
        <v>2.1706431438222222</v>
      </c>
      <c r="I7" s="80">
        <v>2.98</v>
      </c>
      <c r="J7" s="80">
        <v>2.98</v>
      </c>
      <c r="K7" s="93" t="s">
        <v>638</v>
      </c>
      <c r="L7" s="93"/>
      <c r="N7" s="45">
        <v>2.5343382499115048</v>
      </c>
      <c r="O7" s="117" t="s">
        <v>644</v>
      </c>
      <c r="P7" s="117"/>
      <c r="Q7" s="117">
        <v>3.75</v>
      </c>
      <c r="R7" s="117" t="s">
        <v>645</v>
      </c>
      <c r="S7" s="117"/>
      <c r="T7" s="39"/>
      <c r="U7" s="39" t="s">
        <v>639</v>
      </c>
    </row>
    <row r="8" spans="1:21" s="83" customFormat="1" ht="67.8" customHeight="1">
      <c r="A8" s="34">
        <v>5</v>
      </c>
      <c r="B8" s="34" t="s">
        <v>623</v>
      </c>
      <c r="C8" s="35" t="s">
        <v>624</v>
      </c>
      <c r="D8" s="35"/>
      <c r="E8" s="34" t="s">
        <v>20</v>
      </c>
      <c r="F8" s="80">
        <v>0.6</v>
      </c>
      <c r="G8" s="36">
        <v>0.13</v>
      </c>
      <c r="H8" s="97">
        <v>0.56982062157688895</v>
      </c>
      <c r="I8" s="80">
        <v>0.56982062157688895</v>
      </c>
      <c r="J8" s="80">
        <v>0.56982062157688895</v>
      </c>
      <c r="K8" s="93" t="s">
        <v>638</v>
      </c>
      <c r="L8" s="93"/>
      <c r="N8" s="45"/>
      <c r="O8" s="117"/>
      <c r="P8" s="117"/>
      <c r="Q8" s="117"/>
      <c r="R8" s="117"/>
      <c r="S8" s="117"/>
      <c r="T8" s="39"/>
      <c r="U8" s="39" t="s">
        <v>646</v>
      </c>
    </row>
    <row r="9" spans="1:21" s="83" customFormat="1" ht="67.8" customHeight="1">
      <c r="A9" s="34">
        <v>6</v>
      </c>
      <c r="B9" s="34" t="s">
        <v>625</v>
      </c>
      <c r="C9" s="35" t="s">
        <v>626</v>
      </c>
      <c r="D9" s="35"/>
      <c r="E9" s="34" t="s">
        <v>20</v>
      </c>
      <c r="F9" s="80">
        <v>1.22</v>
      </c>
      <c r="G9" s="36">
        <v>0.13</v>
      </c>
      <c r="H9" s="97">
        <v>0.90746815288888893</v>
      </c>
      <c r="I9" s="80">
        <v>1.22</v>
      </c>
      <c r="J9" s="80">
        <v>1.22</v>
      </c>
      <c r="K9" s="93" t="s">
        <v>638</v>
      </c>
      <c r="L9" s="93"/>
      <c r="N9" s="45">
        <v>0.7</v>
      </c>
      <c r="O9" s="117" t="s">
        <v>652</v>
      </c>
      <c r="P9" s="117" t="s">
        <v>653</v>
      </c>
      <c r="Q9" s="117"/>
      <c r="R9" s="117"/>
      <c r="S9" s="117"/>
      <c r="T9" s="39"/>
      <c r="U9" s="39" t="s">
        <v>654</v>
      </c>
    </row>
    <row r="10" spans="1:21" s="83" customFormat="1" ht="67.8" customHeight="1">
      <c r="A10" s="34">
        <v>7</v>
      </c>
      <c r="B10" s="34" t="s">
        <v>627</v>
      </c>
      <c r="C10" s="35" t="s">
        <v>628</v>
      </c>
      <c r="D10" s="35"/>
      <c r="E10" s="34" t="s">
        <v>20</v>
      </c>
      <c r="F10" s="80">
        <v>3.21</v>
      </c>
      <c r="G10" s="36">
        <v>0.13</v>
      </c>
      <c r="H10" s="97">
        <v>2.3016000000000001</v>
      </c>
      <c r="I10" s="80">
        <v>3.21</v>
      </c>
      <c r="J10" s="80">
        <v>3.21</v>
      </c>
      <c r="K10" s="93" t="s">
        <v>638</v>
      </c>
      <c r="L10" s="93"/>
      <c r="N10" s="45">
        <v>2.5324</v>
      </c>
      <c r="O10" s="117" t="s">
        <v>644</v>
      </c>
      <c r="P10" s="117"/>
      <c r="Q10" s="117">
        <v>1.18</v>
      </c>
      <c r="R10" s="117" t="s">
        <v>655</v>
      </c>
      <c r="S10" s="117"/>
      <c r="T10" s="39"/>
      <c r="U10" s="39" t="s">
        <v>656</v>
      </c>
    </row>
    <row r="11" spans="1:21" s="83" customFormat="1" ht="67.8" customHeight="1">
      <c r="A11" s="34">
        <v>8</v>
      </c>
      <c r="B11" s="34" t="s">
        <v>629</v>
      </c>
      <c r="C11" s="35" t="s">
        <v>630</v>
      </c>
      <c r="D11" s="35"/>
      <c r="E11" s="34" t="s">
        <v>20</v>
      </c>
      <c r="F11" s="80">
        <v>3.02</v>
      </c>
      <c r="G11" s="36">
        <v>0.13</v>
      </c>
      <c r="H11" s="97">
        <v>2.9039096227555556</v>
      </c>
      <c r="I11" s="80">
        <v>2.9039096227555556</v>
      </c>
      <c r="J11" s="80">
        <v>2.9039096227555556</v>
      </c>
      <c r="K11" s="93" t="s">
        <v>638</v>
      </c>
      <c r="L11" s="93"/>
      <c r="N11" s="45">
        <v>2.6951999999999998</v>
      </c>
      <c r="O11" s="117" t="s">
        <v>644</v>
      </c>
      <c r="P11" s="117"/>
      <c r="Q11" s="117">
        <v>1.504</v>
      </c>
      <c r="R11" s="117" t="s">
        <v>645</v>
      </c>
      <c r="S11" s="117"/>
      <c r="T11" s="39"/>
      <c r="U11" s="39" t="s">
        <v>657</v>
      </c>
    </row>
    <row r="12" spans="1:21" s="83" customFormat="1" ht="67.8" customHeight="1">
      <c r="A12" s="34">
        <v>9</v>
      </c>
      <c r="B12" s="34" t="s">
        <v>631</v>
      </c>
      <c r="C12" s="35" t="s">
        <v>632</v>
      </c>
      <c r="D12" s="35"/>
      <c r="E12" s="34" t="s">
        <v>20</v>
      </c>
      <c r="F12" s="80">
        <v>0.6</v>
      </c>
      <c r="G12" s="36">
        <v>0.13</v>
      </c>
      <c r="H12" s="97">
        <v>0.5187788355555556</v>
      </c>
      <c r="I12" s="80">
        <v>0.5187788355555556</v>
      </c>
      <c r="J12" s="80">
        <v>0.5187788355555556</v>
      </c>
      <c r="K12" s="93" t="s">
        <v>638</v>
      </c>
      <c r="L12" s="93"/>
      <c r="N12" s="45">
        <v>0.65</v>
      </c>
      <c r="O12" s="117" t="s">
        <v>652</v>
      </c>
      <c r="P12" s="117" t="s">
        <v>653</v>
      </c>
      <c r="Q12" s="117"/>
      <c r="R12" s="117"/>
      <c r="S12" s="117"/>
      <c r="T12" s="39"/>
      <c r="U12" s="39" t="s">
        <v>654</v>
      </c>
    </row>
    <row r="13" spans="1:21" s="83" customFormat="1" ht="67.8" customHeight="1">
      <c r="A13" s="34">
        <v>10</v>
      </c>
      <c r="B13" s="34" t="s">
        <v>633</v>
      </c>
      <c r="C13" s="35" t="s">
        <v>634</v>
      </c>
      <c r="D13" s="35"/>
      <c r="E13" s="34" t="s">
        <v>20</v>
      </c>
      <c r="F13" s="80">
        <v>2.78</v>
      </c>
      <c r="G13" s="36">
        <v>0.13</v>
      </c>
      <c r="H13" s="97">
        <v>1.2707022222222222</v>
      </c>
      <c r="I13" s="80">
        <v>2.78</v>
      </c>
      <c r="J13" s="80">
        <v>2.78</v>
      </c>
      <c r="K13" s="93" t="s">
        <v>638</v>
      </c>
      <c r="L13" s="93"/>
      <c r="N13" s="45">
        <v>1.4</v>
      </c>
      <c r="O13" s="117" t="s">
        <v>652</v>
      </c>
      <c r="P13" s="117" t="s">
        <v>653</v>
      </c>
      <c r="Q13" s="117"/>
      <c r="R13" s="117"/>
      <c r="S13" s="117"/>
      <c r="T13" s="39"/>
      <c r="U13" s="39" t="s">
        <v>654</v>
      </c>
    </row>
    <row r="14" spans="1:21" s="83" customFormat="1" ht="67.8" customHeight="1">
      <c r="A14" s="34">
        <v>11</v>
      </c>
      <c r="B14" s="34" t="s">
        <v>635</v>
      </c>
      <c r="C14" s="35" t="s">
        <v>636</v>
      </c>
      <c r="D14" s="35"/>
      <c r="E14" s="34" t="s">
        <v>20</v>
      </c>
      <c r="F14" s="80">
        <v>3</v>
      </c>
      <c r="G14" s="36">
        <v>0.13</v>
      </c>
      <c r="H14" s="97">
        <v>1.5112594659555549</v>
      </c>
      <c r="I14" s="80">
        <v>3</v>
      </c>
      <c r="J14" s="80">
        <v>3</v>
      </c>
      <c r="K14" s="93" t="s">
        <v>638</v>
      </c>
      <c r="L14" s="93"/>
      <c r="N14" s="45">
        <v>1.58</v>
      </c>
      <c r="O14" s="117" t="s">
        <v>652</v>
      </c>
      <c r="P14" s="117" t="s">
        <v>653</v>
      </c>
      <c r="Q14" s="117"/>
      <c r="R14" s="117"/>
      <c r="S14" s="117"/>
      <c r="T14" s="39" t="s">
        <v>658</v>
      </c>
      <c r="U14" s="39" t="s">
        <v>654</v>
      </c>
    </row>
    <row r="15" spans="1:21" s="39" customFormat="1" ht="27.75" customHeight="1">
      <c r="A15" s="202" t="s">
        <v>637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</row>
    <row r="16" spans="1:21" s="39" customFormat="1" ht="96.6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</row>
    <row r="17" spans="1:12" s="39" customFormat="1" ht="93" customHeight="1">
      <c r="A17" s="203" t="s">
        <v>13</v>
      </c>
      <c r="B17" s="204"/>
      <c r="C17" s="205" t="s">
        <v>14</v>
      </c>
      <c r="D17" s="205"/>
      <c r="E17" s="205"/>
      <c r="F17" s="206" t="s">
        <v>15</v>
      </c>
      <c r="G17" s="207"/>
      <c r="H17" s="207"/>
      <c r="I17" s="206" t="s">
        <v>16</v>
      </c>
      <c r="J17" s="207"/>
      <c r="K17" s="202" t="s">
        <v>17</v>
      </c>
      <c r="L17" s="202"/>
    </row>
    <row r="18" spans="1:12" s="39" customFormat="1" ht="27.75" customHeight="1"/>
    <row r="19" spans="1:12" s="39" customFormat="1" ht="27.75" customHeight="1"/>
    <row r="20" spans="1:12" s="39" customFormat="1" ht="27.75" customHeight="1"/>
    <row r="21" spans="1:12" s="39" customFormat="1" ht="27.75" customHeight="1"/>
    <row r="22" spans="1:12" s="39" customFormat="1" ht="27.75" customHeight="1"/>
    <row r="23" spans="1:12" s="39" customFormat="1" ht="27.75" customHeight="1"/>
    <row r="24" spans="1:12" s="39" customFormat="1" ht="27.75" customHeight="1"/>
    <row r="25" spans="1:12" s="39" customFormat="1" ht="27.75" customHeight="1"/>
    <row r="26" spans="1:12" s="39" customFormat="1" ht="27.75" customHeight="1"/>
    <row r="27" spans="1:12" s="39" customFormat="1" ht="27.75" customHeight="1"/>
    <row r="28" spans="1:12" s="39" customFormat="1" ht="27.75" customHeight="1"/>
    <row r="29" spans="1:12" s="39" customFormat="1" ht="27.75" customHeight="1"/>
    <row r="30" spans="1:12" s="39" customFormat="1" ht="27.75" customHeight="1"/>
    <row r="31" spans="1:12" s="39" customFormat="1" ht="27.75" customHeight="1"/>
    <row r="32" spans="1:1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</sheetData>
  <autoFilter ref="A3:M17" xr:uid="{5E8330BB-28EE-4D19-A3B7-0FB7B91864ED}"/>
  <mergeCells count="14">
    <mergeCell ref="N2:N3"/>
    <mergeCell ref="A1:L1"/>
    <mergeCell ref="J2:L2"/>
    <mergeCell ref="A15:L16"/>
    <mergeCell ref="A17:B17"/>
    <mergeCell ref="C17:E17"/>
    <mergeCell ref="F17:H17"/>
    <mergeCell ref="I17:J17"/>
    <mergeCell ref="K17:L17"/>
    <mergeCell ref="O2:O3"/>
    <mergeCell ref="P2:P3"/>
    <mergeCell ref="Q2:Q3"/>
    <mergeCell ref="R2:R3"/>
    <mergeCell ref="S2:S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 codeName="Sheet4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2" ht="27.75" customHeight="1">
      <c r="I2" s="200" t="s">
        <v>1</v>
      </c>
      <c r="J2" s="200"/>
      <c r="K2" s="20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43</v>
      </c>
      <c r="C4" s="14" t="s">
        <v>44</v>
      </c>
      <c r="D4" s="12" t="s">
        <v>20</v>
      </c>
      <c r="E4" s="15">
        <v>5.5752212389380533</v>
      </c>
      <c r="F4" s="7">
        <v>0.13</v>
      </c>
      <c r="G4" s="9">
        <v>4.2209000000000003</v>
      </c>
      <c r="H4" s="15">
        <v>4.4850000000000003</v>
      </c>
      <c r="I4" s="15">
        <v>4.4850000000000003</v>
      </c>
      <c r="J4" s="16" t="s">
        <v>47</v>
      </c>
      <c r="K4" s="16" t="s">
        <v>48</v>
      </c>
      <c r="L4" s="8"/>
    </row>
    <row r="5" spans="1:12" ht="62.4" customHeight="1">
      <c r="A5" s="12">
        <v>2</v>
      </c>
      <c r="B5" s="12" t="s">
        <v>45</v>
      </c>
      <c r="C5" s="14" t="s">
        <v>46</v>
      </c>
      <c r="D5" s="12" t="s">
        <v>20</v>
      </c>
      <c r="E5" s="15">
        <v>6.4601769911504432</v>
      </c>
      <c r="F5" s="7">
        <v>0.13</v>
      </c>
      <c r="G5" s="9">
        <v>4.5389999999999997</v>
      </c>
      <c r="H5" s="15">
        <v>4.8209999999999997</v>
      </c>
      <c r="I5" s="15">
        <v>4.8209999999999997</v>
      </c>
      <c r="J5" s="16" t="s">
        <v>47</v>
      </c>
      <c r="K5" s="16" t="s">
        <v>48</v>
      </c>
      <c r="L5" s="8"/>
    </row>
    <row r="6" spans="1:12" ht="27.75" customHeight="1">
      <c r="A6" s="193" t="s">
        <v>49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spans="1:12" ht="77.400000000000006" customHeight="1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</row>
    <row r="8" spans="1:12" ht="93" customHeight="1">
      <c r="A8" s="194" t="s">
        <v>13</v>
      </c>
      <c r="B8" s="195"/>
      <c r="C8" s="196" t="s">
        <v>14</v>
      </c>
      <c r="D8" s="196"/>
      <c r="E8" s="193" t="s">
        <v>15</v>
      </c>
      <c r="F8" s="193"/>
      <c r="G8" s="193"/>
      <c r="H8" s="193" t="s">
        <v>16</v>
      </c>
      <c r="I8" s="193"/>
      <c r="J8" s="193" t="s">
        <v>17</v>
      </c>
      <c r="K8" s="193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EF94-F90C-4CDC-BD5F-FF08D5A06F82}">
  <sheetPr codeName="Sheet40">
    <pageSetUpPr fitToPage="1"/>
  </sheetPr>
  <dimension ref="A1:P15"/>
  <sheetViews>
    <sheetView workbookViewId="0">
      <selection activeCell="K5" sqref="K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44140625" style="1" customWidth="1"/>
    <col min="4" max="4" width="6.109375" style="1" customWidth="1"/>
    <col min="5" max="6" width="7.88671875" style="1" customWidth="1"/>
    <col min="7" max="7" width="7.109375" style="1" customWidth="1"/>
    <col min="8" max="8" width="11.6640625" style="1" customWidth="1"/>
    <col min="9" max="9" width="9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 bestFit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 bestFit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 bestFit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 bestFit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 bestFit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 bestFit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 bestFit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 bestFit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 bestFit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 bestFit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 bestFit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 bestFit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 bestFit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 bestFit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 bestFit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 bestFit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 bestFit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 bestFit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 bestFit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 bestFit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 bestFit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 bestFit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 bestFit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 bestFit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 bestFit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 bestFit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 bestFit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 bestFit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 bestFit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 bestFit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 bestFit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 bestFit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 bestFit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 bestFit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 bestFit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 bestFit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 bestFit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 bestFit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 bestFit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 bestFit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 bestFit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 bestFit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 bestFit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 bestFit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 bestFit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 bestFit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 bestFit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 bestFit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 bestFit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 bestFit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 bestFit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 bestFit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 bestFit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 bestFit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 bestFit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 bestFit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 bestFit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 bestFit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 bestFit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 bestFit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 bestFit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 bestFit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 bestFit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6" ht="27.75" customHeight="1">
      <c r="A2" s="1" t="s">
        <v>661</v>
      </c>
      <c r="M2" s="200" t="s">
        <v>1</v>
      </c>
      <c r="N2" s="200"/>
      <c r="O2" s="200"/>
      <c r="P2" s="200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39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678</v>
      </c>
      <c r="C5" s="121" t="s">
        <v>677</v>
      </c>
      <c r="D5" s="122" t="s">
        <v>20</v>
      </c>
      <c r="E5" s="129">
        <v>0.28000000000000003</v>
      </c>
      <c r="F5" s="129">
        <v>0.28000000000000003</v>
      </c>
      <c r="G5" s="130">
        <v>0.13</v>
      </c>
      <c r="H5" s="125"/>
      <c r="I5" s="124"/>
      <c r="J5" s="5"/>
      <c r="K5" s="126"/>
      <c r="L5" s="124">
        <v>0</v>
      </c>
      <c r="M5" s="125">
        <v>0.23880000000000001</v>
      </c>
      <c r="N5" s="131">
        <v>0.23880000000000001</v>
      </c>
      <c r="O5" s="127" t="s">
        <v>676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212" t="s">
        <v>675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16" ht="27.75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</row>
    <row r="15" spans="1:16" ht="93" customHeight="1">
      <c r="A15" s="193" t="s">
        <v>13</v>
      </c>
      <c r="B15" s="193"/>
      <c r="C15" s="193"/>
      <c r="D15" s="193" t="s">
        <v>14</v>
      </c>
      <c r="E15" s="193"/>
      <c r="F15" s="193"/>
      <c r="G15" s="193"/>
      <c r="H15" s="193"/>
      <c r="I15" s="193" t="s">
        <v>15</v>
      </c>
      <c r="J15" s="193"/>
      <c r="K15" s="193"/>
      <c r="L15" s="193" t="s">
        <v>16</v>
      </c>
      <c r="M15" s="193"/>
      <c r="N15" s="193"/>
      <c r="O15" s="193" t="s">
        <v>17</v>
      </c>
      <c r="P15" s="193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80B09C4-9D05-437E-BBCC-397E4D8595C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8DE5-7F29-49CB-8531-2709F4F4E79B}">
  <sheetPr codeName="Sheet41">
    <pageSetUpPr fitToPage="1"/>
  </sheetPr>
  <dimension ref="A1:P15"/>
  <sheetViews>
    <sheetView workbookViewId="0">
      <selection activeCell="G7" sqref="G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19" style="1" customWidth="1"/>
    <col min="4" max="4" width="6.109375" style="1" customWidth="1"/>
    <col min="5" max="6" width="7.88671875" style="1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6" ht="27.75" customHeight="1">
      <c r="A2" s="1" t="s">
        <v>661</v>
      </c>
      <c r="M2" s="200" t="s">
        <v>1</v>
      </c>
      <c r="N2" s="200"/>
      <c r="O2" s="200"/>
      <c r="P2" s="200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39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679</v>
      </c>
      <c r="C5" s="121" t="s">
        <v>680</v>
      </c>
      <c r="D5" s="122" t="s">
        <v>20</v>
      </c>
      <c r="E5" s="129">
        <v>0.21</v>
      </c>
      <c r="F5" s="129">
        <v>0</v>
      </c>
      <c r="G5" s="130">
        <v>0.13</v>
      </c>
      <c r="H5" s="125"/>
      <c r="I5" s="124"/>
      <c r="J5" s="6" t="s">
        <v>681</v>
      </c>
      <c r="K5" s="126">
        <v>9.5</v>
      </c>
      <c r="L5" s="124">
        <v>0</v>
      </c>
      <c r="M5" s="129">
        <v>0.21</v>
      </c>
      <c r="N5" s="129">
        <v>0.21</v>
      </c>
      <c r="O5" s="127" t="s">
        <v>455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193" t="s">
        <v>682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16" ht="27.75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</row>
    <row r="15" spans="1:16" ht="93" customHeight="1">
      <c r="A15" s="193" t="s">
        <v>13</v>
      </c>
      <c r="B15" s="193"/>
      <c r="C15" s="193"/>
      <c r="D15" s="193" t="s">
        <v>14</v>
      </c>
      <c r="E15" s="193"/>
      <c r="F15" s="193"/>
      <c r="G15" s="193"/>
      <c r="H15" s="193"/>
      <c r="I15" s="193" t="s">
        <v>15</v>
      </c>
      <c r="J15" s="193"/>
      <c r="K15" s="193"/>
      <c r="L15" s="193" t="s">
        <v>16</v>
      </c>
      <c r="M15" s="193"/>
      <c r="N15" s="193"/>
      <c r="O15" s="193" t="s">
        <v>17</v>
      </c>
      <c r="P15" s="193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2833B69-61E2-4278-A344-981A39AB91A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1E21-42EE-42E8-84C4-1813BB74F6C2}">
  <sheetPr codeName="Sheet42">
    <pageSetUpPr fitToPage="1"/>
  </sheetPr>
  <dimension ref="A1:Q15"/>
  <sheetViews>
    <sheetView workbookViewId="0">
      <selection activeCell="I7" sqref="I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7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7" ht="27.75" customHeight="1">
      <c r="A2" s="1" t="s">
        <v>661</v>
      </c>
      <c r="M2" s="200" t="s">
        <v>1</v>
      </c>
      <c r="N2" s="200"/>
      <c r="O2" s="200"/>
      <c r="P2" s="200"/>
    </row>
    <row r="3" spans="1:17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7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7" ht="27.75" customHeight="1">
      <c r="A5" s="147">
        <v>1</v>
      </c>
      <c r="B5" s="148" t="s">
        <v>698</v>
      </c>
      <c r="C5" s="149" t="s">
        <v>683</v>
      </c>
      <c r="D5" s="122" t="s">
        <v>20</v>
      </c>
      <c r="E5" s="133">
        <f>0.25/1.13</f>
        <v>0.22123893805309736</v>
      </c>
      <c r="F5" s="133">
        <f>E5</f>
        <v>0.22123893805309736</v>
      </c>
      <c r="G5" s="130">
        <v>0.13</v>
      </c>
      <c r="H5" s="125"/>
      <c r="I5" s="124"/>
      <c r="J5" s="6" t="s">
        <v>700</v>
      </c>
      <c r="K5" s="126">
        <f>5.3/1.13</f>
        <v>4.6902654867256643</v>
      </c>
      <c r="L5" s="133">
        <v>0</v>
      </c>
      <c r="M5" s="133">
        <v>0.22123893805309736</v>
      </c>
      <c r="N5" s="133">
        <v>0.22123893805309736</v>
      </c>
      <c r="O5" s="127" t="s">
        <v>278</v>
      </c>
      <c r="P5" s="128" t="s">
        <v>692</v>
      </c>
      <c r="Q5" s="1" t="s">
        <v>696</v>
      </c>
    </row>
    <row r="6" spans="1:17" ht="27.75" customHeight="1">
      <c r="A6" s="6">
        <v>2</v>
      </c>
      <c r="B6" s="120" t="s">
        <v>684</v>
      </c>
      <c r="C6" s="136" t="s">
        <v>685</v>
      </c>
      <c r="D6" s="122" t="s">
        <v>20</v>
      </c>
      <c r="E6" s="133">
        <f>0.78/1.13</f>
        <v>0.69026548672566379</v>
      </c>
      <c r="F6" s="137">
        <f>E6+9000/100000</f>
        <v>0.78026548672566376</v>
      </c>
      <c r="G6" s="130">
        <v>0.13</v>
      </c>
      <c r="H6" s="125"/>
      <c r="I6" s="124"/>
      <c r="J6" s="6" t="s">
        <v>699</v>
      </c>
      <c r="K6" s="126">
        <f>6/1.13</f>
        <v>5.3097345132743365</v>
      </c>
      <c r="L6" s="132">
        <f>9000/100000</f>
        <v>0.09</v>
      </c>
      <c r="M6" s="134">
        <v>0.69026548672566379</v>
      </c>
      <c r="N6" s="135">
        <v>0.78026548672566376</v>
      </c>
      <c r="O6" s="127" t="s">
        <v>278</v>
      </c>
      <c r="P6" s="128" t="s">
        <v>697</v>
      </c>
    </row>
    <row r="7" spans="1:17" ht="27.75" customHeight="1">
      <c r="A7" s="6">
        <v>3</v>
      </c>
      <c r="B7" s="120" t="s">
        <v>686</v>
      </c>
      <c r="C7" s="136" t="s">
        <v>687</v>
      </c>
      <c r="D7" s="122" t="s">
        <v>20</v>
      </c>
      <c r="E7" s="133">
        <f>1.9/1.13</f>
        <v>1.68141592920354</v>
      </c>
      <c r="F7" s="137">
        <f>E7+13000/100000</f>
        <v>1.8114159292035401</v>
      </c>
      <c r="G7" s="130">
        <v>0.13</v>
      </c>
      <c r="H7" s="125"/>
      <c r="I7" s="124"/>
      <c r="J7" s="6" t="s">
        <v>699</v>
      </c>
      <c r="K7" s="126">
        <f>6/1.13</f>
        <v>5.3097345132743365</v>
      </c>
      <c r="L7" s="132">
        <f>13000/100000</f>
        <v>0.13</v>
      </c>
      <c r="M7" s="134">
        <v>1.68141592920354</v>
      </c>
      <c r="N7" s="135">
        <v>1.8114159292035401</v>
      </c>
      <c r="O7" s="127" t="s">
        <v>278</v>
      </c>
      <c r="P7" s="128" t="s">
        <v>693</v>
      </c>
    </row>
    <row r="8" spans="1:17" ht="27.75" customHeight="1">
      <c r="A8" s="147">
        <v>4</v>
      </c>
      <c r="B8" s="148" t="s">
        <v>691</v>
      </c>
      <c r="C8" s="149" t="s">
        <v>688</v>
      </c>
      <c r="D8" s="122" t="s">
        <v>20</v>
      </c>
      <c r="E8" s="133">
        <f>0.29/1.13</f>
        <v>0.25663716814159293</v>
      </c>
      <c r="F8" s="137">
        <f>E8+4500/100000</f>
        <v>0.30163716814159292</v>
      </c>
      <c r="G8" s="130">
        <v>0.13</v>
      </c>
      <c r="H8" s="125"/>
      <c r="I8" s="124"/>
      <c r="J8" s="6" t="s">
        <v>700</v>
      </c>
      <c r="K8" s="126">
        <f>5.3/1.13</f>
        <v>4.6902654867256643</v>
      </c>
      <c r="L8" s="132">
        <f>4500/100000</f>
        <v>4.4999999999999998E-2</v>
      </c>
      <c r="M8" s="134">
        <v>0.25663716814159293</v>
      </c>
      <c r="N8" s="135">
        <v>0.30163716814159292</v>
      </c>
      <c r="O8" s="127" t="s">
        <v>278</v>
      </c>
      <c r="P8" s="128" t="s">
        <v>694</v>
      </c>
      <c r="Q8" s="1" t="s">
        <v>696</v>
      </c>
    </row>
    <row r="9" spans="1:17" ht="27.75" customHeight="1">
      <c r="A9" s="6">
        <v>5</v>
      </c>
      <c r="B9" s="120" t="s">
        <v>689</v>
      </c>
      <c r="C9" s="136" t="s">
        <v>690</v>
      </c>
      <c r="D9" s="122" t="s">
        <v>20</v>
      </c>
      <c r="E9" s="133">
        <f>0.58/1.13</f>
        <v>0.51327433628318586</v>
      </c>
      <c r="F9" s="137">
        <f>E9+7500/100000</f>
        <v>0.58827433628318582</v>
      </c>
      <c r="G9" s="130">
        <v>0.13</v>
      </c>
      <c r="H9" s="125"/>
      <c r="I9" s="124"/>
      <c r="J9" s="6" t="s">
        <v>700</v>
      </c>
      <c r="K9" s="126">
        <f>5.3/1.13</f>
        <v>4.6902654867256643</v>
      </c>
      <c r="L9" s="132">
        <f>7500/100000</f>
        <v>7.4999999999999997E-2</v>
      </c>
      <c r="M9" s="134">
        <v>0.51327433628318586</v>
      </c>
      <c r="N9" s="135">
        <v>0.58827433628318582</v>
      </c>
      <c r="O9" s="127" t="s">
        <v>278</v>
      </c>
      <c r="P9" s="128" t="s">
        <v>695</v>
      </c>
    </row>
    <row r="10" spans="1:17" ht="27.75" customHeight="1">
      <c r="A10" s="6">
        <v>6</v>
      </c>
      <c r="B10" s="120"/>
      <c r="C10" s="121"/>
      <c r="D10" s="122"/>
      <c r="E10" s="123"/>
      <c r="F10" s="132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7" ht="27.75" customHeight="1">
      <c r="A11" s="6">
        <v>7</v>
      </c>
      <c r="B11" s="120"/>
      <c r="C11" s="121"/>
      <c r="D11" s="122"/>
      <c r="E11" s="123"/>
      <c r="F11" s="132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7" ht="27.75" customHeight="1">
      <c r="A12" s="6">
        <v>8</v>
      </c>
      <c r="B12" s="120"/>
      <c r="C12" s="121"/>
      <c r="D12" s="122"/>
      <c r="E12" s="123"/>
      <c r="F12" s="132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7" ht="53.4" customHeight="1">
      <c r="A13" s="193" t="s">
        <v>701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17" ht="53.4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</row>
    <row r="15" spans="1:17" ht="93" customHeight="1">
      <c r="A15" s="193" t="s">
        <v>13</v>
      </c>
      <c r="B15" s="193"/>
      <c r="C15" s="193"/>
      <c r="D15" s="193" t="s">
        <v>14</v>
      </c>
      <c r="E15" s="193"/>
      <c r="F15" s="193"/>
      <c r="G15" s="193"/>
      <c r="H15" s="193"/>
      <c r="I15" s="193" t="s">
        <v>15</v>
      </c>
      <c r="J15" s="193"/>
      <c r="K15" s="193"/>
      <c r="L15" s="193" t="s">
        <v>16</v>
      </c>
      <c r="M15" s="193"/>
      <c r="N15" s="193"/>
      <c r="O15" s="193" t="s">
        <v>17</v>
      </c>
      <c r="P15" s="193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10:G12" xr:uid="{FB2347CA-7030-4F25-87E8-0013FE01DAFF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32D3-045E-477D-95BE-BCED29897FDB}">
  <sheetPr codeName="Sheet43">
    <pageSetUpPr fitToPage="1"/>
  </sheetPr>
  <dimension ref="A1:P12"/>
  <sheetViews>
    <sheetView zoomScale="80" zoomScaleNormal="80" workbookViewId="0">
      <selection activeCell="H2" sqref="H1:I104857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6" ht="27.75" customHeight="1">
      <c r="A2" s="1" t="s">
        <v>661</v>
      </c>
      <c r="M2" s="200" t="s">
        <v>1</v>
      </c>
      <c r="N2" s="200"/>
      <c r="O2" s="200"/>
      <c r="P2" s="200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703</v>
      </c>
      <c r="C5" s="136" t="s">
        <v>704</v>
      </c>
      <c r="D5" s="122" t="s">
        <v>20</v>
      </c>
      <c r="E5" s="138">
        <v>2.3010000000000002</v>
      </c>
      <c r="F5" s="138">
        <v>2.3302</v>
      </c>
      <c r="G5" s="130">
        <v>0.13</v>
      </c>
      <c r="H5" s="125"/>
      <c r="I5" s="124"/>
      <c r="J5" s="6" t="s">
        <v>705</v>
      </c>
      <c r="K5" s="126">
        <v>5.79</v>
      </c>
      <c r="L5" s="141">
        <v>2.92E-2</v>
      </c>
      <c r="M5" s="141">
        <v>1.58</v>
      </c>
      <c r="N5" s="141">
        <v>1.6133</v>
      </c>
      <c r="O5" s="127" t="s">
        <v>702</v>
      </c>
      <c r="P5" s="128" t="s">
        <v>716</v>
      </c>
    </row>
    <row r="6" spans="1:16" ht="27.75" customHeight="1">
      <c r="A6" s="6">
        <v>2</v>
      </c>
      <c r="B6" s="120" t="s">
        <v>706</v>
      </c>
      <c r="C6" s="136" t="s">
        <v>707</v>
      </c>
      <c r="D6" s="122" t="s">
        <v>20</v>
      </c>
      <c r="E6" s="138">
        <v>1.8416999999999999</v>
      </c>
      <c r="F6" s="139">
        <v>1.8593999999999999</v>
      </c>
      <c r="G6" s="130">
        <v>0.13</v>
      </c>
      <c r="H6" s="125"/>
      <c r="I6" s="124"/>
      <c r="J6" s="6" t="s">
        <v>705</v>
      </c>
      <c r="K6" s="126">
        <v>5.79</v>
      </c>
      <c r="L6" s="131">
        <v>1.7699115044247791E-2</v>
      </c>
      <c r="M6" s="142">
        <f>0.97+0.2</f>
        <v>1.17</v>
      </c>
      <c r="N6" s="131">
        <f>M6+0.0177</f>
        <v>1.1877</v>
      </c>
      <c r="O6" s="127" t="s">
        <v>702</v>
      </c>
      <c r="P6" s="128" t="s">
        <v>717</v>
      </c>
    </row>
    <row r="7" spans="1:16" ht="27.75" customHeight="1">
      <c r="A7" s="6">
        <v>3</v>
      </c>
      <c r="B7" s="120" t="s">
        <v>708</v>
      </c>
      <c r="C7" s="136" t="s">
        <v>709</v>
      </c>
      <c r="D7" s="122" t="s">
        <v>20</v>
      </c>
      <c r="E7" s="138">
        <v>1.8852</v>
      </c>
      <c r="F7" s="139">
        <v>1.9029</v>
      </c>
      <c r="G7" s="130">
        <v>0.13</v>
      </c>
      <c r="H7" s="125"/>
      <c r="I7" s="124"/>
      <c r="J7" s="6" t="s">
        <v>705</v>
      </c>
      <c r="K7" s="126">
        <v>5.79</v>
      </c>
      <c r="L7" s="131">
        <v>1.7699115044247791E-2</v>
      </c>
      <c r="M7" s="142">
        <f>1.07+0.2</f>
        <v>1.27</v>
      </c>
      <c r="N7" s="131">
        <f>M7+0.0177</f>
        <v>1.2877000000000001</v>
      </c>
      <c r="O7" s="127" t="s">
        <v>702</v>
      </c>
      <c r="P7" s="128" t="s">
        <v>717</v>
      </c>
    </row>
    <row r="8" spans="1:16" ht="27.75" customHeight="1">
      <c r="A8" s="6">
        <v>4</v>
      </c>
      <c r="B8" s="120" t="s">
        <v>710</v>
      </c>
      <c r="C8" s="136" t="s">
        <v>711</v>
      </c>
      <c r="D8" s="122" t="s">
        <v>20</v>
      </c>
      <c r="E8" s="138">
        <v>0.8</v>
      </c>
      <c r="F8" s="139">
        <v>0.87609999999999999</v>
      </c>
      <c r="G8" s="130">
        <v>0.13</v>
      </c>
      <c r="H8" s="125"/>
      <c r="I8" s="124"/>
      <c r="J8" s="6" t="s">
        <v>700</v>
      </c>
      <c r="K8" s="126">
        <v>4.8499999999999996</v>
      </c>
      <c r="L8" s="131">
        <v>7.9646017699115057E-2</v>
      </c>
      <c r="M8" s="142">
        <v>0.67</v>
      </c>
      <c r="N8" s="131">
        <v>0.74770000000000003</v>
      </c>
      <c r="O8" s="127" t="s">
        <v>702</v>
      </c>
      <c r="P8" s="128" t="s">
        <v>718</v>
      </c>
    </row>
    <row r="9" spans="1:16" ht="27.75" customHeight="1">
      <c r="A9" s="6">
        <v>5</v>
      </c>
      <c r="B9" s="120" t="s">
        <v>712</v>
      </c>
      <c r="C9" s="136" t="s">
        <v>713</v>
      </c>
      <c r="D9" s="122" t="s">
        <v>20</v>
      </c>
      <c r="E9" s="133">
        <v>0.75</v>
      </c>
      <c r="F9" s="140">
        <v>0.80600000000000005</v>
      </c>
      <c r="G9" s="130">
        <v>0.13</v>
      </c>
      <c r="H9" s="125"/>
      <c r="I9" s="124"/>
      <c r="J9" s="6" t="s">
        <v>714</v>
      </c>
      <c r="K9" s="126">
        <v>7.35</v>
      </c>
      <c r="L9" s="131">
        <v>5.6000000000000001E-2</v>
      </c>
      <c r="M9" s="142">
        <v>0.68</v>
      </c>
      <c r="N9" s="131">
        <v>0.73399999999999999</v>
      </c>
      <c r="O9" s="127" t="s">
        <v>702</v>
      </c>
      <c r="P9" s="128" t="s">
        <v>719</v>
      </c>
    </row>
    <row r="10" spans="1:16" ht="53.4" customHeight="1">
      <c r="A10" s="193" t="s">
        <v>715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53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3" t="s">
        <v>13</v>
      </c>
      <c r="B12" s="193"/>
      <c r="C12" s="193"/>
      <c r="D12" s="193" t="s">
        <v>14</v>
      </c>
      <c r="E12" s="193"/>
      <c r="F12" s="193"/>
      <c r="G12" s="193"/>
      <c r="H12" s="193"/>
      <c r="I12" s="193" t="s">
        <v>15</v>
      </c>
      <c r="J12" s="193"/>
      <c r="K12" s="193"/>
      <c r="L12" s="193" t="s">
        <v>16</v>
      </c>
      <c r="M12" s="193"/>
      <c r="N12" s="193"/>
      <c r="O12" s="193" t="s">
        <v>17</v>
      </c>
      <c r="P12" s="193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BFB29106-89F4-4EA3-9FC3-65FE0E4808A1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631B-8347-4CAC-86E7-907C89BAEBCF}">
  <sheetPr codeName="Sheet44">
    <pageSetUpPr fitToPage="1"/>
  </sheetPr>
  <dimension ref="A1:P12"/>
  <sheetViews>
    <sheetView zoomScale="80" zoomScaleNormal="80" workbookViewId="0">
      <selection activeCell="A12" sqref="A12:C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6" ht="27.75" customHeight="1">
      <c r="A2" s="1" t="s">
        <v>661</v>
      </c>
      <c r="M2" s="200" t="s">
        <v>1</v>
      </c>
      <c r="N2" s="200"/>
      <c r="O2" s="200"/>
      <c r="P2" s="200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721</v>
      </c>
      <c r="C5" s="136" t="s">
        <v>722</v>
      </c>
      <c r="D5" s="122" t="s">
        <v>20</v>
      </c>
      <c r="E5" s="138">
        <v>0.30869999999999997</v>
      </c>
      <c r="F5" s="138">
        <f>E5+2000/20000</f>
        <v>0.40869999999999995</v>
      </c>
      <c r="G5" s="130">
        <v>0.13</v>
      </c>
      <c r="H5" s="125"/>
      <c r="I5" s="143">
        <v>0.30869999999999997</v>
      </c>
      <c r="J5" s="6" t="s">
        <v>705</v>
      </c>
      <c r="K5" s="126">
        <v>5.83</v>
      </c>
      <c r="L5" s="141">
        <f>2000/20000</f>
        <v>0.1</v>
      </c>
      <c r="M5" s="141">
        <v>0.30869999999999997</v>
      </c>
      <c r="N5" s="141">
        <v>0.40869999999999995</v>
      </c>
      <c r="O5" s="127" t="s">
        <v>720</v>
      </c>
      <c r="P5" s="128"/>
    </row>
    <row r="6" spans="1:16" ht="27.75" customHeight="1">
      <c r="A6" s="6"/>
      <c r="B6" s="120"/>
      <c r="C6" s="136"/>
      <c r="D6" s="122"/>
      <c r="E6" s="138"/>
      <c r="F6" s="139"/>
      <c r="G6" s="130"/>
      <c r="H6" s="125"/>
      <c r="I6" s="124"/>
      <c r="J6" s="6"/>
      <c r="K6" s="126"/>
      <c r="L6" s="131"/>
      <c r="M6" s="142"/>
      <c r="N6" s="131"/>
      <c r="O6" s="127"/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3" t="s">
        <v>734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53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3" t="s">
        <v>13</v>
      </c>
      <c r="B12" s="193"/>
      <c r="C12" s="193"/>
      <c r="D12" s="193" t="s">
        <v>14</v>
      </c>
      <c r="E12" s="193"/>
      <c r="F12" s="193"/>
      <c r="G12" s="193"/>
      <c r="H12" s="193"/>
      <c r="I12" s="193" t="s">
        <v>15</v>
      </c>
      <c r="J12" s="193"/>
      <c r="K12" s="193"/>
      <c r="L12" s="193" t="s">
        <v>16</v>
      </c>
      <c r="M12" s="193"/>
      <c r="N12" s="193"/>
      <c r="O12" s="193" t="s">
        <v>17</v>
      </c>
      <c r="P12" s="193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4C185000-EE59-43CF-B756-E38B2D5345F9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0256-4360-4F92-B25F-8250EDC4E256}">
  <sheetPr codeName="Sheet45">
    <pageSetUpPr fitToPage="1"/>
  </sheetPr>
  <dimension ref="A1:P12"/>
  <sheetViews>
    <sheetView zoomScale="80" zoomScaleNormal="80" workbookViewId="0">
      <selection activeCell="A10" sqref="A10:P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1.10937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6" ht="27.75" customHeight="1">
      <c r="A2" s="1" t="s">
        <v>661</v>
      </c>
      <c r="M2" s="200" t="s">
        <v>1</v>
      </c>
      <c r="N2" s="200"/>
      <c r="O2" s="200"/>
      <c r="P2" s="200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723</v>
      </c>
      <c r="C5" s="136" t="s">
        <v>724</v>
      </c>
      <c r="D5" s="122" t="s">
        <v>20</v>
      </c>
      <c r="E5" s="138">
        <v>6.5</v>
      </c>
      <c r="F5" s="129" t="s">
        <v>732</v>
      </c>
      <c r="G5" s="130">
        <v>0.13</v>
      </c>
      <c r="H5" s="125"/>
      <c r="I5" s="143">
        <v>6.167466666666666</v>
      </c>
      <c r="J5" s="6" t="s">
        <v>699</v>
      </c>
      <c r="K5" s="126">
        <v>5</v>
      </c>
      <c r="L5" s="129" t="s">
        <v>732</v>
      </c>
      <c r="M5" s="143">
        <v>6.5</v>
      </c>
      <c r="N5" s="129" t="s">
        <v>732</v>
      </c>
      <c r="O5" s="127" t="s">
        <v>24</v>
      </c>
      <c r="P5" s="128"/>
    </row>
    <row r="6" spans="1:16" ht="27.75" customHeight="1">
      <c r="A6" s="6">
        <v>2</v>
      </c>
      <c r="B6" s="120" t="s">
        <v>725</v>
      </c>
      <c r="C6" s="136" t="s">
        <v>726</v>
      </c>
      <c r="D6" s="122" t="s">
        <v>20</v>
      </c>
      <c r="E6" s="144">
        <v>1.5</v>
      </c>
      <c r="F6" s="129" t="s">
        <v>732</v>
      </c>
      <c r="G6" s="130">
        <v>0.13</v>
      </c>
      <c r="H6" s="125"/>
      <c r="I6" s="143">
        <v>0.91941012411733336</v>
      </c>
      <c r="J6" s="6" t="s">
        <v>699</v>
      </c>
      <c r="K6" s="126">
        <v>5</v>
      </c>
      <c r="L6" s="129" t="s">
        <v>732</v>
      </c>
      <c r="M6" s="142">
        <v>0.91941012411733336</v>
      </c>
      <c r="N6" s="129" t="s">
        <v>732</v>
      </c>
      <c r="O6" s="127" t="s">
        <v>24</v>
      </c>
      <c r="P6" s="128"/>
    </row>
    <row r="7" spans="1:16" ht="27.75" customHeight="1">
      <c r="A7" s="6">
        <v>3</v>
      </c>
      <c r="B7" s="120" t="s">
        <v>727</v>
      </c>
      <c r="C7" s="136" t="s">
        <v>728</v>
      </c>
      <c r="D7" s="122" t="s">
        <v>20</v>
      </c>
      <c r="E7" s="144">
        <v>1</v>
      </c>
      <c r="F7" s="129" t="s">
        <v>732</v>
      </c>
      <c r="G7" s="130">
        <v>0.13</v>
      </c>
      <c r="H7" s="125"/>
      <c r="I7" s="143">
        <v>0.59486078648888896</v>
      </c>
      <c r="J7" s="6" t="s">
        <v>699</v>
      </c>
      <c r="K7" s="126">
        <v>5</v>
      </c>
      <c r="L7" s="129" t="s">
        <v>732</v>
      </c>
      <c r="M7" s="142">
        <v>0.59486078648888896</v>
      </c>
      <c r="N7" s="129" t="s">
        <v>732</v>
      </c>
      <c r="O7" s="127" t="s">
        <v>24</v>
      </c>
      <c r="P7" s="128"/>
    </row>
    <row r="8" spans="1:16" ht="27.75" customHeight="1">
      <c r="A8" s="6">
        <v>4</v>
      </c>
      <c r="B8" s="120" t="s">
        <v>729</v>
      </c>
      <c r="C8" s="136" t="s">
        <v>730</v>
      </c>
      <c r="D8" s="122" t="s">
        <v>20</v>
      </c>
      <c r="E8" s="144">
        <v>1</v>
      </c>
      <c r="F8" s="129" t="s">
        <v>732</v>
      </c>
      <c r="G8" s="130">
        <v>0.13</v>
      </c>
      <c r="H8" s="125"/>
      <c r="I8" s="143">
        <v>0.78499384226666669</v>
      </c>
      <c r="J8" s="6" t="s">
        <v>699</v>
      </c>
      <c r="K8" s="126">
        <v>5</v>
      </c>
      <c r="L8" s="129" t="s">
        <v>732</v>
      </c>
      <c r="M8" s="142">
        <v>0.78499384226666669</v>
      </c>
      <c r="N8" s="129" t="s">
        <v>732</v>
      </c>
      <c r="O8" s="127" t="s">
        <v>24</v>
      </c>
      <c r="P8" s="128"/>
    </row>
    <row r="9" spans="1:16" ht="27.75" customHeight="1">
      <c r="A9" s="6">
        <v>5</v>
      </c>
      <c r="B9" s="120" t="s">
        <v>373</v>
      </c>
      <c r="C9" s="136" t="s">
        <v>731</v>
      </c>
      <c r="D9" s="122" t="s">
        <v>20</v>
      </c>
      <c r="E9" s="145">
        <v>0.5</v>
      </c>
      <c r="F9" s="129" t="s">
        <v>732</v>
      </c>
      <c r="G9" s="130">
        <v>0.13</v>
      </c>
      <c r="H9" s="125"/>
      <c r="I9" s="143">
        <v>0.23592661493333328</v>
      </c>
      <c r="J9" s="6" t="s">
        <v>699</v>
      </c>
      <c r="K9" s="126">
        <v>5</v>
      </c>
      <c r="L9" s="129" t="s">
        <v>732</v>
      </c>
      <c r="M9" s="142">
        <v>0.23592661493333328</v>
      </c>
      <c r="N9" s="129" t="s">
        <v>732</v>
      </c>
      <c r="O9" s="127" t="s">
        <v>24</v>
      </c>
      <c r="P9" s="128"/>
    </row>
    <row r="10" spans="1:16" ht="53.4" customHeight="1">
      <c r="A10" s="193" t="s">
        <v>733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39.6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3" t="s">
        <v>13</v>
      </c>
      <c r="B12" s="193"/>
      <c r="C12" s="193"/>
      <c r="D12" s="193" t="s">
        <v>14</v>
      </c>
      <c r="E12" s="193"/>
      <c r="F12" s="193"/>
      <c r="G12" s="193"/>
      <c r="H12" s="193"/>
      <c r="I12" s="193" t="s">
        <v>15</v>
      </c>
      <c r="J12" s="193"/>
      <c r="K12" s="193"/>
      <c r="L12" s="193" t="s">
        <v>16</v>
      </c>
      <c r="M12" s="193"/>
      <c r="N12" s="193"/>
      <c r="O12" s="193" t="s">
        <v>17</v>
      </c>
      <c r="P12" s="193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EDBF8855-5203-42D3-A782-D27DFA114836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C4B4-6714-4F25-8794-5D7FED6E5749}">
  <sheetPr codeName="Sheet46">
    <pageSetUpPr fitToPage="1"/>
  </sheetPr>
  <dimension ref="A1:P12"/>
  <sheetViews>
    <sheetView zoomScale="80" zoomScaleNormal="80" workbookViewId="0">
      <selection activeCell="B7" sqref="B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6" ht="27.75" customHeight="1">
      <c r="A2" s="1" t="s">
        <v>661</v>
      </c>
      <c r="M2" s="200" t="s">
        <v>1</v>
      </c>
      <c r="N2" s="200"/>
      <c r="O2" s="200"/>
      <c r="P2" s="200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222" t="s">
        <v>735</v>
      </c>
      <c r="C5" s="224" t="s">
        <v>736</v>
      </c>
      <c r="D5" s="220" t="s">
        <v>20</v>
      </c>
      <c r="E5" s="138">
        <v>2.15</v>
      </c>
      <c r="F5" s="138"/>
      <c r="G5" s="130">
        <v>0.13</v>
      </c>
      <c r="H5" s="125"/>
      <c r="I5" s="143"/>
      <c r="J5" s="6" t="s">
        <v>737</v>
      </c>
      <c r="K5" s="126">
        <v>8.5</v>
      </c>
      <c r="L5" s="141"/>
      <c r="M5" s="138">
        <v>2.15</v>
      </c>
      <c r="N5" s="141"/>
      <c r="O5" s="146" t="s">
        <v>738</v>
      </c>
      <c r="P5" s="128"/>
    </row>
    <row r="6" spans="1:16" ht="27.75" customHeight="1">
      <c r="A6" s="6">
        <v>2</v>
      </c>
      <c r="B6" s="223"/>
      <c r="C6" s="225"/>
      <c r="D6" s="221"/>
      <c r="E6" s="138">
        <v>2.4700000000000002</v>
      </c>
      <c r="F6" s="139"/>
      <c r="G6" s="130">
        <v>0.13</v>
      </c>
      <c r="H6" s="125"/>
      <c r="I6" s="124"/>
      <c r="J6" s="6" t="s">
        <v>739</v>
      </c>
      <c r="K6" s="126">
        <v>9.1999999999999993</v>
      </c>
      <c r="L6" s="131"/>
      <c r="M6" s="142">
        <v>2.2999999999999998</v>
      </c>
      <c r="N6" s="131"/>
      <c r="O6" s="146" t="s">
        <v>740</v>
      </c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3" t="s">
        <v>741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53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3" t="s">
        <v>13</v>
      </c>
      <c r="B12" s="193"/>
      <c r="C12" s="193"/>
      <c r="D12" s="193" t="s">
        <v>14</v>
      </c>
      <c r="E12" s="193"/>
      <c r="F12" s="193"/>
      <c r="G12" s="193"/>
      <c r="H12" s="193"/>
      <c r="I12" s="193" t="s">
        <v>15</v>
      </c>
      <c r="J12" s="193"/>
      <c r="K12" s="193"/>
      <c r="L12" s="193" t="s">
        <v>16</v>
      </c>
      <c r="M12" s="193"/>
      <c r="N12" s="193"/>
      <c r="O12" s="193" t="s">
        <v>17</v>
      </c>
      <c r="P12" s="193"/>
    </row>
  </sheetData>
  <mergeCells count="24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O12:P12"/>
    <mergeCell ref="D5:D6"/>
    <mergeCell ref="J3:K3"/>
    <mergeCell ref="L3:L4"/>
    <mergeCell ref="A12:C12"/>
    <mergeCell ref="D12:H12"/>
    <mergeCell ref="I12:K12"/>
    <mergeCell ref="L12:N12"/>
    <mergeCell ref="M3:N3"/>
    <mergeCell ref="O3:O4"/>
    <mergeCell ref="P3:P4"/>
    <mergeCell ref="A10:P11"/>
    <mergeCell ref="B5:B6"/>
    <mergeCell ref="C5:C6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2A04FCE5-B6A5-4264-B795-A00795AD3A4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FE3C-9CD0-4F8B-AA7E-8A44A7B2B46A}">
  <sheetPr codeName="Sheet47">
    <pageSetUpPr fitToPage="1"/>
  </sheetPr>
  <dimension ref="A1:P12"/>
  <sheetViews>
    <sheetView zoomScale="80" zoomScaleNormal="8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6" ht="27.75" customHeight="1">
      <c r="A2" s="1" t="s">
        <v>661</v>
      </c>
      <c r="M2" s="200" t="s">
        <v>1</v>
      </c>
      <c r="N2" s="200"/>
      <c r="O2" s="200"/>
      <c r="P2" s="200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88</v>
      </c>
      <c r="C5" s="150" t="s">
        <v>89</v>
      </c>
      <c r="D5" s="122" t="s">
        <v>20</v>
      </c>
      <c r="E5" s="138">
        <v>3</v>
      </c>
      <c r="F5" s="138"/>
      <c r="G5" s="130">
        <v>0.13</v>
      </c>
      <c r="H5" s="125"/>
      <c r="I5" s="143">
        <v>2.6963893775000001</v>
      </c>
      <c r="J5" s="6" t="s">
        <v>742</v>
      </c>
      <c r="K5" s="126">
        <v>5.79</v>
      </c>
      <c r="L5" s="141"/>
      <c r="M5" s="138">
        <v>2.5</v>
      </c>
      <c r="N5" s="141"/>
      <c r="O5" s="146" t="s">
        <v>52</v>
      </c>
      <c r="P5" s="128" t="s">
        <v>743</v>
      </c>
    </row>
    <row r="6" spans="1:16" ht="27.75" customHeight="1">
      <c r="A6" s="6"/>
      <c r="B6" s="120" t="s">
        <v>90</v>
      </c>
      <c r="C6" s="150" t="s">
        <v>91</v>
      </c>
      <c r="D6" s="122" t="s">
        <v>20</v>
      </c>
      <c r="E6" s="138">
        <v>3</v>
      </c>
      <c r="F6" s="138"/>
      <c r="G6" s="130">
        <v>0.13</v>
      </c>
      <c r="H6" s="125"/>
      <c r="I6" s="143">
        <v>2.6963893775000001</v>
      </c>
      <c r="J6" s="6" t="s">
        <v>742</v>
      </c>
      <c r="K6" s="126">
        <v>5.79</v>
      </c>
      <c r="L6" s="141"/>
      <c r="M6" s="138">
        <v>2.5</v>
      </c>
      <c r="N6" s="141"/>
      <c r="O6" s="146" t="s">
        <v>52</v>
      </c>
      <c r="P6" s="128" t="s">
        <v>743</v>
      </c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3" t="s">
        <v>744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78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3" t="s">
        <v>13</v>
      </c>
      <c r="B12" s="193"/>
      <c r="C12" s="193"/>
      <c r="D12" s="193" t="s">
        <v>14</v>
      </c>
      <c r="E12" s="193"/>
      <c r="F12" s="193"/>
      <c r="G12" s="193"/>
      <c r="H12" s="193"/>
      <c r="I12" s="193" t="s">
        <v>15</v>
      </c>
      <c r="J12" s="193"/>
      <c r="K12" s="193"/>
      <c r="L12" s="193" t="s">
        <v>16</v>
      </c>
      <c r="M12" s="193"/>
      <c r="N12" s="193"/>
      <c r="O12" s="193" t="s">
        <v>17</v>
      </c>
      <c r="P12" s="193"/>
    </row>
  </sheetData>
  <mergeCells count="21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P11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3A463120-4EC0-4E50-9E77-6191033C10B0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824E-2B44-455E-8B9D-7665C695FF9C}">
  <sheetPr codeName="Sheet48">
    <pageSetUpPr fitToPage="1"/>
  </sheetPr>
  <dimension ref="A1:R11"/>
  <sheetViews>
    <sheetView zoomScale="80" zoomScaleNormal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8" ht="27.75" customHeight="1">
      <c r="A2" s="1" t="s">
        <v>761</v>
      </c>
      <c r="M2" s="200" t="s">
        <v>1</v>
      </c>
      <c r="N2" s="200"/>
      <c r="O2" s="200"/>
      <c r="P2" s="200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54" t="s">
        <v>745</v>
      </c>
      <c r="C5" s="151" t="s">
        <v>748</v>
      </c>
      <c r="D5" s="122" t="s">
        <v>20</v>
      </c>
      <c r="E5" s="152">
        <v>34.252053097345133</v>
      </c>
      <c r="F5" s="138"/>
      <c r="G5" s="130">
        <v>0.13</v>
      </c>
      <c r="H5" s="125"/>
      <c r="I5" s="143">
        <v>25.716838121599999</v>
      </c>
      <c r="J5" s="6" t="s">
        <v>751</v>
      </c>
      <c r="K5" s="126">
        <v>4.42</v>
      </c>
      <c r="L5" s="141"/>
      <c r="M5" s="138">
        <v>27.321789483111111</v>
      </c>
      <c r="N5" s="141"/>
      <c r="O5" s="146" t="s">
        <v>752</v>
      </c>
      <c r="P5" s="155" t="s">
        <v>753</v>
      </c>
      <c r="R5" s="153">
        <f>(M5-I5)/I5</f>
        <v>6.240858047642673E-2</v>
      </c>
    </row>
    <row r="6" spans="1:18" ht="27.75" customHeight="1">
      <c r="A6" s="6">
        <v>2</v>
      </c>
      <c r="B6" s="154" t="s">
        <v>746</v>
      </c>
      <c r="C6" s="151" t="s">
        <v>749</v>
      </c>
      <c r="D6" s="122" t="s">
        <v>20</v>
      </c>
      <c r="E6" s="152">
        <v>30.4436</v>
      </c>
      <c r="F6" s="139"/>
      <c r="G6" s="130">
        <v>0.13</v>
      </c>
      <c r="H6" s="125"/>
      <c r="I6" s="143">
        <v>24.247515199999999</v>
      </c>
      <c r="J6" s="6" t="s">
        <v>751</v>
      </c>
      <c r="K6" s="126">
        <v>4.42</v>
      </c>
      <c r="L6" s="131"/>
      <c r="M6" s="138">
        <v>24.176200000000001</v>
      </c>
      <c r="N6" s="131"/>
      <c r="O6" s="146" t="s">
        <v>752</v>
      </c>
      <c r="P6" s="155" t="s">
        <v>754</v>
      </c>
      <c r="R6" s="153">
        <f t="shared" ref="R6:R7" si="0">(M6-I6)/I6</f>
        <v>-2.9411343559028781E-3</v>
      </c>
    </row>
    <row r="7" spans="1:18" ht="27.75" customHeight="1">
      <c r="A7" s="6">
        <v>3</v>
      </c>
      <c r="B7" s="154" t="s">
        <v>747</v>
      </c>
      <c r="C7" s="151" t="s">
        <v>750</v>
      </c>
      <c r="D7" s="122" t="s">
        <v>20</v>
      </c>
      <c r="E7" s="152">
        <v>25.8522</v>
      </c>
      <c r="F7" s="139"/>
      <c r="G7" s="130">
        <v>0.13</v>
      </c>
      <c r="H7" s="125"/>
      <c r="I7" s="143">
        <v>21.662078399999999</v>
      </c>
      <c r="J7" s="6" t="s">
        <v>751</v>
      </c>
      <c r="K7" s="126">
        <v>4.42</v>
      </c>
      <c r="L7" s="131"/>
      <c r="M7" s="138">
        <v>22.83376722363311</v>
      </c>
      <c r="N7" s="131"/>
      <c r="O7" s="146" t="s">
        <v>752</v>
      </c>
      <c r="P7" s="155" t="s">
        <v>753</v>
      </c>
      <c r="R7" s="153">
        <f t="shared" si="0"/>
        <v>5.4089400010347649E-2</v>
      </c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3.4" customHeight="1">
      <c r="A9" s="193" t="s">
        <v>755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18" ht="33.6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93" customHeight="1">
      <c r="A11" s="193" t="s">
        <v>13</v>
      </c>
      <c r="B11" s="193"/>
      <c r="C11" s="193"/>
      <c r="D11" s="193" t="s">
        <v>14</v>
      </c>
      <c r="E11" s="193"/>
      <c r="F11" s="193"/>
      <c r="G11" s="193"/>
      <c r="H11" s="193"/>
      <c r="I11" s="193" t="s">
        <v>15</v>
      </c>
      <c r="J11" s="193"/>
      <c r="K11" s="193"/>
      <c r="L11" s="193" t="s">
        <v>16</v>
      </c>
      <c r="M11" s="193"/>
      <c r="N11" s="193"/>
      <c r="O11" s="193" t="s">
        <v>17</v>
      </c>
      <c r="P11" s="193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4CCE3AC2-19F5-49B0-8F8E-3712C5707505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69DA-36F4-47B9-BDB8-CA0F54F59DF4}">
  <sheetPr codeName="Sheet49">
    <pageSetUpPr fitToPage="1"/>
  </sheetPr>
  <dimension ref="A1:R11"/>
  <sheetViews>
    <sheetView zoomScale="80" zoomScaleNormal="80" workbookViewId="0">
      <selection activeCell="E7" sqref="E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2.10937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8" ht="27.75" customHeight="1">
      <c r="A2" s="1" t="s">
        <v>761</v>
      </c>
      <c r="M2" s="200" t="s">
        <v>1</v>
      </c>
      <c r="N2" s="200"/>
      <c r="O2" s="200"/>
      <c r="P2" s="200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54" t="s">
        <v>756</v>
      </c>
      <c r="C5" s="151" t="s">
        <v>757</v>
      </c>
      <c r="D5" s="122" t="s">
        <v>20</v>
      </c>
      <c r="E5" s="152">
        <v>49.29</v>
      </c>
      <c r="F5" s="138"/>
      <c r="G5" s="130">
        <v>0.13</v>
      </c>
      <c r="H5" s="125"/>
      <c r="I5" s="152">
        <v>49.29</v>
      </c>
      <c r="J5" s="6" t="s">
        <v>760</v>
      </c>
      <c r="K5" s="126">
        <v>5.42</v>
      </c>
      <c r="L5" s="141"/>
      <c r="M5" s="138">
        <v>49.129999999999995</v>
      </c>
      <c r="N5" s="141"/>
      <c r="O5" s="146" t="s">
        <v>40</v>
      </c>
      <c r="P5" s="155" t="s">
        <v>753</v>
      </c>
      <c r="R5" s="153">
        <f>(M5-I5)/I5</f>
        <v>-3.2460945425036255E-3</v>
      </c>
    </row>
    <row r="6" spans="1:18" ht="27.75" customHeight="1">
      <c r="A6" s="6">
        <v>2</v>
      </c>
      <c r="B6" s="154" t="s">
        <v>758</v>
      </c>
      <c r="C6" s="151" t="s">
        <v>759</v>
      </c>
      <c r="D6" s="122" t="s">
        <v>20</v>
      </c>
      <c r="E6" s="152">
        <v>48.76</v>
      </c>
      <c r="F6" s="139"/>
      <c r="G6" s="130">
        <v>0.13</v>
      </c>
      <c r="H6" s="125"/>
      <c r="I6" s="152">
        <v>48.76</v>
      </c>
      <c r="J6" s="6" t="s">
        <v>760</v>
      </c>
      <c r="K6" s="126">
        <v>5.42</v>
      </c>
      <c r="L6" s="131"/>
      <c r="M6" s="138">
        <v>48.48</v>
      </c>
      <c r="N6" s="131"/>
      <c r="O6" s="146" t="s">
        <v>40</v>
      </c>
      <c r="P6" s="155" t="s">
        <v>753</v>
      </c>
      <c r="R6" s="153">
        <f t="shared" ref="R6" si="0">(M6-I6)/I6</f>
        <v>-5.7424118129614675E-3</v>
      </c>
    </row>
    <row r="7" spans="1:18" ht="27.75" customHeight="1">
      <c r="A7" s="6"/>
      <c r="B7" s="154"/>
      <c r="C7" s="151"/>
      <c r="D7" s="122"/>
      <c r="E7" s="152"/>
      <c r="F7" s="139"/>
      <c r="G7" s="130"/>
      <c r="H7" s="125"/>
      <c r="I7" s="143"/>
      <c r="J7" s="6"/>
      <c r="K7" s="126"/>
      <c r="L7" s="131"/>
      <c r="M7" s="138"/>
      <c r="N7" s="131"/>
      <c r="O7" s="146"/>
      <c r="P7" s="155"/>
      <c r="R7" s="153"/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4" customHeight="1">
      <c r="A9" s="193" t="s">
        <v>762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18" ht="54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93" customHeight="1">
      <c r="A11" s="193" t="s">
        <v>13</v>
      </c>
      <c r="B11" s="193"/>
      <c r="C11" s="193"/>
      <c r="D11" s="193" t="s">
        <v>14</v>
      </c>
      <c r="E11" s="193"/>
      <c r="F11" s="193"/>
      <c r="G11" s="193"/>
      <c r="H11" s="193"/>
      <c r="I11" s="193" t="s">
        <v>15</v>
      </c>
      <c r="J11" s="193"/>
      <c r="K11" s="193"/>
      <c r="L11" s="193" t="s">
        <v>16</v>
      </c>
      <c r="M11" s="193"/>
      <c r="N11" s="193"/>
      <c r="O11" s="193" t="s">
        <v>17</v>
      </c>
      <c r="P11" s="193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C6F848C3-7E1F-48A8-8DC5-152C8ECA057A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 codeName="Sheet5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2" ht="27.75" customHeight="1">
      <c r="I2" s="200" t="s">
        <v>1</v>
      </c>
      <c r="J2" s="200"/>
      <c r="K2" s="20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50</v>
      </c>
      <c r="C4" s="14" t="s">
        <v>51</v>
      </c>
      <c r="D4" s="12" t="s">
        <v>20</v>
      </c>
      <c r="E4" s="15">
        <v>1.46</v>
      </c>
      <c r="F4" s="7">
        <v>0.13</v>
      </c>
      <c r="G4" s="9">
        <v>0.98</v>
      </c>
      <c r="H4" s="15">
        <v>1.2</v>
      </c>
      <c r="I4" s="15">
        <v>1.2</v>
      </c>
      <c r="J4" s="16" t="s">
        <v>52</v>
      </c>
      <c r="K4" s="16" t="s">
        <v>53</v>
      </c>
      <c r="L4" s="8"/>
    </row>
    <row r="5" spans="1:12" ht="62.4" customHeight="1">
      <c r="A5" s="12">
        <v>2</v>
      </c>
      <c r="B5" s="12" t="s">
        <v>54</v>
      </c>
      <c r="C5" s="14" t="s">
        <v>55</v>
      </c>
      <c r="D5" s="12" t="s">
        <v>20</v>
      </c>
      <c r="E5" s="15">
        <v>1.6</v>
      </c>
      <c r="F5" s="7">
        <v>0.13</v>
      </c>
      <c r="G5" s="9">
        <v>1.4274</v>
      </c>
      <c r="H5" s="15">
        <v>1.6</v>
      </c>
      <c r="I5" s="15">
        <v>1.6</v>
      </c>
      <c r="J5" s="16" t="s">
        <v>52</v>
      </c>
      <c r="K5" s="16" t="s">
        <v>57</v>
      </c>
      <c r="L5" s="8"/>
    </row>
    <row r="6" spans="1:12" ht="27.75" customHeight="1">
      <c r="A6" s="193" t="s">
        <v>56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spans="1:12" ht="58.8" customHeight="1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</row>
    <row r="8" spans="1:12" ht="93" customHeight="1">
      <c r="A8" s="194" t="s">
        <v>13</v>
      </c>
      <c r="B8" s="195"/>
      <c r="C8" s="196" t="s">
        <v>14</v>
      </c>
      <c r="D8" s="196"/>
      <c r="E8" s="193" t="s">
        <v>15</v>
      </c>
      <c r="F8" s="193"/>
      <c r="G8" s="193"/>
      <c r="H8" s="193" t="s">
        <v>16</v>
      </c>
      <c r="I8" s="193"/>
      <c r="J8" s="193" t="s">
        <v>17</v>
      </c>
      <c r="K8" s="193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1A5E-AD9A-45DF-97CF-65D729AE2EBC}">
  <sheetPr codeName="Sheet50">
    <pageSetUpPr fitToPage="1"/>
  </sheetPr>
  <dimension ref="A1:Z13"/>
  <sheetViews>
    <sheetView topLeftCell="J4" zoomScale="70" zoomScaleNormal="70" workbookViewId="0">
      <selection activeCell="T13" sqref="T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6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6" ht="27.75" customHeight="1">
      <c r="A2" s="1" t="s">
        <v>761</v>
      </c>
      <c r="M2" s="200" t="s">
        <v>1</v>
      </c>
      <c r="N2" s="200"/>
      <c r="O2" s="200"/>
      <c r="P2" s="200"/>
    </row>
    <row r="3" spans="1:2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6" ht="27.75" customHeight="1">
      <c r="A5" s="6">
        <v>1</v>
      </c>
      <c r="B5" s="160" t="s">
        <v>763</v>
      </c>
      <c r="C5" s="161" t="s">
        <v>764</v>
      </c>
      <c r="D5" s="122" t="s">
        <v>20</v>
      </c>
      <c r="E5" s="162">
        <v>2.0923728000000001</v>
      </c>
      <c r="F5" s="156">
        <f>E5+L5</f>
        <v>2.4023728000000002</v>
      </c>
      <c r="G5" s="163">
        <v>0.13</v>
      </c>
      <c r="H5" s="164"/>
      <c r="I5" s="162"/>
      <c r="J5" s="2" t="s">
        <v>742</v>
      </c>
      <c r="K5" s="165">
        <v>5.83</v>
      </c>
      <c r="L5" s="157">
        <v>0.31</v>
      </c>
      <c r="M5" s="162">
        <v>1.7003728000000002</v>
      </c>
      <c r="N5" s="157">
        <f>M5+L5</f>
        <v>2.0103728000000003</v>
      </c>
      <c r="O5" s="166" t="s">
        <v>720</v>
      </c>
      <c r="P5" s="158" t="s">
        <v>777</v>
      </c>
      <c r="R5" s="153"/>
    </row>
    <row r="6" spans="1:26" ht="27.75" customHeight="1">
      <c r="A6" s="6">
        <v>2</v>
      </c>
      <c r="B6" s="160" t="s">
        <v>765</v>
      </c>
      <c r="C6" s="161" t="s">
        <v>766</v>
      </c>
      <c r="D6" s="122" t="s">
        <v>20</v>
      </c>
      <c r="E6" s="162">
        <v>1.9400976000000001</v>
      </c>
      <c r="F6" s="156">
        <f t="shared" ref="F6:F9" si="0">E6+L6</f>
        <v>2.2500976000000001</v>
      </c>
      <c r="G6" s="163">
        <v>0.13</v>
      </c>
      <c r="H6" s="164"/>
      <c r="I6" s="162"/>
      <c r="J6" s="2" t="s">
        <v>742</v>
      </c>
      <c r="K6" s="165">
        <v>5.83</v>
      </c>
      <c r="L6" s="157">
        <v>0.31</v>
      </c>
      <c r="M6" s="162">
        <v>1.5480976</v>
      </c>
      <c r="N6" s="157">
        <f t="shared" ref="N6:N10" si="1">M6+L6</f>
        <v>1.8580976</v>
      </c>
      <c r="O6" s="166" t="s">
        <v>720</v>
      </c>
      <c r="P6" s="158" t="s">
        <v>778</v>
      </c>
      <c r="R6" s="153"/>
    </row>
    <row r="7" spans="1:26" ht="27.75" customHeight="1">
      <c r="A7" s="6">
        <v>3</v>
      </c>
      <c r="B7" s="160" t="s">
        <v>767</v>
      </c>
      <c r="C7" s="161" t="s">
        <v>768</v>
      </c>
      <c r="D7" s="122" t="s">
        <v>20</v>
      </c>
      <c r="E7" s="162">
        <v>1.9174400000000003</v>
      </c>
      <c r="F7" s="156">
        <f t="shared" si="0"/>
        <v>2.1874400000000005</v>
      </c>
      <c r="G7" s="163">
        <v>0.13</v>
      </c>
      <c r="H7" s="164"/>
      <c r="I7" s="162"/>
      <c r="J7" s="2" t="s">
        <v>742</v>
      </c>
      <c r="K7" s="165">
        <v>5.83</v>
      </c>
      <c r="L7" s="157">
        <v>0.27</v>
      </c>
      <c r="M7" s="162">
        <v>1.4806400000000002</v>
      </c>
      <c r="N7" s="157">
        <f t="shared" si="1"/>
        <v>1.7506400000000002</v>
      </c>
      <c r="O7" s="166" t="s">
        <v>720</v>
      </c>
      <c r="P7" s="158" t="s">
        <v>779</v>
      </c>
      <c r="R7" s="153"/>
    </row>
    <row r="8" spans="1:26" ht="27.75" customHeight="1">
      <c r="A8" s="6">
        <v>4</v>
      </c>
      <c r="B8" s="160" t="s">
        <v>769</v>
      </c>
      <c r="C8" s="161" t="s">
        <v>770</v>
      </c>
      <c r="D8" s="122" t="s">
        <v>20</v>
      </c>
      <c r="E8" s="162">
        <v>1.9152</v>
      </c>
      <c r="F8" s="156">
        <f t="shared" si="0"/>
        <v>2.2052</v>
      </c>
      <c r="G8" s="163">
        <v>0.13</v>
      </c>
      <c r="H8" s="164"/>
      <c r="I8" s="162"/>
      <c r="J8" s="2" t="s">
        <v>742</v>
      </c>
      <c r="K8" s="165">
        <v>5.83</v>
      </c>
      <c r="L8" s="157">
        <v>0.28999999999999998</v>
      </c>
      <c r="M8" s="162">
        <v>1.4817600000000002</v>
      </c>
      <c r="N8" s="157">
        <f t="shared" si="1"/>
        <v>1.7717600000000002</v>
      </c>
      <c r="O8" s="166" t="s">
        <v>720</v>
      </c>
      <c r="P8" s="158" t="s">
        <v>780</v>
      </c>
      <c r="R8" s="153"/>
    </row>
    <row r="9" spans="1:26" ht="27.75" customHeight="1">
      <c r="A9" s="6">
        <v>5</v>
      </c>
      <c r="B9" s="160" t="s">
        <v>771</v>
      </c>
      <c r="C9" s="161" t="s">
        <v>772</v>
      </c>
      <c r="D9" s="122" t="s">
        <v>20</v>
      </c>
      <c r="E9" s="162">
        <v>1.9174400000000003</v>
      </c>
      <c r="F9" s="156">
        <f t="shared" si="0"/>
        <v>2.0342541592920358</v>
      </c>
      <c r="G9" s="163">
        <v>0.13</v>
      </c>
      <c r="H9" s="164"/>
      <c r="I9" s="162"/>
      <c r="J9" s="2" t="s">
        <v>742</v>
      </c>
      <c r="K9" s="165">
        <v>5.83</v>
      </c>
      <c r="L9" s="159">
        <f>Z9/100000</f>
        <v>0.1168141592920354</v>
      </c>
      <c r="M9" s="162">
        <v>1.48064</v>
      </c>
      <c r="N9" s="157">
        <f t="shared" si="1"/>
        <v>1.5974541592920353</v>
      </c>
      <c r="O9" s="166" t="s">
        <v>720</v>
      </c>
      <c r="P9" s="158" t="s">
        <v>782</v>
      </c>
      <c r="Q9" s="1" t="s">
        <v>781</v>
      </c>
      <c r="R9" s="153"/>
      <c r="Z9" s="1">
        <f>(24000/2+1200)/1.13</f>
        <v>11681.41592920354</v>
      </c>
    </row>
    <row r="10" spans="1:26" ht="27.75" customHeight="1">
      <c r="A10" s="6">
        <v>6</v>
      </c>
      <c r="B10" s="160" t="s">
        <v>773</v>
      </c>
      <c r="C10" s="161" t="s">
        <v>774</v>
      </c>
      <c r="D10" s="122" t="s">
        <v>20</v>
      </c>
      <c r="E10" s="162">
        <v>1.9152</v>
      </c>
      <c r="F10" s="156">
        <f>E10+L10</f>
        <v>2.0320141592920353</v>
      </c>
      <c r="G10" s="163">
        <v>0.13</v>
      </c>
      <c r="H10" s="164"/>
      <c r="I10" s="162"/>
      <c r="J10" s="2" t="s">
        <v>742</v>
      </c>
      <c r="K10" s="165">
        <v>5.83</v>
      </c>
      <c r="L10" s="159">
        <f>Z10/100000</f>
        <v>0.1168141592920354</v>
      </c>
      <c r="M10" s="162">
        <v>1.4817600000000002</v>
      </c>
      <c r="N10" s="157">
        <f t="shared" si="1"/>
        <v>1.5985741592920355</v>
      </c>
      <c r="O10" s="166" t="s">
        <v>720</v>
      </c>
      <c r="P10" s="158" t="s">
        <v>782</v>
      </c>
      <c r="Q10" s="1" t="s">
        <v>775</v>
      </c>
      <c r="R10" s="153"/>
      <c r="Z10" s="1">
        <f>(24000/2+1200)/1.13</f>
        <v>11681.41592920354</v>
      </c>
    </row>
    <row r="11" spans="1:26" ht="54" customHeight="1">
      <c r="A11" s="193" t="s">
        <v>776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6" ht="38.4" customHeight="1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26" ht="93" customHeight="1">
      <c r="A13" s="193" t="s">
        <v>13</v>
      </c>
      <c r="B13" s="193"/>
      <c r="C13" s="193"/>
      <c r="D13" s="193" t="s">
        <v>14</v>
      </c>
      <c r="E13" s="193"/>
      <c r="F13" s="193"/>
      <c r="G13" s="193"/>
      <c r="H13" s="193"/>
      <c r="I13" s="193" t="s">
        <v>15</v>
      </c>
      <c r="J13" s="193"/>
      <c r="K13" s="193"/>
      <c r="L13" s="193" t="s">
        <v>16</v>
      </c>
      <c r="M13" s="193"/>
      <c r="N13" s="193"/>
      <c r="O13" s="193" t="s">
        <v>17</v>
      </c>
      <c r="P13" s="193"/>
    </row>
  </sheetData>
  <mergeCells count="21">
    <mergeCell ref="A13:C13"/>
    <mergeCell ref="D13:H13"/>
    <mergeCell ref="I13:K13"/>
    <mergeCell ref="L13:N13"/>
    <mergeCell ref="O13:P13"/>
    <mergeCell ref="A11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2E9C177D-3A34-4689-9328-3F0B3FF78CEB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865A-1C41-429B-8BEF-F6765F38227D}">
  <sheetPr codeName="Sheet51">
    <pageSetUpPr fitToPage="1"/>
  </sheetPr>
  <dimension ref="A1:R11"/>
  <sheetViews>
    <sheetView zoomScale="70" zoomScaleNormal="70" workbookViewId="0">
      <selection activeCell="P8" sqref="P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8" ht="27.75" customHeight="1">
      <c r="A2" s="1" t="s">
        <v>661</v>
      </c>
      <c r="M2" s="200" t="s">
        <v>1</v>
      </c>
      <c r="N2" s="200"/>
      <c r="O2" s="200"/>
      <c r="P2" s="200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60" t="s">
        <v>783</v>
      </c>
      <c r="C5" s="161" t="s">
        <v>784</v>
      </c>
      <c r="D5" s="122" t="s">
        <v>20</v>
      </c>
      <c r="E5" s="162">
        <v>1.5</v>
      </c>
      <c r="F5" s="156"/>
      <c r="G5" s="163">
        <v>0.13</v>
      </c>
      <c r="H5" s="165">
        <v>0.47</v>
      </c>
      <c r="I5" s="162"/>
      <c r="J5" s="2" t="s">
        <v>785</v>
      </c>
      <c r="K5" s="165">
        <v>5</v>
      </c>
      <c r="L5" s="157"/>
      <c r="M5" s="162">
        <v>0.5</v>
      </c>
      <c r="N5" s="157">
        <f>M5+L5</f>
        <v>0.5</v>
      </c>
      <c r="O5" s="166" t="s">
        <v>24</v>
      </c>
      <c r="P5" s="158" t="s">
        <v>753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54" customHeight="1">
      <c r="A9" s="193" t="s">
        <v>786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18" ht="38.4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93" customHeight="1">
      <c r="A11" s="193" t="s">
        <v>13</v>
      </c>
      <c r="B11" s="193"/>
      <c r="C11" s="193"/>
      <c r="D11" s="193" t="s">
        <v>14</v>
      </c>
      <c r="E11" s="193"/>
      <c r="F11" s="193"/>
      <c r="G11" s="193"/>
      <c r="H11" s="193"/>
      <c r="I11" s="193" t="s">
        <v>15</v>
      </c>
      <c r="J11" s="193"/>
      <c r="K11" s="193"/>
      <c r="L11" s="193" t="s">
        <v>16</v>
      </c>
      <c r="M11" s="193"/>
      <c r="N11" s="193"/>
      <c r="O11" s="193" t="s">
        <v>17</v>
      </c>
      <c r="P11" s="193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AADD0AFB-74D7-4E14-9DFD-A43B72140EF8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D50A-2606-4A70-8CAD-5B704F64B7C6}">
  <sheetPr codeName="Sheet52">
    <pageSetUpPr fitToPage="1"/>
  </sheetPr>
  <dimension ref="A1:R12"/>
  <sheetViews>
    <sheetView zoomScale="70" zoomScaleNormal="70" workbookViewId="0">
      <selection activeCell="I5" sqref="I5:I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8" ht="27.75" customHeight="1">
      <c r="A2" s="1" t="s">
        <v>661</v>
      </c>
      <c r="M2" s="200" t="s">
        <v>1</v>
      </c>
      <c r="N2" s="200"/>
      <c r="O2" s="200"/>
      <c r="P2" s="200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60" t="s">
        <v>500</v>
      </c>
      <c r="C5" s="161" t="s">
        <v>501</v>
      </c>
      <c r="D5" s="122" t="s">
        <v>20</v>
      </c>
      <c r="E5" s="162">
        <v>1.9026548672566372</v>
      </c>
      <c r="F5" s="156">
        <f>E5+L5</f>
        <v>2.3426548672566372</v>
      </c>
      <c r="G5" s="163">
        <v>0.13</v>
      </c>
      <c r="H5" s="165"/>
      <c r="I5" s="162">
        <v>1.2141900000000001</v>
      </c>
      <c r="J5" s="2" t="s">
        <v>813</v>
      </c>
      <c r="K5" s="165">
        <v>4.2</v>
      </c>
      <c r="L5" s="157">
        <v>0.44</v>
      </c>
      <c r="M5" s="162">
        <v>1.2141900000000001</v>
      </c>
      <c r="N5" s="157">
        <f>M5+L5</f>
        <v>1.65419</v>
      </c>
      <c r="O5" s="166" t="s">
        <v>818</v>
      </c>
      <c r="P5" s="158">
        <v>13200</v>
      </c>
      <c r="R5" s="153"/>
    </row>
    <row r="6" spans="1:18" ht="27.75" customHeight="1">
      <c r="A6" s="6">
        <v>2</v>
      </c>
      <c r="B6" s="160" t="s">
        <v>502</v>
      </c>
      <c r="C6" s="161" t="s">
        <v>503</v>
      </c>
      <c r="D6" s="122" t="s">
        <v>20</v>
      </c>
      <c r="E6" s="162">
        <v>1.9026548672566372</v>
      </c>
      <c r="F6" s="156">
        <f t="shared" ref="F6:F9" si="0">E6+L6</f>
        <v>2.3426548672566372</v>
      </c>
      <c r="G6" s="163">
        <v>0.13</v>
      </c>
      <c r="H6" s="164"/>
      <c r="I6" s="162">
        <v>1.09189</v>
      </c>
      <c r="J6" s="2" t="s">
        <v>814</v>
      </c>
      <c r="K6" s="165">
        <v>4.2</v>
      </c>
      <c r="L6" s="157">
        <v>0.44</v>
      </c>
      <c r="M6" s="162">
        <v>1.09189</v>
      </c>
      <c r="N6" s="157">
        <f t="shared" ref="N6:N9" si="1">M6+L6</f>
        <v>1.53189</v>
      </c>
      <c r="O6" s="166" t="s">
        <v>818</v>
      </c>
      <c r="P6" s="158">
        <v>13200</v>
      </c>
      <c r="R6" s="153"/>
    </row>
    <row r="7" spans="1:18" ht="27.75" customHeight="1">
      <c r="A7" s="6">
        <v>3</v>
      </c>
      <c r="B7" s="160" t="s">
        <v>504</v>
      </c>
      <c r="C7" s="161" t="s">
        <v>505</v>
      </c>
      <c r="D7" s="122" t="s">
        <v>20</v>
      </c>
      <c r="E7" s="162">
        <v>0.88</v>
      </c>
      <c r="F7" s="156">
        <f t="shared" si="0"/>
        <v>1.0616666666666668</v>
      </c>
      <c r="G7" s="163">
        <v>0.13</v>
      </c>
      <c r="H7" s="164"/>
      <c r="I7" s="162">
        <v>0.64154999999999995</v>
      </c>
      <c r="J7" s="2" t="s">
        <v>815</v>
      </c>
      <c r="K7" s="165">
        <v>4.2</v>
      </c>
      <c r="L7" s="157">
        <v>0.18166666666666667</v>
      </c>
      <c r="M7" s="162">
        <v>0.64154999999999995</v>
      </c>
      <c r="N7" s="157">
        <f t="shared" si="1"/>
        <v>0.8232166666666666</v>
      </c>
      <c r="O7" s="166" t="s">
        <v>818</v>
      </c>
      <c r="P7" s="158">
        <v>5450</v>
      </c>
      <c r="R7" s="153"/>
    </row>
    <row r="8" spans="1:18" ht="27.75" customHeight="1">
      <c r="A8" s="6">
        <v>4</v>
      </c>
      <c r="B8" s="160" t="s">
        <v>506</v>
      </c>
      <c r="C8" s="161" t="s">
        <v>507</v>
      </c>
      <c r="D8" s="122" t="s">
        <v>20</v>
      </c>
      <c r="E8" s="162">
        <v>0.88</v>
      </c>
      <c r="F8" s="156">
        <f t="shared" si="0"/>
        <v>1.0616666666666668</v>
      </c>
      <c r="G8" s="163">
        <v>0.13</v>
      </c>
      <c r="H8" s="164"/>
      <c r="I8" s="162">
        <v>0.63009999999999999</v>
      </c>
      <c r="J8" s="2" t="s">
        <v>816</v>
      </c>
      <c r="K8" s="165">
        <v>4.2</v>
      </c>
      <c r="L8" s="157">
        <v>0.18166666666666667</v>
      </c>
      <c r="M8" s="162">
        <v>0.63009999999999999</v>
      </c>
      <c r="N8" s="157">
        <f t="shared" si="1"/>
        <v>0.81176666666666664</v>
      </c>
      <c r="O8" s="166" t="s">
        <v>818</v>
      </c>
      <c r="P8" s="158">
        <v>5450</v>
      </c>
      <c r="R8" s="153"/>
    </row>
    <row r="9" spans="1:18" ht="27.75" customHeight="1">
      <c r="A9" s="6">
        <v>5</v>
      </c>
      <c r="B9" s="160" t="s">
        <v>508</v>
      </c>
      <c r="C9" s="161" t="s">
        <v>503</v>
      </c>
      <c r="D9" s="122" t="s">
        <v>20</v>
      </c>
      <c r="E9" s="162">
        <v>1.41</v>
      </c>
      <c r="F9" s="156">
        <f t="shared" si="0"/>
        <v>1.75</v>
      </c>
      <c r="G9" s="163">
        <v>0.13</v>
      </c>
      <c r="H9" s="164"/>
      <c r="I9" s="162">
        <v>0.84874000000000005</v>
      </c>
      <c r="J9" s="2" t="s">
        <v>817</v>
      </c>
      <c r="K9" s="165">
        <v>4.2</v>
      </c>
      <c r="L9" s="157">
        <v>0.34</v>
      </c>
      <c r="M9" s="162">
        <v>0.84874000000000005</v>
      </c>
      <c r="N9" s="157">
        <f t="shared" si="1"/>
        <v>1.1887400000000001</v>
      </c>
      <c r="O9" s="166" t="s">
        <v>818</v>
      </c>
      <c r="P9" s="158">
        <v>10200</v>
      </c>
      <c r="R9" s="153"/>
    </row>
    <row r="10" spans="1:18" ht="54" customHeight="1">
      <c r="A10" s="193" t="s">
        <v>819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8" ht="93" customHeight="1">
      <c r="A12" s="193" t="s">
        <v>13</v>
      </c>
      <c r="B12" s="193"/>
      <c r="C12" s="193"/>
      <c r="D12" s="193" t="s">
        <v>14</v>
      </c>
      <c r="E12" s="193"/>
      <c r="F12" s="193"/>
      <c r="G12" s="193"/>
      <c r="H12" s="193"/>
      <c r="I12" s="193" t="s">
        <v>15</v>
      </c>
      <c r="J12" s="193"/>
      <c r="K12" s="193"/>
      <c r="L12" s="193" t="s">
        <v>16</v>
      </c>
      <c r="M12" s="193"/>
      <c r="N12" s="193"/>
      <c r="O12" s="193" t="s">
        <v>17</v>
      </c>
      <c r="P12" s="193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66B4E290-4759-460F-87A4-9C1BBF59AE15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5BFD-C2C6-41D8-A625-FC3D361C15E9}">
  <sheetPr codeName="Sheet53">
    <pageSetUpPr fitToPage="1"/>
  </sheetPr>
  <dimension ref="A1:R13"/>
  <sheetViews>
    <sheetView topLeftCell="A4" zoomScale="70" zoomScaleNormal="70" workbookViewId="0">
      <selection activeCell="A11" sqref="A11:P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11.4414062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17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8" ht="27.75" customHeight="1">
      <c r="A2" s="1" t="s">
        <v>661</v>
      </c>
      <c r="M2" s="200" t="s">
        <v>1</v>
      </c>
      <c r="N2" s="200"/>
      <c r="O2" s="200"/>
      <c r="P2" s="200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39.6" customHeight="1">
      <c r="A5" s="6">
        <v>1</v>
      </c>
      <c r="B5" s="174" t="s">
        <v>822</v>
      </c>
      <c r="C5" s="154" t="s">
        <v>823</v>
      </c>
      <c r="D5" s="175" t="s">
        <v>824</v>
      </c>
      <c r="E5" s="177">
        <v>82.203500000000005</v>
      </c>
      <c r="F5" s="11">
        <f>E5+L5</f>
        <v>83.743500000000012</v>
      </c>
      <c r="G5" s="181">
        <v>0.13</v>
      </c>
      <c r="H5" s="11"/>
      <c r="I5" s="11"/>
      <c r="J5" s="11"/>
      <c r="K5" s="177"/>
      <c r="L5" s="177">
        <f>154000/100000</f>
        <v>1.54</v>
      </c>
      <c r="M5" s="177">
        <v>82.203500000000005</v>
      </c>
      <c r="N5" s="11">
        <f>M5+L5</f>
        <v>83.743500000000012</v>
      </c>
      <c r="O5" s="175" t="s">
        <v>825</v>
      </c>
      <c r="P5" s="158" t="s">
        <v>828</v>
      </c>
      <c r="R5" s="153"/>
    </row>
    <row r="6" spans="1:18" ht="27.75" customHeight="1">
      <c r="A6" s="6">
        <v>2</v>
      </c>
      <c r="B6" s="176" t="s">
        <v>826</v>
      </c>
      <c r="C6" s="154" t="s">
        <v>827</v>
      </c>
      <c r="D6" s="175" t="s">
        <v>824</v>
      </c>
      <c r="E6" s="177">
        <f>44.75</f>
        <v>44.75</v>
      </c>
      <c r="F6" s="11">
        <f>E6+L6</f>
        <v>44.82</v>
      </c>
      <c r="G6" s="181">
        <v>0.13</v>
      </c>
      <c r="H6" s="11"/>
      <c r="I6" s="11"/>
      <c r="J6" s="11"/>
      <c r="K6" s="177"/>
      <c r="L6" s="177">
        <f>7000/100000</f>
        <v>7.0000000000000007E-2</v>
      </c>
      <c r="M6" s="177">
        <f>44.75</f>
        <v>44.75</v>
      </c>
      <c r="N6" s="11">
        <f>M6+L6</f>
        <v>44.82</v>
      </c>
      <c r="O6" s="175" t="s">
        <v>825</v>
      </c>
      <c r="P6" s="158" t="s">
        <v>829</v>
      </c>
      <c r="R6" s="153"/>
    </row>
    <row r="7" spans="1:18" ht="34.200000000000003" customHeight="1">
      <c r="A7" s="197">
        <v>3</v>
      </c>
      <c r="B7" s="197" t="s">
        <v>830</v>
      </c>
      <c r="C7" s="197" t="s">
        <v>831</v>
      </c>
      <c r="D7" s="197" t="s">
        <v>824</v>
      </c>
      <c r="E7" s="178">
        <v>47.32</v>
      </c>
      <c r="F7" s="178">
        <v>47.32</v>
      </c>
      <c r="G7" s="181">
        <v>0.13</v>
      </c>
      <c r="H7" s="179"/>
      <c r="I7" s="178"/>
      <c r="J7" s="180"/>
      <c r="K7" s="179"/>
      <c r="L7" s="177">
        <v>0</v>
      </c>
      <c r="M7" s="177">
        <f>44.75</f>
        <v>44.75</v>
      </c>
      <c r="N7" s="11">
        <f>M7+L7</f>
        <v>44.75</v>
      </c>
      <c r="O7" s="175" t="s">
        <v>825</v>
      </c>
      <c r="P7" s="158" t="s">
        <v>834</v>
      </c>
      <c r="Q7" s="1" t="s">
        <v>836</v>
      </c>
      <c r="R7" s="153"/>
    </row>
    <row r="8" spans="1:18" ht="34.200000000000003" customHeight="1">
      <c r="A8" s="198"/>
      <c r="B8" s="198"/>
      <c r="C8" s="198"/>
      <c r="D8" s="198"/>
      <c r="E8" s="178">
        <v>49.13</v>
      </c>
      <c r="F8" s="178">
        <v>49.13</v>
      </c>
      <c r="G8" s="181">
        <v>0.13</v>
      </c>
      <c r="H8" s="179"/>
      <c r="I8" s="178"/>
      <c r="J8" s="180"/>
      <c r="K8" s="179"/>
      <c r="L8" s="177">
        <v>0</v>
      </c>
      <c r="M8" s="178">
        <v>49.13</v>
      </c>
      <c r="N8" s="178">
        <v>49.13</v>
      </c>
      <c r="O8" s="175" t="s">
        <v>835</v>
      </c>
      <c r="P8" s="158" t="s">
        <v>834</v>
      </c>
      <c r="Q8" s="1" t="s">
        <v>837</v>
      </c>
      <c r="R8" s="153"/>
    </row>
    <row r="9" spans="1:18" ht="34.200000000000003" customHeight="1">
      <c r="A9" s="6">
        <v>4</v>
      </c>
      <c r="B9" s="226" t="s">
        <v>832</v>
      </c>
      <c r="C9" s="226" t="s">
        <v>833</v>
      </c>
      <c r="D9" s="228" t="s">
        <v>824</v>
      </c>
      <c r="E9" s="178">
        <v>45.73</v>
      </c>
      <c r="F9" s="178">
        <v>45.73</v>
      </c>
      <c r="G9" s="181">
        <v>0.13</v>
      </c>
      <c r="H9" s="179"/>
      <c r="I9" s="178"/>
      <c r="J9" s="180"/>
      <c r="K9" s="179"/>
      <c r="L9" s="177">
        <v>0</v>
      </c>
      <c r="M9" s="177">
        <f>44.75</f>
        <v>44.75</v>
      </c>
      <c r="N9" s="11">
        <f>M9+L9</f>
        <v>44.75</v>
      </c>
      <c r="O9" s="175" t="s">
        <v>825</v>
      </c>
      <c r="P9" s="158" t="s">
        <v>834</v>
      </c>
      <c r="Q9" s="1" t="s">
        <v>836</v>
      </c>
      <c r="R9" s="153"/>
    </row>
    <row r="10" spans="1:18" ht="34.200000000000003" customHeight="1">
      <c r="A10" s="6">
        <v>5</v>
      </c>
      <c r="B10" s="227"/>
      <c r="C10" s="227"/>
      <c r="D10" s="229"/>
      <c r="E10" s="178">
        <v>45.73</v>
      </c>
      <c r="F10" s="178">
        <v>45.73</v>
      </c>
      <c r="G10" s="181">
        <v>0.13</v>
      </c>
      <c r="H10" s="179"/>
      <c r="I10" s="178"/>
      <c r="J10" s="180"/>
      <c r="K10" s="179"/>
      <c r="L10" s="177">
        <v>0</v>
      </c>
      <c r="M10" s="178">
        <v>49.13</v>
      </c>
      <c r="N10" s="178">
        <v>49.13</v>
      </c>
      <c r="O10" s="175" t="s">
        <v>835</v>
      </c>
      <c r="P10" s="158" t="s">
        <v>834</v>
      </c>
      <c r="Q10" s="1" t="s">
        <v>837</v>
      </c>
      <c r="R10" s="153"/>
    </row>
    <row r="11" spans="1:18" ht="100.8" customHeight="1">
      <c r="A11" s="193" t="s">
        <v>838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8" ht="124.2" customHeight="1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18" ht="93" customHeight="1">
      <c r="A13" s="193" t="s">
        <v>13</v>
      </c>
      <c r="B13" s="193"/>
      <c r="C13" s="193"/>
      <c r="D13" s="193" t="s">
        <v>14</v>
      </c>
      <c r="E13" s="193"/>
      <c r="F13" s="193"/>
      <c r="G13" s="193"/>
      <c r="H13" s="193"/>
      <c r="I13" s="193" t="s">
        <v>15</v>
      </c>
      <c r="J13" s="193"/>
      <c r="K13" s="193"/>
      <c r="L13" s="193" t="s">
        <v>16</v>
      </c>
      <c r="M13" s="193"/>
      <c r="N13" s="193"/>
      <c r="O13" s="193" t="s">
        <v>17</v>
      </c>
      <c r="P13" s="193"/>
    </row>
  </sheetData>
  <mergeCells count="28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7:A8"/>
    <mergeCell ref="B7:B8"/>
    <mergeCell ref="C7:C8"/>
    <mergeCell ref="D7:D8"/>
    <mergeCell ref="O13:P13"/>
    <mergeCell ref="B9:B10"/>
    <mergeCell ref="A13:C13"/>
    <mergeCell ref="D13:H13"/>
    <mergeCell ref="I13:K13"/>
    <mergeCell ref="L13:N13"/>
    <mergeCell ref="A11:P12"/>
    <mergeCell ref="C9:C10"/>
    <mergeCell ref="D9:D10"/>
  </mergeCells>
  <phoneticPr fontId="3" type="noConversion"/>
  <conditionalFormatting sqref="C5:C6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3056471D-52F3-4FBE-A995-522B6FA73980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D351-BFE5-4251-B1E4-DD3830332757}">
  <sheetPr codeName="Sheet54">
    <pageSetUpPr fitToPage="1"/>
  </sheetPr>
  <dimension ref="A1:R12"/>
  <sheetViews>
    <sheetView zoomScale="70" zoomScaleNormal="70" workbookViewId="0">
      <selection activeCell="N7" sqref="N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11.66406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8" ht="27.75" customHeight="1">
      <c r="A2" s="1" t="s">
        <v>661</v>
      </c>
      <c r="M2" s="200" t="s">
        <v>1</v>
      </c>
      <c r="N2" s="200"/>
      <c r="O2" s="200"/>
      <c r="P2" s="200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60" t="s">
        <v>839</v>
      </c>
      <c r="C5" s="161" t="s">
        <v>840</v>
      </c>
      <c r="D5" s="122" t="s">
        <v>20</v>
      </c>
      <c r="E5" s="162">
        <v>5.75</v>
      </c>
      <c r="F5" s="156">
        <f>E5+L5</f>
        <v>6.4833333333333334</v>
      </c>
      <c r="G5" s="163">
        <v>0.13</v>
      </c>
      <c r="H5" s="165"/>
      <c r="I5" s="162" t="s">
        <v>841</v>
      </c>
      <c r="J5" s="2" t="s">
        <v>842</v>
      </c>
      <c r="K5" s="165">
        <v>4.7</v>
      </c>
      <c r="L5" s="157">
        <f>22000/30000</f>
        <v>0.73333333333333328</v>
      </c>
      <c r="M5" s="162">
        <v>4.7</v>
      </c>
      <c r="N5" s="157">
        <f>M5+L5</f>
        <v>5.4333333333333336</v>
      </c>
      <c r="O5" s="166" t="s">
        <v>401</v>
      </c>
      <c r="P5" s="158" t="s">
        <v>843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18" ht="54" customHeight="1">
      <c r="A10" s="193" t="s">
        <v>844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8" ht="93" customHeight="1">
      <c r="A12" s="193" t="s">
        <v>13</v>
      </c>
      <c r="B12" s="193"/>
      <c r="C12" s="193"/>
      <c r="D12" s="193" t="s">
        <v>14</v>
      </c>
      <c r="E12" s="193"/>
      <c r="F12" s="193"/>
      <c r="G12" s="193"/>
      <c r="H12" s="193"/>
      <c r="I12" s="193" t="s">
        <v>15</v>
      </c>
      <c r="J12" s="193"/>
      <c r="K12" s="193"/>
      <c r="L12" s="193" t="s">
        <v>16</v>
      </c>
      <c r="M12" s="193"/>
      <c r="N12" s="193"/>
      <c r="O12" s="193" t="s">
        <v>17</v>
      </c>
      <c r="P12" s="193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9C9DB54A-A8E3-44C1-9D1B-3D3C9DEDC83F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939F-0F30-4719-9A9F-4907D2DE6B1E}">
  <sheetPr codeName="Sheet55">
    <pageSetUpPr fitToPage="1"/>
  </sheetPr>
  <dimension ref="A1:X510"/>
  <sheetViews>
    <sheetView zoomScale="70" zoomScaleNormal="70" workbookViewId="0">
      <selection activeCell="A7" sqref="A7:L8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4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845</v>
      </c>
      <c r="C4" s="35" t="s">
        <v>846</v>
      </c>
      <c r="D4" s="35"/>
      <c r="E4" s="34" t="s">
        <v>20</v>
      </c>
      <c r="F4" s="80">
        <v>1.8</v>
      </c>
      <c r="G4" s="36">
        <v>0.13</v>
      </c>
      <c r="H4" s="45"/>
      <c r="I4" s="80">
        <v>1.8</v>
      </c>
      <c r="J4" s="80">
        <v>1.8</v>
      </c>
      <c r="K4" s="93" t="s">
        <v>278</v>
      </c>
      <c r="L4" s="37" t="s">
        <v>850</v>
      </c>
      <c r="N4" s="182">
        <v>2344</v>
      </c>
      <c r="O4" s="83">
        <f>J4*N4</f>
        <v>4219.2</v>
      </c>
    </row>
    <row r="5" spans="1:24" s="39" customFormat="1" ht="67.8" customHeight="1">
      <c r="A5" s="34">
        <v>2</v>
      </c>
      <c r="B5" s="34" t="s">
        <v>847</v>
      </c>
      <c r="C5" s="35" t="s">
        <v>848</v>
      </c>
      <c r="D5" s="35"/>
      <c r="E5" s="34" t="s">
        <v>20</v>
      </c>
      <c r="F5" s="80">
        <v>1.3</v>
      </c>
      <c r="G5" s="36">
        <v>0.13</v>
      </c>
      <c r="H5" s="45"/>
      <c r="I5" s="80">
        <v>1.3</v>
      </c>
      <c r="J5" s="80">
        <v>1.3</v>
      </c>
      <c r="K5" s="93" t="s">
        <v>278</v>
      </c>
      <c r="L5" s="37" t="s">
        <v>851</v>
      </c>
      <c r="M5" s="38"/>
      <c r="N5" s="39">
        <v>1877</v>
      </c>
      <c r="O5" s="83">
        <f t="shared" ref="O5:O6" si="0">J5*N5</f>
        <v>2440.1</v>
      </c>
      <c r="Q5" s="83"/>
      <c r="R5" s="83"/>
      <c r="T5" s="83"/>
      <c r="V5" s="83"/>
      <c r="X5" s="38"/>
    </row>
    <row r="6" spans="1:24" s="39" customFormat="1" ht="67.8" customHeight="1">
      <c r="A6" s="34">
        <v>3</v>
      </c>
      <c r="B6" s="34" t="s">
        <v>849</v>
      </c>
      <c r="C6" s="35" t="s">
        <v>32</v>
      </c>
      <c r="D6" s="35"/>
      <c r="E6" s="34" t="s">
        <v>20</v>
      </c>
      <c r="F6" s="80">
        <v>2.2000000000000002</v>
      </c>
      <c r="G6" s="36">
        <v>0.13</v>
      </c>
      <c r="H6" s="45"/>
      <c r="I6" s="80">
        <v>2.2000000000000002</v>
      </c>
      <c r="J6" s="80">
        <v>2.2000000000000002</v>
      </c>
      <c r="K6" s="93" t="s">
        <v>278</v>
      </c>
      <c r="L6" s="37" t="s">
        <v>852</v>
      </c>
      <c r="M6" s="38"/>
      <c r="N6" s="39">
        <v>1851</v>
      </c>
      <c r="O6" s="83">
        <f t="shared" si="0"/>
        <v>4072.2000000000003</v>
      </c>
      <c r="Q6" s="83"/>
      <c r="R6" s="83"/>
      <c r="T6" s="83"/>
      <c r="V6" s="83"/>
      <c r="X6" s="38"/>
    </row>
    <row r="7" spans="1:24" s="39" customFormat="1" ht="27.75" customHeight="1">
      <c r="A7" s="202" t="s">
        <v>853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O7" s="39">
        <f>SUM(O4:O6)</f>
        <v>10731.5</v>
      </c>
    </row>
    <row r="8" spans="1:24" s="39" customFormat="1" ht="63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4" s="39" customFormat="1" ht="93" customHeight="1">
      <c r="A9" s="203" t="s">
        <v>13</v>
      </c>
      <c r="B9" s="204"/>
      <c r="C9" s="205" t="s">
        <v>14</v>
      </c>
      <c r="D9" s="205"/>
      <c r="E9" s="205"/>
      <c r="F9" s="206" t="s">
        <v>15</v>
      </c>
      <c r="G9" s="207"/>
      <c r="H9" s="207"/>
      <c r="I9" s="206" t="s">
        <v>16</v>
      </c>
      <c r="J9" s="207"/>
      <c r="K9" s="202" t="s">
        <v>17</v>
      </c>
      <c r="L9" s="202"/>
    </row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0EBA-9314-4F75-AC2C-5FEDF3005485}">
  <sheetPr codeName="Sheet56">
    <pageSetUpPr fitToPage="1"/>
  </sheetPr>
  <dimension ref="A1:T12"/>
  <sheetViews>
    <sheetView zoomScale="70" zoomScaleNormal="70" workbookViewId="0">
      <selection activeCell="J8" sqref="J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6.777343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0" ht="27.75" customHeight="1">
      <c r="A2" s="1" t="s">
        <v>661</v>
      </c>
      <c r="M2" s="200" t="s">
        <v>1</v>
      </c>
      <c r="N2" s="200"/>
      <c r="O2" s="200"/>
      <c r="P2" s="200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S4" s="119" t="s">
        <v>860</v>
      </c>
      <c r="T4" s="119" t="s">
        <v>861</v>
      </c>
    </row>
    <row r="5" spans="1:20" ht="27.75" customHeight="1">
      <c r="A5" s="6">
        <v>1</v>
      </c>
      <c r="B5" s="183" t="s">
        <v>854</v>
      </c>
      <c r="C5" s="184" t="s">
        <v>855</v>
      </c>
      <c r="D5" s="122" t="s">
        <v>20</v>
      </c>
      <c r="E5" s="162">
        <v>12</v>
      </c>
      <c r="F5" s="156"/>
      <c r="G5" s="163">
        <v>0.13</v>
      </c>
      <c r="H5" s="165"/>
      <c r="I5" s="162">
        <v>11</v>
      </c>
      <c r="J5" s="2" t="s">
        <v>859</v>
      </c>
      <c r="K5" s="165">
        <v>5.32</v>
      </c>
      <c r="L5" s="157"/>
      <c r="M5" s="162">
        <v>11.8</v>
      </c>
      <c r="N5" s="157"/>
      <c r="O5" s="166" t="s">
        <v>52</v>
      </c>
      <c r="P5" s="158"/>
      <c r="R5" s="153"/>
      <c r="S5" s="185">
        <v>11.5</v>
      </c>
      <c r="T5" s="185">
        <v>12.261733733368732</v>
      </c>
    </row>
    <row r="6" spans="1:20" ht="27.75" customHeight="1">
      <c r="A6" s="6"/>
      <c r="B6" s="183" t="s">
        <v>137</v>
      </c>
      <c r="C6" s="184" t="s">
        <v>856</v>
      </c>
      <c r="D6" s="122" t="s">
        <v>20</v>
      </c>
      <c r="E6" s="162">
        <v>12</v>
      </c>
      <c r="F6" s="156"/>
      <c r="G6" s="163">
        <v>0.13</v>
      </c>
      <c r="H6" s="164"/>
      <c r="I6" s="162">
        <v>11</v>
      </c>
      <c r="J6" s="2" t="s">
        <v>859</v>
      </c>
      <c r="K6" s="165">
        <v>5.32</v>
      </c>
      <c r="L6" s="157"/>
      <c r="M6" s="162">
        <v>11.8</v>
      </c>
      <c r="N6" s="157"/>
      <c r="O6" s="166" t="s">
        <v>52</v>
      </c>
      <c r="P6" s="158"/>
      <c r="R6" s="153"/>
      <c r="S6" s="185">
        <v>11.6</v>
      </c>
      <c r="T6" s="185">
        <v>11.987501733368731</v>
      </c>
    </row>
    <row r="7" spans="1:20" ht="27.75" customHeight="1">
      <c r="A7" s="6"/>
      <c r="B7" s="183" t="s">
        <v>857</v>
      </c>
      <c r="C7" s="184" t="s">
        <v>858</v>
      </c>
      <c r="D7" s="122" t="s">
        <v>20</v>
      </c>
      <c r="E7" s="162">
        <v>12</v>
      </c>
      <c r="F7" s="156"/>
      <c r="G7" s="163">
        <v>0.13</v>
      </c>
      <c r="H7" s="164"/>
      <c r="I7" s="162">
        <v>11</v>
      </c>
      <c r="J7" s="2" t="s">
        <v>859</v>
      </c>
      <c r="K7" s="165">
        <v>5.32</v>
      </c>
      <c r="L7" s="157"/>
      <c r="M7" s="162">
        <v>11.8</v>
      </c>
      <c r="N7" s="157"/>
      <c r="O7" s="166" t="s">
        <v>52</v>
      </c>
      <c r="P7" s="158"/>
      <c r="R7" s="153"/>
      <c r="S7" s="185">
        <v>11.9</v>
      </c>
      <c r="T7" s="185">
        <v>11.928973733368732</v>
      </c>
    </row>
    <row r="8" spans="1:20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20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20" ht="54" customHeight="1">
      <c r="A10" s="193" t="s">
        <v>862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0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0" ht="93" customHeight="1">
      <c r="A12" s="193" t="s">
        <v>13</v>
      </c>
      <c r="B12" s="193"/>
      <c r="C12" s="193"/>
      <c r="D12" s="193" t="s">
        <v>14</v>
      </c>
      <c r="E12" s="193"/>
      <c r="F12" s="193"/>
      <c r="G12" s="193"/>
      <c r="H12" s="193"/>
      <c r="I12" s="193" t="s">
        <v>15</v>
      </c>
      <c r="J12" s="193"/>
      <c r="K12" s="193"/>
      <c r="L12" s="193" t="s">
        <v>16</v>
      </c>
      <c r="M12" s="193"/>
      <c r="N12" s="193"/>
      <c r="O12" s="193" t="s">
        <v>17</v>
      </c>
      <c r="P12" s="193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119D1D93-984E-4533-8483-B63D3D6693B4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F4CA-A2FB-47EF-8661-E5F16040FA85}">
  <sheetPr codeName="Sheet57">
    <pageSetUpPr fitToPage="1"/>
  </sheetPr>
  <dimension ref="A1:T11"/>
  <sheetViews>
    <sheetView zoomScale="70" zoomScaleNormal="70" workbookViewId="0">
      <selection activeCell="B8" sqref="B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0" ht="27.75" customHeight="1">
      <c r="A2" s="1" t="s">
        <v>661</v>
      </c>
      <c r="M2" s="200" t="s">
        <v>1</v>
      </c>
      <c r="N2" s="200"/>
      <c r="O2" s="200"/>
      <c r="P2" s="200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0" ht="27.75" customHeight="1">
      <c r="A5" s="6">
        <v>1</v>
      </c>
      <c r="B5" s="183" t="s">
        <v>864</v>
      </c>
      <c r="C5" s="184" t="s">
        <v>865</v>
      </c>
      <c r="D5" s="122" t="s">
        <v>20</v>
      </c>
      <c r="E5" s="162"/>
      <c r="F5" s="156"/>
      <c r="G5" s="163">
        <v>0.13</v>
      </c>
      <c r="H5" s="165"/>
      <c r="I5" s="162"/>
      <c r="J5" s="2"/>
      <c r="K5" s="165"/>
      <c r="L5" s="157"/>
      <c r="M5" s="162">
        <v>3.2</v>
      </c>
      <c r="N5" s="157"/>
      <c r="O5" s="166" t="s">
        <v>866</v>
      </c>
      <c r="P5" s="158" t="s">
        <v>867</v>
      </c>
      <c r="R5" s="153">
        <f>M5/3.25-1</f>
        <v>-1.538461538461533E-2</v>
      </c>
      <c r="S5" s="185"/>
      <c r="T5" s="185"/>
    </row>
    <row r="6" spans="1:20" ht="27.75" customHeight="1">
      <c r="A6" s="6">
        <v>2</v>
      </c>
      <c r="B6" s="183" t="s">
        <v>783</v>
      </c>
      <c r="C6" s="184" t="s">
        <v>868</v>
      </c>
      <c r="D6" s="122" t="s">
        <v>20</v>
      </c>
      <c r="E6" s="162"/>
      <c r="F6" s="156"/>
      <c r="G6" s="163">
        <v>0.13</v>
      </c>
      <c r="H6" s="164"/>
      <c r="I6" s="162"/>
      <c r="J6" s="2"/>
      <c r="K6" s="165"/>
      <c r="L6" s="157"/>
      <c r="M6" s="162">
        <v>2</v>
      </c>
      <c r="N6" s="157"/>
      <c r="O6" s="166" t="s">
        <v>866</v>
      </c>
      <c r="P6" s="158" t="s">
        <v>876</v>
      </c>
      <c r="R6" s="153">
        <f>M6/2-1</f>
        <v>0</v>
      </c>
      <c r="S6" s="185"/>
      <c r="T6" s="185"/>
    </row>
    <row r="7" spans="1:20" ht="27.75" customHeight="1">
      <c r="A7" s="6">
        <v>3</v>
      </c>
      <c r="B7" s="183" t="s">
        <v>872</v>
      </c>
      <c r="C7" s="184" t="s">
        <v>869</v>
      </c>
      <c r="D7" s="122" t="s">
        <v>20</v>
      </c>
      <c r="E7" s="162"/>
      <c r="F7" s="156"/>
      <c r="G7" s="163">
        <v>0.13</v>
      </c>
      <c r="H7" s="164"/>
      <c r="I7" s="162"/>
      <c r="J7" s="2"/>
      <c r="K7" s="165"/>
      <c r="L7" s="157"/>
      <c r="M7" s="162">
        <v>1</v>
      </c>
      <c r="N7" s="157"/>
      <c r="O7" s="166" t="s">
        <v>866</v>
      </c>
      <c r="P7" s="158" t="s">
        <v>873</v>
      </c>
      <c r="Q7" s="1" t="s">
        <v>875</v>
      </c>
      <c r="R7" s="153">
        <f>M7/0.6-1</f>
        <v>0.66666666666666674</v>
      </c>
      <c r="S7" s="185"/>
      <c r="T7" s="185"/>
    </row>
    <row r="8" spans="1:20" ht="27.75" customHeight="1">
      <c r="A8" s="6">
        <v>4</v>
      </c>
      <c r="B8" s="160" t="s">
        <v>870</v>
      </c>
      <c r="C8" s="161" t="s">
        <v>871</v>
      </c>
      <c r="D8" s="122" t="s">
        <v>20</v>
      </c>
      <c r="E8" s="162"/>
      <c r="F8" s="156"/>
      <c r="G8" s="163">
        <v>0.13</v>
      </c>
      <c r="H8" s="164"/>
      <c r="I8" s="162"/>
      <c r="J8" s="2"/>
      <c r="K8" s="165"/>
      <c r="L8" s="157"/>
      <c r="M8" s="162">
        <v>2.8</v>
      </c>
      <c r="N8" s="157"/>
      <c r="O8" s="166" t="s">
        <v>866</v>
      </c>
      <c r="P8" s="158" t="s">
        <v>874</v>
      </c>
      <c r="R8" s="153">
        <f>M8/3.2-1</f>
        <v>-0.12500000000000011</v>
      </c>
    </row>
    <row r="9" spans="1:20" ht="54" customHeight="1">
      <c r="A9" s="193" t="s">
        <v>863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20" ht="38.4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0" ht="93" customHeight="1">
      <c r="A11" s="193" t="s">
        <v>13</v>
      </c>
      <c r="B11" s="193"/>
      <c r="C11" s="193"/>
      <c r="D11" s="193" t="s">
        <v>14</v>
      </c>
      <c r="E11" s="193"/>
      <c r="F11" s="193"/>
      <c r="G11" s="193"/>
      <c r="H11" s="193"/>
      <c r="I11" s="193" t="s">
        <v>15</v>
      </c>
      <c r="J11" s="193"/>
      <c r="K11" s="193"/>
      <c r="L11" s="193" t="s">
        <v>16</v>
      </c>
      <c r="M11" s="193"/>
      <c r="N11" s="193"/>
      <c r="O11" s="193" t="s">
        <v>17</v>
      </c>
      <c r="P11" s="193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WLS983041:WLS983048 WBW983041:WBW983048 VSA983041:VSA983048 VIE983041:VIE983048 UYI983041:UYI983048 UOM983041:UOM983048 UEQ983041:UEQ983048 TUU983041:TUU983048 TKY983041:TKY983048 TBC983041:TBC983048 SRG983041:SRG983048 SHK983041:SHK983048 RXO983041:RXO983048 RNS983041:RNS983048 RDW983041:RDW983048 QUA983041:QUA983048 QKE983041:QKE983048 QAI983041:QAI983048 PQM983041:PQM983048 PGQ983041:PGQ983048 OWU983041:OWU983048 OMY983041:OMY983048 ODC983041:ODC983048 NTG983041:NTG983048 NJK983041:NJK983048 MZO983041:MZO983048 MPS983041:MPS983048 MFW983041:MFW983048 LWA983041:LWA983048 LME983041:LME983048 LCI983041:LCI983048 KSM983041:KSM983048 KIQ983041:KIQ983048 JYU983041:JYU983048 JOY983041:JOY983048 JFC983041:JFC983048 IVG983041:IVG983048 ILK983041:ILK983048 IBO983041:IBO983048 HRS983041:HRS983048 HHW983041:HHW983048 GYA983041:GYA983048 GOE983041:GOE983048 GEI983041:GEI983048 FUM983041:FUM983048 FKQ983041:FKQ983048 FAU983041:FAU983048 EQY983041:EQY983048 EHC983041:EHC983048 DXG983041:DXG983048 DNK983041:DNK983048 DDO983041:DDO983048 CTS983041:CTS983048 CJW983041:CJW983048 CAA983041:CAA983048 BQE983041:BQE983048 BGI983041:BGI983048 AWM983041:AWM983048 AMQ983041:AMQ983048 ACU983041:ACU983048 SY983041:SY983048 JC983041:JC983048 G983041:G983048 WVO917505:WVO917512 WLS917505:WLS917512 WBW917505:WBW917512 VSA917505:VSA917512 VIE917505:VIE917512 UYI917505:UYI917512 UOM917505:UOM917512 UEQ917505:UEQ917512 TUU917505:TUU917512 TKY917505:TKY917512 TBC917505:TBC917512 SRG917505:SRG917512 SHK917505:SHK917512 RXO917505:RXO917512 RNS917505:RNS917512 RDW917505:RDW917512 QUA917505:QUA917512 QKE917505:QKE917512 QAI917505:QAI917512 PQM917505:PQM917512 PGQ917505:PGQ917512 OWU917505:OWU917512 OMY917505:OMY917512 ODC917505:ODC917512 NTG917505:NTG917512 NJK917505:NJK917512 MZO917505:MZO917512 MPS917505:MPS917512 MFW917505:MFW917512 LWA917505:LWA917512 LME917505:LME917512 LCI917505:LCI917512 KSM917505:KSM917512 KIQ917505:KIQ917512 JYU917505:JYU917512 JOY917505:JOY917512 JFC917505:JFC917512 IVG917505:IVG917512 ILK917505:ILK917512 IBO917505:IBO917512 HRS917505:HRS917512 HHW917505:HHW917512 GYA917505:GYA917512 GOE917505:GOE917512 GEI917505:GEI917512 FUM917505:FUM917512 FKQ917505:FKQ917512 FAU917505:FAU917512 EQY917505:EQY917512 EHC917505:EHC917512 DXG917505:DXG917512 DNK917505:DNK917512 DDO917505:DDO917512 CTS917505:CTS917512 CJW917505:CJW917512 CAA917505:CAA917512 BQE917505:BQE917512 BGI917505:BGI917512 AWM917505:AWM917512 AMQ917505:AMQ917512 ACU917505:ACU917512 SY917505:SY917512 JC917505:JC917512 G917505:G917512 WVO851969:WVO851976 WLS851969:WLS851976 WBW851969:WBW851976 VSA851969:VSA851976 VIE851969:VIE851976 UYI851969:UYI851976 UOM851969:UOM851976 UEQ851969:UEQ851976 TUU851969:TUU851976 TKY851969:TKY851976 TBC851969:TBC851976 SRG851969:SRG851976 SHK851969:SHK851976 RXO851969:RXO851976 RNS851969:RNS851976 RDW851969:RDW851976 QUA851969:QUA851976 QKE851969:QKE851976 QAI851969:QAI851976 PQM851969:PQM851976 PGQ851969:PGQ851976 OWU851969:OWU851976 OMY851969:OMY851976 ODC851969:ODC851976 NTG851969:NTG851976 NJK851969:NJK851976 MZO851969:MZO851976 MPS851969:MPS851976 MFW851969:MFW851976 LWA851969:LWA851976 LME851969:LME851976 LCI851969:LCI851976 KSM851969:KSM851976 KIQ851969:KIQ851976 JYU851969:JYU851976 JOY851969:JOY851976 JFC851969:JFC851976 IVG851969:IVG851976 ILK851969:ILK851976 IBO851969:IBO851976 HRS851969:HRS851976 HHW851969:HHW851976 GYA851969:GYA851976 GOE851969:GOE851976 GEI851969:GEI851976 FUM851969:FUM851976 FKQ851969:FKQ851976 FAU851969:FAU851976 EQY851969:EQY851976 EHC851969:EHC851976 DXG851969:DXG851976 DNK851969:DNK851976 DDO851969:DDO851976 CTS851969:CTS851976 CJW851969:CJW851976 CAA851969:CAA851976 BQE851969:BQE851976 BGI851969:BGI851976 AWM851969:AWM851976 AMQ851969:AMQ851976 ACU851969:ACU851976 SY851969:SY851976 JC851969:JC851976 G851969:G851976 WVO786433:WVO786440 WLS786433:WLS786440 WBW786433:WBW786440 VSA786433:VSA786440 VIE786433:VIE786440 UYI786433:UYI786440 UOM786433:UOM786440 UEQ786433:UEQ786440 TUU786433:TUU786440 TKY786433:TKY786440 TBC786433:TBC786440 SRG786433:SRG786440 SHK786433:SHK786440 RXO786433:RXO786440 RNS786433:RNS786440 RDW786433:RDW786440 QUA786433:QUA786440 QKE786433:QKE786440 QAI786433:QAI786440 PQM786433:PQM786440 PGQ786433:PGQ786440 OWU786433:OWU786440 OMY786433:OMY786440 ODC786433:ODC786440 NTG786433:NTG786440 NJK786433:NJK786440 MZO786433:MZO786440 MPS786433:MPS786440 MFW786433:MFW786440 LWA786433:LWA786440 LME786433:LME786440 LCI786433:LCI786440 KSM786433:KSM786440 KIQ786433:KIQ786440 JYU786433:JYU786440 JOY786433:JOY786440 JFC786433:JFC786440 IVG786433:IVG786440 ILK786433:ILK786440 IBO786433:IBO786440 HRS786433:HRS786440 HHW786433:HHW786440 GYA786433:GYA786440 GOE786433:GOE786440 GEI786433:GEI786440 FUM786433:FUM786440 FKQ786433:FKQ786440 FAU786433:FAU786440 EQY786433:EQY786440 EHC786433:EHC786440 DXG786433:DXG786440 DNK786433:DNK786440 DDO786433:DDO786440 CTS786433:CTS786440 CJW786433:CJW786440 CAA786433:CAA786440 BQE786433:BQE786440 BGI786433:BGI786440 AWM786433:AWM786440 AMQ786433:AMQ786440 ACU786433:ACU786440 SY786433:SY786440 JC786433:JC786440 G786433:G786440 WVO720897:WVO720904 WLS720897:WLS720904 WBW720897:WBW720904 VSA720897:VSA720904 VIE720897:VIE720904 UYI720897:UYI720904 UOM720897:UOM720904 UEQ720897:UEQ720904 TUU720897:TUU720904 TKY720897:TKY720904 TBC720897:TBC720904 SRG720897:SRG720904 SHK720897:SHK720904 RXO720897:RXO720904 RNS720897:RNS720904 RDW720897:RDW720904 QUA720897:QUA720904 QKE720897:QKE720904 QAI720897:QAI720904 PQM720897:PQM720904 PGQ720897:PGQ720904 OWU720897:OWU720904 OMY720897:OMY720904 ODC720897:ODC720904 NTG720897:NTG720904 NJK720897:NJK720904 MZO720897:MZO720904 MPS720897:MPS720904 MFW720897:MFW720904 LWA720897:LWA720904 LME720897:LME720904 LCI720897:LCI720904 KSM720897:KSM720904 KIQ720897:KIQ720904 JYU720897:JYU720904 JOY720897:JOY720904 JFC720897:JFC720904 IVG720897:IVG720904 ILK720897:ILK720904 IBO720897:IBO720904 HRS720897:HRS720904 HHW720897:HHW720904 GYA720897:GYA720904 GOE720897:GOE720904 GEI720897:GEI720904 FUM720897:FUM720904 FKQ720897:FKQ720904 FAU720897:FAU720904 EQY720897:EQY720904 EHC720897:EHC720904 DXG720897:DXG720904 DNK720897:DNK720904 DDO720897:DDO720904 CTS720897:CTS720904 CJW720897:CJW720904 CAA720897:CAA720904 BQE720897:BQE720904 BGI720897:BGI720904 AWM720897:AWM720904 AMQ720897:AMQ720904 ACU720897:ACU720904 SY720897:SY720904 JC720897:JC720904 G720897:G720904 WVO655361:WVO655368 WLS655361:WLS655368 WBW655361:WBW655368 VSA655361:VSA655368 VIE655361:VIE655368 UYI655361:UYI655368 UOM655361:UOM655368 UEQ655361:UEQ655368 TUU655361:TUU655368 TKY655361:TKY655368 TBC655361:TBC655368 SRG655361:SRG655368 SHK655361:SHK655368 RXO655361:RXO655368 RNS655361:RNS655368 RDW655361:RDW655368 QUA655361:QUA655368 QKE655361:QKE655368 QAI655361:QAI655368 PQM655361:PQM655368 PGQ655361:PGQ655368 OWU655361:OWU655368 OMY655361:OMY655368 ODC655361:ODC655368 NTG655361:NTG655368 NJK655361:NJK655368 MZO655361:MZO655368 MPS655361:MPS655368 MFW655361:MFW655368 LWA655361:LWA655368 LME655361:LME655368 LCI655361:LCI655368 KSM655361:KSM655368 KIQ655361:KIQ655368 JYU655361:JYU655368 JOY655361:JOY655368 JFC655361:JFC655368 IVG655361:IVG655368 ILK655361:ILK655368 IBO655361:IBO655368 HRS655361:HRS655368 HHW655361:HHW655368 GYA655361:GYA655368 GOE655361:GOE655368 GEI655361:GEI655368 FUM655361:FUM655368 FKQ655361:FKQ655368 FAU655361:FAU655368 EQY655361:EQY655368 EHC655361:EHC655368 DXG655361:DXG655368 DNK655361:DNK655368 DDO655361:DDO655368 CTS655361:CTS655368 CJW655361:CJW655368 CAA655361:CAA655368 BQE655361:BQE655368 BGI655361:BGI655368 AWM655361:AWM655368 AMQ655361:AMQ655368 ACU655361:ACU655368 SY655361:SY655368 JC655361:JC655368 G655361:G655368 WVO589825:WVO589832 WLS589825:WLS589832 WBW589825:WBW589832 VSA589825:VSA589832 VIE589825:VIE589832 UYI589825:UYI589832 UOM589825:UOM589832 UEQ589825:UEQ589832 TUU589825:TUU589832 TKY589825:TKY589832 TBC589825:TBC589832 SRG589825:SRG589832 SHK589825:SHK589832 RXO589825:RXO589832 RNS589825:RNS589832 RDW589825:RDW589832 QUA589825:QUA589832 QKE589825:QKE589832 QAI589825:QAI589832 PQM589825:PQM589832 PGQ589825:PGQ589832 OWU589825:OWU589832 OMY589825:OMY589832 ODC589825:ODC589832 NTG589825:NTG589832 NJK589825:NJK589832 MZO589825:MZO589832 MPS589825:MPS589832 MFW589825:MFW589832 LWA589825:LWA589832 LME589825:LME589832 LCI589825:LCI589832 KSM589825:KSM589832 KIQ589825:KIQ589832 JYU589825:JYU589832 JOY589825:JOY589832 JFC589825:JFC589832 IVG589825:IVG589832 ILK589825:ILK589832 IBO589825:IBO589832 HRS589825:HRS589832 HHW589825:HHW589832 GYA589825:GYA589832 GOE589825:GOE589832 GEI589825:GEI589832 FUM589825:FUM589832 FKQ589825:FKQ589832 FAU589825:FAU589832 EQY589825:EQY589832 EHC589825:EHC589832 DXG589825:DXG589832 DNK589825:DNK589832 DDO589825:DDO589832 CTS589825:CTS589832 CJW589825:CJW589832 CAA589825:CAA589832 BQE589825:BQE589832 BGI589825:BGI589832 AWM589825:AWM589832 AMQ589825:AMQ589832 ACU589825:ACU589832 SY589825:SY589832 JC589825:JC589832 G589825:G589832 WVO524289:WVO524296 WLS524289:WLS524296 WBW524289:WBW524296 VSA524289:VSA524296 VIE524289:VIE524296 UYI524289:UYI524296 UOM524289:UOM524296 UEQ524289:UEQ524296 TUU524289:TUU524296 TKY524289:TKY524296 TBC524289:TBC524296 SRG524289:SRG524296 SHK524289:SHK524296 RXO524289:RXO524296 RNS524289:RNS524296 RDW524289:RDW524296 QUA524289:QUA524296 QKE524289:QKE524296 QAI524289:QAI524296 PQM524289:PQM524296 PGQ524289:PGQ524296 OWU524289:OWU524296 OMY524289:OMY524296 ODC524289:ODC524296 NTG524289:NTG524296 NJK524289:NJK524296 MZO524289:MZO524296 MPS524289:MPS524296 MFW524289:MFW524296 LWA524289:LWA524296 LME524289:LME524296 LCI524289:LCI524296 KSM524289:KSM524296 KIQ524289:KIQ524296 JYU524289:JYU524296 JOY524289:JOY524296 JFC524289:JFC524296 IVG524289:IVG524296 ILK524289:ILK524296 IBO524289:IBO524296 HRS524289:HRS524296 HHW524289:HHW524296 GYA524289:GYA524296 GOE524289:GOE524296 GEI524289:GEI524296 FUM524289:FUM524296 FKQ524289:FKQ524296 FAU524289:FAU524296 EQY524289:EQY524296 EHC524289:EHC524296 DXG524289:DXG524296 DNK524289:DNK524296 DDO524289:DDO524296 CTS524289:CTS524296 CJW524289:CJW524296 CAA524289:CAA524296 BQE524289:BQE524296 BGI524289:BGI524296 AWM524289:AWM524296 AMQ524289:AMQ524296 ACU524289:ACU524296 SY524289:SY524296 JC524289:JC524296 G524289:G524296 WVO458753:WVO458760 WLS458753:WLS458760 WBW458753:WBW458760 VSA458753:VSA458760 VIE458753:VIE458760 UYI458753:UYI458760 UOM458753:UOM458760 UEQ458753:UEQ458760 TUU458753:TUU458760 TKY458753:TKY458760 TBC458753:TBC458760 SRG458753:SRG458760 SHK458753:SHK458760 RXO458753:RXO458760 RNS458753:RNS458760 RDW458753:RDW458760 QUA458753:QUA458760 QKE458753:QKE458760 QAI458753:QAI458760 PQM458753:PQM458760 PGQ458753:PGQ458760 OWU458753:OWU458760 OMY458753:OMY458760 ODC458753:ODC458760 NTG458753:NTG458760 NJK458753:NJK458760 MZO458753:MZO458760 MPS458753:MPS458760 MFW458753:MFW458760 LWA458753:LWA458760 LME458753:LME458760 LCI458753:LCI458760 KSM458753:KSM458760 KIQ458753:KIQ458760 JYU458753:JYU458760 JOY458753:JOY458760 JFC458753:JFC458760 IVG458753:IVG458760 ILK458753:ILK458760 IBO458753:IBO458760 HRS458753:HRS458760 HHW458753:HHW458760 GYA458753:GYA458760 GOE458753:GOE458760 GEI458753:GEI458760 FUM458753:FUM458760 FKQ458753:FKQ458760 FAU458753:FAU458760 EQY458753:EQY458760 EHC458753:EHC458760 DXG458753:DXG458760 DNK458753:DNK458760 DDO458753:DDO458760 CTS458753:CTS458760 CJW458753:CJW458760 CAA458753:CAA458760 BQE458753:BQE458760 BGI458753:BGI458760 AWM458753:AWM458760 AMQ458753:AMQ458760 ACU458753:ACU458760 SY458753:SY458760 JC458753:JC458760 G458753:G458760 WVO393217:WVO393224 WLS393217:WLS393224 WBW393217:WBW393224 VSA393217:VSA393224 VIE393217:VIE393224 UYI393217:UYI393224 UOM393217:UOM393224 UEQ393217:UEQ393224 TUU393217:TUU393224 TKY393217:TKY393224 TBC393217:TBC393224 SRG393217:SRG393224 SHK393217:SHK393224 RXO393217:RXO393224 RNS393217:RNS393224 RDW393217:RDW393224 QUA393217:QUA393224 QKE393217:QKE393224 QAI393217:QAI393224 PQM393217:PQM393224 PGQ393217:PGQ393224 OWU393217:OWU393224 OMY393217:OMY393224 ODC393217:ODC393224 NTG393217:NTG393224 NJK393217:NJK393224 MZO393217:MZO393224 MPS393217:MPS393224 MFW393217:MFW393224 LWA393217:LWA393224 LME393217:LME393224 LCI393217:LCI393224 KSM393217:KSM393224 KIQ393217:KIQ393224 JYU393217:JYU393224 JOY393217:JOY393224 JFC393217:JFC393224 IVG393217:IVG393224 ILK393217:ILK393224 IBO393217:IBO393224 HRS393217:HRS393224 HHW393217:HHW393224 GYA393217:GYA393224 GOE393217:GOE393224 GEI393217:GEI393224 FUM393217:FUM393224 FKQ393217:FKQ393224 FAU393217:FAU393224 EQY393217:EQY393224 EHC393217:EHC393224 DXG393217:DXG393224 DNK393217:DNK393224 DDO393217:DDO393224 CTS393217:CTS393224 CJW393217:CJW393224 CAA393217:CAA393224 BQE393217:BQE393224 BGI393217:BGI393224 AWM393217:AWM393224 AMQ393217:AMQ393224 ACU393217:ACU393224 SY393217:SY393224 JC393217:JC393224 G393217:G393224 WVO327681:WVO327688 WLS327681:WLS327688 WBW327681:WBW327688 VSA327681:VSA327688 VIE327681:VIE327688 UYI327681:UYI327688 UOM327681:UOM327688 UEQ327681:UEQ327688 TUU327681:TUU327688 TKY327681:TKY327688 TBC327681:TBC327688 SRG327681:SRG327688 SHK327681:SHK327688 RXO327681:RXO327688 RNS327681:RNS327688 RDW327681:RDW327688 QUA327681:QUA327688 QKE327681:QKE327688 QAI327681:QAI327688 PQM327681:PQM327688 PGQ327681:PGQ327688 OWU327681:OWU327688 OMY327681:OMY327688 ODC327681:ODC327688 NTG327681:NTG327688 NJK327681:NJK327688 MZO327681:MZO327688 MPS327681:MPS327688 MFW327681:MFW327688 LWA327681:LWA327688 LME327681:LME327688 LCI327681:LCI327688 KSM327681:KSM327688 KIQ327681:KIQ327688 JYU327681:JYU327688 JOY327681:JOY327688 JFC327681:JFC327688 IVG327681:IVG327688 ILK327681:ILK327688 IBO327681:IBO327688 HRS327681:HRS327688 HHW327681:HHW327688 GYA327681:GYA327688 GOE327681:GOE327688 GEI327681:GEI327688 FUM327681:FUM327688 FKQ327681:FKQ327688 FAU327681:FAU327688 EQY327681:EQY327688 EHC327681:EHC327688 DXG327681:DXG327688 DNK327681:DNK327688 DDO327681:DDO327688 CTS327681:CTS327688 CJW327681:CJW327688 CAA327681:CAA327688 BQE327681:BQE327688 BGI327681:BGI327688 AWM327681:AWM327688 AMQ327681:AMQ327688 ACU327681:ACU327688 SY327681:SY327688 JC327681:JC327688 G327681:G327688 WVO262145:WVO262152 WLS262145:WLS262152 WBW262145:WBW262152 VSA262145:VSA262152 VIE262145:VIE262152 UYI262145:UYI262152 UOM262145:UOM262152 UEQ262145:UEQ262152 TUU262145:TUU262152 TKY262145:TKY262152 TBC262145:TBC262152 SRG262145:SRG262152 SHK262145:SHK262152 RXO262145:RXO262152 RNS262145:RNS262152 RDW262145:RDW262152 QUA262145:QUA262152 QKE262145:QKE262152 QAI262145:QAI262152 PQM262145:PQM262152 PGQ262145:PGQ262152 OWU262145:OWU262152 OMY262145:OMY262152 ODC262145:ODC262152 NTG262145:NTG262152 NJK262145:NJK262152 MZO262145:MZO262152 MPS262145:MPS262152 MFW262145:MFW262152 LWA262145:LWA262152 LME262145:LME262152 LCI262145:LCI262152 KSM262145:KSM262152 KIQ262145:KIQ262152 JYU262145:JYU262152 JOY262145:JOY262152 JFC262145:JFC262152 IVG262145:IVG262152 ILK262145:ILK262152 IBO262145:IBO262152 HRS262145:HRS262152 HHW262145:HHW262152 GYA262145:GYA262152 GOE262145:GOE262152 GEI262145:GEI262152 FUM262145:FUM262152 FKQ262145:FKQ262152 FAU262145:FAU262152 EQY262145:EQY262152 EHC262145:EHC262152 DXG262145:DXG262152 DNK262145:DNK262152 DDO262145:DDO262152 CTS262145:CTS262152 CJW262145:CJW262152 CAA262145:CAA262152 BQE262145:BQE262152 BGI262145:BGI262152 AWM262145:AWM262152 AMQ262145:AMQ262152 ACU262145:ACU262152 SY262145:SY262152 JC262145:JC262152 G262145:G262152 WVO196609:WVO196616 WLS196609:WLS196616 WBW196609:WBW196616 VSA196609:VSA196616 VIE196609:VIE196616 UYI196609:UYI196616 UOM196609:UOM196616 UEQ196609:UEQ196616 TUU196609:TUU196616 TKY196609:TKY196616 TBC196609:TBC196616 SRG196609:SRG196616 SHK196609:SHK196616 RXO196609:RXO196616 RNS196609:RNS196616 RDW196609:RDW196616 QUA196609:QUA196616 QKE196609:QKE196616 QAI196609:QAI196616 PQM196609:PQM196616 PGQ196609:PGQ196616 OWU196609:OWU196616 OMY196609:OMY196616 ODC196609:ODC196616 NTG196609:NTG196616 NJK196609:NJK196616 MZO196609:MZO196616 MPS196609:MPS196616 MFW196609:MFW196616 LWA196609:LWA196616 LME196609:LME196616 LCI196609:LCI196616 KSM196609:KSM196616 KIQ196609:KIQ196616 JYU196609:JYU196616 JOY196609:JOY196616 JFC196609:JFC196616 IVG196609:IVG196616 ILK196609:ILK196616 IBO196609:IBO196616 HRS196609:HRS196616 HHW196609:HHW196616 GYA196609:GYA196616 GOE196609:GOE196616 GEI196609:GEI196616 FUM196609:FUM196616 FKQ196609:FKQ196616 FAU196609:FAU196616 EQY196609:EQY196616 EHC196609:EHC196616 DXG196609:DXG196616 DNK196609:DNK196616 DDO196609:DDO196616 CTS196609:CTS196616 CJW196609:CJW196616 CAA196609:CAA196616 BQE196609:BQE196616 BGI196609:BGI196616 AWM196609:AWM196616 AMQ196609:AMQ196616 ACU196609:ACU196616 SY196609:SY196616 JC196609:JC196616 G196609:G196616 WVO131073:WVO131080 WLS131073:WLS131080 WBW131073:WBW131080 VSA131073:VSA131080 VIE131073:VIE131080 UYI131073:UYI131080 UOM131073:UOM131080 UEQ131073:UEQ131080 TUU131073:TUU131080 TKY131073:TKY131080 TBC131073:TBC131080 SRG131073:SRG131080 SHK131073:SHK131080 RXO131073:RXO131080 RNS131073:RNS131080 RDW131073:RDW131080 QUA131073:QUA131080 QKE131073:QKE131080 QAI131073:QAI131080 PQM131073:PQM131080 PGQ131073:PGQ131080 OWU131073:OWU131080 OMY131073:OMY131080 ODC131073:ODC131080 NTG131073:NTG131080 NJK131073:NJK131080 MZO131073:MZO131080 MPS131073:MPS131080 MFW131073:MFW131080 LWA131073:LWA131080 LME131073:LME131080 LCI131073:LCI131080 KSM131073:KSM131080 KIQ131073:KIQ131080 JYU131073:JYU131080 JOY131073:JOY131080 JFC131073:JFC131080 IVG131073:IVG131080 ILK131073:ILK131080 IBO131073:IBO131080 HRS131073:HRS131080 HHW131073:HHW131080 GYA131073:GYA131080 GOE131073:GOE131080 GEI131073:GEI131080 FUM131073:FUM131080 FKQ131073:FKQ131080 FAU131073:FAU131080 EQY131073:EQY131080 EHC131073:EHC131080 DXG131073:DXG131080 DNK131073:DNK131080 DDO131073:DDO131080 CTS131073:CTS131080 CJW131073:CJW131080 CAA131073:CAA131080 BQE131073:BQE131080 BGI131073:BGI131080 AWM131073:AWM131080 AMQ131073:AMQ131080 ACU131073:ACU131080 SY131073:SY131080 JC131073:JC131080 G131073:G131080 WVO65537:WVO65544 WLS65537:WLS65544 WBW65537:WBW65544 VSA65537:VSA65544 VIE65537:VIE65544 UYI65537:UYI65544 UOM65537:UOM65544 UEQ65537:UEQ65544 TUU65537:TUU65544 TKY65537:TKY65544 TBC65537:TBC65544 SRG65537:SRG65544 SHK65537:SHK65544 RXO65537:RXO65544 RNS65537:RNS65544 RDW65537:RDW65544 QUA65537:QUA65544 QKE65537:QKE65544 QAI65537:QAI65544 PQM65537:PQM65544 PGQ65537:PGQ65544 OWU65537:OWU65544 OMY65537:OMY65544 ODC65537:ODC65544 NTG65537:NTG65544 NJK65537:NJK65544 MZO65537:MZO65544 MPS65537:MPS65544 MFW65537:MFW65544 LWA65537:LWA65544 LME65537:LME65544 LCI65537:LCI65544 KSM65537:KSM65544 KIQ65537:KIQ65544 JYU65537:JYU65544 JOY65537:JOY65544 JFC65537:JFC65544 IVG65537:IVG65544 ILK65537:ILK65544 IBO65537:IBO65544 HRS65537:HRS65544 HHW65537:HHW65544 GYA65537:GYA65544 GOE65537:GOE65544 GEI65537:GEI65544 FUM65537:FUM65544 FKQ65537:FKQ65544 FAU65537:FAU65544 EQY65537:EQY65544 EHC65537:EHC65544 DXG65537:DXG65544 DNK65537:DNK65544 DDO65537:DDO65544 CTS65537:CTS65544 CJW65537:CJW65544 CAA65537:CAA65544 BQE65537:BQE65544 BGI65537:BGI65544 AWM65537:AWM65544 AMQ65537:AMQ65544 ACU65537:ACU65544 SY65537:SY65544 JC65537:JC65544 G65537:G65544 WVO5:WVO8 WLS5:WLS8 WBW5:WBW8 VSA5:VSA8 VIE5:VIE8 UYI5:UYI8 UOM5:UOM8 UEQ5:UEQ8 TUU5:TUU8 TKY5:TKY8 TBC5:TBC8 SRG5:SRG8 SHK5:SHK8 RXO5:RXO8 RNS5:RNS8 RDW5:RDW8 QUA5:QUA8 QKE5:QKE8 QAI5:QAI8 PQM5:PQM8 PGQ5:PGQ8 OWU5:OWU8 OMY5:OMY8 ODC5:ODC8 NTG5:NTG8 NJK5:NJK8 MZO5:MZO8 MPS5:MPS8 MFW5:MFW8 LWA5:LWA8 LME5:LME8 LCI5:LCI8 KSM5:KSM8 KIQ5:KIQ8 JYU5:JYU8 JOY5:JOY8 JFC5:JFC8 IVG5:IVG8 ILK5:ILK8 IBO5:IBO8 HRS5:HRS8 HHW5:HHW8 GYA5:GYA8 GOE5:GOE8 GEI5:GEI8 FUM5:FUM8 FKQ5:FKQ8 FAU5:FAU8 EQY5:EQY8 EHC5:EHC8 DXG5:DXG8 DNK5:DNK8 DDO5:DDO8 CTS5:CTS8 CJW5:CJW8 CAA5:CAA8 BQE5:BQE8 BGI5:BGI8 AWM5:AWM8 AMQ5:AMQ8 ACU5:ACU8 SY5:SY8 JC5:JC8" xr:uid="{090D93E3-D715-4AB7-8C09-FAA5C8F85BC2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7097-10DE-481D-9FED-96BC832FC59E}">
  <sheetPr codeName="Sheet58">
    <pageSetUpPr fitToPage="1"/>
  </sheetPr>
  <dimension ref="A1:T16"/>
  <sheetViews>
    <sheetView zoomScale="70" zoomScaleNormal="70" workbookViewId="0">
      <selection activeCell="O5" sqref="O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hidden="1" customWidth="1"/>
    <col min="6" max="6" width="9.6640625" style="4" hidden="1" customWidth="1"/>
    <col min="7" max="7" width="7.109375" style="1" hidden="1" customWidth="1"/>
    <col min="8" max="8" width="7.44140625" style="1" hidden="1" customWidth="1"/>
    <col min="9" max="9" width="9.33203125" style="1" hidden="1" customWidth="1"/>
    <col min="10" max="11" width="10.44140625" style="1" hidden="1" customWidth="1"/>
    <col min="12" max="12" width="8.6640625" style="1" hidden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0" ht="27.75" customHeight="1">
      <c r="A2" s="1" t="s">
        <v>661</v>
      </c>
      <c r="M2" s="200" t="s">
        <v>1</v>
      </c>
      <c r="N2" s="200"/>
      <c r="O2" s="200"/>
      <c r="P2" s="200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4" t="s">
        <v>889</v>
      </c>
      <c r="R4" s="153" t="s">
        <v>890</v>
      </c>
    </row>
    <row r="5" spans="1:20" ht="27.75" customHeight="1">
      <c r="A5" s="6">
        <v>1</v>
      </c>
      <c r="B5" s="183" t="s">
        <v>877</v>
      </c>
      <c r="C5" s="184" t="s">
        <v>878</v>
      </c>
      <c r="D5" s="122" t="s">
        <v>20</v>
      </c>
      <c r="E5" s="162">
        <v>3.2</v>
      </c>
      <c r="F5" s="156"/>
      <c r="G5" s="163">
        <v>0.13</v>
      </c>
      <c r="H5" s="165"/>
      <c r="I5" s="162">
        <v>2.8506918387413966</v>
      </c>
      <c r="J5" s="2"/>
      <c r="K5" s="165"/>
      <c r="L5" s="157">
        <v>0</v>
      </c>
      <c r="M5" s="162">
        <v>2.8506918387413966</v>
      </c>
      <c r="N5" s="157">
        <v>2.8506918387413966</v>
      </c>
      <c r="O5" s="166" t="s">
        <v>638</v>
      </c>
      <c r="P5" s="158"/>
      <c r="Q5" s="4" t="s">
        <v>891</v>
      </c>
      <c r="R5" s="186">
        <v>2.8195000000000001</v>
      </c>
      <c r="S5" s="185"/>
      <c r="T5" s="185"/>
    </row>
    <row r="6" spans="1:20" ht="27.75" customHeight="1">
      <c r="A6" s="6">
        <v>2</v>
      </c>
      <c r="B6" s="183" t="s">
        <v>879</v>
      </c>
      <c r="C6" s="184" t="s">
        <v>880</v>
      </c>
      <c r="D6" s="122" t="s">
        <v>20</v>
      </c>
      <c r="E6" s="162">
        <v>1.6</v>
      </c>
      <c r="F6" s="156"/>
      <c r="G6" s="163">
        <v>0.13</v>
      </c>
      <c r="H6" s="164"/>
      <c r="I6" s="162">
        <v>0.89739920913066673</v>
      </c>
      <c r="J6" s="2"/>
      <c r="K6" s="165"/>
      <c r="L6" s="157">
        <v>0</v>
      </c>
      <c r="M6" s="162">
        <v>0.89739920913066673</v>
      </c>
      <c r="N6" s="157">
        <v>0.89739920913066673</v>
      </c>
      <c r="O6" s="166" t="s">
        <v>638</v>
      </c>
      <c r="P6" s="158"/>
      <c r="Q6" s="4" t="s">
        <v>892</v>
      </c>
      <c r="R6" s="186">
        <v>2</v>
      </c>
      <c r="S6" s="185"/>
      <c r="T6" s="185"/>
    </row>
    <row r="7" spans="1:20" ht="27.75" customHeight="1">
      <c r="A7" s="6">
        <v>3</v>
      </c>
      <c r="B7" s="183" t="s">
        <v>881</v>
      </c>
      <c r="C7" s="184" t="s">
        <v>882</v>
      </c>
      <c r="D7" s="122" t="s">
        <v>20</v>
      </c>
      <c r="E7" s="162">
        <v>1.4</v>
      </c>
      <c r="F7" s="156"/>
      <c r="G7" s="163">
        <v>0.13</v>
      </c>
      <c r="H7" s="164"/>
      <c r="I7" s="162">
        <v>0.73624046222222228</v>
      </c>
      <c r="J7" s="2"/>
      <c r="K7" s="165"/>
      <c r="L7" s="157">
        <v>0</v>
      </c>
      <c r="M7" s="187">
        <v>0.63</v>
      </c>
      <c r="N7" s="187">
        <v>0.63</v>
      </c>
      <c r="O7" s="166" t="s">
        <v>638</v>
      </c>
      <c r="P7" s="158"/>
      <c r="Q7" s="4" t="s">
        <v>892</v>
      </c>
      <c r="R7" s="186">
        <v>0.63</v>
      </c>
      <c r="S7" s="185" t="s">
        <v>893</v>
      </c>
      <c r="T7" s="185"/>
    </row>
    <row r="8" spans="1:20" ht="27.75" customHeight="1">
      <c r="A8" s="6">
        <v>4</v>
      </c>
      <c r="B8" s="183" t="s">
        <v>883</v>
      </c>
      <c r="C8" s="184" t="s">
        <v>884</v>
      </c>
      <c r="D8" s="122" t="s">
        <v>20</v>
      </c>
      <c r="E8" s="162">
        <v>3.6</v>
      </c>
      <c r="F8" s="156"/>
      <c r="G8" s="163">
        <v>0.13</v>
      </c>
      <c r="H8" s="164"/>
      <c r="I8" s="162">
        <v>3.4093187862222218</v>
      </c>
      <c r="J8" s="2"/>
      <c r="K8" s="165"/>
      <c r="L8" s="157">
        <v>0</v>
      </c>
      <c r="M8" s="162">
        <v>3.4093187862222218</v>
      </c>
      <c r="N8" s="157">
        <v>3.4093187862222218</v>
      </c>
      <c r="O8" s="166" t="s">
        <v>638</v>
      </c>
      <c r="P8" s="158"/>
      <c r="Q8" s="4" t="s">
        <v>891</v>
      </c>
      <c r="R8" s="186">
        <v>3.9820000000000002</v>
      </c>
      <c r="S8" s="185" t="s">
        <v>894</v>
      </c>
      <c r="T8" s="185"/>
    </row>
    <row r="9" spans="1:20" ht="27.75" customHeight="1">
      <c r="A9" s="6">
        <v>5</v>
      </c>
      <c r="B9" s="183" t="s">
        <v>686</v>
      </c>
      <c r="C9" s="184" t="s">
        <v>687</v>
      </c>
      <c r="D9" s="122" t="s">
        <v>20</v>
      </c>
      <c r="E9" s="162">
        <v>1.4</v>
      </c>
      <c r="F9" s="156"/>
      <c r="G9" s="163">
        <v>0.13</v>
      </c>
      <c r="H9" s="164"/>
      <c r="I9" s="162">
        <v>1.0711361422222223</v>
      </c>
      <c r="J9" s="2"/>
      <c r="K9" s="165"/>
      <c r="L9" s="157">
        <v>0</v>
      </c>
      <c r="M9" s="162">
        <v>1.0711361422222223</v>
      </c>
      <c r="N9" s="157">
        <v>1.0711361422222223</v>
      </c>
      <c r="O9" s="166" t="s">
        <v>638</v>
      </c>
      <c r="P9" s="158"/>
      <c r="Q9" s="4" t="s">
        <v>895</v>
      </c>
      <c r="R9" s="186">
        <v>1.81</v>
      </c>
      <c r="S9" s="185"/>
      <c r="T9" s="185"/>
    </row>
    <row r="10" spans="1:20" ht="27.75" customHeight="1">
      <c r="A10" s="6">
        <v>6</v>
      </c>
      <c r="B10" s="183" t="s">
        <v>684</v>
      </c>
      <c r="C10" s="184" t="s">
        <v>685</v>
      </c>
      <c r="D10" s="122" t="s">
        <v>20</v>
      </c>
      <c r="E10" s="162">
        <v>0.9</v>
      </c>
      <c r="F10" s="156"/>
      <c r="G10" s="163">
        <v>0.13</v>
      </c>
      <c r="H10" s="164"/>
      <c r="I10" s="162">
        <v>0.88635555555555567</v>
      </c>
      <c r="J10" s="2"/>
      <c r="K10" s="165"/>
      <c r="L10" s="157">
        <v>0</v>
      </c>
      <c r="M10" s="187">
        <v>0.78</v>
      </c>
      <c r="N10" s="187">
        <v>0.78</v>
      </c>
      <c r="O10" s="166" t="s">
        <v>638</v>
      </c>
      <c r="P10" s="158"/>
      <c r="Q10" s="4" t="s">
        <v>895</v>
      </c>
      <c r="R10" s="186">
        <v>0.77999999999999992</v>
      </c>
      <c r="S10" s="185" t="s">
        <v>896</v>
      </c>
      <c r="T10" s="185"/>
    </row>
    <row r="11" spans="1:20" ht="27.75" customHeight="1">
      <c r="A11" s="6">
        <v>7</v>
      </c>
      <c r="B11" s="183" t="s">
        <v>885</v>
      </c>
      <c r="C11" s="184" t="s">
        <v>687</v>
      </c>
      <c r="D11" s="122" t="s">
        <v>20</v>
      </c>
      <c r="E11" s="162">
        <v>1.55</v>
      </c>
      <c r="F11" s="156"/>
      <c r="G11" s="163">
        <v>0.13</v>
      </c>
      <c r="H11" s="164"/>
      <c r="I11" s="162">
        <v>1.3770761884444447</v>
      </c>
      <c r="J11" s="2"/>
      <c r="K11" s="165"/>
      <c r="L11" s="157">
        <v>0</v>
      </c>
      <c r="M11" s="162">
        <v>1.3770761884444447</v>
      </c>
      <c r="N11" s="157">
        <v>1.3770761884444447</v>
      </c>
      <c r="O11" s="166" t="s">
        <v>638</v>
      </c>
      <c r="P11" s="158"/>
      <c r="Q11" s="4" t="s">
        <v>891</v>
      </c>
      <c r="R11" s="186">
        <v>1.5523</v>
      </c>
      <c r="S11" s="185" t="s">
        <v>896</v>
      </c>
      <c r="T11" s="185"/>
    </row>
    <row r="12" spans="1:20" ht="27.75" customHeight="1">
      <c r="A12" s="6">
        <v>8</v>
      </c>
      <c r="B12" s="183" t="s">
        <v>886</v>
      </c>
      <c r="C12" s="184" t="s">
        <v>887</v>
      </c>
      <c r="D12" s="122" t="s">
        <v>20</v>
      </c>
      <c r="E12" s="162">
        <v>3.6</v>
      </c>
      <c r="F12" s="156"/>
      <c r="G12" s="163">
        <v>0.13</v>
      </c>
      <c r="H12" s="164"/>
      <c r="I12" s="162">
        <v>3.3925484942222202</v>
      </c>
      <c r="J12" s="2"/>
      <c r="K12" s="165"/>
      <c r="L12" s="157">
        <v>0</v>
      </c>
      <c r="M12" s="162">
        <v>3.3925484942222219</v>
      </c>
      <c r="N12" s="157">
        <v>3.3925484942222219</v>
      </c>
      <c r="O12" s="166" t="s">
        <v>638</v>
      </c>
      <c r="P12" s="158"/>
      <c r="Q12" s="4" t="s">
        <v>897</v>
      </c>
      <c r="R12" s="186">
        <v>5.2</v>
      </c>
      <c r="S12" s="185"/>
      <c r="T12" s="185"/>
    </row>
    <row r="13" spans="1:20" ht="27.75" customHeight="1">
      <c r="A13" s="6">
        <v>9</v>
      </c>
      <c r="B13" s="183" t="s">
        <v>864</v>
      </c>
      <c r="C13" s="184" t="s">
        <v>888</v>
      </c>
      <c r="D13" s="122" t="s">
        <v>20</v>
      </c>
      <c r="E13" s="162">
        <v>3</v>
      </c>
      <c r="F13" s="156"/>
      <c r="G13" s="163">
        <v>0.13</v>
      </c>
      <c r="H13" s="164"/>
      <c r="I13" s="162">
        <v>2.315822074222222</v>
      </c>
      <c r="J13" s="2"/>
      <c r="K13" s="165"/>
      <c r="L13" s="157">
        <v>0</v>
      </c>
      <c r="M13" s="162">
        <v>2.315822074222222</v>
      </c>
      <c r="N13" s="157">
        <v>2.315822074222222</v>
      </c>
      <c r="O13" s="166" t="s">
        <v>638</v>
      </c>
      <c r="P13" s="158"/>
      <c r="Q13" s="4" t="s">
        <v>892</v>
      </c>
      <c r="R13" s="1">
        <v>3.25</v>
      </c>
      <c r="S13" s="185"/>
      <c r="T13" s="185"/>
    </row>
    <row r="14" spans="1:20" ht="54" customHeight="1">
      <c r="A14" s="193" t="s">
        <v>898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</row>
    <row r="15" spans="1:20" ht="38.4" customHeight="1">
      <c r="A15" s="212"/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</row>
    <row r="16" spans="1:20" ht="93" customHeight="1">
      <c r="A16" s="193" t="s">
        <v>13</v>
      </c>
      <c r="B16" s="193"/>
      <c r="C16" s="193"/>
      <c r="D16" s="193" t="s">
        <v>14</v>
      </c>
      <c r="E16" s="193"/>
      <c r="F16" s="193"/>
      <c r="G16" s="193"/>
      <c r="H16" s="193"/>
      <c r="I16" s="193" t="s">
        <v>15</v>
      </c>
      <c r="J16" s="193"/>
      <c r="K16" s="193"/>
      <c r="L16" s="193" t="s">
        <v>16</v>
      </c>
      <c r="M16" s="193"/>
      <c r="N16" s="193"/>
      <c r="O16" s="193" t="s">
        <v>17</v>
      </c>
      <c r="P16" s="193"/>
    </row>
  </sheetData>
  <mergeCells count="21">
    <mergeCell ref="A14:P15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6:C16"/>
    <mergeCell ref="D16:H16"/>
    <mergeCell ref="I16:K16"/>
    <mergeCell ref="L16:N16"/>
    <mergeCell ref="O16:P16"/>
  </mergeCells>
  <phoneticPr fontId="3" type="noConversion"/>
  <dataValidations count="1">
    <dataValidation type="list" allowBlank="1" showInputMessage="1" showErrorMessage="1" sqref="WVO983046:WVO983053 WLS983046:WLS983053 WBW983046:WBW983053 VSA983046:VSA983053 VIE983046:VIE983053 UYI983046:UYI983053 UOM983046:UOM983053 UEQ983046:UEQ983053 TUU983046:TUU983053 TKY983046:TKY983053 TBC983046:TBC983053 SRG983046:SRG983053 SHK983046:SHK983053 RXO983046:RXO983053 RNS983046:RNS983053 RDW983046:RDW983053 QUA983046:QUA983053 QKE983046:QKE983053 QAI983046:QAI983053 PQM983046:PQM983053 PGQ983046:PGQ983053 OWU983046:OWU983053 OMY983046:OMY983053 ODC983046:ODC983053 NTG983046:NTG983053 NJK983046:NJK983053 MZO983046:MZO983053 MPS983046:MPS983053 MFW983046:MFW983053 LWA983046:LWA983053 LME983046:LME983053 LCI983046:LCI983053 KSM983046:KSM983053 KIQ983046:KIQ983053 JYU983046:JYU983053 JOY983046:JOY983053 JFC983046:JFC983053 IVG983046:IVG983053 ILK983046:ILK983053 IBO983046:IBO983053 HRS983046:HRS983053 HHW983046:HHW983053 GYA983046:GYA983053 GOE983046:GOE983053 GEI983046:GEI983053 FUM983046:FUM983053 FKQ983046:FKQ983053 FAU983046:FAU983053 EQY983046:EQY983053 EHC983046:EHC983053 DXG983046:DXG983053 DNK983046:DNK983053 DDO983046:DDO983053 CTS983046:CTS983053 CJW983046:CJW983053 CAA983046:CAA983053 BQE983046:BQE983053 BGI983046:BGI983053 AWM983046:AWM983053 AMQ983046:AMQ983053 ACU983046:ACU983053 SY983046:SY983053 JC983046:JC983053 G983046:G983053 WVO917510:WVO917517 WLS917510:WLS917517 WBW917510:WBW917517 VSA917510:VSA917517 VIE917510:VIE917517 UYI917510:UYI917517 UOM917510:UOM917517 UEQ917510:UEQ917517 TUU917510:TUU917517 TKY917510:TKY917517 TBC917510:TBC917517 SRG917510:SRG917517 SHK917510:SHK917517 RXO917510:RXO917517 RNS917510:RNS917517 RDW917510:RDW917517 QUA917510:QUA917517 QKE917510:QKE917517 QAI917510:QAI917517 PQM917510:PQM917517 PGQ917510:PGQ917517 OWU917510:OWU917517 OMY917510:OMY917517 ODC917510:ODC917517 NTG917510:NTG917517 NJK917510:NJK917517 MZO917510:MZO917517 MPS917510:MPS917517 MFW917510:MFW917517 LWA917510:LWA917517 LME917510:LME917517 LCI917510:LCI917517 KSM917510:KSM917517 KIQ917510:KIQ917517 JYU917510:JYU917517 JOY917510:JOY917517 JFC917510:JFC917517 IVG917510:IVG917517 ILK917510:ILK917517 IBO917510:IBO917517 HRS917510:HRS917517 HHW917510:HHW917517 GYA917510:GYA917517 GOE917510:GOE917517 GEI917510:GEI917517 FUM917510:FUM917517 FKQ917510:FKQ917517 FAU917510:FAU917517 EQY917510:EQY917517 EHC917510:EHC917517 DXG917510:DXG917517 DNK917510:DNK917517 DDO917510:DDO917517 CTS917510:CTS917517 CJW917510:CJW917517 CAA917510:CAA917517 BQE917510:BQE917517 BGI917510:BGI917517 AWM917510:AWM917517 AMQ917510:AMQ917517 ACU917510:ACU917517 SY917510:SY917517 JC917510:JC917517 G917510:G917517 WVO851974:WVO851981 WLS851974:WLS851981 WBW851974:WBW851981 VSA851974:VSA851981 VIE851974:VIE851981 UYI851974:UYI851981 UOM851974:UOM851981 UEQ851974:UEQ851981 TUU851974:TUU851981 TKY851974:TKY851981 TBC851974:TBC851981 SRG851974:SRG851981 SHK851974:SHK851981 RXO851974:RXO851981 RNS851974:RNS851981 RDW851974:RDW851981 QUA851974:QUA851981 QKE851974:QKE851981 QAI851974:QAI851981 PQM851974:PQM851981 PGQ851974:PGQ851981 OWU851974:OWU851981 OMY851974:OMY851981 ODC851974:ODC851981 NTG851974:NTG851981 NJK851974:NJK851981 MZO851974:MZO851981 MPS851974:MPS851981 MFW851974:MFW851981 LWA851974:LWA851981 LME851974:LME851981 LCI851974:LCI851981 KSM851974:KSM851981 KIQ851974:KIQ851981 JYU851974:JYU851981 JOY851974:JOY851981 JFC851974:JFC851981 IVG851974:IVG851981 ILK851974:ILK851981 IBO851974:IBO851981 HRS851974:HRS851981 HHW851974:HHW851981 GYA851974:GYA851981 GOE851974:GOE851981 GEI851974:GEI851981 FUM851974:FUM851981 FKQ851974:FKQ851981 FAU851974:FAU851981 EQY851974:EQY851981 EHC851974:EHC851981 DXG851974:DXG851981 DNK851974:DNK851981 DDO851974:DDO851981 CTS851974:CTS851981 CJW851974:CJW851981 CAA851974:CAA851981 BQE851974:BQE851981 BGI851974:BGI851981 AWM851974:AWM851981 AMQ851974:AMQ851981 ACU851974:ACU851981 SY851974:SY851981 JC851974:JC851981 G851974:G851981 WVO786438:WVO786445 WLS786438:WLS786445 WBW786438:WBW786445 VSA786438:VSA786445 VIE786438:VIE786445 UYI786438:UYI786445 UOM786438:UOM786445 UEQ786438:UEQ786445 TUU786438:TUU786445 TKY786438:TKY786445 TBC786438:TBC786445 SRG786438:SRG786445 SHK786438:SHK786445 RXO786438:RXO786445 RNS786438:RNS786445 RDW786438:RDW786445 QUA786438:QUA786445 QKE786438:QKE786445 QAI786438:QAI786445 PQM786438:PQM786445 PGQ786438:PGQ786445 OWU786438:OWU786445 OMY786438:OMY786445 ODC786438:ODC786445 NTG786438:NTG786445 NJK786438:NJK786445 MZO786438:MZO786445 MPS786438:MPS786445 MFW786438:MFW786445 LWA786438:LWA786445 LME786438:LME786445 LCI786438:LCI786445 KSM786438:KSM786445 KIQ786438:KIQ786445 JYU786438:JYU786445 JOY786438:JOY786445 JFC786438:JFC786445 IVG786438:IVG786445 ILK786438:ILK786445 IBO786438:IBO786445 HRS786438:HRS786445 HHW786438:HHW786445 GYA786438:GYA786445 GOE786438:GOE786445 GEI786438:GEI786445 FUM786438:FUM786445 FKQ786438:FKQ786445 FAU786438:FAU786445 EQY786438:EQY786445 EHC786438:EHC786445 DXG786438:DXG786445 DNK786438:DNK786445 DDO786438:DDO786445 CTS786438:CTS786445 CJW786438:CJW786445 CAA786438:CAA786445 BQE786438:BQE786445 BGI786438:BGI786445 AWM786438:AWM786445 AMQ786438:AMQ786445 ACU786438:ACU786445 SY786438:SY786445 JC786438:JC786445 G786438:G786445 WVO720902:WVO720909 WLS720902:WLS720909 WBW720902:WBW720909 VSA720902:VSA720909 VIE720902:VIE720909 UYI720902:UYI720909 UOM720902:UOM720909 UEQ720902:UEQ720909 TUU720902:TUU720909 TKY720902:TKY720909 TBC720902:TBC720909 SRG720902:SRG720909 SHK720902:SHK720909 RXO720902:RXO720909 RNS720902:RNS720909 RDW720902:RDW720909 QUA720902:QUA720909 QKE720902:QKE720909 QAI720902:QAI720909 PQM720902:PQM720909 PGQ720902:PGQ720909 OWU720902:OWU720909 OMY720902:OMY720909 ODC720902:ODC720909 NTG720902:NTG720909 NJK720902:NJK720909 MZO720902:MZO720909 MPS720902:MPS720909 MFW720902:MFW720909 LWA720902:LWA720909 LME720902:LME720909 LCI720902:LCI720909 KSM720902:KSM720909 KIQ720902:KIQ720909 JYU720902:JYU720909 JOY720902:JOY720909 JFC720902:JFC720909 IVG720902:IVG720909 ILK720902:ILK720909 IBO720902:IBO720909 HRS720902:HRS720909 HHW720902:HHW720909 GYA720902:GYA720909 GOE720902:GOE720909 GEI720902:GEI720909 FUM720902:FUM720909 FKQ720902:FKQ720909 FAU720902:FAU720909 EQY720902:EQY720909 EHC720902:EHC720909 DXG720902:DXG720909 DNK720902:DNK720909 DDO720902:DDO720909 CTS720902:CTS720909 CJW720902:CJW720909 CAA720902:CAA720909 BQE720902:BQE720909 BGI720902:BGI720909 AWM720902:AWM720909 AMQ720902:AMQ720909 ACU720902:ACU720909 SY720902:SY720909 JC720902:JC720909 G720902:G720909 WVO655366:WVO655373 WLS655366:WLS655373 WBW655366:WBW655373 VSA655366:VSA655373 VIE655366:VIE655373 UYI655366:UYI655373 UOM655366:UOM655373 UEQ655366:UEQ655373 TUU655366:TUU655373 TKY655366:TKY655373 TBC655366:TBC655373 SRG655366:SRG655373 SHK655366:SHK655373 RXO655366:RXO655373 RNS655366:RNS655373 RDW655366:RDW655373 QUA655366:QUA655373 QKE655366:QKE655373 QAI655366:QAI655373 PQM655366:PQM655373 PGQ655366:PGQ655373 OWU655366:OWU655373 OMY655366:OMY655373 ODC655366:ODC655373 NTG655366:NTG655373 NJK655366:NJK655373 MZO655366:MZO655373 MPS655366:MPS655373 MFW655366:MFW655373 LWA655366:LWA655373 LME655366:LME655373 LCI655366:LCI655373 KSM655366:KSM655373 KIQ655366:KIQ655373 JYU655366:JYU655373 JOY655366:JOY655373 JFC655366:JFC655373 IVG655366:IVG655373 ILK655366:ILK655373 IBO655366:IBO655373 HRS655366:HRS655373 HHW655366:HHW655373 GYA655366:GYA655373 GOE655366:GOE655373 GEI655366:GEI655373 FUM655366:FUM655373 FKQ655366:FKQ655373 FAU655366:FAU655373 EQY655366:EQY655373 EHC655366:EHC655373 DXG655366:DXG655373 DNK655366:DNK655373 DDO655366:DDO655373 CTS655366:CTS655373 CJW655366:CJW655373 CAA655366:CAA655373 BQE655366:BQE655373 BGI655366:BGI655373 AWM655366:AWM655373 AMQ655366:AMQ655373 ACU655366:ACU655373 SY655366:SY655373 JC655366:JC655373 G655366:G655373 WVO589830:WVO589837 WLS589830:WLS589837 WBW589830:WBW589837 VSA589830:VSA589837 VIE589830:VIE589837 UYI589830:UYI589837 UOM589830:UOM589837 UEQ589830:UEQ589837 TUU589830:TUU589837 TKY589830:TKY589837 TBC589830:TBC589837 SRG589830:SRG589837 SHK589830:SHK589837 RXO589830:RXO589837 RNS589830:RNS589837 RDW589830:RDW589837 QUA589830:QUA589837 QKE589830:QKE589837 QAI589830:QAI589837 PQM589830:PQM589837 PGQ589830:PGQ589837 OWU589830:OWU589837 OMY589830:OMY589837 ODC589830:ODC589837 NTG589830:NTG589837 NJK589830:NJK589837 MZO589830:MZO589837 MPS589830:MPS589837 MFW589830:MFW589837 LWA589830:LWA589837 LME589830:LME589837 LCI589830:LCI589837 KSM589830:KSM589837 KIQ589830:KIQ589837 JYU589830:JYU589837 JOY589830:JOY589837 JFC589830:JFC589837 IVG589830:IVG589837 ILK589830:ILK589837 IBO589830:IBO589837 HRS589830:HRS589837 HHW589830:HHW589837 GYA589830:GYA589837 GOE589830:GOE589837 GEI589830:GEI589837 FUM589830:FUM589837 FKQ589830:FKQ589837 FAU589830:FAU589837 EQY589830:EQY589837 EHC589830:EHC589837 DXG589830:DXG589837 DNK589830:DNK589837 DDO589830:DDO589837 CTS589830:CTS589837 CJW589830:CJW589837 CAA589830:CAA589837 BQE589830:BQE589837 BGI589830:BGI589837 AWM589830:AWM589837 AMQ589830:AMQ589837 ACU589830:ACU589837 SY589830:SY589837 JC589830:JC589837 G589830:G589837 WVO524294:WVO524301 WLS524294:WLS524301 WBW524294:WBW524301 VSA524294:VSA524301 VIE524294:VIE524301 UYI524294:UYI524301 UOM524294:UOM524301 UEQ524294:UEQ524301 TUU524294:TUU524301 TKY524294:TKY524301 TBC524294:TBC524301 SRG524294:SRG524301 SHK524294:SHK524301 RXO524294:RXO524301 RNS524294:RNS524301 RDW524294:RDW524301 QUA524294:QUA524301 QKE524294:QKE524301 QAI524294:QAI524301 PQM524294:PQM524301 PGQ524294:PGQ524301 OWU524294:OWU524301 OMY524294:OMY524301 ODC524294:ODC524301 NTG524294:NTG524301 NJK524294:NJK524301 MZO524294:MZO524301 MPS524294:MPS524301 MFW524294:MFW524301 LWA524294:LWA524301 LME524294:LME524301 LCI524294:LCI524301 KSM524294:KSM524301 KIQ524294:KIQ524301 JYU524294:JYU524301 JOY524294:JOY524301 JFC524294:JFC524301 IVG524294:IVG524301 ILK524294:ILK524301 IBO524294:IBO524301 HRS524294:HRS524301 HHW524294:HHW524301 GYA524294:GYA524301 GOE524294:GOE524301 GEI524294:GEI524301 FUM524294:FUM524301 FKQ524294:FKQ524301 FAU524294:FAU524301 EQY524294:EQY524301 EHC524294:EHC524301 DXG524294:DXG524301 DNK524294:DNK524301 DDO524294:DDO524301 CTS524294:CTS524301 CJW524294:CJW524301 CAA524294:CAA524301 BQE524294:BQE524301 BGI524294:BGI524301 AWM524294:AWM524301 AMQ524294:AMQ524301 ACU524294:ACU524301 SY524294:SY524301 JC524294:JC524301 G524294:G524301 WVO458758:WVO458765 WLS458758:WLS458765 WBW458758:WBW458765 VSA458758:VSA458765 VIE458758:VIE458765 UYI458758:UYI458765 UOM458758:UOM458765 UEQ458758:UEQ458765 TUU458758:TUU458765 TKY458758:TKY458765 TBC458758:TBC458765 SRG458758:SRG458765 SHK458758:SHK458765 RXO458758:RXO458765 RNS458758:RNS458765 RDW458758:RDW458765 QUA458758:QUA458765 QKE458758:QKE458765 QAI458758:QAI458765 PQM458758:PQM458765 PGQ458758:PGQ458765 OWU458758:OWU458765 OMY458758:OMY458765 ODC458758:ODC458765 NTG458758:NTG458765 NJK458758:NJK458765 MZO458758:MZO458765 MPS458758:MPS458765 MFW458758:MFW458765 LWA458758:LWA458765 LME458758:LME458765 LCI458758:LCI458765 KSM458758:KSM458765 KIQ458758:KIQ458765 JYU458758:JYU458765 JOY458758:JOY458765 JFC458758:JFC458765 IVG458758:IVG458765 ILK458758:ILK458765 IBO458758:IBO458765 HRS458758:HRS458765 HHW458758:HHW458765 GYA458758:GYA458765 GOE458758:GOE458765 GEI458758:GEI458765 FUM458758:FUM458765 FKQ458758:FKQ458765 FAU458758:FAU458765 EQY458758:EQY458765 EHC458758:EHC458765 DXG458758:DXG458765 DNK458758:DNK458765 DDO458758:DDO458765 CTS458758:CTS458765 CJW458758:CJW458765 CAA458758:CAA458765 BQE458758:BQE458765 BGI458758:BGI458765 AWM458758:AWM458765 AMQ458758:AMQ458765 ACU458758:ACU458765 SY458758:SY458765 JC458758:JC458765 G458758:G458765 WVO393222:WVO393229 WLS393222:WLS393229 WBW393222:WBW393229 VSA393222:VSA393229 VIE393222:VIE393229 UYI393222:UYI393229 UOM393222:UOM393229 UEQ393222:UEQ393229 TUU393222:TUU393229 TKY393222:TKY393229 TBC393222:TBC393229 SRG393222:SRG393229 SHK393222:SHK393229 RXO393222:RXO393229 RNS393222:RNS393229 RDW393222:RDW393229 QUA393222:QUA393229 QKE393222:QKE393229 QAI393222:QAI393229 PQM393222:PQM393229 PGQ393222:PGQ393229 OWU393222:OWU393229 OMY393222:OMY393229 ODC393222:ODC393229 NTG393222:NTG393229 NJK393222:NJK393229 MZO393222:MZO393229 MPS393222:MPS393229 MFW393222:MFW393229 LWA393222:LWA393229 LME393222:LME393229 LCI393222:LCI393229 KSM393222:KSM393229 KIQ393222:KIQ393229 JYU393222:JYU393229 JOY393222:JOY393229 JFC393222:JFC393229 IVG393222:IVG393229 ILK393222:ILK393229 IBO393222:IBO393229 HRS393222:HRS393229 HHW393222:HHW393229 GYA393222:GYA393229 GOE393222:GOE393229 GEI393222:GEI393229 FUM393222:FUM393229 FKQ393222:FKQ393229 FAU393222:FAU393229 EQY393222:EQY393229 EHC393222:EHC393229 DXG393222:DXG393229 DNK393222:DNK393229 DDO393222:DDO393229 CTS393222:CTS393229 CJW393222:CJW393229 CAA393222:CAA393229 BQE393222:BQE393229 BGI393222:BGI393229 AWM393222:AWM393229 AMQ393222:AMQ393229 ACU393222:ACU393229 SY393222:SY393229 JC393222:JC393229 G393222:G393229 WVO327686:WVO327693 WLS327686:WLS327693 WBW327686:WBW327693 VSA327686:VSA327693 VIE327686:VIE327693 UYI327686:UYI327693 UOM327686:UOM327693 UEQ327686:UEQ327693 TUU327686:TUU327693 TKY327686:TKY327693 TBC327686:TBC327693 SRG327686:SRG327693 SHK327686:SHK327693 RXO327686:RXO327693 RNS327686:RNS327693 RDW327686:RDW327693 QUA327686:QUA327693 QKE327686:QKE327693 QAI327686:QAI327693 PQM327686:PQM327693 PGQ327686:PGQ327693 OWU327686:OWU327693 OMY327686:OMY327693 ODC327686:ODC327693 NTG327686:NTG327693 NJK327686:NJK327693 MZO327686:MZO327693 MPS327686:MPS327693 MFW327686:MFW327693 LWA327686:LWA327693 LME327686:LME327693 LCI327686:LCI327693 KSM327686:KSM327693 KIQ327686:KIQ327693 JYU327686:JYU327693 JOY327686:JOY327693 JFC327686:JFC327693 IVG327686:IVG327693 ILK327686:ILK327693 IBO327686:IBO327693 HRS327686:HRS327693 HHW327686:HHW327693 GYA327686:GYA327693 GOE327686:GOE327693 GEI327686:GEI327693 FUM327686:FUM327693 FKQ327686:FKQ327693 FAU327686:FAU327693 EQY327686:EQY327693 EHC327686:EHC327693 DXG327686:DXG327693 DNK327686:DNK327693 DDO327686:DDO327693 CTS327686:CTS327693 CJW327686:CJW327693 CAA327686:CAA327693 BQE327686:BQE327693 BGI327686:BGI327693 AWM327686:AWM327693 AMQ327686:AMQ327693 ACU327686:ACU327693 SY327686:SY327693 JC327686:JC327693 G327686:G327693 WVO262150:WVO262157 WLS262150:WLS262157 WBW262150:WBW262157 VSA262150:VSA262157 VIE262150:VIE262157 UYI262150:UYI262157 UOM262150:UOM262157 UEQ262150:UEQ262157 TUU262150:TUU262157 TKY262150:TKY262157 TBC262150:TBC262157 SRG262150:SRG262157 SHK262150:SHK262157 RXO262150:RXO262157 RNS262150:RNS262157 RDW262150:RDW262157 QUA262150:QUA262157 QKE262150:QKE262157 QAI262150:QAI262157 PQM262150:PQM262157 PGQ262150:PGQ262157 OWU262150:OWU262157 OMY262150:OMY262157 ODC262150:ODC262157 NTG262150:NTG262157 NJK262150:NJK262157 MZO262150:MZO262157 MPS262150:MPS262157 MFW262150:MFW262157 LWA262150:LWA262157 LME262150:LME262157 LCI262150:LCI262157 KSM262150:KSM262157 KIQ262150:KIQ262157 JYU262150:JYU262157 JOY262150:JOY262157 JFC262150:JFC262157 IVG262150:IVG262157 ILK262150:ILK262157 IBO262150:IBO262157 HRS262150:HRS262157 HHW262150:HHW262157 GYA262150:GYA262157 GOE262150:GOE262157 GEI262150:GEI262157 FUM262150:FUM262157 FKQ262150:FKQ262157 FAU262150:FAU262157 EQY262150:EQY262157 EHC262150:EHC262157 DXG262150:DXG262157 DNK262150:DNK262157 DDO262150:DDO262157 CTS262150:CTS262157 CJW262150:CJW262157 CAA262150:CAA262157 BQE262150:BQE262157 BGI262150:BGI262157 AWM262150:AWM262157 AMQ262150:AMQ262157 ACU262150:ACU262157 SY262150:SY262157 JC262150:JC262157 G262150:G262157 WVO196614:WVO196621 WLS196614:WLS196621 WBW196614:WBW196621 VSA196614:VSA196621 VIE196614:VIE196621 UYI196614:UYI196621 UOM196614:UOM196621 UEQ196614:UEQ196621 TUU196614:TUU196621 TKY196614:TKY196621 TBC196614:TBC196621 SRG196614:SRG196621 SHK196614:SHK196621 RXO196614:RXO196621 RNS196614:RNS196621 RDW196614:RDW196621 QUA196614:QUA196621 QKE196614:QKE196621 QAI196614:QAI196621 PQM196614:PQM196621 PGQ196614:PGQ196621 OWU196614:OWU196621 OMY196614:OMY196621 ODC196614:ODC196621 NTG196614:NTG196621 NJK196614:NJK196621 MZO196614:MZO196621 MPS196614:MPS196621 MFW196614:MFW196621 LWA196614:LWA196621 LME196614:LME196621 LCI196614:LCI196621 KSM196614:KSM196621 KIQ196614:KIQ196621 JYU196614:JYU196621 JOY196614:JOY196621 JFC196614:JFC196621 IVG196614:IVG196621 ILK196614:ILK196621 IBO196614:IBO196621 HRS196614:HRS196621 HHW196614:HHW196621 GYA196614:GYA196621 GOE196614:GOE196621 GEI196614:GEI196621 FUM196614:FUM196621 FKQ196614:FKQ196621 FAU196614:FAU196621 EQY196614:EQY196621 EHC196614:EHC196621 DXG196614:DXG196621 DNK196614:DNK196621 DDO196614:DDO196621 CTS196614:CTS196621 CJW196614:CJW196621 CAA196614:CAA196621 BQE196614:BQE196621 BGI196614:BGI196621 AWM196614:AWM196621 AMQ196614:AMQ196621 ACU196614:ACU196621 SY196614:SY196621 JC196614:JC196621 G196614:G196621 WVO131078:WVO131085 WLS131078:WLS131085 WBW131078:WBW131085 VSA131078:VSA131085 VIE131078:VIE131085 UYI131078:UYI131085 UOM131078:UOM131085 UEQ131078:UEQ131085 TUU131078:TUU131085 TKY131078:TKY131085 TBC131078:TBC131085 SRG131078:SRG131085 SHK131078:SHK131085 RXO131078:RXO131085 RNS131078:RNS131085 RDW131078:RDW131085 QUA131078:QUA131085 QKE131078:QKE131085 QAI131078:QAI131085 PQM131078:PQM131085 PGQ131078:PGQ131085 OWU131078:OWU131085 OMY131078:OMY131085 ODC131078:ODC131085 NTG131078:NTG131085 NJK131078:NJK131085 MZO131078:MZO131085 MPS131078:MPS131085 MFW131078:MFW131085 LWA131078:LWA131085 LME131078:LME131085 LCI131078:LCI131085 KSM131078:KSM131085 KIQ131078:KIQ131085 JYU131078:JYU131085 JOY131078:JOY131085 JFC131078:JFC131085 IVG131078:IVG131085 ILK131078:ILK131085 IBO131078:IBO131085 HRS131078:HRS131085 HHW131078:HHW131085 GYA131078:GYA131085 GOE131078:GOE131085 GEI131078:GEI131085 FUM131078:FUM131085 FKQ131078:FKQ131085 FAU131078:FAU131085 EQY131078:EQY131085 EHC131078:EHC131085 DXG131078:DXG131085 DNK131078:DNK131085 DDO131078:DDO131085 CTS131078:CTS131085 CJW131078:CJW131085 CAA131078:CAA131085 BQE131078:BQE131085 BGI131078:BGI131085 AWM131078:AWM131085 AMQ131078:AMQ131085 ACU131078:ACU131085 SY131078:SY131085 JC131078:JC131085 G131078:G131085 WVO65542:WVO65549 WLS65542:WLS65549 WBW65542:WBW65549 VSA65542:VSA65549 VIE65542:VIE65549 UYI65542:UYI65549 UOM65542:UOM65549 UEQ65542:UEQ65549 TUU65542:TUU65549 TKY65542:TKY65549 TBC65542:TBC65549 SRG65542:SRG65549 SHK65542:SHK65549 RXO65542:RXO65549 RNS65542:RNS65549 RDW65542:RDW65549 QUA65542:QUA65549 QKE65542:QKE65549 QAI65542:QAI65549 PQM65542:PQM65549 PGQ65542:PGQ65549 OWU65542:OWU65549 OMY65542:OMY65549 ODC65542:ODC65549 NTG65542:NTG65549 NJK65542:NJK65549 MZO65542:MZO65549 MPS65542:MPS65549 MFW65542:MFW65549 LWA65542:LWA65549 LME65542:LME65549 LCI65542:LCI65549 KSM65542:KSM65549 KIQ65542:KIQ65549 JYU65542:JYU65549 JOY65542:JOY65549 JFC65542:JFC65549 IVG65542:IVG65549 ILK65542:ILK65549 IBO65542:IBO65549 HRS65542:HRS65549 HHW65542:HHW65549 GYA65542:GYA65549 GOE65542:GOE65549 GEI65542:GEI65549 FUM65542:FUM65549 FKQ65542:FKQ65549 FAU65542:FAU65549 EQY65542:EQY65549 EHC65542:EHC65549 DXG65542:DXG65549 DNK65542:DNK65549 DDO65542:DDO65549 CTS65542:CTS65549 CJW65542:CJW65549 CAA65542:CAA65549 BQE65542:BQE65549 BGI65542:BGI65549 AWM65542:AWM65549 AMQ65542:AMQ65549 ACU65542:ACU65549 SY65542:SY65549 JC65542:JC65549 G65542:G65549 WVO5:WVO13 WLS5:WLS13 WBW5:WBW13 VSA5:VSA13 VIE5:VIE13 UYI5:UYI13 UOM5:UOM13 UEQ5:UEQ13 TUU5:TUU13 TKY5:TKY13 TBC5:TBC13 SRG5:SRG13 SHK5:SHK13 RXO5:RXO13 RNS5:RNS13 RDW5:RDW13 QUA5:QUA13 QKE5:QKE13 QAI5:QAI13 PQM5:PQM13 PGQ5:PGQ13 OWU5:OWU13 OMY5:OMY13 ODC5:ODC13 NTG5:NTG13 NJK5:NJK13 MZO5:MZO13 MPS5:MPS13 MFW5:MFW13 LWA5:LWA13 LME5:LME13 LCI5:LCI13 KSM5:KSM13 KIQ5:KIQ13 JYU5:JYU13 JOY5:JOY13 JFC5:JFC13 IVG5:IVG13 ILK5:ILK13 IBO5:IBO13 HRS5:HRS13 HHW5:HHW13 GYA5:GYA13 GOE5:GOE13 GEI5:GEI13 FUM5:FUM13 FKQ5:FKQ13 FAU5:FAU13 EQY5:EQY13 EHC5:EHC13 DXG5:DXG13 DNK5:DNK13 DDO5:DDO13 CTS5:CTS13 CJW5:CJW13 CAA5:CAA13 BQE5:BQE13 BGI5:BGI13 AWM5:AWM13 AMQ5:AMQ13 ACU5:ACU13 SY5:SY13 JC5:JC13" xr:uid="{6B0CA8A9-D153-4900-B64B-EACEE084A916}">
      <formula1>$Q$4:$Q$14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E916-728E-4CE6-BC03-67A0F1F1F208}">
  <sheetPr codeName="Sheet59">
    <pageSetUpPr fitToPage="1"/>
  </sheetPr>
  <dimension ref="A1:T10"/>
  <sheetViews>
    <sheetView zoomScale="70" zoomScaleNormal="70" workbookViewId="0">
      <selection activeCell="J6" sqref="J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0" ht="27.75" customHeight="1">
      <c r="A2" s="1" t="s">
        <v>661</v>
      </c>
      <c r="M2" s="200" t="s">
        <v>1</v>
      </c>
      <c r="N2" s="200"/>
      <c r="O2" s="200"/>
      <c r="P2" s="200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0" ht="27.75" customHeight="1">
      <c r="A5" s="6">
        <v>1</v>
      </c>
      <c r="B5" s="183" t="s">
        <v>899</v>
      </c>
      <c r="C5" s="184" t="s">
        <v>900</v>
      </c>
      <c r="D5" s="122" t="s">
        <v>20</v>
      </c>
      <c r="E5" s="162">
        <v>0.01</v>
      </c>
      <c r="F5" s="156"/>
      <c r="G5" s="163">
        <v>0.13</v>
      </c>
      <c r="H5" s="165"/>
      <c r="I5" s="162"/>
      <c r="J5" s="2"/>
      <c r="K5" s="165"/>
      <c r="L5" s="157">
        <v>0</v>
      </c>
      <c r="M5" s="162">
        <v>0.01</v>
      </c>
      <c r="N5" s="162">
        <v>0.01</v>
      </c>
      <c r="O5" s="166" t="s">
        <v>906</v>
      </c>
      <c r="P5" s="158"/>
      <c r="Q5" s="4"/>
      <c r="R5" s="153"/>
      <c r="S5" s="185"/>
      <c r="T5" s="185"/>
    </row>
    <row r="6" spans="1:20" ht="27.75" customHeight="1">
      <c r="A6" s="6">
        <v>2</v>
      </c>
      <c r="B6" s="183" t="s">
        <v>901</v>
      </c>
      <c r="C6" s="184" t="s">
        <v>903</v>
      </c>
      <c r="D6" s="122" t="s">
        <v>20</v>
      </c>
      <c r="E6" s="162">
        <v>7.0000000000000001E-3</v>
      </c>
      <c r="F6" s="156"/>
      <c r="G6" s="163">
        <v>0.13</v>
      </c>
      <c r="H6" s="164"/>
      <c r="I6" s="162"/>
      <c r="J6" s="2"/>
      <c r="K6" s="165"/>
      <c r="L6" s="157">
        <v>0</v>
      </c>
      <c r="M6" s="162">
        <v>7.0000000000000001E-3</v>
      </c>
      <c r="N6" s="162">
        <v>7.0000000000000001E-3</v>
      </c>
      <c r="O6" s="166" t="s">
        <v>906</v>
      </c>
      <c r="P6" s="158"/>
      <c r="Q6" s="4"/>
      <c r="R6" s="186"/>
      <c r="S6" s="185"/>
      <c r="T6" s="185"/>
    </row>
    <row r="7" spans="1:20" ht="27.75" customHeight="1">
      <c r="A7" s="6">
        <v>3</v>
      </c>
      <c r="B7" s="183" t="s">
        <v>902</v>
      </c>
      <c r="C7" s="184" t="s">
        <v>904</v>
      </c>
      <c r="D7" s="122" t="s">
        <v>20</v>
      </c>
      <c r="E7" s="162">
        <v>5.0000000000000001E-3</v>
      </c>
      <c r="F7" s="156"/>
      <c r="G7" s="163">
        <v>0.13</v>
      </c>
      <c r="H7" s="164"/>
      <c r="I7" s="162"/>
      <c r="J7" s="2"/>
      <c r="K7" s="165"/>
      <c r="L7" s="157">
        <v>0</v>
      </c>
      <c r="M7" s="162">
        <v>5.0000000000000001E-3</v>
      </c>
      <c r="N7" s="162">
        <v>5.0000000000000001E-3</v>
      </c>
      <c r="O7" s="166" t="s">
        <v>906</v>
      </c>
      <c r="P7" s="158"/>
      <c r="Q7" s="4"/>
      <c r="R7" s="186"/>
      <c r="S7" s="185"/>
      <c r="T7" s="185"/>
    </row>
    <row r="8" spans="1:20" ht="54" customHeight="1">
      <c r="A8" s="193" t="s">
        <v>905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</row>
    <row r="9" spans="1:20" ht="38.4" customHeight="1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20" ht="93" customHeight="1">
      <c r="A10" s="193" t="s">
        <v>13</v>
      </c>
      <c r="B10" s="193"/>
      <c r="C10" s="193"/>
      <c r="D10" s="193" t="s">
        <v>14</v>
      </c>
      <c r="E10" s="193"/>
      <c r="F10" s="193"/>
      <c r="G10" s="193"/>
      <c r="H10" s="193"/>
      <c r="I10" s="193" t="s">
        <v>15</v>
      </c>
      <c r="J10" s="193"/>
      <c r="K10" s="193"/>
      <c r="L10" s="193" t="s">
        <v>16</v>
      </c>
      <c r="M10" s="193"/>
      <c r="N10" s="193"/>
      <c r="O10" s="193" t="s">
        <v>17</v>
      </c>
      <c r="P10" s="193"/>
    </row>
  </sheetData>
  <mergeCells count="21"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C10"/>
    <mergeCell ref="D10:H10"/>
    <mergeCell ref="I10:K10"/>
    <mergeCell ref="L10:N10"/>
    <mergeCell ref="O10:P10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2D6A68BF-95F1-42EB-8A0C-095690FDB234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 codeName="Sheet6"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2" ht="27.75" customHeight="1">
      <c r="I2" s="200" t="s">
        <v>1</v>
      </c>
      <c r="J2" s="200"/>
      <c r="K2" s="20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62.4" customHeight="1">
      <c r="A5" s="12"/>
      <c r="B5" s="12" t="s">
        <v>60</v>
      </c>
      <c r="C5" s="14" t="s">
        <v>61</v>
      </c>
      <c r="D5" s="12" t="s">
        <v>20</v>
      </c>
      <c r="E5" s="15">
        <v>13.535699115044249</v>
      </c>
      <c r="F5" s="7">
        <v>0.13</v>
      </c>
      <c r="G5" s="9">
        <v>6.43</v>
      </c>
      <c r="H5" s="15">
        <v>12.93</v>
      </c>
      <c r="I5" s="15">
        <v>12.93</v>
      </c>
      <c r="J5" s="16" t="s">
        <v>40</v>
      </c>
      <c r="K5" s="16"/>
      <c r="L5" s="8"/>
    </row>
    <row r="6" spans="1:12" ht="62.4" customHeight="1">
      <c r="A6" s="12"/>
      <c r="B6" s="12" t="s">
        <v>62</v>
      </c>
      <c r="C6" s="14" t="s">
        <v>63</v>
      </c>
      <c r="D6" s="12" t="s">
        <v>20</v>
      </c>
      <c r="E6" s="15">
        <v>13.535699115044249</v>
      </c>
      <c r="F6" s="7">
        <v>0.13</v>
      </c>
      <c r="G6" s="9">
        <v>6.43</v>
      </c>
      <c r="H6" s="15">
        <v>12.93</v>
      </c>
      <c r="I6" s="15">
        <v>12.93</v>
      </c>
      <c r="J6" s="16" t="s">
        <v>40</v>
      </c>
      <c r="K6" s="16"/>
      <c r="L6" s="8"/>
    </row>
    <row r="7" spans="1:12" ht="62.4" customHeight="1">
      <c r="A7" s="12"/>
      <c r="B7" s="12" t="s">
        <v>64</v>
      </c>
      <c r="C7" s="14" t="s">
        <v>65</v>
      </c>
      <c r="D7" s="12" t="s">
        <v>20</v>
      </c>
      <c r="E7" s="15">
        <v>11.765787610619471</v>
      </c>
      <c r="F7" s="7">
        <v>0.13</v>
      </c>
      <c r="G7" s="9">
        <v>4.99</v>
      </c>
      <c r="H7" s="15">
        <v>11</v>
      </c>
      <c r="I7" s="15">
        <v>11</v>
      </c>
      <c r="J7" s="16" t="s">
        <v>40</v>
      </c>
      <c r="K7" s="16"/>
      <c r="L7" s="8"/>
    </row>
    <row r="8" spans="1:12" ht="62.4" customHeight="1">
      <c r="A8" s="12"/>
      <c r="B8" s="12" t="s">
        <v>66</v>
      </c>
      <c r="C8" s="14" t="s">
        <v>67</v>
      </c>
      <c r="D8" s="12" t="s">
        <v>20</v>
      </c>
      <c r="E8" s="15">
        <v>26.1784</v>
      </c>
      <c r="F8" s="7">
        <v>0.13</v>
      </c>
      <c r="G8" s="9">
        <v>26.1784</v>
      </c>
      <c r="H8" s="15">
        <v>26.1784</v>
      </c>
      <c r="I8" s="15">
        <v>26.1784</v>
      </c>
      <c r="J8" s="16" t="s">
        <v>40</v>
      </c>
      <c r="K8" s="16"/>
      <c r="L8" s="8"/>
    </row>
    <row r="9" spans="1:12" ht="62.4" customHeight="1">
      <c r="A9" s="12"/>
      <c r="B9" s="12" t="s">
        <v>68</v>
      </c>
      <c r="C9" s="14" t="s">
        <v>69</v>
      </c>
      <c r="D9" s="12" t="s">
        <v>20</v>
      </c>
      <c r="E9" s="15">
        <v>40.72</v>
      </c>
      <c r="F9" s="7">
        <v>0.13</v>
      </c>
      <c r="G9" s="9">
        <v>36.340000000000003</v>
      </c>
      <c r="H9" s="15">
        <v>43.63</v>
      </c>
      <c r="I9" s="15">
        <v>43.63</v>
      </c>
      <c r="J9" s="16" t="s">
        <v>40</v>
      </c>
      <c r="K9" s="16"/>
      <c r="L9" s="8"/>
    </row>
    <row r="10" spans="1:12" ht="62.4" customHeight="1">
      <c r="A10" s="12"/>
      <c r="B10" s="12" t="s">
        <v>70</v>
      </c>
      <c r="C10" s="14" t="s">
        <v>71</v>
      </c>
      <c r="D10" s="12" t="s">
        <v>20</v>
      </c>
      <c r="E10" s="15">
        <v>29.589700000000001</v>
      </c>
      <c r="F10" s="7">
        <v>0.13</v>
      </c>
      <c r="G10" s="9">
        <v>15.8</v>
      </c>
      <c r="H10" s="15">
        <v>24.84</v>
      </c>
      <c r="I10" s="15">
        <v>24.84</v>
      </c>
      <c r="J10" s="16" t="s">
        <v>40</v>
      </c>
      <c r="K10" s="16"/>
      <c r="L10" s="8"/>
    </row>
    <row r="11" spans="1:12" ht="62.4" customHeight="1">
      <c r="A11" s="12">
        <v>2</v>
      </c>
      <c r="B11" s="12" t="s">
        <v>72</v>
      </c>
      <c r="C11" s="14" t="s">
        <v>73</v>
      </c>
      <c r="D11" s="12" t="s">
        <v>20</v>
      </c>
      <c r="E11" s="15">
        <v>29.589700000000001</v>
      </c>
      <c r="F11" s="7">
        <v>0.13</v>
      </c>
      <c r="G11" s="9">
        <v>15.8</v>
      </c>
      <c r="H11" s="15">
        <v>1.6</v>
      </c>
      <c r="I11" s="15">
        <v>24.84</v>
      </c>
      <c r="J11" s="16" t="s">
        <v>40</v>
      </c>
      <c r="K11" s="16"/>
      <c r="L11" s="8"/>
    </row>
    <row r="12" spans="1:12" ht="27.75" customHeight="1">
      <c r="A12" s="193" t="s">
        <v>74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</row>
    <row r="13" spans="1:12" ht="58.8" customHeight="1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193"/>
    </row>
    <row r="14" spans="1:12" ht="93" customHeight="1">
      <c r="A14" s="194" t="s">
        <v>13</v>
      </c>
      <c r="B14" s="195"/>
      <c r="C14" s="196" t="s">
        <v>14</v>
      </c>
      <c r="D14" s="196"/>
      <c r="E14" s="193" t="s">
        <v>15</v>
      </c>
      <c r="F14" s="193"/>
      <c r="G14" s="193"/>
      <c r="H14" s="193" t="s">
        <v>16</v>
      </c>
      <c r="I14" s="193"/>
      <c r="J14" s="193" t="s">
        <v>17</v>
      </c>
      <c r="K14" s="193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2B5F-718A-415F-B568-00980FFD229F}">
  <sheetPr codeName="Sheet60">
    <pageSetUpPr fitToPage="1"/>
  </sheetPr>
  <dimension ref="A1:T10"/>
  <sheetViews>
    <sheetView zoomScale="70" zoomScaleNormal="70" workbookViewId="0">
      <selection activeCell="Q10" sqref="Q10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38.886718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0" ht="27.75" customHeight="1">
      <c r="A2" s="1" t="s">
        <v>661</v>
      </c>
      <c r="M2" s="200" t="s">
        <v>1</v>
      </c>
      <c r="N2" s="200"/>
      <c r="O2" s="200"/>
      <c r="P2" s="200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119" t="s">
        <v>23</v>
      </c>
      <c r="R4" s="119" t="s">
        <v>914</v>
      </c>
      <c r="S4" s="119" t="s">
        <v>915</v>
      </c>
    </row>
    <row r="5" spans="1:20" ht="27.75" customHeight="1">
      <c r="A5" s="6">
        <v>1</v>
      </c>
      <c r="B5" s="183" t="s">
        <v>907</v>
      </c>
      <c r="C5" s="184" t="s">
        <v>908</v>
      </c>
      <c r="D5" s="122" t="s">
        <v>20</v>
      </c>
      <c r="E5" s="162">
        <v>3.8</v>
      </c>
      <c r="F5" s="188" t="s">
        <v>732</v>
      </c>
      <c r="G5" s="163">
        <v>0.13</v>
      </c>
      <c r="H5" s="165"/>
      <c r="I5" s="162"/>
      <c r="J5" s="2"/>
      <c r="K5" s="165"/>
      <c r="L5" s="157">
        <v>0</v>
      </c>
      <c r="M5" s="162">
        <v>3.8</v>
      </c>
      <c r="N5" s="189" t="s">
        <v>732</v>
      </c>
      <c r="O5" s="166" t="s">
        <v>912</v>
      </c>
      <c r="P5" s="158"/>
      <c r="Q5" s="4" t="s">
        <v>913</v>
      </c>
      <c r="R5" s="190">
        <v>4.47</v>
      </c>
      <c r="S5" s="191">
        <f>(M5-R5)/R5</f>
        <v>-0.14988814317673377</v>
      </c>
      <c r="T5" s="185"/>
    </row>
    <row r="6" spans="1:20" ht="27.75" customHeight="1">
      <c r="A6" s="6">
        <v>2</v>
      </c>
      <c r="B6" s="183" t="s">
        <v>909</v>
      </c>
      <c r="C6" s="184" t="s">
        <v>910</v>
      </c>
      <c r="D6" s="122" t="s">
        <v>20</v>
      </c>
      <c r="E6" s="162">
        <v>3.9</v>
      </c>
      <c r="F6" s="188" t="s">
        <v>732</v>
      </c>
      <c r="G6" s="163">
        <v>0.13</v>
      </c>
      <c r="H6" s="164"/>
      <c r="I6" s="162"/>
      <c r="J6" s="2"/>
      <c r="K6" s="165"/>
      <c r="L6" s="157">
        <v>0</v>
      </c>
      <c r="M6" s="162">
        <v>3.9</v>
      </c>
      <c r="N6" s="189" t="s">
        <v>732</v>
      </c>
      <c r="O6" s="166" t="s">
        <v>912</v>
      </c>
      <c r="P6" s="158"/>
      <c r="Q6" s="4" t="s">
        <v>913</v>
      </c>
      <c r="R6" s="186">
        <v>4.5984999999999996</v>
      </c>
      <c r="S6" s="191">
        <f t="shared" ref="S6:S7" si="0">(M6-R6)/R6</f>
        <v>-0.15189735783407626</v>
      </c>
      <c r="T6" s="185"/>
    </row>
    <row r="7" spans="1:20" ht="27.75" customHeight="1">
      <c r="A7" s="6">
        <v>3</v>
      </c>
      <c r="B7" s="183" t="s">
        <v>911</v>
      </c>
      <c r="C7" s="184" t="s">
        <v>908</v>
      </c>
      <c r="D7" s="122" t="s">
        <v>20</v>
      </c>
      <c r="E7" s="162">
        <v>3.26</v>
      </c>
      <c r="F7" s="188" t="s">
        <v>732</v>
      </c>
      <c r="G7" s="163">
        <v>0.13</v>
      </c>
      <c r="H7" s="164"/>
      <c r="I7" s="162"/>
      <c r="J7" s="2"/>
      <c r="K7" s="165"/>
      <c r="L7" s="157">
        <v>0</v>
      </c>
      <c r="M7" s="162">
        <v>3.26</v>
      </c>
      <c r="N7" s="189" t="s">
        <v>732</v>
      </c>
      <c r="O7" s="166" t="s">
        <v>912</v>
      </c>
      <c r="P7" s="158"/>
      <c r="Q7" s="4" t="s">
        <v>913</v>
      </c>
      <c r="R7" s="186">
        <v>3.9043199999999998</v>
      </c>
      <c r="S7" s="191">
        <f t="shared" si="0"/>
        <v>-0.16502745676583888</v>
      </c>
      <c r="T7" s="185"/>
    </row>
    <row r="8" spans="1:20" ht="54" customHeight="1">
      <c r="A8" s="193" t="s">
        <v>916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</row>
    <row r="9" spans="1:20" ht="38.4" customHeight="1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20" ht="93" customHeight="1">
      <c r="A10" s="193" t="s">
        <v>13</v>
      </c>
      <c r="B10" s="193"/>
      <c r="C10" s="193"/>
      <c r="D10" s="193" t="s">
        <v>14</v>
      </c>
      <c r="E10" s="193"/>
      <c r="F10" s="193"/>
      <c r="G10" s="193"/>
      <c r="H10" s="193"/>
      <c r="I10" s="193" t="s">
        <v>15</v>
      </c>
      <c r="J10" s="193"/>
      <c r="K10" s="193"/>
      <c r="L10" s="193" t="s">
        <v>16</v>
      </c>
      <c r="M10" s="193"/>
      <c r="N10" s="193"/>
      <c r="O10" s="193" t="s">
        <v>17</v>
      </c>
      <c r="P10" s="193"/>
    </row>
  </sheetData>
  <mergeCells count="21"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C10"/>
    <mergeCell ref="D10:H10"/>
    <mergeCell ref="I10:K10"/>
    <mergeCell ref="L10:N10"/>
    <mergeCell ref="O10:P10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E18157B6-5EE7-423F-803A-97A7219D12D7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B813-9282-4F97-9204-FB710854D920}">
  <sheetPr codeName="Sheet61">
    <pageSetUpPr fitToPage="1"/>
  </sheetPr>
  <dimension ref="A1:U12"/>
  <sheetViews>
    <sheetView zoomScale="70" zoomScaleNormal="70" workbookViewId="0">
      <selection activeCell="T11" sqref="T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1" ht="27.75" customHeight="1">
      <c r="A2" s="1" t="s">
        <v>661</v>
      </c>
      <c r="M2" s="200" t="s">
        <v>1</v>
      </c>
      <c r="N2" s="200"/>
      <c r="O2" s="200"/>
      <c r="P2" s="200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119" t="s">
        <v>23</v>
      </c>
      <c r="R4" s="119" t="s">
        <v>929</v>
      </c>
      <c r="S4" s="119" t="s">
        <v>930</v>
      </c>
      <c r="T4" s="119" t="s">
        <v>933</v>
      </c>
    </row>
    <row r="5" spans="1:21" ht="27.75" customHeight="1">
      <c r="A5" s="6">
        <v>1</v>
      </c>
      <c r="B5" s="183" t="s">
        <v>917</v>
      </c>
      <c r="C5" s="184" t="s">
        <v>918</v>
      </c>
      <c r="D5" s="122" t="s">
        <v>20</v>
      </c>
      <c r="E5" s="162">
        <v>0.58179999999999998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0.58179999999999998</v>
      </c>
      <c r="N5" s="189" t="s">
        <v>732</v>
      </c>
      <c r="O5" s="166" t="s">
        <v>927</v>
      </c>
      <c r="P5" s="158" t="s">
        <v>931</v>
      </c>
      <c r="Q5" s="4" t="s">
        <v>928</v>
      </c>
      <c r="R5" s="186">
        <v>0.59368778761061958</v>
      </c>
      <c r="S5" s="190">
        <v>0.62868778761061961</v>
      </c>
      <c r="T5" s="191">
        <f>(M5-R5)/R5</f>
        <v>-2.0023635080087591E-2</v>
      </c>
      <c r="U5" s="185"/>
    </row>
    <row r="6" spans="1:21" ht="27.75" customHeight="1">
      <c r="A6" s="6">
        <v>2</v>
      </c>
      <c r="B6" s="183" t="s">
        <v>919</v>
      </c>
      <c r="C6" s="184" t="s">
        <v>920</v>
      </c>
      <c r="D6" s="122" t="s">
        <v>20</v>
      </c>
      <c r="E6" s="162">
        <v>1.9795</v>
      </c>
      <c r="F6" s="188" t="s">
        <v>732</v>
      </c>
      <c r="G6" s="163">
        <v>0.13</v>
      </c>
      <c r="H6" s="165"/>
      <c r="I6" s="162"/>
      <c r="J6" s="2"/>
      <c r="K6" s="165"/>
      <c r="L6" s="157"/>
      <c r="M6" s="162">
        <v>1.9795</v>
      </c>
      <c r="N6" s="189" t="s">
        <v>732</v>
      </c>
      <c r="O6" s="166" t="s">
        <v>927</v>
      </c>
      <c r="P6" s="158" t="s">
        <v>931</v>
      </c>
      <c r="Q6" s="4" t="s">
        <v>928</v>
      </c>
      <c r="R6" s="186">
        <v>2.0198759734513274</v>
      </c>
      <c r="S6" s="190">
        <v>2.1398759734513275</v>
      </c>
      <c r="T6" s="191">
        <f t="shared" ref="T6:T9" si="0">(M6-R6)/R6</f>
        <v>-1.9989332999658212E-2</v>
      </c>
      <c r="U6" s="185"/>
    </row>
    <row r="7" spans="1:21" ht="27.75" customHeight="1">
      <c r="A7" s="6">
        <v>3</v>
      </c>
      <c r="B7" s="183" t="s">
        <v>921</v>
      </c>
      <c r="C7" s="184" t="s">
        <v>922</v>
      </c>
      <c r="D7" s="122" t="s">
        <v>20</v>
      </c>
      <c r="E7" s="162">
        <v>4.4402999999999997</v>
      </c>
      <c r="F7" s="188" t="s">
        <v>732</v>
      </c>
      <c r="G7" s="163">
        <v>0.13</v>
      </c>
      <c r="H7" s="164"/>
      <c r="I7" s="162"/>
      <c r="J7" s="2"/>
      <c r="K7" s="165"/>
      <c r="L7" s="157"/>
      <c r="M7" s="162">
        <v>4.4402999999999997</v>
      </c>
      <c r="N7" s="189" t="s">
        <v>732</v>
      </c>
      <c r="O7" s="166" t="s">
        <v>927</v>
      </c>
      <c r="P7" s="158" t="s">
        <v>931</v>
      </c>
      <c r="Q7" s="4" t="s">
        <v>928</v>
      </c>
      <c r="R7" s="186">
        <v>4.5309529911504436</v>
      </c>
      <c r="S7" s="186">
        <v>4.5369529911504438</v>
      </c>
      <c r="T7" s="191">
        <f t="shared" si="0"/>
        <v>-2.0007488783816849E-2</v>
      </c>
      <c r="U7" s="185"/>
    </row>
    <row r="8" spans="1:21" ht="27.75" customHeight="1">
      <c r="A8" s="6">
        <v>4</v>
      </c>
      <c r="B8" s="183" t="s">
        <v>923</v>
      </c>
      <c r="C8" s="184" t="s">
        <v>924</v>
      </c>
      <c r="D8" s="122" t="s">
        <v>20</v>
      </c>
      <c r="E8" s="162">
        <v>4.4402999999999997</v>
      </c>
      <c r="F8" s="188" t="s">
        <v>732</v>
      </c>
      <c r="G8" s="163">
        <v>0.13</v>
      </c>
      <c r="H8" s="164"/>
      <c r="I8" s="162"/>
      <c r="J8" s="2"/>
      <c r="K8" s="165"/>
      <c r="L8" s="157"/>
      <c r="M8" s="162">
        <v>4.4402999999999997</v>
      </c>
      <c r="N8" s="189" t="s">
        <v>732</v>
      </c>
      <c r="O8" s="166" t="s">
        <v>927</v>
      </c>
      <c r="P8" s="158" t="s">
        <v>931</v>
      </c>
      <c r="Q8" s="4" t="s">
        <v>928</v>
      </c>
      <c r="R8" s="186">
        <v>4.5309529911504436</v>
      </c>
      <c r="S8" s="186">
        <v>4.5369529911504438</v>
      </c>
      <c r="T8" s="191">
        <f t="shared" si="0"/>
        <v>-2.0007488783816849E-2</v>
      </c>
      <c r="U8" s="185"/>
    </row>
    <row r="9" spans="1:21" ht="27.75" customHeight="1">
      <c r="A9" s="6">
        <v>5</v>
      </c>
      <c r="B9" s="183" t="s">
        <v>925</v>
      </c>
      <c r="C9" s="184" t="s">
        <v>926</v>
      </c>
      <c r="D9" s="122" t="s">
        <v>20</v>
      </c>
      <c r="E9" s="162">
        <v>1.2987</v>
      </c>
      <c r="F9" s="188" t="s">
        <v>732</v>
      </c>
      <c r="G9" s="163">
        <v>0.13</v>
      </c>
      <c r="H9" s="164"/>
      <c r="I9" s="162"/>
      <c r="J9" s="2"/>
      <c r="K9" s="165"/>
      <c r="L9" s="157"/>
      <c r="M9" s="162">
        <v>1.2987</v>
      </c>
      <c r="N9" s="189" t="s">
        <v>732</v>
      </c>
      <c r="O9" s="166" t="s">
        <v>927</v>
      </c>
      <c r="P9" s="158" t="s">
        <v>931</v>
      </c>
      <c r="Q9" s="4" t="s">
        <v>928</v>
      </c>
      <c r="R9" s="186">
        <v>1.3865223716814199</v>
      </c>
      <c r="S9" s="186">
        <v>1.4465223716814199</v>
      </c>
      <c r="T9" s="191">
        <f t="shared" si="0"/>
        <v>-6.3340032209446964E-2</v>
      </c>
      <c r="U9" s="185"/>
    </row>
    <row r="10" spans="1:21" ht="54" customHeight="1">
      <c r="A10" s="193" t="s">
        <v>932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1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1" ht="93" customHeight="1">
      <c r="A12" s="193" t="s">
        <v>13</v>
      </c>
      <c r="B12" s="193"/>
      <c r="C12" s="193"/>
      <c r="D12" s="193" t="s">
        <v>14</v>
      </c>
      <c r="E12" s="193"/>
      <c r="F12" s="193"/>
      <c r="G12" s="193"/>
      <c r="H12" s="193"/>
      <c r="I12" s="193" t="s">
        <v>15</v>
      </c>
      <c r="J12" s="193"/>
      <c r="K12" s="193"/>
      <c r="L12" s="193" t="s">
        <v>16</v>
      </c>
      <c r="M12" s="193"/>
      <c r="N12" s="193"/>
      <c r="O12" s="193" t="s">
        <v>17</v>
      </c>
      <c r="P12" s="193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3974C27-636D-4648-B7B4-CB101AE558F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76147-EF37-4021-90C5-0C2F5B3F4E96}">
  <sheetPr codeName="Sheet62">
    <pageSetUpPr fitToPage="1"/>
  </sheetPr>
  <dimension ref="A1:U12"/>
  <sheetViews>
    <sheetView zoomScale="70" zoomScaleNormal="70" workbookViewId="0">
      <selection activeCell="D12" sqref="D12:H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1" ht="27.75" customHeight="1">
      <c r="A2" s="1" t="s">
        <v>661</v>
      </c>
      <c r="M2" s="200" t="s">
        <v>1</v>
      </c>
      <c r="N2" s="200"/>
      <c r="O2" s="200"/>
      <c r="P2" s="200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1" ht="27.75" customHeight="1">
      <c r="A5" s="6">
        <v>1</v>
      </c>
      <c r="B5" s="183" t="s">
        <v>691</v>
      </c>
      <c r="C5" s="184" t="s">
        <v>934</v>
      </c>
      <c r="D5" s="122" t="s">
        <v>20</v>
      </c>
      <c r="E5" s="162">
        <v>0.3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0.3</v>
      </c>
      <c r="N5" s="189" t="s">
        <v>732</v>
      </c>
      <c r="O5" s="166" t="s">
        <v>401</v>
      </c>
      <c r="P5" s="158" t="s">
        <v>931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54" customHeight="1">
      <c r="A10" s="193" t="s">
        <v>935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1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1" ht="93" customHeight="1">
      <c r="A12" s="193" t="s">
        <v>13</v>
      </c>
      <c r="B12" s="193"/>
      <c r="C12" s="193"/>
      <c r="D12" s="193" t="s">
        <v>14</v>
      </c>
      <c r="E12" s="193"/>
      <c r="F12" s="193"/>
      <c r="G12" s="193"/>
      <c r="H12" s="193"/>
      <c r="I12" s="193" t="s">
        <v>15</v>
      </c>
      <c r="J12" s="193"/>
      <c r="K12" s="193"/>
      <c r="L12" s="193" t="s">
        <v>16</v>
      </c>
      <c r="M12" s="193"/>
      <c r="N12" s="193"/>
      <c r="O12" s="193" t="s">
        <v>17</v>
      </c>
      <c r="P12" s="193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495A68C-4527-4266-B640-EAAC018E5C4B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17679-D964-41B5-84FC-A88904EFC6FB}">
  <sheetPr codeName="Sheet63">
    <pageSetUpPr fitToPage="1"/>
  </sheetPr>
  <dimension ref="A1:U12"/>
  <sheetViews>
    <sheetView zoomScale="70" zoomScaleNormal="7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1" ht="27.75" customHeight="1">
      <c r="A2" s="1" t="s">
        <v>661</v>
      </c>
      <c r="M2" s="200" t="s">
        <v>1</v>
      </c>
      <c r="N2" s="200"/>
      <c r="O2" s="200"/>
      <c r="P2" s="200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119" t="s">
        <v>23</v>
      </c>
      <c r="R4" s="119" t="s">
        <v>914</v>
      </c>
    </row>
    <row r="5" spans="1:21" ht="27.75" customHeight="1">
      <c r="A5" s="6">
        <v>1</v>
      </c>
      <c r="B5" s="183" t="s">
        <v>936</v>
      </c>
      <c r="C5" s="184" t="s">
        <v>937</v>
      </c>
      <c r="D5" s="122" t="s">
        <v>20</v>
      </c>
      <c r="E5" s="162">
        <v>3.5</v>
      </c>
      <c r="F5" s="188" t="s">
        <v>732</v>
      </c>
      <c r="G5" s="163">
        <v>0.13</v>
      </c>
      <c r="H5" s="165">
        <v>2.4300000000000002</v>
      </c>
      <c r="I5" s="162"/>
      <c r="J5" s="2"/>
      <c r="K5" s="165"/>
      <c r="L5" s="157"/>
      <c r="M5" s="162">
        <v>2.8</v>
      </c>
      <c r="N5" s="189" t="s">
        <v>732</v>
      </c>
      <c r="O5" s="166" t="s">
        <v>204</v>
      </c>
      <c r="P5" s="158"/>
      <c r="Q5" s="4" t="s">
        <v>738</v>
      </c>
      <c r="R5" s="186">
        <v>2.4300000000000002</v>
      </c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34.200000000000003" customHeight="1">
      <c r="A10" s="193" t="s">
        <v>938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1" ht="34.200000000000003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1" ht="93" customHeight="1">
      <c r="A12" s="193" t="s">
        <v>13</v>
      </c>
      <c r="B12" s="193"/>
      <c r="C12" s="193"/>
      <c r="D12" s="193" t="s">
        <v>14</v>
      </c>
      <c r="E12" s="193"/>
      <c r="F12" s="193"/>
      <c r="G12" s="193"/>
      <c r="H12" s="193"/>
      <c r="I12" s="193" t="s">
        <v>15</v>
      </c>
      <c r="J12" s="193"/>
      <c r="K12" s="193"/>
      <c r="L12" s="193" t="s">
        <v>16</v>
      </c>
      <c r="M12" s="193"/>
      <c r="N12" s="193"/>
      <c r="O12" s="193" t="s">
        <v>17</v>
      </c>
      <c r="P12" s="193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E90CDBE2-5FCB-4DC0-BD10-BB8C770E983C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EB1F5-513E-4CD5-BEAC-C57274FAA1DE}">
  <sheetPr codeName="Sheet66">
    <pageSetUpPr fitToPage="1"/>
  </sheetPr>
  <dimension ref="A1:U9"/>
  <sheetViews>
    <sheetView zoomScale="70" zoomScaleNormal="70" workbookViewId="0">
      <selection activeCell="Q7" sqref="Q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1" ht="27.75" customHeight="1">
      <c r="A2" s="1" t="s">
        <v>661</v>
      </c>
      <c r="M2" s="200" t="s">
        <v>1</v>
      </c>
      <c r="N2" s="200"/>
      <c r="O2" s="200"/>
      <c r="P2" s="200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1" ht="31.2" customHeight="1">
      <c r="A5" s="6">
        <v>1</v>
      </c>
      <c r="B5" s="183" t="s">
        <v>942</v>
      </c>
      <c r="C5" s="183" t="s">
        <v>941</v>
      </c>
      <c r="D5" s="122" t="s">
        <v>20</v>
      </c>
      <c r="E5" s="162">
        <v>0.16</v>
      </c>
      <c r="F5" s="188">
        <v>0.19</v>
      </c>
      <c r="G5" s="163">
        <v>0.13</v>
      </c>
      <c r="H5" s="165">
        <v>0.28000000000000003</v>
      </c>
      <c r="I5" s="162"/>
      <c r="J5" s="2"/>
      <c r="K5" s="165"/>
      <c r="L5" s="157">
        <v>0.03</v>
      </c>
      <c r="M5" s="162">
        <v>0.16</v>
      </c>
      <c r="N5" s="189">
        <v>0.19</v>
      </c>
      <c r="O5" s="166" t="s">
        <v>52</v>
      </c>
      <c r="P5" s="158" t="s">
        <v>944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68.400000000000006" customHeight="1">
      <c r="A7" s="193" t="s">
        <v>943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</row>
    <row r="8" spans="1:21" ht="52.8" customHeight="1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</row>
    <row r="9" spans="1:21" ht="93" customHeight="1">
      <c r="A9" s="193" t="s">
        <v>13</v>
      </c>
      <c r="B9" s="193"/>
      <c r="C9" s="193"/>
      <c r="D9" s="193" t="s">
        <v>14</v>
      </c>
      <c r="E9" s="193"/>
      <c r="F9" s="193"/>
      <c r="G9" s="193"/>
      <c r="H9" s="193"/>
      <c r="I9" s="193" t="s">
        <v>15</v>
      </c>
      <c r="J9" s="193"/>
      <c r="K9" s="193"/>
      <c r="L9" s="193" t="s">
        <v>16</v>
      </c>
      <c r="M9" s="193"/>
      <c r="N9" s="193"/>
      <c r="O9" s="193" t="s">
        <v>17</v>
      </c>
      <c r="P9" s="193"/>
    </row>
  </sheetData>
  <mergeCells count="21">
    <mergeCell ref="A9:C9"/>
    <mergeCell ref="D9:H9"/>
    <mergeCell ref="I9:K9"/>
    <mergeCell ref="L9:N9"/>
    <mergeCell ref="O9:P9"/>
    <mergeCell ref="A7:P8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39:WVP983046 JD5:JD6 SZ5:SZ6 ACV5:ACV6 AMR5:AMR6 AWN5:AWN6 BGJ5:BGJ6 BQF5:BQF6 CAB5:CAB6 CJX5:CJX6 CTT5:CTT6 DDP5:DDP6 DNL5:DNL6 DXH5:DXH6 EHD5:EHD6 EQZ5:EQZ6 FAV5:FAV6 FKR5:FKR6 FUN5:FUN6 GEJ5:GEJ6 GOF5:GOF6 GYB5:GYB6 HHX5:HHX6 HRT5:HRT6 IBP5:IBP6 ILL5:ILL6 IVH5:IVH6 JFD5:JFD6 JOZ5:JOZ6 JYV5:JYV6 KIR5:KIR6 KSN5:KSN6 LCJ5:LCJ6 LMF5:LMF6 LWB5:LWB6 MFX5:MFX6 MPT5:MPT6 MZP5:MZP6 NJL5:NJL6 NTH5:NTH6 ODD5:ODD6 OMZ5:OMZ6 OWV5:OWV6 PGR5:PGR6 PQN5:PQN6 QAJ5:QAJ6 QKF5:QKF6 QUB5:QUB6 RDX5:RDX6 RNT5:RNT6 RXP5:RXP6 SHL5:SHL6 SRH5:SRH6 TBD5:TBD6 TKZ5:TKZ6 TUV5:TUV6 UER5:UER6 UON5:UON6 UYJ5:UYJ6 VIF5:VIF6 VSB5:VSB6 WBX5:WBX6 WLT5:WLT6 WVP5:WVP6 G65535:G65542 JD65535:JD65542 SZ65535:SZ65542 ACV65535:ACV65542 AMR65535:AMR65542 AWN65535:AWN65542 BGJ65535:BGJ65542 BQF65535:BQF65542 CAB65535:CAB65542 CJX65535:CJX65542 CTT65535:CTT65542 DDP65535:DDP65542 DNL65535:DNL65542 DXH65535:DXH65542 EHD65535:EHD65542 EQZ65535:EQZ65542 FAV65535:FAV65542 FKR65535:FKR65542 FUN65535:FUN65542 GEJ65535:GEJ65542 GOF65535:GOF65542 GYB65535:GYB65542 HHX65535:HHX65542 HRT65535:HRT65542 IBP65535:IBP65542 ILL65535:ILL65542 IVH65535:IVH65542 JFD65535:JFD65542 JOZ65535:JOZ65542 JYV65535:JYV65542 KIR65535:KIR65542 KSN65535:KSN65542 LCJ65535:LCJ65542 LMF65535:LMF65542 LWB65535:LWB65542 MFX65535:MFX65542 MPT65535:MPT65542 MZP65535:MZP65542 NJL65535:NJL65542 NTH65535:NTH65542 ODD65535:ODD65542 OMZ65535:OMZ65542 OWV65535:OWV65542 PGR65535:PGR65542 PQN65535:PQN65542 QAJ65535:QAJ65542 QKF65535:QKF65542 QUB65535:QUB65542 RDX65535:RDX65542 RNT65535:RNT65542 RXP65535:RXP65542 SHL65535:SHL65542 SRH65535:SRH65542 TBD65535:TBD65542 TKZ65535:TKZ65542 TUV65535:TUV65542 UER65535:UER65542 UON65535:UON65542 UYJ65535:UYJ65542 VIF65535:VIF65542 VSB65535:VSB65542 WBX65535:WBX65542 WLT65535:WLT65542 WVP65535:WVP65542 G131071:G131078 JD131071:JD131078 SZ131071:SZ131078 ACV131071:ACV131078 AMR131071:AMR131078 AWN131071:AWN131078 BGJ131071:BGJ131078 BQF131071:BQF131078 CAB131071:CAB131078 CJX131071:CJX131078 CTT131071:CTT131078 DDP131071:DDP131078 DNL131071:DNL131078 DXH131071:DXH131078 EHD131071:EHD131078 EQZ131071:EQZ131078 FAV131071:FAV131078 FKR131071:FKR131078 FUN131071:FUN131078 GEJ131071:GEJ131078 GOF131071:GOF131078 GYB131071:GYB131078 HHX131071:HHX131078 HRT131071:HRT131078 IBP131071:IBP131078 ILL131071:ILL131078 IVH131071:IVH131078 JFD131071:JFD131078 JOZ131071:JOZ131078 JYV131071:JYV131078 KIR131071:KIR131078 KSN131071:KSN131078 LCJ131071:LCJ131078 LMF131071:LMF131078 LWB131071:LWB131078 MFX131071:MFX131078 MPT131071:MPT131078 MZP131071:MZP131078 NJL131071:NJL131078 NTH131071:NTH131078 ODD131071:ODD131078 OMZ131071:OMZ131078 OWV131071:OWV131078 PGR131071:PGR131078 PQN131071:PQN131078 QAJ131071:QAJ131078 QKF131071:QKF131078 QUB131071:QUB131078 RDX131071:RDX131078 RNT131071:RNT131078 RXP131071:RXP131078 SHL131071:SHL131078 SRH131071:SRH131078 TBD131071:TBD131078 TKZ131071:TKZ131078 TUV131071:TUV131078 UER131071:UER131078 UON131071:UON131078 UYJ131071:UYJ131078 VIF131071:VIF131078 VSB131071:VSB131078 WBX131071:WBX131078 WLT131071:WLT131078 WVP131071:WVP131078 G196607:G196614 JD196607:JD196614 SZ196607:SZ196614 ACV196607:ACV196614 AMR196607:AMR196614 AWN196607:AWN196614 BGJ196607:BGJ196614 BQF196607:BQF196614 CAB196607:CAB196614 CJX196607:CJX196614 CTT196607:CTT196614 DDP196607:DDP196614 DNL196607:DNL196614 DXH196607:DXH196614 EHD196607:EHD196614 EQZ196607:EQZ196614 FAV196607:FAV196614 FKR196607:FKR196614 FUN196607:FUN196614 GEJ196607:GEJ196614 GOF196607:GOF196614 GYB196607:GYB196614 HHX196607:HHX196614 HRT196607:HRT196614 IBP196607:IBP196614 ILL196607:ILL196614 IVH196607:IVH196614 JFD196607:JFD196614 JOZ196607:JOZ196614 JYV196607:JYV196614 KIR196607:KIR196614 KSN196607:KSN196614 LCJ196607:LCJ196614 LMF196607:LMF196614 LWB196607:LWB196614 MFX196607:MFX196614 MPT196607:MPT196614 MZP196607:MZP196614 NJL196607:NJL196614 NTH196607:NTH196614 ODD196607:ODD196614 OMZ196607:OMZ196614 OWV196607:OWV196614 PGR196607:PGR196614 PQN196607:PQN196614 QAJ196607:QAJ196614 QKF196607:QKF196614 QUB196607:QUB196614 RDX196607:RDX196614 RNT196607:RNT196614 RXP196607:RXP196614 SHL196607:SHL196614 SRH196607:SRH196614 TBD196607:TBD196614 TKZ196607:TKZ196614 TUV196607:TUV196614 UER196607:UER196614 UON196607:UON196614 UYJ196607:UYJ196614 VIF196607:VIF196614 VSB196607:VSB196614 WBX196607:WBX196614 WLT196607:WLT196614 WVP196607:WVP196614 G262143:G262150 JD262143:JD262150 SZ262143:SZ262150 ACV262143:ACV262150 AMR262143:AMR262150 AWN262143:AWN262150 BGJ262143:BGJ262150 BQF262143:BQF262150 CAB262143:CAB262150 CJX262143:CJX262150 CTT262143:CTT262150 DDP262143:DDP262150 DNL262143:DNL262150 DXH262143:DXH262150 EHD262143:EHD262150 EQZ262143:EQZ262150 FAV262143:FAV262150 FKR262143:FKR262150 FUN262143:FUN262150 GEJ262143:GEJ262150 GOF262143:GOF262150 GYB262143:GYB262150 HHX262143:HHX262150 HRT262143:HRT262150 IBP262143:IBP262150 ILL262143:ILL262150 IVH262143:IVH262150 JFD262143:JFD262150 JOZ262143:JOZ262150 JYV262143:JYV262150 KIR262143:KIR262150 KSN262143:KSN262150 LCJ262143:LCJ262150 LMF262143:LMF262150 LWB262143:LWB262150 MFX262143:MFX262150 MPT262143:MPT262150 MZP262143:MZP262150 NJL262143:NJL262150 NTH262143:NTH262150 ODD262143:ODD262150 OMZ262143:OMZ262150 OWV262143:OWV262150 PGR262143:PGR262150 PQN262143:PQN262150 QAJ262143:QAJ262150 QKF262143:QKF262150 QUB262143:QUB262150 RDX262143:RDX262150 RNT262143:RNT262150 RXP262143:RXP262150 SHL262143:SHL262150 SRH262143:SRH262150 TBD262143:TBD262150 TKZ262143:TKZ262150 TUV262143:TUV262150 UER262143:UER262150 UON262143:UON262150 UYJ262143:UYJ262150 VIF262143:VIF262150 VSB262143:VSB262150 WBX262143:WBX262150 WLT262143:WLT262150 WVP262143:WVP262150 G327679:G327686 JD327679:JD327686 SZ327679:SZ327686 ACV327679:ACV327686 AMR327679:AMR327686 AWN327679:AWN327686 BGJ327679:BGJ327686 BQF327679:BQF327686 CAB327679:CAB327686 CJX327679:CJX327686 CTT327679:CTT327686 DDP327679:DDP327686 DNL327679:DNL327686 DXH327679:DXH327686 EHD327679:EHD327686 EQZ327679:EQZ327686 FAV327679:FAV327686 FKR327679:FKR327686 FUN327679:FUN327686 GEJ327679:GEJ327686 GOF327679:GOF327686 GYB327679:GYB327686 HHX327679:HHX327686 HRT327679:HRT327686 IBP327679:IBP327686 ILL327679:ILL327686 IVH327679:IVH327686 JFD327679:JFD327686 JOZ327679:JOZ327686 JYV327679:JYV327686 KIR327679:KIR327686 KSN327679:KSN327686 LCJ327679:LCJ327686 LMF327679:LMF327686 LWB327679:LWB327686 MFX327679:MFX327686 MPT327679:MPT327686 MZP327679:MZP327686 NJL327679:NJL327686 NTH327679:NTH327686 ODD327679:ODD327686 OMZ327679:OMZ327686 OWV327679:OWV327686 PGR327679:PGR327686 PQN327679:PQN327686 QAJ327679:QAJ327686 QKF327679:QKF327686 QUB327679:QUB327686 RDX327679:RDX327686 RNT327679:RNT327686 RXP327679:RXP327686 SHL327679:SHL327686 SRH327679:SRH327686 TBD327679:TBD327686 TKZ327679:TKZ327686 TUV327679:TUV327686 UER327679:UER327686 UON327679:UON327686 UYJ327679:UYJ327686 VIF327679:VIF327686 VSB327679:VSB327686 WBX327679:WBX327686 WLT327679:WLT327686 WVP327679:WVP327686 G393215:G393222 JD393215:JD393222 SZ393215:SZ393222 ACV393215:ACV393222 AMR393215:AMR393222 AWN393215:AWN393222 BGJ393215:BGJ393222 BQF393215:BQF393222 CAB393215:CAB393222 CJX393215:CJX393222 CTT393215:CTT393222 DDP393215:DDP393222 DNL393215:DNL393222 DXH393215:DXH393222 EHD393215:EHD393222 EQZ393215:EQZ393222 FAV393215:FAV393222 FKR393215:FKR393222 FUN393215:FUN393222 GEJ393215:GEJ393222 GOF393215:GOF393222 GYB393215:GYB393222 HHX393215:HHX393222 HRT393215:HRT393222 IBP393215:IBP393222 ILL393215:ILL393222 IVH393215:IVH393222 JFD393215:JFD393222 JOZ393215:JOZ393222 JYV393215:JYV393222 KIR393215:KIR393222 KSN393215:KSN393222 LCJ393215:LCJ393222 LMF393215:LMF393222 LWB393215:LWB393222 MFX393215:MFX393222 MPT393215:MPT393222 MZP393215:MZP393222 NJL393215:NJL393222 NTH393215:NTH393222 ODD393215:ODD393222 OMZ393215:OMZ393222 OWV393215:OWV393222 PGR393215:PGR393222 PQN393215:PQN393222 QAJ393215:QAJ393222 QKF393215:QKF393222 QUB393215:QUB393222 RDX393215:RDX393222 RNT393215:RNT393222 RXP393215:RXP393222 SHL393215:SHL393222 SRH393215:SRH393222 TBD393215:TBD393222 TKZ393215:TKZ393222 TUV393215:TUV393222 UER393215:UER393222 UON393215:UON393222 UYJ393215:UYJ393222 VIF393215:VIF393222 VSB393215:VSB393222 WBX393215:WBX393222 WLT393215:WLT393222 WVP393215:WVP393222 G458751:G458758 JD458751:JD458758 SZ458751:SZ458758 ACV458751:ACV458758 AMR458751:AMR458758 AWN458751:AWN458758 BGJ458751:BGJ458758 BQF458751:BQF458758 CAB458751:CAB458758 CJX458751:CJX458758 CTT458751:CTT458758 DDP458751:DDP458758 DNL458751:DNL458758 DXH458751:DXH458758 EHD458751:EHD458758 EQZ458751:EQZ458758 FAV458751:FAV458758 FKR458751:FKR458758 FUN458751:FUN458758 GEJ458751:GEJ458758 GOF458751:GOF458758 GYB458751:GYB458758 HHX458751:HHX458758 HRT458751:HRT458758 IBP458751:IBP458758 ILL458751:ILL458758 IVH458751:IVH458758 JFD458751:JFD458758 JOZ458751:JOZ458758 JYV458751:JYV458758 KIR458751:KIR458758 KSN458751:KSN458758 LCJ458751:LCJ458758 LMF458751:LMF458758 LWB458751:LWB458758 MFX458751:MFX458758 MPT458751:MPT458758 MZP458751:MZP458758 NJL458751:NJL458758 NTH458751:NTH458758 ODD458751:ODD458758 OMZ458751:OMZ458758 OWV458751:OWV458758 PGR458751:PGR458758 PQN458751:PQN458758 QAJ458751:QAJ458758 QKF458751:QKF458758 QUB458751:QUB458758 RDX458751:RDX458758 RNT458751:RNT458758 RXP458751:RXP458758 SHL458751:SHL458758 SRH458751:SRH458758 TBD458751:TBD458758 TKZ458751:TKZ458758 TUV458751:TUV458758 UER458751:UER458758 UON458751:UON458758 UYJ458751:UYJ458758 VIF458751:VIF458758 VSB458751:VSB458758 WBX458751:WBX458758 WLT458751:WLT458758 WVP458751:WVP458758 G524287:G524294 JD524287:JD524294 SZ524287:SZ524294 ACV524287:ACV524294 AMR524287:AMR524294 AWN524287:AWN524294 BGJ524287:BGJ524294 BQF524287:BQF524294 CAB524287:CAB524294 CJX524287:CJX524294 CTT524287:CTT524294 DDP524287:DDP524294 DNL524287:DNL524294 DXH524287:DXH524294 EHD524287:EHD524294 EQZ524287:EQZ524294 FAV524287:FAV524294 FKR524287:FKR524294 FUN524287:FUN524294 GEJ524287:GEJ524294 GOF524287:GOF524294 GYB524287:GYB524294 HHX524287:HHX524294 HRT524287:HRT524294 IBP524287:IBP524294 ILL524287:ILL524294 IVH524287:IVH524294 JFD524287:JFD524294 JOZ524287:JOZ524294 JYV524287:JYV524294 KIR524287:KIR524294 KSN524287:KSN524294 LCJ524287:LCJ524294 LMF524287:LMF524294 LWB524287:LWB524294 MFX524287:MFX524294 MPT524287:MPT524294 MZP524287:MZP524294 NJL524287:NJL524294 NTH524287:NTH524294 ODD524287:ODD524294 OMZ524287:OMZ524294 OWV524287:OWV524294 PGR524287:PGR524294 PQN524287:PQN524294 QAJ524287:QAJ524294 QKF524287:QKF524294 QUB524287:QUB524294 RDX524287:RDX524294 RNT524287:RNT524294 RXP524287:RXP524294 SHL524287:SHL524294 SRH524287:SRH524294 TBD524287:TBD524294 TKZ524287:TKZ524294 TUV524287:TUV524294 UER524287:UER524294 UON524287:UON524294 UYJ524287:UYJ524294 VIF524287:VIF524294 VSB524287:VSB524294 WBX524287:WBX524294 WLT524287:WLT524294 WVP524287:WVP524294 G589823:G589830 JD589823:JD589830 SZ589823:SZ589830 ACV589823:ACV589830 AMR589823:AMR589830 AWN589823:AWN589830 BGJ589823:BGJ589830 BQF589823:BQF589830 CAB589823:CAB589830 CJX589823:CJX589830 CTT589823:CTT589830 DDP589823:DDP589830 DNL589823:DNL589830 DXH589823:DXH589830 EHD589823:EHD589830 EQZ589823:EQZ589830 FAV589823:FAV589830 FKR589823:FKR589830 FUN589823:FUN589830 GEJ589823:GEJ589830 GOF589823:GOF589830 GYB589823:GYB589830 HHX589823:HHX589830 HRT589823:HRT589830 IBP589823:IBP589830 ILL589823:ILL589830 IVH589823:IVH589830 JFD589823:JFD589830 JOZ589823:JOZ589830 JYV589823:JYV589830 KIR589823:KIR589830 KSN589823:KSN589830 LCJ589823:LCJ589830 LMF589823:LMF589830 LWB589823:LWB589830 MFX589823:MFX589830 MPT589823:MPT589830 MZP589823:MZP589830 NJL589823:NJL589830 NTH589823:NTH589830 ODD589823:ODD589830 OMZ589823:OMZ589830 OWV589823:OWV589830 PGR589823:PGR589830 PQN589823:PQN589830 QAJ589823:QAJ589830 QKF589823:QKF589830 QUB589823:QUB589830 RDX589823:RDX589830 RNT589823:RNT589830 RXP589823:RXP589830 SHL589823:SHL589830 SRH589823:SRH589830 TBD589823:TBD589830 TKZ589823:TKZ589830 TUV589823:TUV589830 UER589823:UER589830 UON589823:UON589830 UYJ589823:UYJ589830 VIF589823:VIF589830 VSB589823:VSB589830 WBX589823:WBX589830 WLT589823:WLT589830 WVP589823:WVP589830 G655359:G655366 JD655359:JD655366 SZ655359:SZ655366 ACV655359:ACV655366 AMR655359:AMR655366 AWN655359:AWN655366 BGJ655359:BGJ655366 BQF655359:BQF655366 CAB655359:CAB655366 CJX655359:CJX655366 CTT655359:CTT655366 DDP655359:DDP655366 DNL655359:DNL655366 DXH655359:DXH655366 EHD655359:EHD655366 EQZ655359:EQZ655366 FAV655359:FAV655366 FKR655359:FKR655366 FUN655359:FUN655366 GEJ655359:GEJ655366 GOF655359:GOF655366 GYB655359:GYB655366 HHX655359:HHX655366 HRT655359:HRT655366 IBP655359:IBP655366 ILL655359:ILL655366 IVH655359:IVH655366 JFD655359:JFD655366 JOZ655359:JOZ655366 JYV655359:JYV655366 KIR655359:KIR655366 KSN655359:KSN655366 LCJ655359:LCJ655366 LMF655359:LMF655366 LWB655359:LWB655366 MFX655359:MFX655366 MPT655359:MPT655366 MZP655359:MZP655366 NJL655359:NJL655366 NTH655359:NTH655366 ODD655359:ODD655366 OMZ655359:OMZ655366 OWV655359:OWV655366 PGR655359:PGR655366 PQN655359:PQN655366 QAJ655359:QAJ655366 QKF655359:QKF655366 QUB655359:QUB655366 RDX655359:RDX655366 RNT655359:RNT655366 RXP655359:RXP655366 SHL655359:SHL655366 SRH655359:SRH655366 TBD655359:TBD655366 TKZ655359:TKZ655366 TUV655359:TUV655366 UER655359:UER655366 UON655359:UON655366 UYJ655359:UYJ655366 VIF655359:VIF655366 VSB655359:VSB655366 WBX655359:WBX655366 WLT655359:WLT655366 WVP655359:WVP655366 G720895:G720902 JD720895:JD720902 SZ720895:SZ720902 ACV720895:ACV720902 AMR720895:AMR720902 AWN720895:AWN720902 BGJ720895:BGJ720902 BQF720895:BQF720902 CAB720895:CAB720902 CJX720895:CJX720902 CTT720895:CTT720902 DDP720895:DDP720902 DNL720895:DNL720902 DXH720895:DXH720902 EHD720895:EHD720902 EQZ720895:EQZ720902 FAV720895:FAV720902 FKR720895:FKR720902 FUN720895:FUN720902 GEJ720895:GEJ720902 GOF720895:GOF720902 GYB720895:GYB720902 HHX720895:HHX720902 HRT720895:HRT720902 IBP720895:IBP720902 ILL720895:ILL720902 IVH720895:IVH720902 JFD720895:JFD720902 JOZ720895:JOZ720902 JYV720895:JYV720902 KIR720895:KIR720902 KSN720895:KSN720902 LCJ720895:LCJ720902 LMF720895:LMF720902 LWB720895:LWB720902 MFX720895:MFX720902 MPT720895:MPT720902 MZP720895:MZP720902 NJL720895:NJL720902 NTH720895:NTH720902 ODD720895:ODD720902 OMZ720895:OMZ720902 OWV720895:OWV720902 PGR720895:PGR720902 PQN720895:PQN720902 QAJ720895:QAJ720902 QKF720895:QKF720902 QUB720895:QUB720902 RDX720895:RDX720902 RNT720895:RNT720902 RXP720895:RXP720902 SHL720895:SHL720902 SRH720895:SRH720902 TBD720895:TBD720902 TKZ720895:TKZ720902 TUV720895:TUV720902 UER720895:UER720902 UON720895:UON720902 UYJ720895:UYJ720902 VIF720895:VIF720902 VSB720895:VSB720902 WBX720895:WBX720902 WLT720895:WLT720902 WVP720895:WVP720902 G786431:G786438 JD786431:JD786438 SZ786431:SZ786438 ACV786431:ACV786438 AMR786431:AMR786438 AWN786431:AWN786438 BGJ786431:BGJ786438 BQF786431:BQF786438 CAB786431:CAB786438 CJX786431:CJX786438 CTT786431:CTT786438 DDP786431:DDP786438 DNL786431:DNL786438 DXH786431:DXH786438 EHD786431:EHD786438 EQZ786431:EQZ786438 FAV786431:FAV786438 FKR786431:FKR786438 FUN786431:FUN786438 GEJ786431:GEJ786438 GOF786431:GOF786438 GYB786431:GYB786438 HHX786431:HHX786438 HRT786431:HRT786438 IBP786431:IBP786438 ILL786431:ILL786438 IVH786431:IVH786438 JFD786431:JFD786438 JOZ786431:JOZ786438 JYV786431:JYV786438 KIR786431:KIR786438 KSN786431:KSN786438 LCJ786431:LCJ786438 LMF786431:LMF786438 LWB786431:LWB786438 MFX786431:MFX786438 MPT786431:MPT786438 MZP786431:MZP786438 NJL786431:NJL786438 NTH786431:NTH786438 ODD786431:ODD786438 OMZ786431:OMZ786438 OWV786431:OWV786438 PGR786431:PGR786438 PQN786431:PQN786438 QAJ786431:QAJ786438 QKF786431:QKF786438 QUB786431:QUB786438 RDX786431:RDX786438 RNT786431:RNT786438 RXP786431:RXP786438 SHL786431:SHL786438 SRH786431:SRH786438 TBD786431:TBD786438 TKZ786431:TKZ786438 TUV786431:TUV786438 UER786431:UER786438 UON786431:UON786438 UYJ786431:UYJ786438 VIF786431:VIF786438 VSB786431:VSB786438 WBX786431:WBX786438 WLT786431:WLT786438 WVP786431:WVP786438 G851967:G851974 JD851967:JD851974 SZ851967:SZ851974 ACV851967:ACV851974 AMR851967:AMR851974 AWN851967:AWN851974 BGJ851967:BGJ851974 BQF851967:BQF851974 CAB851967:CAB851974 CJX851967:CJX851974 CTT851967:CTT851974 DDP851967:DDP851974 DNL851967:DNL851974 DXH851967:DXH851974 EHD851967:EHD851974 EQZ851967:EQZ851974 FAV851967:FAV851974 FKR851967:FKR851974 FUN851967:FUN851974 GEJ851967:GEJ851974 GOF851967:GOF851974 GYB851967:GYB851974 HHX851967:HHX851974 HRT851967:HRT851974 IBP851967:IBP851974 ILL851967:ILL851974 IVH851967:IVH851974 JFD851967:JFD851974 JOZ851967:JOZ851974 JYV851967:JYV851974 KIR851967:KIR851974 KSN851967:KSN851974 LCJ851967:LCJ851974 LMF851967:LMF851974 LWB851967:LWB851974 MFX851967:MFX851974 MPT851967:MPT851974 MZP851967:MZP851974 NJL851967:NJL851974 NTH851967:NTH851974 ODD851967:ODD851974 OMZ851967:OMZ851974 OWV851967:OWV851974 PGR851967:PGR851974 PQN851967:PQN851974 QAJ851967:QAJ851974 QKF851967:QKF851974 QUB851967:QUB851974 RDX851967:RDX851974 RNT851967:RNT851974 RXP851967:RXP851974 SHL851967:SHL851974 SRH851967:SRH851974 TBD851967:TBD851974 TKZ851967:TKZ851974 TUV851967:TUV851974 UER851967:UER851974 UON851967:UON851974 UYJ851967:UYJ851974 VIF851967:VIF851974 VSB851967:VSB851974 WBX851967:WBX851974 WLT851967:WLT851974 WVP851967:WVP851974 G917503:G917510 JD917503:JD917510 SZ917503:SZ917510 ACV917503:ACV917510 AMR917503:AMR917510 AWN917503:AWN917510 BGJ917503:BGJ917510 BQF917503:BQF917510 CAB917503:CAB917510 CJX917503:CJX917510 CTT917503:CTT917510 DDP917503:DDP917510 DNL917503:DNL917510 DXH917503:DXH917510 EHD917503:EHD917510 EQZ917503:EQZ917510 FAV917503:FAV917510 FKR917503:FKR917510 FUN917503:FUN917510 GEJ917503:GEJ917510 GOF917503:GOF917510 GYB917503:GYB917510 HHX917503:HHX917510 HRT917503:HRT917510 IBP917503:IBP917510 ILL917503:ILL917510 IVH917503:IVH917510 JFD917503:JFD917510 JOZ917503:JOZ917510 JYV917503:JYV917510 KIR917503:KIR917510 KSN917503:KSN917510 LCJ917503:LCJ917510 LMF917503:LMF917510 LWB917503:LWB917510 MFX917503:MFX917510 MPT917503:MPT917510 MZP917503:MZP917510 NJL917503:NJL917510 NTH917503:NTH917510 ODD917503:ODD917510 OMZ917503:OMZ917510 OWV917503:OWV917510 PGR917503:PGR917510 PQN917503:PQN917510 QAJ917503:QAJ917510 QKF917503:QKF917510 QUB917503:QUB917510 RDX917503:RDX917510 RNT917503:RNT917510 RXP917503:RXP917510 SHL917503:SHL917510 SRH917503:SRH917510 TBD917503:TBD917510 TKZ917503:TKZ917510 TUV917503:TUV917510 UER917503:UER917510 UON917503:UON917510 UYJ917503:UYJ917510 VIF917503:VIF917510 VSB917503:VSB917510 WBX917503:WBX917510 WLT917503:WLT917510 WVP917503:WVP917510 G983039:G983046 JD983039:JD983046 SZ983039:SZ983046 ACV983039:ACV983046 AMR983039:AMR983046 AWN983039:AWN983046 BGJ983039:BGJ983046 BQF983039:BQF983046 CAB983039:CAB983046 CJX983039:CJX983046 CTT983039:CTT983046 DDP983039:DDP983046 DNL983039:DNL983046 DXH983039:DXH983046 EHD983039:EHD983046 EQZ983039:EQZ983046 FAV983039:FAV983046 FKR983039:FKR983046 FUN983039:FUN983046 GEJ983039:GEJ983046 GOF983039:GOF983046 GYB983039:GYB983046 HHX983039:HHX983046 HRT983039:HRT983046 IBP983039:IBP983046 ILL983039:ILL983046 IVH983039:IVH983046 JFD983039:JFD983046 JOZ983039:JOZ983046 JYV983039:JYV983046 KIR983039:KIR983046 KSN983039:KSN983046 LCJ983039:LCJ983046 LMF983039:LMF983046 LWB983039:LWB983046 MFX983039:MFX983046 MPT983039:MPT983046 MZP983039:MZP983046 NJL983039:NJL983046 NTH983039:NTH983046 ODD983039:ODD983046 OMZ983039:OMZ983046 OWV983039:OWV983046 PGR983039:PGR983046 PQN983039:PQN983046 QAJ983039:QAJ983046 QKF983039:QKF983046 QUB983039:QUB983046 RDX983039:RDX983046 RNT983039:RNT983046 RXP983039:RXP983046 SHL983039:SHL983046 SRH983039:SRH983046 TBD983039:TBD983046 TKZ983039:TKZ983046 TUV983039:TUV983046 UER983039:UER983046 UON983039:UON983046 UYJ983039:UYJ983046 VIF983039:VIF983046 VSB983039:VSB983046 WBX983039:WBX983046 WLT983039:WLT983046" xr:uid="{6ADDB8D6-80BE-4A2B-8D76-AF7C83319E52}">
      <formula1>$Q$5:$Q$7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4406-D08C-4EDF-BC7E-4E663C0C140A}">
  <sheetPr>
    <pageSetUpPr fitToPage="1"/>
  </sheetPr>
  <dimension ref="A1:U11"/>
  <sheetViews>
    <sheetView zoomScale="70" zoomScaleNormal="70" workbookViewId="0">
      <selection activeCell="R5" sqref="R5:R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1" ht="27.75" customHeight="1">
      <c r="A2" s="1" t="s">
        <v>661</v>
      </c>
      <c r="M2" s="200" t="s">
        <v>1</v>
      </c>
      <c r="N2" s="200"/>
      <c r="O2" s="200"/>
      <c r="P2" s="200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  <c r="Q3" s="230" t="s">
        <v>947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230"/>
    </row>
    <row r="5" spans="1:21" ht="31.2" customHeight="1">
      <c r="A5" s="6">
        <v>1</v>
      </c>
      <c r="B5" s="183" t="s">
        <v>945</v>
      </c>
      <c r="C5" s="183" t="s">
        <v>946</v>
      </c>
      <c r="D5" s="122" t="s">
        <v>20</v>
      </c>
      <c r="E5" s="162">
        <v>2.5</v>
      </c>
      <c r="F5" s="188" t="s">
        <v>732</v>
      </c>
      <c r="G5" s="163">
        <v>0.13</v>
      </c>
      <c r="H5" s="165">
        <v>4.1224999999999996</v>
      </c>
      <c r="I5" s="162"/>
      <c r="J5" s="2"/>
      <c r="K5" s="165"/>
      <c r="L5" s="157"/>
      <c r="M5" s="162">
        <v>2.5</v>
      </c>
      <c r="N5" s="189" t="s">
        <v>732</v>
      </c>
      <c r="O5" s="166" t="s">
        <v>954</v>
      </c>
      <c r="P5" s="158"/>
      <c r="Q5" s="4">
        <v>4.1224999999999996</v>
      </c>
      <c r="R5" s="191">
        <f>(M5-Q5)/Q5</f>
        <v>-0.39357186173438441</v>
      </c>
      <c r="S5" s="190"/>
      <c r="T5" s="191"/>
      <c r="U5" s="185"/>
    </row>
    <row r="6" spans="1:21" ht="31.2" customHeight="1">
      <c r="A6" s="6">
        <v>2</v>
      </c>
      <c r="B6" s="183" t="s">
        <v>948</v>
      </c>
      <c r="C6" s="183" t="s">
        <v>949</v>
      </c>
      <c r="D6" s="122" t="s">
        <v>20</v>
      </c>
      <c r="E6" s="162">
        <v>2.2000000000000002</v>
      </c>
      <c r="F6" s="188" t="s">
        <v>732</v>
      </c>
      <c r="G6" s="163">
        <v>0.13</v>
      </c>
      <c r="H6" s="165">
        <v>4.0255000000000001</v>
      </c>
      <c r="I6" s="162"/>
      <c r="J6" s="2"/>
      <c r="K6" s="165"/>
      <c r="L6" s="157"/>
      <c r="M6" s="162">
        <v>2.2000000000000002</v>
      </c>
      <c r="N6" s="189" t="s">
        <v>732</v>
      </c>
      <c r="O6" s="166" t="s">
        <v>954</v>
      </c>
      <c r="P6" s="158"/>
      <c r="Q6" s="4">
        <v>4.0255000000000001</v>
      </c>
      <c r="R6" s="191">
        <f t="shared" ref="R6:R8" si="0">(M6-Q6)/Q6</f>
        <v>-0.45348403924978259</v>
      </c>
      <c r="S6" s="190"/>
      <c r="T6" s="191"/>
      <c r="U6" s="185"/>
    </row>
    <row r="7" spans="1:21" ht="31.2" customHeight="1">
      <c r="A7" s="6">
        <v>3</v>
      </c>
      <c r="B7" s="183" t="s">
        <v>950</v>
      </c>
      <c r="C7" s="184" t="s">
        <v>951</v>
      </c>
      <c r="D7" s="122" t="s">
        <v>20</v>
      </c>
      <c r="E7" s="162">
        <v>1.8</v>
      </c>
      <c r="F7" s="188" t="s">
        <v>732</v>
      </c>
      <c r="G7" s="163">
        <v>0.13</v>
      </c>
      <c r="H7" s="165">
        <v>3.2</v>
      </c>
      <c r="I7" s="162"/>
      <c r="J7" s="2"/>
      <c r="K7" s="165"/>
      <c r="L7" s="157"/>
      <c r="M7" s="162">
        <v>1.8</v>
      </c>
      <c r="N7" s="189" t="s">
        <v>732</v>
      </c>
      <c r="O7" s="166" t="s">
        <v>954</v>
      </c>
      <c r="P7" s="158"/>
      <c r="Q7" s="4">
        <v>3.2</v>
      </c>
      <c r="R7" s="191">
        <f t="shared" si="0"/>
        <v>-0.4375</v>
      </c>
      <c r="S7" s="190"/>
      <c r="T7" s="191"/>
      <c r="U7" s="185"/>
    </row>
    <row r="8" spans="1:21" ht="31.2" customHeight="1">
      <c r="A8" s="6">
        <v>4</v>
      </c>
      <c r="B8" s="183" t="s">
        <v>952</v>
      </c>
      <c r="C8" s="183" t="s">
        <v>953</v>
      </c>
      <c r="D8" s="122" t="s">
        <v>20</v>
      </c>
      <c r="E8" s="162">
        <v>1.2</v>
      </c>
      <c r="F8" s="188" t="s">
        <v>732</v>
      </c>
      <c r="G8" s="163">
        <v>0.13</v>
      </c>
      <c r="H8" s="165">
        <v>2.3279999999999998</v>
      </c>
      <c r="I8" s="162"/>
      <c r="J8" s="2"/>
      <c r="K8" s="165"/>
      <c r="L8" s="157"/>
      <c r="M8" s="162">
        <v>1.2</v>
      </c>
      <c r="N8" s="189" t="s">
        <v>732</v>
      </c>
      <c r="O8" s="166" t="s">
        <v>954</v>
      </c>
      <c r="P8" s="158"/>
      <c r="Q8" s="4">
        <v>2.3279999999999998</v>
      </c>
      <c r="R8" s="191">
        <f t="shared" si="0"/>
        <v>-0.4845360824742268</v>
      </c>
      <c r="S8" s="190"/>
      <c r="T8" s="191"/>
      <c r="U8" s="185"/>
    </row>
    <row r="9" spans="1:21" ht="68.400000000000006" customHeight="1">
      <c r="A9" s="193" t="s">
        <v>955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21" ht="52.8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1" ht="93" customHeight="1">
      <c r="A11" s="193" t="s">
        <v>13</v>
      </c>
      <c r="B11" s="193"/>
      <c r="C11" s="193"/>
      <c r="D11" s="193" t="s">
        <v>14</v>
      </c>
      <c r="E11" s="193"/>
      <c r="F11" s="193"/>
      <c r="G11" s="193"/>
      <c r="H11" s="193"/>
      <c r="I11" s="193" t="s">
        <v>15</v>
      </c>
      <c r="J11" s="193"/>
      <c r="K11" s="193"/>
      <c r="L11" s="193" t="s">
        <v>16</v>
      </c>
      <c r="M11" s="193"/>
      <c r="N11" s="193"/>
      <c r="O11" s="193" t="s">
        <v>17</v>
      </c>
      <c r="P11" s="193"/>
    </row>
  </sheetData>
  <mergeCells count="22">
    <mergeCell ref="A11:C11"/>
    <mergeCell ref="D11:H11"/>
    <mergeCell ref="I11:K11"/>
    <mergeCell ref="L11:N11"/>
    <mergeCell ref="O11:P11"/>
    <mergeCell ref="Q3:Q4"/>
    <mergeCell ref="J3:K3"/>
    <mergeCell ref="L3:L4"/>
    <mergeCell ref="M3:N3"/>
    <mergeCell ref="O3:O4"/>
    <mergeCell ref="P3:P4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P983041:WVP983048 JD5:JD8 SZ5:SZ8 ACV5:ACV8 AMR5:AMR8 AWN5:AWN8 BGJ5:BGJ8 BQF5:BQF8 CAB5:CAB8 CJX5:CJX8 CTT5:CTT8 DDP5:DDP8 DNL5:DNL8 DXH5:DXH8 EHD5:EHD8 EQZ5:EQZ8 FAV5:FAV8 FKR5:FKR8 FUN5:FUN8 GEJ5:GEJ8 GOF5:GOF8 GYB5:GYB8 HHX5:HHX8 HRT5:HRT8 IBP5:IBP8 ILL5:ILL8 IVH5:IVH8 JFD5:JFD8 JOZ5:JOZ8 JYV5:JYV8 KIR5:KIR8 KSN5:KSN8 LCJ5:LCJ8 LMF5:LMF8 LWB5:LWB8 MFX5:MFX8 MPT5:MPT8 MZP5:MZP8 NJL5:NJL8 NTH5:NTH8 ODD5:ODD8 OMZ5:OMZ8 OWV5:OWV8 PGR5:PGR8 PQN5:PQN8 QAJ5:QAJ8 QKF5:QKF8 QUB5:QUB8 RDX5:RDX8 RNT5:RNT8 RXP5:RXP8 SHL5:SHL8 SRH5:SRH8 TBD5:TBD8 TKZ5:TKZ8 TUV5:TUV8 UER5:UER8 UON5:UON8 UYJ5:UYJ8 VIF5:VIF8 VSB5:VSB8 WBX5:WBX8 WLT5:WLT8 WVP5:WVP8 G65537:G65544 JD65537:JD65544 SZ65537:SZ65544 ACV65537:ACV65544 AMR65537:AMR65544 AWN65537:AWN65544 BGJ65537:BGJ65544 BQF65537:BQF65544 CAB65537:CAB65544 CJX65537:CJX65544 CTT65537:CTT65544 DDP65537:DDP65544 DNL65537:DNL65544 DXH65537:DXH65544 EHD65537:EHD65544 EQZ65537:EQZ65544 FAV65537:FAV65544 FKR65537:FKR65544 FUN65537:FUN65544 GEJ65537:GEJ65544 GOF65537:GOF65544 GYB65537:GYB65544 HHX65537:HHX65544 HRT65537:HRT65544 IBP65537:IBP65544 ILL65537:ILL65544 IVH65537:IVH65544 JFD65537:JFD65544 JOZ65537:JOZ65544 JYV65537:JYV65544 KIR65537:KIR65544 KSN65537:KSN65544 LCJ65537:LCJ65544 LMF65537:LMF65544 LWB65537:LWB65544 MFX65537:MFX65544 MPT65537:MPT65544 MZP65537:MZP65544 NJL65537:NJL65544 NTH65537:NTH65544 ODD65537:ODD65544 OMZ65537:OMZ65544 OWV65537:OWV65544 PGR65537:PGR65544 PQN65537:PQN65544 QAJ65537:QAJ65544 QKF65537:QKF65544 QUB65537:QUB65544 RDX65537:RDX65544 RNT65537:RNT65544 RXP65537:RXP65544 SHL65537:SHL65544 SRH65537:SRH65544 TBD65537:TBD65544 TKZ65537:TKZ65544 TUV65537:TUV65544 UER65537:UER65544 UON65537:UON65544 UYJ65537:UYJ65544 VIF65537:VIF65544 VSB65537:VSB65544 WBX65537:WBX65544 WLT65537:WLT65544 WVP65537:WVP65544 G131073:G131080 JD131073:JD131080 SZ131073:SZ131080 ACV131073:ACV131080 AMR131073:AMR131080 AWN131073:AWN131080 BGJ131073:BGJ131080 BQF131073:BQF131080 CAB131073:CAB131080 CJX131073:CJX131080 CTT131073:CTT131080 DDP131073:DDP131080 DNL131073:DNL131080 DXH131073:DXH131080 EHD131073:EHD131080 EQZ131073:EQZ131080 FAV131073:FAV131080 FKR131073:FKR131080 FUN131073:FUN131080 GEJ131073:GEJ131080 GOF131073:GOF131080 GYB131073:GYB131080 HHX131073:HHX131080 HRT131073:HRT131080 IBP131073:IBP131080 ILL131073:ILL131080 IVH131073:IVH131080 JFD131073:JFD131080 JOZ131073:JOZ131080 JYV131073:JYV131080 KIR131073:KIR131080 KSN131073:KSN131080 LCJ131073:LCJ131080 LMF131073:LMF131080 LWB131073:LWB131080 MFX131073:MFX131080 MPT131073:MPT131080 MZP131073:MZP131080 NJL131073:NJL131080 NTH131073:NTH131080 ODD131073:ODD131080 OMZ131073:OMZ131080 OWV131073:OWV131080 PGR131073:PGR131080 PQN131073:PQN131080 QAJ131073:QAJ131080 QKF131073:QKF131080 QUB131073:QUB131080 RDX131073:RDX131080 RNT131073:RNT131080 RXP131073:RXP131080 SHL131073:SHL131080 SRH131073:SRH131080 TBD131073:TBD131080 TKZ131073:TKZ131080 TUV131073:TUV131080 UER131073:UER131080 UON131073:UON131080 UYJ131073:UYJ131080 VIF131073:VIF131080 VSB131073:VSB131080 WBX131073:WBX131080 WLT131073:WLT131080 WVP131073:WVP131080 G196609:G196616 JD196609:JD196616 SZ196609:SZ196616 ACV196609:ACV196616 AMR196609:AMR196616 AWN196609:AWN196616 BGJ196609:BGJ196616 BQF196609:BQF196616 CAB196609:CAB196616 CJX196609:CJX196616 CTT196609:CTT196616 DDP196609:DDP196616 DNL196609:DNL196616 DXH196609:DXH196616 EHD196609:EHD196616 EQZ196609:EQZ196616 FAV196609:FAV196616 FKR196609:FKR196616 FUN196609:FUN196616 GEJ196609:GEJ196616 GOF196609:GOF196616 GYB196609:GYB196616 HHX196609:HHX196616 HRT196609:HRT196616 IBP196609:IBP196616 ILL196609:ILL196616 IVH196609:IVH196616 JFD196609:JFD196616 JOZ196609:JOZ196616 JYV196609:JYV196616 KIR196609:KIR196616 KSN196609:KSN196616 LCJ196609:LCJ196616 LMF196609:LMF196616 LWB196609:LWB196616 MFX196609:MFX196616 MPT196609:MPT196616 MZP196609:MZP196616 NJL196609:NJL196616 NTH196609:NTH196616 ODD196609:ODD196616 OMZ196609:OMZ196616 OWV196609:OWV196616 PGR196609:PGR196616 PQN196609:PQN196616 QAJ196609:QAJ196616 QKF196609:QKF196616 QUB196609:QUB196616 RDX196609:RDX196616 RNT196609:RNT196616 RXP196609:RXP196616 SHL196609:SHL196616 SRH196609:SRH196616 TBD196609:TBD196616 TKZ196609:TKZ196616 TUV196609:TUV196616 UER196609:UER196616 UON196609:UON196616 UYJ196609:UYJ196616 VIF196609:VIF196616 VSB196609:VSB196616 WBX196609:WBX196616 WLT196609:WLT196616 WVP196609:WVP196616 G262145:G262152 JD262145:JD262152 SZ262145:SZ262152 ACV262145:ACV262152 AMR262145:AMR262152 AWN262145:AWN262152 BGJ262145:BGJ262152 BQF262145:BQF262152 CAB262145:CAB262152 CJX262145:CJX262152 CTT262145:CTT262152 DDP262145:DDP262152 DNL262145:DNL262152 DXH262145:DXH262152 EHD262145:EHD262152 EQZ262145:EQZ262152 FAV262145:FAV262152 FKR262145:FKR262152 FUN262145:FUN262152 GEJ262145:GEJ262152 GOF262145:GOF262152 GYB262145:GYB262152 HHX262145:HHX262152 HRT262145:HRT262152 IBP262145:IBP262152 ILL262145:ILL262152 IVH262145:IVH262152 JFD262145:JFD262152 JOZ262145:JOZ262152 JYV262145:JYV262152 KIR262145:KIR262152 KSN262145:KSN262152 LCJ262145:LCJ262152 LMF262145:LMF262152 LWB262145:LWB262152 MFX262145:MFX262152 MPT262145:MPT262152 MZP262145:MZP262152 NJL262145:NJL262152 NTH262145:NTH262152 ODD262145:ODD262152 OMZ262145:OMZ262152 OWV262145:OWV262152 PGR262145:PGR262152 PQN262145:PQN262152 QAJ262145:QAJ262152 QKF262145:QKF262152 QUB262145:QUB262152 RDX262145:RDX262152 RNT262145:RNT262152 RXP262145:RXP262152 SHL262145:SHL262152 SRH262145:SRH262152 TBD262145:TBD262152 TKZ262145:TKZ262152 TUV262145:TUV262152 UER262145:UER262152 UON262145:UON262152 UYJ262145:UYJ262152 VIF262145:VIF262152 VSB262145:VSB262152 WBX262145:WBX262152 WLT262145:WLT262152 WVP262145:WVP262152 G327681:G327688 JD327681:JD327688 SZ327681:SZ327688 ACV327681:ACV327688 AMR327681:AMR327688 AWN327681:AWN327688 BGJ327681:BGJ327688 BQF327681:BQF327688 CAB327681:CAB327688 CJX327681:CJX327688 CTT327681:CTT327688 DDP327681:DDP327688 DNL327681:DNL327688 DXH327681:DXH327688 EHD327681:EHD327688 EQZ327681:EQZ327688 FAV327681:FAV327688 FKR327681:FKR327688 FUN327681:FUN327688 GEJ327681:GEJ327688 GOF327681:GOF327688 GYB327681:GYB327688 HHX327681:HHX327688 HRT327681:HRT327688 IBP327681:IBP327688 ILL327681:ILL327688 IVH327681:IVH327688 JFD327681:JFD327688 JOZ327681:JOZ327688 JYV327681:JYV327688 KIR327681:KIR327688 KSN327681:KSN327688 LCJ327681:LCJ327688 LMF327681:LMF327688 LWB327681:LWB327688 MFX327681:MFX327688 MPT327681:MPT327688 MZP327681:MZP327688 NJL327681:NJL327688 NTH327681:NTH327688 ODD327681:ODD327688 OMZ327681:OMZ327688 OWV327681:OWV327688 PGR327681:PGR327688 PQN327681:PQN327688 QAJ327681:QAJ327688 QKF327681:QKF327688 QUB327681:QUB327688 RDX327681:RDX327688 RNT327681:RNT327688 RXP327681:RXP327688 SHL327681:SHL327688 SRH327681:SRH327688 TBD327681:TBD327688 TKZ327681:TKZ327688 TUV327681:TUV327688 UER327681:UER327688 UON327681:UON327688 UYJ327681:UYJ327688 VIF327681:VIF327688 VSB327681:VSB327688 WBX327681:WBX327688 WLT327681:WLT327688 WVP327681:WVP327688 G393217:G393224 JD393217:JD393224 SZ393217:SZ393224 ACV393217:ACV393224 AMR393217:AMR393224 AWN393217:AWN393224 BGJ393217:BGJ393224 BQF393217:BQF393224 CAB393217:CAB393224 CJX393217:CJX393224 CTT393217:CTT393224 DDP393217:DDP393224 DNL393217:DNL393224 DXH393217:DXH393224 EHD393217:EHD393224 EQZ393217:EQZ393224 FAV393217:FAV393224 FKR393217:FKR393224 FUN393217:FUN393224 GEJ393217:GEJ393224 GOF393217:GOF393224 GYB393217:GYB393224 HHX393217:HHX393224 HRT393217:HRT393224 IBP393217:IBP393224 ILL393217:ILL393224 IVH393217:IVH393224 JFD393217:JFD393224 JOZ393217:JOZ393224 JYV393217:JYV393224 KIR393217:KIR393224 KSN393217:KSN393224 LCJ393217:LCJ393224 LMF393217:LMF393224 LWB393217:LWB393224 MFX393217:MFX393224 MPT393217:MPT393224 MZP393217:MZP393224 NJL393217:NJL393224 NTH393217:NTH393224 ODD393217:ODD393224 OMZ393217:OMZ393224 OWV393217:OWV393224 PGR393217:PGR393224 PQN393217:PQN393224 QAJ393217:QAJ393224 QKF393217:QKF393224 QUB393217:QUB393224 RDX393217:RDX393224 RNT393217:RNT393224 RXP393217:RXP393224 SHL393217:SHL393224 SRH393217:SRH393224 TBD393217:TBD393224 TKZ393217:TKZ393224 TUV393217:TUV393224 UER393217:UER393224 UON393217:UON393224 UYJ393217:UYJ393224 VIF393217:VIF393224 VSB393217:VSB393224 WBX393217:WBX393224 WLT393217:WLT393224 WVP393217:WVP393224 G458753:G458760 JD458753:JD458760 SZ458753:SZ458760 ACV458753:ACV458760 AMR458753:AMR458760 AWN458753:AWN458760 BGJ458753:BGJ458760 BQF458753:BQF458760 CAB458753:CAB458760 CJX458753:CJX458760 CTT458753:CTT458760 DDP458753:DDP458760 DNL458753:DNL458760 DXH458753:DXH458760 EHD458753:EHD458760 EQZ458753:EQZ458760 FAV458753:FAV458760 FKR458753:FKR458760 FUN458753:FUN458760 GEJ458753:GEJ458760 GOF458753:GOF458760 GYB458753:GYB458760 HHX458753:HHX458760 HRT458753:HRT458760 IBP458753:IBP458760 ILL458753:ILL458760 IVH458753:IVH458760 JFD458753:JFD458760 JOZ458753:JOZ458760 JYV458753:JYV458760 KIR458753:KIR458760 KSN458753:KSN458760 LCJ458753:LCJ458760 LMF458753:LMF458760 LWB458753:LWB458760 MFX458753:MFX458760 MPT458753:MPT458760 MZP458753:MZP458760 NJL458753:NJL458760 NTH458753:NTH458760 ODD458753:ODD458760 OMZ458753:OMZ458760 OWV458753:OWV458760 PGR458753:PGR458760 PQN458753:PQN458760 QAJ458753:QAJ458760 QKF458753:QKF458760 QUB458753:QUB458760 RDX458753:RDX458760 RNT458753:RNT458760 RXP458753:RXP458760 SHL458753:SHL458760 SRH458753:SRH458760 TBD458753:TBD458760 TKZ458753:TKZ458760 TUV458753:TUV458760 UER458753:UER458760 UON458753:UON458760 UYJ458753:UYJ458760 VIF458753:VIF458760 VSB458753:VSB458760 WBX458753:WBX458760 WLT458753:WLT458760 WVP458753:WVP458760 G524289:G524296 JD524289:JD524296 SZ524289:SZ524296 ACV524289:ACV524296 AMR524289:AMR524296 AWN524289:AWN524296 BGJ524289:BGJ524296 BQF524289:BQF524296 CAB524289:CAB524296 CJX524289:CJX524296 CTT524289:CTT524296 DDP524289:DDP524296 DNL524289:DNL524296 DXH524289:DXH524296 EHD524289:EHD524296 EQZ524289:EQZ524296 FAV524289:FAV524296 FKR524289:FKR524296 FUN524289:FUN524296 GEJ524289:GEJ524296 GOF524289:GOF524296 GYB524289:GYB524296 HHX524289:HHX524296 HRT524289:HRT524296 IBP524289:IBP524296 ILL524289:ILL524296 IVH524289:IVH524296 JFD524289:JFD524296 JOZ524289:JOZ524296 JYV524289:JYV524296 KIR524289:KIR524296 KSN524289:KSN524296 LCJ524289:LCJ524296 LMF524289:LMF524296 LWB524289:LWB524296 MFX524289:MFX524296 MPT524289:MPT524296 MZP524289:MZP524296 NJL524289:NJL524296 NTH524289:NTH524296 ODD524289:ODD524296 OMZ524289:OMZ524296 OWV524289:OWV524296 PGR524289:PGR524296 PQN524289:PQN524296 QAJ524289:QAJ524296 QKF524289:QKF524296 QUB524289:QUB524296 RDX524289:RDX524296 RNT524289:RNT524296 RXP524289:RXP524296 SHL524289:SHL524296 SRH524289:SRH524296 TBD524289:TBD524296 TKZ524289:TKZ524296 TUV524289:TUV524296 UER524289:UER524296 UON524289:UON524296 UYJ524289:UYJ524296 VIF524289:VIF524296 VSB524289:VSB524296 WBX524289:WBX524296 WLT524289:WLT524296 WVP524289:WVP524296 G589825:G589832 JD589825:JD589832 SZ589825:SZ589832 ACV589825:ACV589832 AMR589825:AMR589832 AWN589825:AWN589832 BGJ589825:BGJ589832 BQF589825:BQF589832 CAB589825:CAB589832 CJX589825:CJX589832 CTT589825:CTT589832 DDP589825:DDP589832 DNL589825:DNL589832 DXH589825:DXH589832 EHD589825:EHD589832 EQZ589825:EQZ589832 FAV589825:FAV589832 FKR589825:FKR589832 FUN589825:FUN589832 GEJ589825:GEJ589832 GOF589825:GOF589832 GYB589825:GYB589832 HHX589825:HHX589832 HRT589825:HRT589832 IBP589825:IBP589832 ILL589825:ILL589832 IVH589825:IVH589832 JFD589825:JFD589832 JOZ589825:JOZ589832 JYV589825:JYV589832 KIR589825:KIR589832 KSN589825:KSN589832 LCJ589825:LCJ589832 LMF589825:LMF589832 LWB589825:LWB589832 MFX589825:MFX589832 MPT589825:MPT589832 MZP589825:MZP589832 NJL589825:NJL589832 NTH589825:NTH589832 ODD589825:ODD589832 OMZ589825:OMZ589832 OWV589825:OWV589832 PGR589825:PGR589832 PQN589825:PQN589832 QAJ589825:QAJ589832 QKF589825:QKF589832 QUB589825:QUB589832 RDX589825:RDX589832 RNT589825:RNT589832 RXP589825:RXP589832 SHL589825:SHL589832 SRH589825:SRH589832 TBD589825:TBD589832 TKZ589825:TKZ589832 TUV589825:TUV589832 UER589825:UER589832 UON589825:UON589832 UYJ589825:UYJ589832 VIF589825:VIF589832 VSB589825:VSB589832 WBX589825:WBX589832 WLT589825:WLT589832 WVP589825:WVP589832 G655361:G655368 JD655361:JD655368 SZ655361:SZ655368 ACV655361:ACV655368 AMR655361:AMR655368 AWN655361:AWN655368 BGJ655361:BGJ655368 BQF655361:BQF655368 CAB655361:CAB655368 CJX655361:CJX655368 CTT655361:CTT655368 DDP655361:DDP655368 DNL655361:DNL655368 DXH655361:DXH655368 EHD655361:EHD655368 EQZ655361:EQZ655368 FAV655361:FAV655368 FKR655361:FKR655368 FUN655361:FUN655368 GEJ655361:GEJ655368 GOF655361:GOF655368 GYB655361:GYB655368 HHX655361:HHX655368 HRT655361:HRT655368 IBP655361:IBP655368 ILL655361:ILL655368 IVH655361:IVH655368 JFD655361:JFD655368 JOZ655361:JOZ655368 JYV655361:JYV655368 KIR655361:KIR655368 KSN655361:KSN655368 LCJ655361:LCJ655368 LMF655361:LMF655368 LWB655361:LWB655368 MFX655361:MFX655368 MPT655361:MPT655368 MZP655361:MZP655368 NJL655361:NJL655368 NTH655361:NTH655368 ODD655361:ODD655368 OMZ655361:OMZ655368 OWV655361:OWV655368 PGR655361:PGR655368 PQN655361:PQN655368 QAJ655361:QAJ655368 QKF655361:QKF655368 QUB655361:QUB655368 RDX655361:RDX655368 RNT655361:RNT655368 RXP655361:RXP655368 SHL655361:SHL655368 SRH655361:SRH655368 TBD655361:TBD655368 TKZ655361:TKZ655368 TUV655361:TUV655368 UER655361:UER655368 UON655361:UON655368 UYJ655361:UYJ655368 VIF655361:VIF655368 VSB655361:VSB655368 WBX655361:WBX655368 WLT655361:WLT655368 WVP655361:WVP655368 G720897:G720904 JD720897:JD720904 SZ720897:SZ720904 ACV720897:ACV720904 AMR720897:AMR720904 AWN720897:AWN720904 BGJ720897:BGJ720904 BQF720897:BQF720904 CAB720897:CAB720904 CJX720897:CJX720904 CTT720897:CTT720904 DDP720897:DDP720904 DNL720897:DNL720904 DXH720897:DXH720904 EHD720897:EHD720904 EQZ720897:EQZ720904 FAV720897:FAV720904 FKR720897:FKR720904 FUN720897:FUN720904 GEJ720897:GEJ720904 GOF720897:GOF720904 GYB720897:GYB720904 HHX720897:HHX720904 HRT720897:HRT720904 IBP720897:IBP720904 ILL720897:ILL720904 IVH720897:IVH720904 JFD720897:JFD720904 JOZ720897:JOZ720904 JYV720897:JYV720904 KIR720897:KIR720904 KSN720897:KSN720904 LCJ720897:LCJ720904 LMF720897:LMF720904 LWB720897:LWB720904 MFX720897:MFX720904 MPT720897:MPT720904 MZP720897:MZP720904 NJL720897:NJL720904 NTH720897:NTH720904 ODD720897:ODD720904 OMZ720897:OMZ720904 OWV720897:OWV720904 PGR720897:PGR720904 PQN720897:PQN720904 QAJ720897:QAJ720904 QKF720897:QKF720904 QUB720897:QUB720904 RDX720897:RDX720904 RNT720897:RNT720904 RXP720897:RXP720904 SHL720897:SHL720904 SRH720897:SRH720904 TBD720897:TBD720904 TKZ720897:TKZ720904 TUV720897:TUV720904 UER720897:UER720904 UON720897:UON720904 UYJ720897:UYJ720904 VIF720897:VIF720904 VSB720897:VSB720904 WBX720897:WBX720904 WLT720897:WLT720904 WVP720897:WVP720904 G786433:G786440 JD786433:JD786440 SZ786433:SZ786440 ACV786433:ACV786440 AMR786433:AMR786440 AWN786433:AWN786440 BGJ786433:BGJ786440 BQF786433:BQF786440 CAB786433:CAB786440 CJX786433:CJX786440 CTT786433:CTT786440 DDP786433:DDP786440 DNL786433:DNL786440 DXH786433:DXH786440 EHD786433:EHD786440 EQZ786433:EQZ786440 FAV786433:FAV786440 FKR786433:FKR786440 FUN786433:FUN786440 GEJ786433:GEJ786440 GOF786433:GOF786440 GYB786433:GYB786440 HHX786433:HHX786440 HRT786433:HRT786440 IBP786433:IBP786440 ILL786433:ILL786440 IVH786433:IVH786440 JFD786433:JFD786440 JOZ786433:JOZ786440 JYV786433:JYV786440 KIR786433:KIR786440 KSN786433:KSN786440 LCJ786433:LCJ786440 LMF786433:LMF786440 LWB786433:LWB786440 MFX786433:MFX786440 MPT786433:MPT786440 MZP786433:MZP786440 NJL786433:NJL786440 NTH786433:NTH786440 ODD786433:ODD786440 OMZ786433:OMZ786440 OWV786433:OWV786440 PGR786433:PGR786440 PQN786433:PQN786440 QAJ786433:QAJ786440 QKF786433:QKF786440 QUB786433:QUB786440 RDX786433:RDX786440 RNT786433:RNT786440 RXP786433:RXP786440 SHL786433:SHL786440 SRH786433:SRH786440 TBD786433:TBD786440 TKZ786433:TKZ786440 TUV786433:TUV786440 UER786433:UER786440 UON786433:UON786440 UYJ786433:UYJ786440 VIF786433:VIF786440 VSB786433:VSB786440 WBX786433:WBX786440 WLT786433:WLT786440 WVP786433:WVP786440 G851969:G851976 JD851969:JD851976 SZ851969:SZ851976 ACV851969:ACV851976 AMR851969:AMR851976 AWN851969:AWN851976 BGJ851969:BGJ851976 BQF851969:BQF851976 CAB851969:CAB851976 CJX851969:CJX851976 CTT851969:CTT851976 DDP851969:DDP851976 DNL851969:DNL851976 DXH851969:DXH851976 EHD851969:EHD851976 EQZ851969:EQZ851976 FAV851969:FAV851976 FKR851969:FKR851976 FUN851969:FUN851976 GEJ851969:GEJ851976 GOF851969:GOF851976 GYB851969:GYB851976 HHX851969:HHX851976 HRT851969:HRT851976 IBP851969:IBP851976 ILL851969:ILL851976 IVH851969:IVH851976 JFD851969:JFD851976 JOZ851969:JOZ851976 JYV851969:JYV851976 KIR851969:KIR851976 KSN851969:KSN851976 LCJ851969:LCJ851976 LMF851969:LMF851976 LWB851969:LWB851976 MFX851969:MFX851976 MPT851969:MPT851976 MZP851969:MZP851976 NJL851969:NJL851976 NTH851969:NTH851976 ODD851969:ODD851976 OMZ851969:OMZ851976 OWV851969:OWV851976 PGR851969:PGR851976 PQN851969:PQN851976 QAJ851969:QAJ851976 QKF851969:QKF851976 QUB851969:QUB851976 RDX851969:RDX851976 RNT851969:RNT851976 RXP851969:RXP851976 SHL851969:SHL851976 SRH851969:SRH851976 TBD851969:TBD851976 TKZ851969:TKZ851976 TUV851969:TUV851976 UER851969:UER851976 UON851969:UON851976 UYJ851969:UYJ851976 VIF851969:VIF851976 VSB851969:VSB851976 WBX851969:WBX851976 WLT851969:WLT851976 WVP851969:WVP851976 G917505:G917512 JD917505:JD917512 SZ917505:SZ917512 ACV917505:ACV917512 AMR917505:AMR917512 AWN917505:AWN917512 BGJ917505:BGJ917512 BQF917505:BQF917512 CAB917505:CAB917512 CJX917505:CJX917512 CTT917505:CTT917512 DDP917505:DDP917512 DNL917505:DNL917512 DXH917505:DXH917512 EHD917505:EHD917512 EQZ917505:EQZ917512 FAV917505:FAV917512 FKR917505:FKR917512 FUN917505:FUN917512 GEJ917505:GEJ917512 GOF917505:GOF917512 GYB917505:GYB917512 HHX917505:HHX917512 HRT917505:HRT917512 IBP917505:IBP917512 ILL917505:ILL917512 IVH917505:IVH917512 JFD917505:JFD917512 JOZ917505:JOZ917512 JYV917505:JYV917512 KIR917505:KIR917512 KSN917505:KSN917512 LCJ917505:LCJ917512 LMF917505:LMF917512 LWB917505:LWB917512 MFX917505:MFX917512 MPT917505:MPT917512 MZP917505:MZP917512 NJL917505:NJL917512 NTH917505:NTH917512 ODD917505:ODD917512 OMZ917505:OMZ917512 OWV917505:OWV917512 PGR917505:PGR917512 PQN917505:PQN917512 QAJ917505:QAJ917512 QKF917505:QKF917512 QUB917505:QUB917512 RDX917505:RDX917512 RNT917505:RNT917512 RXP917505:RXP917512 SHL917505:SHL917512 SRH917505:SRH917512 TBD917505:TBD917512 TKZ917505:TKZ917512 TUV917505:TUV917512 UER917505:UER917512 UON917505:UON917512 UYJ917505:UYJ917512 VIF917505:VIF917512 VSB917505:VSB917512 WBX917505:WBX917512 WLT917505:WLT917512 WVP917505:WVP917512 G983041:G983048 JD983041:JD983048 SZ983041:SZ983048 ACV983041:ACV983048 AMR983041:AMR983048 AWN983041:AWN983048 BGJ983041:BGJ983048 BQF983041:BQF983048 CAB983041:CAB983048 CJX983041:CJX983048 CTT983041:CTT983048 DDP983041:DDP983048 DNL983041:DNL983048 DXH983041:DXH983048 EHD983041:EHD983048 EQZ983041:EQZ983048 FAV983041:FAV983048 FKR983041:FKR983048 FUN983041:FUN983048 GEJ983041:GEJ983048 GOF983041:GOF983048 GYB983041:GYB983048 HHX983041:HHX983048 HRT983041:HRT983048 IBP983041:IBP983048 ILL983041:ILL983048 IVH983041:IVH983048 JFD983041:JFD983048 JOZ983041:JOZ983048 JYV983041:JYV983048 KIR983041:KIR983048 KSN983041:KSN983048 LCJ983041:LCJ983048 LMF983041:LMF983048 LWB983041:LWB983048 MFX983041:MFX983048 MPT983041:MPT983048 MZP983041:MZP983048 NJL983041:NJL983048 NTH983041:NTH983048 ODD983041:ODD983048 OMZ983041:OMZ983048 OWV983041:OWV983048 PGR983041:PGR983048 PQN983041:PQN983048 QAJ983041:QAJ983048 QKF983041:QKF983048 QUB983041:QUB983048 RDX983041:RDX983048 RNT983041:RNT983048 RXP983041:RXP983048 SHL983041:SHL983048 SRH983041:SRH983048 TBD983041:TBD983048 TKZ983041:TKZ983048 TUV983041:TUV983048 UER983041:UER983048 UON983041:UON983048 UYJ983041:UYJ983048 VIF983041:VIF983048 VSB983041:VSB983048 WBX983041:WBX983048 WLT983041:WLT983048" xr:uid="{E4B389A4-0E2A-4E93-A5BF-53564C32EFF7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C4E6-78F1-4767-9C1C-51A30183E399}">
  <sheetPr>
    <pageSetUpPr fitToPage="1"/>
  </sheetPr>
  <dimension ref="A1:U14"/>
  <sheetViews>
    <sheetView tabSelected="1" zoomScale="70" zoomScaleNormal="70" workbookViewId="0">
      <selection activeCell="L14" sqref="L14:N14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9" t="s">
        <v>660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21" ht="27.75" customHeight="1">
      <c r="A2" s="1" t="s">
        <v>661</v>
      </c>
      <c r="M2" s="200" t="s">
        <v>1</v>
      </c>
      <c r="N2" s="200"/>
      <c r="O2" s="200"/>
      <c r="P2" s="200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  <c r="Q3" s="230"/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230"/>
    </row>
    <row r="5" spans="1:21" ht="31.2" customHeight="1">
      <c r="A5" s="6">
        <v>1</v>
      </c>
      <c r="B5" s="183" t="s">
        <v>956</v>
      </c>
      <c r="C5" s="183" t="s">
        <v>957</v>
      </c>
      <c r="D5" s="122" t="s">
        <v>20</v>
      </c>
      <c r="E5" s="162">
        <v>8.3740000000000006</v>
      </c>
      <c r="F5" s="188">
        <v>8.4939999999999998</v>
      </c>
      <c r="G5" s="163">
        <v>0.13</v>
      </c>
      <c r="H5" s="165"/>
      <c r="I5" s="162">
        <v>8.3539999999999992</v>
      </c>
      <c r="J5" s="2"/>
      <c r="K5" s="165"/>
      <c r="L5" s="157">
        <v>0.12</v>
      </c>
      <c r="M5" s="162">
        <v>8.3740000000000006</v>
      </c>
      <c r="N5" s="189">
        <v>8.4939999999999998</v>
      </c>
      <c r="O5" s="166" t="s">
        <v>401</v>
      </c>
      <c r="P5" s="158"/>
      <c r="Q5" s="4"/>
      <c r="R5" s="191"/>
      <c r="S5" s="190"/>
      <c r="T5" s="191"/>
      <c r="U5" s="185"/>
    </row>
    <row r="6" spans="1:21" ht="31.2" customHeight="1">
      <c r="A6" s="6">
        <v>2</v>
      </c>
      <c r="B6" s="183" t="s">
        <v>958</v>
      </c>
      <c r="C6" s="183" t="s">
        <v>959</v>
      </c>
      <c r="D6" s="122" t="s">
        <v>20</v>
      </c>
      <c r="E6" s="162">
        <v>3.4729999999999999</v>
      </c>
      <c r="F6" s="188">
        <v>3.4729999999999999</v>
      </c>
      <c r="G6" s="163">
        <v>0.13</v>
      </c>
      <c r="H6" s="165"/>
      <c r="I6" s="162">
        <v>3.4549999999999996</v>
      </c>
      <c r="J6" s="2"/>
      <c r="K6" s="165"/>
      <c r="L6" s="157">
        <v>0</v>
      </c>
      <c r="M6" s="162">
        <v>3.4729999999999999</v>
      </c>
      <c r="N6" s="189">
        <v>3.4729999999999999</v>
      </c>
      <c r="O6" s="166" t="s">
        <v>401</v>
      </c>
      <c r="P6" s="158"/>
      <c r="Q6" s="4"/>
      <c r="R6" s="191"/>
      <c r="S6" s="190"/>
      <c r="T6" s="191"/>
      <c r="U6" s="185"/>
    </row>
    <row r="7" spans="1:21" ht="31.2" customHeight="1">
      <c r="A7" s="6">
        <v>3</v>
      </c>
      <c r="B7" s="183" t="s">
        <v>960</v>
      </c>
      <c r="C7" s="184" t="s">
        <v>961</v>
      </c>
      <c r="D7" s="122" t="s">
        <v>20</v>
      </c>
      <c r="E7" s="162">
        <v>7.1126000000000005</v>
      </c>
      <c r="F7" s="188">
        <v>7.7745000000000006</v>
      </c>
      <c r="G7" s="163">
        <v>0.13</v>
      </c>
      <c r="H7" s="165"/>
      <c r="I7" s="162">
        <v>7.7245000000000008</v>
      </c>
      <c r="J7" s="2"/>
      <c r="K7" s="165"/>
      <c r="L7" s="157">
        <v>0.66190000000000004</v>
      </c>
      <c r="M7" s="162">
        <v>7.1126000000000005</v>
      </c>
      <c r="N7" s="189">
        <v>7.7745000000000006</v>
      </c>
      <c r="O7" s="166" t="s">
        <v>401</v>
      </c>
      <c r="P7" s="158"/>
      <c r="Q7" s="4"/>
      <c r="R7" s="191"/>
      <c r="S7" s="190"/>
      <c r="T7" s="191"/>
      <c r="U7" s="185"/>
    </row>
    <row r="8" spans="1:21" ht="31.2" customHeight="1">
      <c r="A8" s="6"/>
      <c r="B8" s="183" t="s">
        <v>962</v>
      </c>
      <c r="C8" s="184" t="s">
        <v>963</v>
      </c>
      <c r="D8" s="122" t="s">
        <v>20</v>
      </c>
      <c r="E8" s="162">
        <v>3.6900000000000004</v>
      </c>
      <c r="F8" s="188">
        <v>3.6900000000000004</v>
      </c>
      <c r="G8" s="163">
        <v>0.13</v>
      </c>
      <c r="H8" s="165"/>
      <c r="I8" s="162">
        <v>3.6540000000000004</v>
      </c>
      <c r="J8" s="2"/>
      <c r="K8" s="165"/>
      <c r="L8" s="157">
        <v>0</v>
      </c>
      <c r="M8" s="162">
        <v>3.6900000000000004</v>
      </c>
      <c r="N8" s="189">
        <v>3.6900000000000004</v>
      </c>
      <c r="O8" s="166" t="s">
        <v>401</v>
      </c>
      <c r="P8" s="158"/>
      <c r="Q8" s="4"/>
      <c r="R8" s="191"/>
      <c r="S8" s="190"/>
      <c r="T8" s="191"/>
      <c r="U8" s="185"/>
    </row>
    <row r="9" spans="1:21" ht="31.2" customHeight="1">
      <c r="A9" s="6"/>
      <c r="B9" s="183" t="s">
        <v>964</v>
      </c>
      <c r="C9" s="184" t="s">
        <v>965</v>
      </c>
      <c r="D9" s="122" t="s">
        <v>20</v>
      </c>
      <c r="E9" s="162">
        <v>3.6900000000000004</v>
      </c>
      <c r="F9" s="188">
        <v>3.6900000000000004</v>
      </c>
      <c r="G9" s="163">
        <v>0.13</v>
      </c>
      <c r="H9" s="165"/>
      <c r="I9" s="162">
        <v>3.6540000000000004</v>
      </c>
      <c r="J9" s="2"/>
      <c r="K9" s="165"/>
      <c r="L9" s="157">
        <v>0</v>
      </c>
      <c r="M9" s="162">
        <v>3.6900000000000004</v>
      </c>
      <c r="N9" s="189">
        <v>3.6900000000000004</v>
      </c>
      <c r="O9" s="166" t="s">
        <v>401</v>
      </c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>
        <v>4</v>
      </c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3" t="s">
        <v>966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21" ht="52.8" customHeight="1">
      <c r="A13" s="212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21" ht="93" customHeight="1">
      <c r="A14" s="193" t="s">
        <v>13</v>
      </c>
      <c r="B14" s="193"/>
      <c r="C14" s="193"/>
      <c r="D14" s="193" t="s">
        <v>14</v>
      </c>
      <c r="E14" s="193"/>
      <c r="F14" s="193"/>
      <c r="G14" s="193"/>
      <c r="H14" s="193"/>
      <c r="I14" s="193" t="s">
        <v>15</v>
      </c>
      <c r="J14" s="193"/>
      <c r="K14" s="193"/>
      <c r="L14" s="193" t="s">
        <v>16</v>
      </c>
      <c r="M14" s="193"/>
      <c r="N14" s="193"/>
      <c r="O14" s="193" t="s">
        <v>17</v>
      </c>
      <c r="P14" s="193"/>
    </row>
  </sheetData>
  <mergeCells count="22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P13"/>
    <mergeCell ref="A14:C14"/>
    <mergeCell ref="D14:H14"/>
    <mergeCell ref="I14:K14"/>
    <mergeCell ref="L14:N14"/>
    <mergeCell ref="O14:P1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D8D32AF-3586-4CB9-845E-827DF32AF577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4"/>
  <dimension ref="A1:I26"/>
  <sheetViews>
    <sheetView zoomScale="90" zoomScaleNormal="90" workbookViewId="0">
      <selection activeCell="H5" sqref="H5:H10"/>
    </sheetView>
  </sheetViews>
  <sheetFormatPr defaultRowHeight="13.8"/>
  <cols>
    <col min="2" max="2" width="17" customWidth="1"/>
    <col min="3" max="3" width="35.21875" customWidth="1"/>
    <col min="6" max="6" width="12.77734375" customWidth="1"/>
  </cols>
  <sheetData>
    <row r="1" spans="1:9" ht="30.6" customHeight="1">
      <c r="A1" s="235" t="s">
        <v>787</v>
      </c>
      <c r="B1" s="235" t="s">
        <v>788</v>
      </c>
      <c r="C1" s="235" t="s">
        <v>789</v>
      </c>
      <c r="D1" s="235" t="s">
        <v>790</v>
      </c>
      <c r="E1" s="236" t="s">
        <v>791</v>
      </c>
      <c r="F1" s="231" t="s">
        <v>792</v>
      </c>
      <c r="G1" s="231"/>
      <c r="H1" s="231" t="s">
        <v>793</v>
      </c>
      <c r="I1" s="231"/>
    </row>
    <row r="2" spans="1:9" ht="15.6">
      <c r="A2" s="235"/>
      <c r="B2" s="235"/>
      <c r="C2" s="235"/>
      <c r="D2" s="235"/>
      <c r="E2" s="236"/>
      <c r="F2" s="167" t="s">
        <v>794</v>
      </c>
      <c r="G2" s="167" t="s">
        <v>795</v>
      </c>
      <c r="H2" s="167" t="s">
        <v>794</v>
      </c>
      <c r="I2" s="167" t="s">
        <v>795</v>
      </c>
    </row>
    <row r="3" spans="1:9" ht="15.6">
      <c r="A3" s="232">
        <v>1</v>
      </c>
      <c r="B3" s="168" t="s">
        <v>503</v>
      </c>
      <c r="C3" s="168" t="s">
        <v>796</v>
      </c>
      <c r="D3" s="233" t="s">
        <v>798</v>
      </c>
      <c r="E3" s="231">
        <v>50000</v>
      </c>
      <c r="F3" s="231">
        <v>7.0000000000000007E-2</v>
      </c>
      <c r="G3" s="231">
        <v>7.9100000000000004E-2</v>
      </c>
      <c r="H3" s="231">
        <v>3500</v>
      </c>
      <c r="I3" s="234">
        <v>3955</v>
      </c>
    </row>
    <row r="4" spans="1:9" ht="15.6">
      <c r="A4" s="232"/>
      <c r="B4" s="168" t="s">
        <v>500</v>
      </c>
      <c r="C4" s="168" t="s">
        <v>797</v>
      </c>
      <c r="D4" s="233"/>
      <c r="E4" s="231"/>
      <c r="F4" s="231"/>
      <c r="G4" s="231"/>
      <c r="H4" s="231"/>
      <c r="I4" s="234"/>
    </row>
    <row r="5" spans="1:9" ht="15.6">
      <c r="A5" s="232"/>
      <c r="B5" s="172"/>
      <c r="C5" s="168" t="s">
        <v>799</v>
      </c>
      <c r="D5" s="233"/>
      <c r="E5" s="231"/>
      <c r="F5" s="231">
        <v>0.13</v>
      </c>
      <c r="G5" s="231">
        <v>0.1469</v>
      </c>
      <c r="H5" s="231">
        <v>6500</v>
      </c>
      <c r="I5" s="234">
        <v>7345</v>
      </c>
    </row>
    <row r="6" spans="1:9" ht="15.6">
      <c r="A6" s="232"/>
      <c r="B6" s="172"/>
      <c r="C6" s="168" t="s">
        <v>800</v>
      </c>
      <c r="D6" s="233"/>
      <c r="E6" s="231"/>
      <c r="F6" s="231"/>
      <c r="G6" s="231"/>
      <c r="H6" s="231"/>
      <c r="I6" s="234"/>
    </row>
    <row r="7" spans="1:9" ht="15.6">
      <c r="A7" s="232"/>
      <c r="B7" s="172"/>
      <c r="C7" s="168" t="s">
        <v>801</v>
      </c>
      <c r="D7" s="233"/>
      <c r="E7" s="231"/>
      <c r="F7" s="231">
        <v>0.06</v>
      </c>
      <c r="G7" s="231">
        <v>6.7799999999999999E-2</v>
      </c>
      <c r="H7" s="231">
        <v>3000</v>
      </c>
      <c r="I7" s="234">
        <v>3390</v>
      </c>
    </row>
    <row r="8" spans="1:9" ht="15.6">
      <c r="A8" s="232"/>
      <c r="B8" s="172"/>
      <c r="C8" s="168" t="s">
        <v>802</v>
      </c>
      <c r="D8" s="233"/>
      <c r="E8" s="231"/>
      <c r="F8" s="231"/>
      <c r="G8" s="231"/>
      <c r="H8" s="231"/>
      <c r="I8" s="234"/>
    </row>
    <row r="9" spans="1:9" ht="15.6">
      <c r="A9" s="232"/>
      <c r="B9" s="172"/>
      <c r="C9" s="168" t="s">
        <v>803</v>
      </c>
      <c r="D9" s="233"/>
      <c r="E9" s="231"/>
      <c r="F9" s="231">
        <v>0.12</v>
      </c>
      <c r="G9" s="231">
        <v>0.1356</v>
      </c>
      <c r="H9" s="231">
        <v>6000</v>
      </c>
      <c r="I9" s="234">
        <v>6780</v>
      </c>
    </row>
    <row r="10" spans="1:9" ht="15.6">
      <c r="A10" s="232"/>
      <c r="B10" s="172"/>
      <c r="C10" s="168" t="s">
        <v>804</v>
      </c>
      <c r="D10" s="233"/>
      <c r="E10" s="231"/>
      <c r="F10" s="231"/>
      <c r="G10" s="231"/>
      <c r="H10" s="231"/>
      <c r="I10" s="234"/>
    </row>
    <row r="11" spans="1:9" ht="15.6">
      <c r="A11" s="169"/>
      <c r="B11" s="172"/>
      <c r="C11" s="168"/>
      <c r="D11" s="170"/>
      <c r="E11" s="168"/>
      <c r="F11" s="168">
        <f>SUM(F3:F10)</f>
        <v>0.38</v>
      </c>
      <c r="G11" s="168"/>
      <c r="H11" s="168">
        <f>SUM(H3:H10)</f>
        <v>19000</v>
      </c>
      <c r="I11" s="171"/>
    </row>
    <row r="12" spans="1:9" ht="15.6">
      <c r="A12" s="232">
        <v>2</v>
      </c>
      <c r="B12" s="168" t="s">
        <v>503</v>
      </c>
      <c r="C12" s="168" t="s">
        <v>799</v>
      </c>
      <c r="D12" s="231" t="s">
        <v>798</v>
      </c>
      <c r="E12" s="231">
        <v>50000</v>
      </c>
      <c r="F12" s="231">
        <v>0.13</v>
      </c>
      <c r="G12" s="231">
        <v>0.1469</v>
      </c>
      <c r="H12" s="231">
        <v>6500</v>
      </c>
      <c r="I12" s="234">
        <v>7345</v>
      </c>
    </row>
    <row r="13" spans="1:9" ht="15.6">
      <c r="A13" s="232"/>
      <c r="B13" s="168" t="s">
        <v>502</v>
      </c>
      <c r="C13" s="168" t="s">
        <v>805</v>
      </c>
      <c r="D13" s="231"/>
      <c r="E13" s="231"/>
      <c r="F13" s="231"/>
      <c r="G13" s="231"/>
      <c r="H13" s="231"/>
      <c r="I13" s="234"/>
    </row>
    <row r="14" spans="1:9" ht="15.6">
      <c r="A14" s="232"/>
      <c r="B14" s="172"/>
      <c r="C14" s="168" t="s">
        <v>801</v>
      </c>
      <c r="D14" s="231"/>
      <c r="E14" s="231"/>
      <c r="F14" s="231">
        <v>0.06</v>
      </c>
      <c r="G14" s="231">
        <v>6.7799999999999999E-2</v>
      </c>
      <c r="H14" s="231">
        <v>3000</v>
      </c>
      <c r="I14" s="234">
        <v>3390</v>
      </c>
    </row>
    <row r="15" spans="1:9" ht="15.6">
      <c r="A15" s="232"/>
      <c r="B15" s="172"/>
      <c r="C15" s="168" t="s">
        <v>806</v>
      </c>
      <c r="D15" s="231"/>
      <c r="E15" s="231"/>
      <c r="F15" s="231"/>
      <c r="G15" s="231"/>
      <c r="H15" s="231"/>
      <c r="I15" s="234"/>
    </row>
    <row r="16" spans="1:9" ht="15.6">
      <c r="A16" s="232">
        <v>3</v>
      </c>
      <c r="B16" s="168" t="s">
        <v>503</v>
      </c>
      <c r="C16" s="168" t="s">
        <v>799</v>
      </c>
      <c r="D16" s="231" t="s">
        <v>798</v>
      </c>
      <c r="E16" s="231">
        <v>50000</v>
      </c>
      <c r="F16" s="231">
        <v>7.0000000000000007E-2</v>
      </c>
      <c r="G16" s="231">
        <v>7.9100000000000004E-2</v>
      </c>
      <c r="H16" s="231">
        <v>3500</v>
      </c>
      <c r="I16" s="234">
        <v>3955</v>
      </c>
    </row>
    <row r="17" spans="1:9" ht="15.6">
      <c r="A17" s="232"/>
      <c r="B17" s="168" t="s">
        <v>504</v>
      </c>
      <c r="C17" s="168" t="s">
        <v>807</v>
      </c>
      <c r="D17" s="231"/>
      <c r="E17" s="231"/>
      <c r="F17" s="231"/>
      <c r="G17" s="231"/>
      <c r="H17" s="231"/>
      <c r="I17" s="234"/>
    </row>
    <row r="18" spans="1:9" ht="15.6">
      <c r="A18" s="232"/>
      <c r="B18" s="172"/>
      <c r="C18" s="168" t="s">
        <v>803</v>
      </c>
      <c r="D18" s="231"/>
      <c r="E18" s="231"/>
      <c r="F18" s="231">
        <v>0.06</v>
      </c>
      <c r="G18" s="231">
        <v>6.7799999999999999E-2</v>
      </c>
      <c r="H18" s="231">
        <v>3000</v>
      </c>
      <c r="I18" s="234">
        <v>3390</v>
      </c>
    </row>
    <row r="19" spans="1:9" ht="15.6">
      <c r="A19" s="232"/>
      <c r="B19" s="172"/>
      <c r="C19" s="168" t="s">
        <v>808</v>
      </c>
      <c r="D19" s="231"/>
      <c r="E19" s="231"/>
      <c r="F19" s="231"/>
      <c r="G19" s="231"/>
      <c r="H19" s="231"/>
      <c r="I19" s="234"/>
    </row>
    <row r="20" spans="1:9" ht="15.6">
      <c r="A20" s="232">
        <v>4</v>
      </c>
      <c r="B20" s="168" t="s">
        <v>503</v>
      </c>
      <c r="C20" s="168" t="s">
        <v>803</v>
      </c>
      <c r="D20" s="231" t="s">
        <v>798</v>
      </c>
      <c r="E20" s="231">
        <v>50000</v>
      </c>
      <c r="F20" s="231">
        <v>0.06</v>
      </c>
      <c r="G20" s="231">
        <v>6.7799999999999999E-2</v>
      </c>
      <c r="H20" s="231">
        <v>3000</v>
      </c>
      <c r="I20" s="231">
        <v>3390</v>
      </c>
    </row>
    <row r="21" spans="1:9" ht="15.6">
      <c r="A21" s="232"/>
      <c r="B21" s="168" t="s">
        <v>506</v>
      </c>
      <c r="C21" s="168" t="s">
        <v>809</v>
      </c>
      <c r="D21" s="231"/>
      <c r="E21" s="231"/>
      <c r="F21" s="231"/>
      <c r="G21" s="231"/>
      <c r="H21" s="231"/>
      <c r="I21" s="231"/>
    </row>
    <row r="22" spans="1:9" ht="15.6">
      <c r="A22" s="232">
        <v>5</v>
      </c>
      <c r="B22" s="168" t="s">
        <v>503</v>
      </c>
      <c r="C22" s="168" t="s">
        <v>799</v>
      </c>
      <c r="D22" s="231" t="s">
        <v>798</v>
      </c>
      <c r="E22" s="231">
        <v>50000</v>
      </c>
      <c r="F22" s="231">
        <v>0.1</v>
      </c>
      <c r="G22" s="231">
        <v>0.113</v>
      </c>
      <c r="H22" s="231">
        <v>5000</v>
      </c>
      <c r="I22" s="234">
        <v>5650</v>
      </c>
    </row>
    <row r="23" spans="1:9" ht="15.6">
      <c r="A23" s="232"/>
      <c r="B23" s="168" t="s">
        <v>508</v>
      </c>
      <c r="C23" s="168" t="s">
        <v>810</v>
      </c>
      <c r="D23" s="231"/>
      <c r="E23" s="231"/>
      <c r="F23" s="231"/>
      <c r="G23" s="231"/>
      <c r="H23" s="231"/>
      <c r="I23" s="234"/>
    </row>
    <row r="24" spans="1:9" ht="15.6">
      <c r="A24" s="232"/>
      <c r="B24" s="172"/>
      <c r="C24" s="168" t="s">
        <v>803</v>
      </c>
      <c r="D24" s="231"/>
      <c r="E24" s="231"/>
      <c r="F24" s="231">
        <v>0.09</v>
      </c>
      <c r="G24" s="231">
        <v>0.1017</v>
      </c>
      <c r="H24" s="231">
        <v>4500</v>
      </c>
      <c r="I24" s="234">
        <v>5085</v>
      </c>
    </row>
    <row r="25" spans="1:9" ht="15.6">
      <c r="A25" s="232"/>
      <c r="B25" s="172"/>
      <c r="C25" s="168" t="s">
        <v>811</v>
      </c>
      <c r="D25" s="231"/>
      <c r="E25" s="231"/>
      <c r="F25" s="231"/>
      <c r="G25" s="231"/>
      <c r="H25" s="231"/>
      <c r="I25" s="234"/>
    </row>
    <row r="26" spans="1:9" ht="15.6">
      <c r="A26" s="232" t="s">
        <v>812</v>
      </c>
      <c r="B26" s="232"/>
      <c r="C26" s="232"/>
      <c r="D26" s="232"/>
      <c r="E26" s="232"/>
      <c r="F26" s="232"/>
      <c r="G26" s="232"/>
      <c r="H26" s="168">
        <v>47500</v>
      </c>
      <c r="I26" s="171">
        <v>53675</v>
      </c>
    </row>
  </sheetData>
  <mergeCells count="67">
    <mergeCell ref="H24:H25"/>
    <mergeCell ref="I24:I25"/>
    <mergeCell ref="A26:G26"/>
    <mergeCell ref="I20:I21"/>
    <mergeCell ref="A22:A25"/>
    <mergeCell ref="D22:D25"/>
    <mergeCell ref="E22:E25"/>
    <mergeCell ref="F22:F23"/>
    <mergeCell ref="G22:G23"/>
    <mergeCell ref="H22:H23"/>
    <mergeCell ref="I22:I23"/>
    <mergeCell ref="F24:F25"/>
    <mergeCell ref="G24:G25"/>
    <mergeCell ref="A20:A21"/>
    <mergeCell ref="D20:D21"/>
    <mergeCell ref="E20:E21"/>
    <mergeCell ref="F20:F21"/>
    <mergeCell ref="G20:G21"/>
    <mergeCell ref="H20:H21"/>
    <mergeCell ref="H16:H17"/>
    <mergeCell ref="I16:I17"/>
    <mergeCell ref="F18:F19"/>
    <mergeCell ref="G18:G19"/>
    <mergeCell ref="H18:H19"/>
    <mergeCell ref="I18:I19"/>
    <mergeCell ref="A16:A19"/>
    <mergeCell ref="D16:D19"/>
    <mergeCell ref="E16:E19"/>
    <mergeCell ref="F16:F17"/>
    <mergeCell ref="G16:G17"/>
    <mergeCell ref="F9:F10"/>
    <mergeCell ref="G9:G10"/>
    <mergeCell ref="H9:H10"/>
    <mergeCell ref="I9:I10"/>
    <mergeCell ref="A12:A15"/>
    <mergeCell ref="D12:D15"/>
    <mergeCell ref="E12:E15"/>
    <mergeCell ref="F12:F13"/>
    <mergeCell ref="G12:G13"/>
    <mergeCell ref="H12:H13"/>
    <mergeCell ref="I12:I13"/>
    <mergeCell ref="F14:F15"/>
    <mergeCell ref="G14:G15"/>
    <mergeCell ref="H14:H15"/>
    <mergeCell ref="I14:I15"/>
    <mergeCell ref="H5:H6"/>
    <mergeCell ref="I5:I6"/>
    <mergeCell ref="F7:F8"/>
    <mergeCell ref="G7:G8"/>
    <mergeCell ref="H7:H8"/>
    <mergeCell ref="I7:I8"/>
    <mergeCell ref="H1:I1"/>
    <mergeCell ref="A3:A10"/>
    <mergeCell ref="D3:D10"/>
    <mergeCell ref="E3:E10"/>
    <mergeCell ref="F3:F4"/>
    <mergeCell ref="G3:G4"/>
    <mergeCell ref="H3:H4"/>
    <mergeCell ref="I3:I4"/>
    <mergeCell ref="F5:F6"/>
    <mergeCell ref="G5:G6"/>
    <mergeCell ref="A1:A2"/>
    <mergeCell ref="B1:B2"/>
    <mergeCell ref="C1:C2"/>
    <mergeCell ref="D1:D2"/>
    <mergeCell ref="E1:E2"/>
    <mergeCell ref="F1:G1"/>
  </mergeCells>
  <phoneticPr fontId="3" type="noConversion"/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908E-E128-4992-B1F0-095D619F8BD0}">
  <sheetPr codeName="Sheet65"/>
  <dimension ref="A1:A3"/>
  <sheetViews>
    <sheetView workbookViewId="0">
      <selection activeCell="A8" sqref="A8"/>
    </sheetView>
  </sheetViews>
  <sheetFormatPr defaultRowHeight="13.8"/>
  <cols>
    <col min="1" max="1" width="139" customWidth="1"/>
  </cols>
  <sheetData>
    <row r="1" spans="1:1" ht="142.80000000000001" customHeight="1">
      <c r="A1" s="173" t="s">
        <v>820</v>
      </c>
    </row>
    <row r="2" spans="1:1" ht="74.400000000000006" customHeight="1">
      <c r="A2" s="173" t="s">
        <v>821</v>
      </c>
    </row>
    <row r="3" spans="1:1" ht="27" customHeight="1"/>
  </sheetData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 codeName="Sheet7"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2" ht="27.75" customHeight="1">
      <c r="I2" s="200" t="s">
        <v>1</v>
      </c>
      <c r="J2" s="200"/>
      <c r="K2" s="20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27.75" customHeight="1">
      <c r="A5" s="193" t="s">
        <v>75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</row>
    <row r="6" spans="1:12" ht="79.2" customHeight="1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spans="1:12" ht="93" customHeight="1">
      <c r="A7" s="194" t="s">
        <v>13</v>
      </c>
      <c r="B7" s="195"/>
      <c r="C7" s="196" t="s">
        <v>14</v>
      </c>
      <c r="D7" s="196"/>
      <c r="E7" s="193" t="s">
        <v>15</v>
      </c>
      <c r="F7" s="193"/>
      <c r="G7" s="193"/>
      <c r="H7" s="193" t="s">
        <v>16</v>
      </c>
      <c r="I7" s="193"/>
      <c r="J7" s="193" t="s">
        <v>17</v>
      </c>
      <c r="K7" s="193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sheetPr codeName="Sheet8"/>
  <dimension ref="A1:Q41"/>
  <sheetViews>
    <sheetView view="pageBreakPreview" topLeftCell="A4" zoomScale="70" zoomScaleNormal="80" zoomScaleSheetLayoutView="70" workbookViewId="0">
      <selection activeCell="J4" sqref="J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7" ht="27.75" customHeight="1">
      <c r="M2" s="200" t="s">
        <v>1</v>
      </c>
      <c r="N2" s="200"/>
      <c r="O2" s="200"/>
      <c r="P2" s="200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144</v>
      </c>
      <c r="G3" s="18" t="s">
        <v>151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VLOOKUP(D4,'[1]2021年1-6月'!$B$4:$AA$210,26,0)</f>
        <v>7.2302914538163714</v>
      </c>
      <c r="G4" s="19">
        <f>VLOOKUP(D4,'[1]2021年1-6月'!$B$4:$AE$210,30,0)</f>
        <v>7.2302914538163714</v>
      </c>
      <c r="H4" s="7">
        <v>0.13</v>
      </c>
      <c r="I4" s="24">
        <f>VLOOKUP(D4,'[2]2022年1-6月'!$B$4:$AA$210,26,0)</f>
        <v>6.9601695996957957</v>
      </c>
      <c r="J4" s="20">
        <f>VLOOKUP(D4,'[2]2022年1-6月'!$B$4:$AE$210,30,0)</f>
        <v>6.9601695996957957</v>
      </c>
      <c r="K4" s="23">
        <f t="shared" ref="K4:K38" si="0">F4</f>
        <v>7.2302914538163714</v>
      </c>
      <c r="L4" s="19">
        <f t="shared" ref="L4:L38" si="1">G4</f>
        <v>7.2302914538163714</v>
      </c>
      <c r="M4" s="23">
        <f>K4</f>
        <v>7.2302914538163714</v>
      </c>
      <c r="N4" s="19">
        <f>L4</f>
        <v>7.2302914538163714</v>
      </c>
      <c r="O4" s="16" t="s">
        <v>142</v>
      </c>
      <c r="P4" s="16" t="s">
        <v>152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VLOOKUP(D5,'[1]2021年1-6月'!$B$4:$AA$210,26,0)</f>
        <v>7.2302914538163714</v>
      </c>
      <c r="G5" s="19">
        <f>VLOOKUP(D5,'[1]2021年1-6月'!$B$4:$AE$210,30,0)</f>
        <v>7.2302914538163714</v>
      </c>
      <c r="H5" s="7">
        <v>0.13</v>
      </c>
      <c r="I5" s="24">
        <f>VLOOKUP(D5,'[2]2022年1-6月'!$B$4:$AA$210,26,0)</f>
        <v>6.9601695996957957</v>
      </c>
      <c r="J5" s="20">
        <f>VLOOKUP(D5,'[2]2022年1-6月'!$B$4:$AE$210,30,0)</f>
        <v>6.9601695996957957</v>
      </c>
      <c r="K5" s="23">
        <f t="shared" si="0"/>
        <v>7.2302914538163714</v>
      </c>
      <c r="L5" s="19">
        <f t="shared" si="1"/>
        <v>7.2302914538163714</v>
      </c>
      <c r="M5" s="23">
        <f t="shared" ref="M5:M38" si="2">K5</f>
        <v>7.2302914538163714</v>
      </c>
      <c r="N5" s="19">
        <f t="shared" ref="N5:N38" si="3">L5</f>
        <v>7.2302914538163714</v>
      </c>
      <c r="O5" s="16" t="s">
        <v>142</v>
      </c>
      <c r="P5" s="16" t="s">
        <v>152</v>
      </c>
      <c r="Q5" s="8"/>
    </row>
    <row r="6" spans="1:17" s="39" customFormat="1" ht="62.4" customHeight="1">
      <c r="A6" s="34">
        <v>3</v>
      </c>
      <c r="B6" s="34" t="s">
        <v>80</v>
      </c>
      <c r="C6" s="35" t="s">
        <v>81</v>
      </c>
      <c r="D6" s="35" t="s">
        <v>158</v>
      </c>
      <c r="E6" s="34" t="s">
        <v>20</v>
      </c>
      <c r="F6" s="23">
        <f>VLOOKUP(D6,'[1]2021年1-6月'!$B$4:$AA$210,26,0)</f>
        <v>5.4384137832000006</v>
      </c>
      <c r="G6" s="19">
        <f>VLOOKUP(D6,'[1]2021年1-6月'!$B$4:$AE$210,30,0)</f>
        <v>5.4384137832000006</v>
      </c>
      <c r="H6" s="36">
        <v>0.13</v>
      </c>
      <c r="I6" s="24">
        <f>VLOOKUP(D6,'[2]2022年1-6月'!$B$4:$AA$210,26,0)</f>
        <v>5.3001490260000006</v>
      </c>
      <c r="J6" s="20">
        <f>VLOOKUP(D6,'[2]2022年1-6月'!$B$4:$AE$210,30,0)</f>
        <v>5.3001490260000006</v>
      </c>
      <c r="K6" s="23">
        <f t="shared" si="0"/>
        <v>5.4384137832000006</v>
      </c>
      <c r="L6" s="19">
        <f t="shared" si="1"/>
        <v>5.4384137832000006</v>
      </c>
      <c r="M6" s="23">
        <f t="shared" si="2"/>
        <v>5.4384137832000006</v>
      </c>
      <c r="N6" s="19">
        <f t="shared" si="3"/>
        <v>5.4384137832000006</v>
      </c>
      <c r="O6" s="37" t="s">
        <v>142</v>
      </c>
      <c r="P6" s="37" t="s">
        <v>152</v>
      </c>
      <c r="Q6" s="38"/>
    </row>
    <row r="7" spans="1:17" s="33" customFormat="1" ht="121.2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VLOOKUP(D7,'[1]2021年1-6月'!$B$4:$AA$210,26,0)</f>
        <v>5.7924137832000007</v>
      </c>
      <c r="G7" s="28">
        <f>VLOOKUP(D7,'[1]2021年1-6月'!$B$4:$AE$210,30,0)</f>
        <v>5.7924137832000007</v>
      </c>
      <c r="H7" s="29">
        <v>0.13</v>
      </c>
      <c r="I7" s="30">
        <f>VLOOKUP(D7,'[2]2022年1-6月'!$B$4:$AA$210,26,0)</f>
        <v>5.6451490260000003</v>
      </c>
      <c r="J7" s="30">
        <f>VLOOKUP(D7,'[2]2022年1-6月'!$B$4:$AE$210,30,0)</f>
        <v>5.6451490260000003</v>
      </c>
      <c r="K7" s="28">
        <f t="shared" si="0"/>
        <v>5.7924137832000007</v>
      </c>
      <c r="L7" s="28">
        <f t="shared" si="1"/>
        <v>5.7924137832000007</v>
      </c>
      <c r="M7" s="28">
        <f t="shared" si="2"/>
        <v>5.7924137832000007</v>
      </c>
      <c r="N7" s="28">
        <f t="shared" si="3"/>
        <v>5.7924137832000007</v>
      </c>
      <c r="O7" s="31" t="s">
        <v>142</v>
      </c>
      <c r="P7" s="31" t="s">
        <v>199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159</v>
      </c>
      <c r="E8" s="12" t="s">
        <v>20</v>
      </c>
      <c r="F8" s="23">
        <f>VLOOKUP(D8,'[1]2021年1-6月'!$B$4:$AA$210,26,0)</f>
        <v>5.4006537832000001</v>
      </c>
      <c r="G8" s="19">
        <f>VLOOKUP(D8,'[1]2021年1-6月'!$B$4:$AE$210,30,0)</f>
        <v>5.6606537831999999</v>
      </c>
      <c r="H8" s="7">
        <v>0.13</v>
      </c>
      <c r="I8" s="24">
        <f>VLOOKUP(D8,'[2]2022年1-6月'!$B$4:$AA$210,26,0)</f>
        <v>5.2633490260000002</v>
      </c>
      <c r="J8" s="20">
        <f>VLOOKUP(D8,'[2]2022年1-6月'!$B$4:$AE$210,30,0)</f>
        <v>5.523349026</v>
      </c>
      <c r="K8" s="23">
        <f t="shared" si="0"/>
        <v>5.4006537832000001</v>
      </c>
      <c r="L8" s="19">
        <f t="shared" si="1"/>
        <v>5.6606537831999999</v>
      </c>
      <c r="M8" s="23">
        <f t="shared" si="2"/>
        <v>5.4006537832000001</v>
      </c>
      <c r="N8" s="19">
        <f t="shared" si="3"/>
        <v>5.6606537831999999</v>
      </c>
      <c r="O8" s="16" t="s">
        <v>142</v>
      </c>
      <c r="P8" s="16" t="s">
        <v>152</v>
      </c>
      <c r="Q8" s="8"/>
    </row>
    <row r="9" spans="1:17" s="33" customFormat="1" ht="8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VLOOKUP(D9,'[1]2021年1-6月'!$B$4:$AA$210,26,0)</f>
        <v>6.9832406312999993</v>
      </c>
      <c r="G9" s="28">
        <f>VLOOKUP(D9,'[1]2021年1-6月'!$B$4:$AE$210,30,0)</f>
        <v>7.2932406312999989</v>
      </c>
      <c r="H9" s="29">
        <v>0.13</v>
      </c>
      <c r="I9" s="30">
        <f>VLOOKUP(D9,'[2]2022年1-6月'!$B$4:$AA$210,26,0)</f>
        <v>6.8057006152499993</v>
      </c>
      <c r="J9" s="30">
        <f>VLOOKUP(D9,'[2]2022年1-6月'!$B$4:$AE$210,30,0)</f>
        <v>7.1157006152499989</v>
      </c>
      <c r="K9" s="28">
        <f t="shared" si="0"/>
        <v>6.9832406312999993</v>
      </c>
      <c r="L9" s="28">
        <f t="shared" si="1"/>
        <v>7.2932406312999989</v>
      </c>
      <c r="M9" s="28">
        <f t="shared" si="2"/>
        <v>6.9832406312999993</v>
      </c>
      <c r="N9" s="28">
        <f t="shared" si="3"/>
        <v>7.2932406312999989</v>
      </c>
      <c r="O9" s="31" t="s">
        <v>142</v>
      </c>
      <c r="P9" s="31" t="s">
        <v>233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190</v>
      </c>
      <c r="E10" s="12" t="s">
        <v>20</v>
      </c>
      <c r="F10" s="23">
        <f>VLOOKUP(D10,'[1]2021年1-6月'!$B$4:$AA$210,26,0)</f>
        <v>7.0422406312999994</v>
      </c>
      <c r="G10" s="19">
        <f>VLOOKUP(D10,'[1]2021年1-6月'!$B$4:$AE$210,30,0)</f>
        <v>7.4722406312999992</v>
      </c>
      <c r="H10" s="7">
        <v>0.13</v>
      </c>
      <c r="I10" s="24">
        <f>VLOOKUP(D10,'[2]2022年1-6月'!$B$4:$AA$210,26,0)</f>
        <v>6.8632006152499994</v>
      </c>
      <c r="J10" s="20">
        <f>VLOOKUP(D10,'[2]2022年1-6月'!$B$4:$AE$210,30,0)</f>
        <v>7.2932006152499991</v>
      </c>
      <c r="K10" s="23">
        <f t="shared" si="0"/>
        <v>7.0422406312999994</v>
      </c>
      <c r="L10" s="19">
        <f t="shared" si="1"/>
        <v>7.4722406312999992</v>
      </c>
      <c r="M10" s="23">
        <f t="shared" si="2"/>
        <v>7.0422406312999994</v>
      </c>
      <c r="N10" s="19">
        <f t="shared" si="3"/>
        <v>7.4722406312999992</v>
      </c>
      <c r="O10" s="16" t="s">
        <v>142</v>
      </c>
      <c r="P10" s="16" t="s">
        <v>152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VLOOKUP(D11,'[1]2021年1-6月'!$B$4:$AA$210,26,0)</f>
        <v>0.35465169938053098</v>
      </c>
      <c r="G11" s="19">
        <f>VLOOKUP(D11,'[1]2021年1-6月'!$B$4:$AE$210,30,0)</f>
        <v>0.35465169938053098</v>
      </c>
      <c r="H11" s="7">
        <v>0.13</v>
      </c>
      <c r="I11" s="24">
        <f>VLOOKUP(D11,'[2]2022年1-6月'!$B$4:$AA$210,26,0)</f>
        <v>0.34563513075221236</v>
      </c>
      <c r="J11" s="20">
        <f>VLOOKUP(D11,'[2]2022年1-6月'!$B$4:$AE$210,30,0)</f>
        <v>0.34563513075221236</v>
      </c>
      <c r="K11" s="23">
        <f t="shared" si="0"/>
        <v>0.35465169938053098</v>
      </c>
      <c r="L11" s="19">
        <f t="shared" si="1"/>
        <v>0.35465169938053098</v>
      </c>
      <c r="M11" s="23">
        <f t="shared" si="2"/>
        <v>0.35465169938053098</v>
      </c>
      <c r="N11" s="19">
        <f t="shared" si="3"/>
        <v>0.35465169938053098</v>
      </c>
      <c r="O11" s="16" t="s">
        <v>142</v>
      </c>
      <c r="P11" s="16" t="s">
        <v>152</v>
      </c>
      <c r="Q11" s="8"/>
    </row>
    <row r="12" spans="1:17" ht="62.4" customHeight="1">
      <c r="A12" s="12">
        <v>9</v>
      </c>
      <c r="B12" s="42" t="s">
        <v>88</v>
      </c>
      <c r="C12" s="14" t="s">
        <v>89</v>
      </c>
      <c r="D12" s="14" t="s">
        <v>162</v>
      </c>
      <c r="E12" s="12" t="s">
        <v>20</v>
      </c>
      <c r="F12" s="23">
        <f>VLOOKUP(D12,'[1]2021年1-6月'!$B$4:$AA$210,26,0)</f>
        <v>2.7271892471874999</v>
      </c>
      <c r="G12" s="19">
        <f>VLOOKUP(D12,'[1]2021年1-6月'!$B$4:$AE$210,30,0)</f>
        <v>2.7271892471874999</v>
      </c>
      <c r="H12" s="7">
        <v>0.13</v>
      </c>
      <c r="I12" s="24">
        <f>VLOOKUP(D12,'[2]2022年1-6月'!$B$4:$AA$210,26,0)</f>
        <v>2.6578539273437496</v>
      </c>
      <c r="J12" s="20">
        <f>VLOOKUP(D12,'[2]2022年1-6月'!$B$4:$AE$210,30,0)</f>
        <v>2.6578539273437496</v>
      </c>
      <c r="K12" s="23">
        <f t="shared" si="0"/>
        <v>2.7271892471874999</v>
      </c>
      <c r="L12" s="19">
        <f t="shared" si="1"/>
        <v>2.7271892471874999</v>
      </c>
      <c r="M12" s="23">
        <f t="shared" si="2"/>
        <v>2.7271892471874999</v>
      </c>
      <c r="N12" s="19">
        <f t="shared" si="3"/>
        <v>2.7271892471874999</v>
      </c>
      <c r="O12" s="16" t="s">
        <v>142</v>
      </c>
      <c r="P12" s="16" t="s">
        <v>152</v>
      </c>
      <c r="Q12" s="8"/>
    </row>
    <row r="13" spans="1:17" ht="62.4" customHeight="1">
      <c r="A13" s="12">
        <v>10</v>
      </c>
      <c r="B13" s="42" t="s">
        <v>90</v>
      </c>
      <c r="C13" s="14" t="s">
        <v>91</v>
      </c>
      <c r="D13" s="14" t="s">
        <v>163</v>
      </c>
      <c r="E13" s="12" t="s">
        <v>20</v>
      </c>
      <c r="F13" s="23">
        <f>VLOOKUP(D13,'[1]2021年1-6月'!$B$4:$AA$210,26,0)</f>
        <v>2.7271892471874999</v>
      </c>
      <c r="G13" s="19">
        <f>VLOOKUP(D13,'[1]2021年1-6月'!$B$4:$AE$210,30,0)</f>
        <v>2.7271892471874999</v>
      </c>
      <c r="H13" s="7">
        <v>0.13</v>
      </c>
      <c r="I13" s="24">
        <f>VLOOKUP(D13,'[2]2022年1-6月'!$B$4:$AA$210,26,0)</f>
        <v>2.6578539273437496</v>
      </c>
      <c r="J13" s="20">
        <f>VLOOKUP(D13,'[2]2022年1-6月'!$B$4:$AE$210,30,0)</f>
        <v>2.6578539273437496</v>
      </c>
      <c r="K13" s="23">
        <f t="shared" si="0"/>
        <v>2.7271892471874999</v>
      </c>
      <c r="L13" s="19">
        <f t="shared" si="1"/>
        <v>2.7271892471874999</v>
      </c>
      <c r="M13" s="23">
        <f t="shared" si="2"/>
        <v>2.7271892471874999</v>
      </c>
      <c r="N13" s="19">
        <f t="shared" si="3"/>
        <v>2.7271892471874999</v>
      </c>
      <c r="O13" s="16" t="s">
        <v>142</v>
      </c>
      <c r="P13" s="16" t="s">
        <v>152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VLOOKUP(D14,'[1]2021年1-6月'!$B$4:$AA$210,26,0)</f>
        <v>0.38288512100530975</v>
      </c>
      <c r="G14" s="19">
        <f>VLOOKUP(D14,'[1]2021年1-6月'!$B$4:$AE$210,30,0)</f>
        <v>0.38288512100530975</v>
      </c>
      <c r="H14" s="7">
        <v>0.13</v>
      </c>
      <c r="I14" s="24">
        <f>VLOOKUP(D14,'[2]2022年1-6月'!$B$4:$AA$210,26,0)</f>
        <v>0.3731507535221239</v>
      </c>
      <c r="J14" s="20">
        <f>VLOOKUP(D14,'[2]2022年1-6月'!$B$4:$AE$210,30,0)</f>
        <v>0.3731507535221239</v>
      </c>
      <c r="K14" s="23">
        <f t="shared" si="0"/>
        <v>0.38288512100530975</v>
      </c>
      <c r="L14" s="19">
        <f t="shared" si="1"/>
        <v>0.38288512100530975</v>
      </c>
      <c r="M14" s="23">
        <f t="shared" si="2"/>
        <v>0.38288512100530975</v>
      </c>
      <c r="N14" s="19">
        <f t="shared" si="3"/>
        <v>0.38288512100530975</v>
      </c>
      <c r="O14" s="16" t="s">
        <v>142</v>
      </c>
      <c r="P14" s="16" t="s">
        <v>152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VLOOKUP(D15,'[1]2021年1-6月'!$B$4:$AA$210,26,0)</f>
        <v>1.6096933903799997</v>
      </c>
      <c r="G15" s="28">
        <f>VLOOKUP(D15,'[1]2021年1-6月'!$B$4:$AE$210,30,0)</f>
        <v>2.0656933903799999</v>
      </c>
      <c r="H15" s="29">
        <v>0.13</v>
      </c>
      <c r="I15" s="30">
        <f>VLOOKUP(D15,'[2]2022年1-6月'!$B$4:$AA$210,26,0)</f>
        <v>1.5687689821499997</v>
      </c>
      <c r="J15" s="30">
        <f>VLOOKUP(D15,'[2]2022年1-6月'!$B$4:$AE$210,30,0)</f>
        <v>2.0247689821499999</v>
      </c>
      <c r="K15" s="28">
        <f t="shared" si="0"/>
        <v>1.6096933903799997</v>
      </c>
      <c r="L15" s="28">
        <f t="shared" si="1"/>
        <v>2.0656933903799999</v>
      </c>
      <c r="M15" s="28">
        <f t="shared" si="2"/>
        <v>1.6096933903799997</v>
      </c>
      <c r="N15" s="28">
        <f t="shared" si="3"/>
        <v>2.0656933903799999</v>
      </c>
      <c r="O15" s="31" t="s">
        <v>142</v>
      </c>
      <c r="P15" s="31" t="s">
        <v>196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192</v>
      </c>
      <c r="E16" s="12" t="s">
        <v>20</v>
      </c>
      <c r="F16" s="23">
        <f>VLOOKUP(D16,'[1]2021年1-6月'!$B$4:$AA$210,26,0)</f>
        <v>2.489438200648399</v>
      </c>
      <c r="G16" s="19">
        <f>VLOOKUP(D16,'[1]2021年1-6月'!$B$4:$AE$210,30,0)</f>
        <v>2.489438200648399</v>
      </c>
      <c r="H16" s="7">
        <v>0.13</v>
      </c>
      <c r="I16" s="24">
        <f>VLOOKUP(D16,'[2]2022年1-6月'!$B$4:$AA$210,26,0)</f>
        <v>2.3790843294724993</v>
      </c>
      <c r="J16" s="20">
        <f>VLOOKUP(D16,'[2]2022年1-6月'!$B$4:$AE$210,30,0)</f>
        <v>2.3790843294724993</v>
      </c>
      <c r="K16" s="23">
        <f t="shared" si="0"/>
        <v>2.489438200648399</v>
      </c>
      <c r="L16" s="19">
        <f t="shared" si="1"/>
        <v>2.489438200648399</v>
      </c>
      <c r="M16" s="23">
        <f t="shared" si="2"/>
        <v>2.489438200648399</v>
      </c>
      <c r="N16" s="19">
        <f t="shared" si="3"/>
        <v>2.489438200648399</v>
      </c>
      <c r="O16" s="16" t="s">
        <v>142</v>
      </c>
      <c r="P16" s="16" t="s">
        <v>152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VLOOKUP(D17,'[1]2021年1-6月'!$B$4:$AA$210,26,0)</f>
        <v>6.8906468749999998</v>
      </c>
      <c r="G17" s="19">
        <f>VLOOKUP(D17,'[1]2021年1-6月'!$B$4:$AE$210,30,0)</f>
        <v>7.6206468750000003</v>
      </c>
      <c r="H17" s="7">
        <v>0.13</v>
      </c>
      <c r="I17" s="24">
        <f>VLOOKUP(D17,'[2]2022年1-6月'!$B$4:$AA$210,26,0)</f>
        <v>6.7154609374999996</v>
      </c>
      <c r="J17" s="20">
        <f>VLOOKUP(D17,'[2]2022年1-6月'!$B$4:$AE$210,30,0)</f>
        <v>7.4454609375</v>
      </c>
      <c r="K17" s="23">
        <f t="shared" si="0"/>
        <v>6.8906468749999998</v>
      </c>
      <c r="L17" s="19">
        <f t="shared" si="1"/>
        <v>7.6206468750000003</v>
      </c>
      <c r="M17" s="23">
        <f t="shared" si="2"/>
        <v>6.8906468749999998</v>
      </c>
      <c r="N17" s="19">
        <f t="shared" si="3"/>
        <v>7.6206468750000003</v>
      </c>
      <c r="O17" s="16" t="s">
        <v>142</v>
      </c>
      <c r="P17" s="16" t="s">
        <v>152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VLOOKUP(D18,'[1]2021年1-6月'!$B$4:$AA$210,26,0)</f>
        <v>4.8625892165674998</v>
      </c>
      <c r="G18" s="19">
        <f>VLOOKUP(D18,'[1]2021年1-6月'!$B$4:$AE$210,30,0)</f>
        <v>4.8625892165674998</v>
      </c>
      <c r="H18" s="7">
        <v>0.13</v>
      </c>
      <c r="I18" s="24">
        <f>VLOOKUP(D18,'[2]2022年1-6月'!$B$4:$AA$210,26,0)</f>
        <v>4.7389640669937503</v>
      </c>
      <c r="J18" s="20">
        <f>VLOOKUP(D18,'[2]2022年1-6月'!$B$4:$AE$210,30,0)</f>
        <v>4.7389640669937503</v>
      </c>
      <c r="K18" s="23">
        <f t="shared" si="0"/>
        <v>4.8625892165674998</v>
      </c>
      <c r="L18" s="19">
        <f t="shared" si="1"/>
        <v>4.8625892165674998</v>
      </c>
      <c r="M18" s="23">
        <f t="shared" si="2"/>
        <v>4.8625892165674998</v>
      </c>
      <c r="N18" s="19">
        <f t="shared" si="3"/>
        <v>4.8625892165674998</v>
      </c>
      <c r="O18" s="16" t="s">
        <v>142</v>
      </c>
      <c r="P18" s="16" t="s">
        <v>152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VLOOKUP(D19,'[1]2021年1-6月'!$B$4:$AA$210,26,0)</f>
        <v>4.3182926862875002</v>
      </c>
      <c r="G19" s="19">
        <f>VLOOKUP(D19,'[1]2021年1-6月'!$B$4:$AE$210,30,0)</f>
        <v>4.3182926862875002</v>
      </c>
      <c r="H19" s="7">
        <v>0.13</v>
      </c>
      <c r="I19" s="24">
        <f>VLOOKUP(D19,'[2]2022年1-6月'!$B$4:$AA$210,26,0)</f>
        <v>4.20850558409375</v>
      </c>
      <c r="J19" s="20">
        <f>VLOOKUP(D19,'[2]2022年1-6月'!$B$4:$AE$210,30,0)</f>
        <v>4.20850558409375</v>
      </c>
      <c r="K19" s="23">
        <f t="shared" si="0"/>
        <v>4.3182926862875002</v>
      </c>
      <c r="L19" s="19">
        <f t="shared" si="1"/>
        <v>4.3182926862875002</v>
      </c>
      <c r="M19" s="23">
        <f t="shared" si="2"/>
        <v>4.3182926862875002</v>
      </c>
      <c r="N19" s="19">
        <f t="shared" si="3"/>
        <v>4.3182926862875002</v>
      </c>
      <c r="O19" s="16" t="s">
        <v>142</v>
      </c>
      <c r="P19" s="16" t="s">
        <v>152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VLOOKUP(D20,'[1]2021年1-6月'!$B$4:$AA$210,26,0)</f>
        <v>4.2592926862875</v>
      </c>
      <c r="G20" s="19">
        <f>VLOOKUP(D20,'[1]2021年1-6月'!$B$4:$AE$210,30,0)</f>
        <v>4.2592926862875</v>
      </c>
      <c r="H20" s="7">
        <v>0.13</v>
      </c>
      <c r="I20" s="24">
        <f>VLOOKUP(D20,'[2]2022年1-6月'!$B$4:$AA$210,26,0)</f>
        <v>4.1510055840937499</v>
      </c>
      <c r="J20" s="20">
        <f>VLOOKUP(D20,'[2]2022年1-6月'!$B$4:$AE$210,30,0)</f>
        <v>4.1510055840937499</v>
      </c>
      <c r="K20" s="23">
        <f t="shared" si="0"/>
        <v>4.2592926862875</v>
      </c>
      <c r="L20" s="19">
        <f t="shared" si="1"/>
        <v>4.2592926862875</v>
      </c>
      <c r="M20" s="23">
        <f t="shared" si="2"/>
        <v>4.2592926862875</v>
      </c>
      <c r="N20" s="19">
        <f t="shared" si="3"/>
        <v>4.2592926862875</v>
      </c>
      <c r="O20" s="16" t="s">
        <v>142</v>
      </c>
      <c r="P20" s="16" t="s">
        <v>152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VLOOKUP(D21,'[1]2021年1-6月'!$B$4:$AA$210,26,0)</f>
        <v>4.8625892165674998</v>
      </c>
      <c r="G21" s="19">
        <f>VLOOKUP(D21,'[1]2021年1-6月'!$B$4:$AE$210,30,0)</f>
        <v>4.8625892165674998</v>
      </c>
      <c r="H21" s="7">
        <v>0.13</v>
      </c>
      <c r="I21" s="24">
        <f>VLOOKUP(D21,'[2]2022年1-6月'!$B$4:$AA$210,26,0)</f>
        <v>4.7389640669937503</v>
      </c>
      <c r="J21" s="20">
        <f>VLOOKUP(D21,'[2]2022年1-6月'!$B$4:$AE$210,30,0)</f>
        <v>4.7389640669937503</v>
      </c>
      <c r="K21" s="23">
        <f t="shared" si="0"/>
        <v>4.8625892165674998</v>
      </c>
      <c r="L21" s="19">
        <f t="shared" si="1"/>
        <v>4.8625892165674998</v>
      </c>
      <c r="M21" s="23">
        <f t="shared" si="2"/>
        <v>4.8625892165674998</v>
      </c>
      <c r="N21" s="19">
        <f t="shared" si="3"/>
        <v>4.8625892165674998</v>
      </c>
      <c r="O21" s="16" t="s">
        <v>142</v>
      </c>
      <c r="P21" s="16" t="s">
        <v>152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VLOOKUP(D22,'[1]2021年1-6月'!$B$4:$AA$210,26,0)</f>
        <v>2.4286860189374995</v>
      </c>
      <c r="G22" s="19">
        <f>VLOOKUP(D22,'[1]2021年1-6月'!$B$4:$AE$210,30,0)</f>
        <v>2.4606860189374995</v>
      </c>
      <c r="H22" s="7">
        <v>0.13</v>
      </c>
      <c r="I22" s="24">
        <f>VLOOKUP(D22,'[2]2022年1-6月'!$B$4:$AA$210,26,0)</f>
        <v>2.3669397642187495</v>
      </c>
      <c r="J22" s="20">
        <f>VLOOKUP(D22,'[2]2022年1-6月'!$B$4:$AE$210,30,0)</f>
        <v>2.3989397642187495</v>
      </c>
      <c r="K22" s="23">
        <f t="shared" si="0"/>
        <v>2.4286860189374995</v>
      </c>
      <c r="L22" s="19">
        <f t="shared" si="1"/>
        <v>2.4606860189374995</v>
      </c>
      <c r="M22" s="23">
        <f t="shared" si="2"/>
        <v>2.4286860189374995</v>
      </c>
      <c r="N22" s="19">
        <f t="shared" si="3"/>
        <v>2.4606860189374995</v>
      </c>
      <c r="O22" s="16" t="s">
        <v>142</v>
      </c>
      <c r="P22" s="16" t="s">
        <v>152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VLOOKUP(D23,'[1]2021年1-6月'!$B$4:$AA$210,26,0)</f>
        <v>0.2776687259785714</v>
      </c>
      <c r="G23" s="19">
        <f>VLOOKUP(D23,'[1]2021年1-6月'!$B$4:$AE$210,30,0)</f>
        <v>0.2776687259785714</v>
      </c>
      <c r="H23" s="7">
        <v>0.13</v>
      </c>
      <c r="I23" s="24">
        <f>VLOOKUP(D23,'[2]2022年1-6月'!$B$4:$AA$210,26,0)</f>
        <v>0.27060935158928567</v>
      </c>
      <c r="J23" s="20">
        <f>VLOOKUP(D23,'[2]2022年1-6月'!$B$4:$AE$210,30,0)</f>
        <v>0.27060935158928567</v>
      </c>
      <c r="K23" s="23">
        <f t="shared" si="0"/>
        <v>0.2776687259785714</v>
      </c>
      <c r="L23" s="19">
        <f t="shared" si="1"/>
        <v>0.2776687259785714</v>
      </c>
      <c r="M23" s="23">
        <f t="shared" si="2"/>
        <v>0.2776687259785714</v>
      </c>
      <c r="N23" s="19">
        <f t="shared" si="3"/>
        <v>0.2776687259785714</v>
      </c>
      <c r="O23" s="16" t="s">
        <v>142</v>
      </c>
      <c r="P23" s="16" t="s">
        <v>152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VLOOKUP(D24,'[1]2021年1-6月'!$B$4:$AA$210,26,0)</f>
        <v>3.3049334642857144</v>
      </c>
      <c r="G24" s="19">
        <f>VLOOKUP(D24,'[1]2021年1-6月'!$B$4:$AE$210,30,0)</f>
        <v>3.3049334642857144</v>
      </c>
      <c r="H24" s="7">
        <v>0.13</v>
      </c>
      <c r="I24" s="24">
        <f>VLOOKUP(D24,'[2]2022年1-6月'!$B$4:$AA$210,26,0)</f>
        <v>4.0158376003476617</v>
      </c>
      <c r="J24" s="20">
        <f>VLOOKUP(D24,'[2]2022年1-6月'!$B$4:$AE$210,30,0)</f>
        <v>4.0158376003476617</v>
      </c>
      <c r="K24" s="23">
        <f t="shared" si="0"/>
        <v>3.3049334642857144</v>
      </c>
      <c r="L24" s="19">
        <f t="shared" si="1"/>
        <v>3.3049334642857144</v>
      </c>
      <c r="M24" s="23">
        <f t="shared" si="2"/>
        <v>3.3049334642857144</v>
      </c>
      <c r="N24" s="19">
        <f t="shared" si="3"/>
        <v>3.3049334642857144</v>
      </c>
      <c r="O24" s="16" t="s">
        <v>142</v>
      </c>
      <c r="P24" s="16" t="s">
        <v>152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VLOOKUP(D25,'[1]2021年1-6月'!$B$4:$AA$210,26,0)</f>
        <v>3.3049334642857144</v>
      </c>
      <c r="G25" s="19">
        <f>VLOOKUP(D25,'[1]2021年1-6月'!$B$4:$AE$210,30,0)</f>
        <v>3.3049334642857144</v>
      </c>
      <c r="H25" s="7">
        <v>0.13</v>
      </c>
      <c r="I25" s="24">
        <f>VLOOKUP(D25,'[2]2022年1-6月'!$B$4:$AA$210,26,0)</f>
        <v>4.0158376003476617</v>
      </c>
      <c r="J25" s="20">
        <f>VLOOKUP(D25,'[2]2022年1-6月'!$B$4:$AE$210,30,0)</f>
        <v>4.0158376003476617</v>
      </c>
      <c r="K25" s="23">
        <f t="shared" si="0"/>
        <v>3.3049334642857144</v>
      </c>
      <c r="L25" s="19">
        <f t="shared" si="1"/>
        <v>3.3049334642857144</v>
      </c>
      <c r="M25" s="23">
        <f t="shared" si="2"/>
        <v>3.3049334642857144</v>
      </c>
      <c r="N25" s="19">
        <f t="shared" si="3"/>
        <v>3.3049334642857144</v>
      </c>
      <c r="O25" s="16" t="s">
        <v>142</v>
      </c>
      <c r="P25" s="16" t="s">
        <v>152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VLOOKUP(D26,'[1]2021年1-6月'!$B$4:$AA$210,26,0)</f>
        <v>2.3319867999999997</v>
      </c>
      <c r="G26" s="19">
        <f>VLOOKUP(D26,'[1]2021年1-6月'!$B$4:$AE$210,30,0)</f>
        <v>2.3319867999999997</v>
      </c>
      <c r="H26" s="7">
        <v>0.13</v>
      </c>
      <c r="I26" s="24">
        <f>VLOOKUP(D26,'[2]2022年1-6月'!$B$4:$AA$210,26,0)</f>
        <v>2.9432457221238941</v>
      </c>
      <c r="J26" s="20">
        <f>VLOOKUP(D26,'[2]2022年1-6月'!$B$4:$AE$210,30,0)</f>
        <v>2.9432457221238941</v>
      </c>
      <c r="K26" s="23">
        <f t="shared" si="0"/>
        <v>2.3319867999999997</v>
      </c>
      <c r="L26" s="19">
        <f t="shared" si="1"/>
        <v>2.3319867999999997</v>
      </c>
      <c r="M26" s="23">
        <f t="shared" si="2"/>
        <v>2.3319867999999997</v>
      </c>
      <c r="N26" s="19">
        <f t="shared" si="3"/>
        <v>2.3319867999999997</v>
      </c>
      <c r="O26" s="16" t="s">
        <v>142</v>
      </c>
      <c r="P26" s="16" t="s">
        <v>152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VLOOKUP(D27,'[1]2021年1-6月'!$B$4:$AA$210,26,0)</f>
        <v>2.5557855999999997</v>
      </c>
      <c r="G27" s="19">
        <f>VLOOKUP(D27,'[1]2021年1-6月'!$B$4:$AE$210,30,0)</f>
        <v>2.5557855999999997</v>
      </c>
      <c r="H27" s="7">
        <v>0.13</v>
      </c>
      <c r="I27" s="24">
        <f>VLOOKUP(D27,'[2]2022年1-6月'!$B$4:$AA$210,26,0)</f>
        <v>3.2223135150442479</v>
      </c>
      <c r="J27" s="20">
        <f>VLOOKUP(D27,'[2]2022年1-6月'!$B$4:$AE$210,30,0)</f>
        <v>3.2223135150442479</v>
      </c>
      <c r="K27" s="23">
        <f t="shared" si="0"/>
        <v>2.5557855999999997</v>
      </c>
      <c r="L27" s="19">
        <f t="shared" si="1"/>
        <v>2.5557855999999997</v>
      </c>
      <c r="M27" s="23">
        <f t="shared" si="2"/>
        <v>2.5557855999999997</v>
      </c>
      <c r="N27" s="19">
        <f t="shared" si="3"/>
        <v>2.5557855999999997</v>
      </c>
      <c r="O27" s="16" t="s">
        <v>142</v>
      </c>
      <c r="P27" s="16" t="s">
        <v>152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VLOOKUP(D28,'[1]2021年1-6月'!$B$4:$AA$210,26,0)</f>
        <v>0.38544275200000006</v>
      </c>
      <c r="G28" s="19">
        <f>VLOOKUP(D28,'[1]2021年1-6月'!$B$4:$AE$210,30,0)</f>
        <v>0.38544275200000006</v>
      </c>
      <c r="H28" s="7">
        <v>0.13</v>
      </c>
      <c r="I28" s="24">
        <f>VLOOKUP(D28,'[2]2022年1-6月'!$B$4:$AA$210,26,0)</f>
        <v>0.47112407985840715</v>
      </c>
      <c r="J28" s="20">
        <f>VLOOKUP(D28,'[2]2022年1-6月'!$B$4:$AE$210,30,0)</f>
        <v>0.47112407985840715</v>
      </c>
      <c r="K28" s="23">
        <f t="shared" si="0"/>
        <v>0.38544275200000006</v>
      </c>
      <c r="L28" s="19">
        <f t="shared" si="1"/>
        <v>0.38544275200000006</v>
      </c>
      <c r="M28" s="23">
        <f t="shared" si="2"/>
        <v>0.38544275200000006</v>
      </c>
      <c r="N28" s="19">
        <f t="shared" si="3"/>
        <v>0.38544275200000006</v>
      </c>
      <c r="O28" s="16" t="s">
        <v>142</v>
      </c>
      <c r="P28" s="16" t="s">
        <v>152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VLOOKUP(D29,'[1]2021年1-6月'!$B$4:$AA$210,26,0)</f>
        <v>0.42084275199999999</v>
      </c>
      <c r="G29" s="19">
        <f>VLOOKUP(D29,'[1]2021年1-6月'!$B$4:$AE$210,30,0)</f>
        <v>0.42084275199999999</v>
      </c>
      <c r="H29" s="7">
        <v>0.13</v>
      </c>
      <c r="I29" s="24">
        <f>VLOOKUP(D29,'[2]2022年1-6月'!$B$4:$AA$210,26,0)</f>
        <v>0.50562407985840707</v>
      </c>
      <c r="J29" s="20">
        <f>VLOOKUP(D29,'[2]2022年1-6月'!$B$4:$AE$210,30,0)</f>
        <v>0.50562407985840707</v>
      </c>
      <c r="K29" s="23">
        <f t="shared" si="0"/>
        <v>0.42084275199999999</v>
      </c>
      <c r="L29" s="19">
        <f t="shared" si="1"/>
        <v>0.42084275199999999</v>
      </c>
      <c r="M29" s="23">
        <f t="shared" si="2"/>
        <v>0.42084275199999999</v>
      </c>
      <c r="N29" s="19">
        <f t="shared" si="3"/>
        <v>0.42084275199999999</v>
      </c>
      <c r="O29" s="16" t="s">
        <v>142</v>
      </c>
      <c r="P29" s="16" t="s">
        <v>152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VLOOKUP(D30,'[1]2021年1-6月'!$B$4:$AA$210,26,0)</f>
        <v>2.3697467999999997</v>
      </c>
      <c r="G30" s="19">
        <f>VLOOKUP(D30,'[1]2021年1-6月'!$B$4:$AE$210,30,0)</f>
        <v>2.3697467999999997</v>
      </c>
      <c r="H30" s="7">
        <v>0.13</v>
      </c>
      <c r="I30" s="24">
        <f>VLOOKUP(D30,'[2]2022年1-6月'!$B$4:$AA$210,26,0)</f>
        <v>2.9800457221238941</v>
      </c>
      <c r="J30" s="20">
        <f>VLOOKUP(D30,'[2]2022年1-6月'!$B$4:$AE$210,30,0)</f>
        <v>2.9800457221238941</v>
      </c>
      <c r="K30" s="23">
        <f t="shared" si="0"/>
        <v>2.3697467999999997</v>
      </c>
      <c r="L30" s="19">
        <f t="shared" si="1"/>
        <v>2.3697467999999997</v>
      </c>
      <c r="M30" s="23">
        <f t="shared" si="2"/>
        <v>2.3697467999999997</v>
      </c>
      <c r="N30" s="19">
        <f t="shared" si="3"/>
        <v>2.3697467999999997</v>
      </c>
      <c r="O30" s="16" t="s">
        <v>142</v>
      </c>
      <c r="P30" s="16" t="s">
        <v>152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VLOOKUP(D31,'[1]2021年1-6月'!$B$4:$AA$210,26,0)</f>
        <v>2.3697467999999997</v>
      </c>
      <c r="G31" s="19">
        <f>VLOOKUP(D31,'[1]2021年1-6月'!$B$4:$AE$210,30,0)</f>
        <v>2.3697467999999997</v>
      </c>
      <c r="H31" s="7">
        <v>0.13</v>
      </c>
      <c r="I31" s="24">
        <f>VLOOKUP(D31,'[2]2022年1-6月'!$B$4:$AA$210,26,0)</f>
        <v>2.9800457221238941</v>
      </c>
      <c r="J31" s="20">
        <f>VLOOKUP(D31,'[2]2022年1-6月'!$B$4:$AE$210,30,0)</f>
        <v>2.9800457221238941</v>
      </c>
      <c r="K31" s="23">
        <f t="shared" si="0"/>
        <v>2.3697467999999997</v>
      </c>
      <c r="L31" s="19">
        <f t="shared" si="1"/>
        <v>2.3697467999999997</v>
      </c>
      <c r="M31" s="23">
        <f t="shared" si="2"/>
        <v>2.3697467999999997</v>
      </c>
      <c r="N31" s="19">
        <f t="shared" si="3"/>
        <v>2.3697467999999997</v>
      </c>
      <c r="O31" s="16" t="s">
        <v>142</v>
      </c>
      <c r="P31" s="16" t="s">
        <v>152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VLOOKUP(D32,'[1]2021年1-6月'!$B$4:$AA$210,26,0)</f>
        <v>0.73779204999999992</v>
      </c>
      <c r="G32" s="19">
        <f>VLOOKUP(D32,'[1]2021年1-6月'!$B$4:$AE$210,30,0)</f>
        <v>0.73779204999999992</v>
      </c>
      <c r="H32" s="7">
        <v>0.13</v>
      </c>
      <c r="I32" s="24">
        <f>VLOOKUP(D32,'[2]2022年1-6月'!$B$4:$AA$210,26,0)</f>
        <v>0.71903462499999993</v>
      </c>
      <c r="J32" s="20">
        <f>VLOOKUP(D32,'[2]2022年1-6月'!$B$4:$AE$210,30,0)</f>
        <v>0.71903462499999993</v>
      </c>
      <c r="K32" s="23">
        <f t="shared" si="0"/>
        <v>0.73779204999999992</v>
      </c>
      <c r="L32" s="19">
        <f t="shared" si="1"/>
        <v>0.73779204999999992</v>
      </c>
      <c r="M32" s="23">
        <f t="shared" si="2"/>
        <v>0.73779204999999992</v>
      </c>
      <c r="N32" s="19">
        <f t="shared" si="3"/>
        <v>0.73779204999999992</v>
      </c>
      <c r="O32" s="16" t="s">
        <v>142</v>
      </c>
      <c r="P32" s="16" t="s">
        <v>152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234</v>
      </c>
      <c r="E33" s="12" t="s">
        <v>20</v>
      </c>
      <c r="F33" s="23">
        <f>VLOOKUP(D33,'[1]2021年1-6月'!$B$4:$AA$210,26,0)</f>
        <v>0.35986748510000005</v>
      </c>
      <c r="G33" s="19">
        <f>VLOOKUP(D33,'[1]2021年1-6月'!$B$4:$AE$210,30,0)</f>
        <v>0.35986748510000005</v>
      </c>
      <c r="H33" s="7">
        <v>0.13</v>
      </c>
      <c r="I33" s="24">
        <f>VLOOKUP(D33,'[2]2022年1-6月'!$B$4:$AA$210,26,0)</f>
        <v>0.35071831175000001</v>
      </c>
      <c r="J33" s="20">
        <f>VLOOKUP(D33,'[2]2022年1-6月'!$B$4:$AE$210,30,0)</f>
        <v>0.35071831175000001</v>
      </c>
      <c r="K33" s="23">
        <f t="shared" si="0"/>
        <v>0.35986748510000005</v>
      </c>
      <c r="L33" s="19">
        <f t="shared" si="1"/>
        <v>0.35986748510000005</v>
      </c>
      <c r="M33" s="23">
        <f t="shared" si="2"/>
        <v>0.35986748510000005</v>
      </c>
      <c r="N33" s="19">
        <f t="shared" si="3"/>
        <v>0.35986748510000005</v>
      </c>
      <c r="O33" s="16" t="s">
        <v>142</v>
      </c>
      <c r="P33" s="16" t="s">
        <v>152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VLOOKUP(D34,'[1]2021年1-6月'!$B$4:$AA$210,26,0)</f>
        <v>5.0412236135011064</v>
      </c>
      <c r="G34" s="19">
        <f>VLOOKUP(D34,'[1]2021年1-6月'!$B$4:$AE$210,30,0)</f>
        <v>5.0412236135011064</v>
      </c>
      <c r="H34" s="7">
        <v>0.13</v>
      </c>
      <c r="I34" s="24">
        <f>VLOOKUP(D34,'[2]2022年1-6月'!$B$4:$AA$210,26,0)</f>
        <v>4.9130569114629425</v>
      </c>
      <c r="J34" s="20">
        <f>VLOOKUP(D34,'[2]2022年1-6月'!$B$4:$AE$210,30,0)</f>
        <v>4.9130569114629425</v>
      </c>
      <c r="K34" s="23">
        <f t="shared" si="0"/>
        <v>5.0412236135011064</v>
      </c>
      <c r="L34" s="19">
        <f t="shared" si="1"/>
        <v>5.0412236135011064</v>
      </c>
      <c r="M34" s="23">
        <f t="shared" si="2"/>
        <v>5.0412236135011064</v>
      </c>
      <c r="N34" s="19">
        <f t="shared" si="3"/>
        <v>5.0412236135011064</v>
      </c>
      <c r="O34" s="16" t="s">
        <v>142</v>
      </c>
      <c r="P34" s="16" t="s">
        <v>152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VLOOKUP(D35,'[1]2021年1-6月'!$B$4:$AA$210,26,0)</f>
        <v>5.0412236135011064</v>
      </c>
      <c r="G35" s="19">
        <f>VLOOKUP(D35,'[1]2021年1-6月'!$B$4:$AE$210,30,0)</f>
        <v>5.0412236135011064</v>
      </c>
      <c r="H35" s="7">
        <v>0.13</v>
      </c>
      <c r="I35" s="24">
        <f>VLOOKUP(D35,'[2]2022年1-6月'!$B$4:$AA$210,26,0)</f>
        <v>4.9130569114629425</v>
      </c>
      <c r="J35" s="20">
        <f>VLOOKUP(D35,'[2]2022年1-6月'!$B$4:$AE$210,30,0)</f>
        <v>4.9130569114629425</v>
      </c>
      <c r="K35" s="23">
        <f t="shared" si="0"/>
        <v>5.0412236135011064</v>
      </c>
      <c r="L35" s="19">
        <f t="shared" si="1"/>
        <v>5.0412236135011064</v>
      </c>
      <c r="M35" s="23">
        <f t="shared" si="2"/>
        <v>5.0412236135011064</v>
      </c>
      <c r="N35" s="19">
        <f t="shared" si="3"/>
        <v>5.0412236135011064</v>
      </c>
      <c r="O35" s="16" t="s">
        <v>142</v>
      </c>
      <c r="P35" s="16" t="s">
        <v>152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VLOOKUP(D36,'[1]2021年1-6月'!$B$4:$AA$210,26,0)</f>
        <v>11.975394530202065</v>
      </c>
      <c r="G36" s="19">
        <f>VLOOKUP(D36,'[1]2021年1-6月'!$B$4:$AE$210,30,0)</f>
        <v>11.975394530202065</v>
      </c>
      <c r="H36" s="7">
        <v>0.13</v>
      </c>
      <c r="I36" s="24">
        <f>VLOOKUP(D36,'[2]2022年1-6月'!$B$4:$AA$210,26,0)</f>
        <v>11.670935347230825</v>
      </c>
      <c r="J36" s="20">
        <f>VLOOKUP(D36,'[2]2022年1-6月'!$B$4:$AE$210,30,0)</f>
        <v>11.670935347230825</v>
      </c>
      <c r="K36" s="23">
        <f t="shared" si="0"/>
        <v>11.975394530202065</v>
      </c>
      <c r="L36" s="19">
        <f t="shared" si="1"/>
        <v>11.975394530202065</v>
      </c>
      <c r="M36" s="23">
        <f t="shared" si="2"/>
        <v>11.975394530202065</v>
      </c>
      <c r="N36" s="19">
        <f t="shared" si="3"/>
        <v>11.975394530202065</v>
      </c>
      <c r="O36" s="16" t="s">
        <v>142</v>
      </c>
      <c r="P36" s="16" t="s">
        <v>152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VLOOKUP(D37,'[1]2021年1-6月'!$B$4:$AA$210,26,0)</f>
        <v>12.001826530202067</v>
      </c>
      <c r="G37" s="19">
        <f>VLOOKUP(D37,'[1]2021年1-6月'!$B$4:$AE$210,30,0)</f>
        <v>12.389726530202067</v>
      </c>
      <c r="H37" s="7">
        <v>0.13</v>
      </c>
      <c r="I37" s="24">
        <f>VLOOKUP(D37,'[2]2022年1-6月'!$B$4:$AA$210,26,0)</f>
        <v>11.696695347230827</v>
      </c>
      <c r="J37" s="20">
        <f>VLOOKUP(D37,'[2]2022年1-6月'!$B$4:$AE$210,30,0)</f>
        <v>12.084595347230827</v>
      </c>
      <c r="K37" s="23">
        <f t="shared" si="0"/>
        <v>12.001826530202067</v>
      </c>
      <c r="L37" s="19">
        <f t="shared" si="1"/>
        <v>12.389726530202067</v>
      </c>
      <c r="M37" s="23">
        <f t="shared" si="2"/>
        <v>12.001826530202067</v>
      </c>
      <c r="N37" s="19">
        <f t="shared" si="3"/>
        <v>12.389726530202067</v>
      </c>
      <c r="O37" s="16" t="s">
        <v>142</v>
      </c>
      <c r="P37" s="16" t="s">
        <v>152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VLOOKUP(D38,'[1]2021年1-6月'!$B$4:$AA$210,26,0)</f>
        <v>12.315234530202064</v>
      </c>
      <c r="G38" s="19">
        <f>VLOOKUP(D38,'[1]2021年1-6月'!$B$4:$AE$210,30,0)</f>
        <v>12.703134530202064</v>
      </c>
      <c r="H38" s="7">
        <v>0.13</v>
      </c>
      <c r="I38" s="24">
        <f>VLOOKUP(D38,'[2]2022年1-6月'!$B$4:$AA$210,26,0)</f>
        <v>12.002135347230826</v>
      </c>
      <c r="J38" s="20">
        <f>VLOOKUP(D38,'[2]2022年1-6月'!$B$4:$AE$210,30,0)</f>
        <v>12.390035347230826</v>
      </c>
      <c r="K38" s="23">
        <f t="shared" si="0"/>
        <v>12.315234530202064</v>
      </c>
      <c r="L38" s="19">
        <f t="shared" si="1"/>
        <v>12.703134530202064</v>
      </c>
      <c r="M38" s="23">
        <f t="shared" si="2"/>
        <v>12.315234530202064</v>
      </c>
      <c r="N38" s="19">
        <f t="shared" si="3"/>
        <v>12.703134530202064</v>
      </c>
      <c r="O38" s="16" t="s">
        <v>142</v>
      </c>
      <c r="P38" s="16" t="s">
        <v>152</v>
      </c>
      <c r="Q38" s="8"/>
    </row>
    <row r="39" spans="1:17" ht="27.75" customHeight="1">
      <c r="A39" s="193" t="s">
        <v>143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</row>
    <row r="40" spans="1:17" ht="79.2" customHeight="1">
      <c r="A40" s="193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</row>
    <row r="41" spans="1:17" ht="93" customHeight="1">
      <c r="A41" s="194" t="s">
        <v>13</v>
      </c>
      <c r="B41" s="195"/>
      <c r="C41" s="196" t="s">
        <v>14</v>
      </c>
      <c r="D41" s="196"/>
      <c r="E41" s="196"/>
      <c r="F41" s="193" t="s">
        <v>15</v>
      </c>
      <c r="G41" s="193"/>
      <c r="H41" s="193"/>
      <c r="I41" s="193"/>
      <c r="J41" s="25"/>
      <c r="K41" s="193" t="s">
        <v>16</v>
      </c>
      <c r="L41" s="193"/>
      <c r="M41" s="193"/>
      <c r="N41" s="25"/>
      <c r="O41" s="193" t="s">
        <v>17</v>
      </c>
      <c r="P41" s="193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 codeName="Sheet9">
    <pageSetUpPr fitToPage="1"/>
  </sheetPr>
  <dimension ref="A1:Q41"/>
  <sheetViews>
    <sheetView topLeftCell="A9" zoomScale="80" zoomScaleNormal="80" workbookViewId="0">
      <selection activeCell="B12" sqref="B12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7" ht="27.75" customHeight="1">
      <c r="M2" s="200" t="s">
        <v>1</v>
      </c>
      <c r="N2" s="200"/>
      <c r="O2" s="200"/>
      <c r="P2" s="200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153</v>
      </c>
      <c r="G3" s="18" t="s">
        <v>154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VLOOKUP(D4,'[1]2021年7-12月 (调整后)'!$B$4:$AA$210,26,0)</f>
        <v>7.1864194225663711</v>
      </c>
      <c r="G4" s="19">
        <f>VLOOKUP(D4,'[1]2021年7-12月 (调整后)'!$B$4:$AE$210,30,0)</f>
        <v>7.1864194225663711</v>
      </c>
      <c r="H4" s="7">
        <v>0.13</v>
      </c>
      <c r="I4" s="24">
        <f>VLOOKUP(D4,'[2]2022年7-12月'!$B$4:$AA$210,26,0)</f>
        <v>6.811418896570796</v>
      </c>
      <c r="J4" s="20">
        <f>VLOOKUP(D4,'[2]2022年7-12月'!$B$4:$AE$210,30,0)</f>
        <v>6.811418896570796</v>
      </c>
      <c r="K4" s="23">
        <f>F4</f>
        <v>7.1864194225663711</v>
      </c>
      <c r="L4" s="19">
        <f>G4</f>
        <v>7.1864194225663711</v>
      </c>
      <c r="M4" s="23">
        <f>F4</f>
        <v>7.1864194225663711</v>
      </c>
      <c r="N4" s="19">
        <f>G4</f>
        <v>7.1864194225663711</v>
      </c>
      <c r="O4" s="16" t="s">
        <v>142</v>
      </c>
      <c r="P4" s="16" t="s">
        <v>155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VLOOKUP(D5,'[1]2021年7-12月 (调整后)'!$B$4:$AA$210,26,0)</f>
        <v>7.1864194225663711</v>
      </c>
      <c r="G5" s="19">
        <f>VLOOKUP(D5,'[1]2021年7-12月 (调整后)'!$B$4:$AE$210,30,0)</f>
        <v>7.1864194225663711</v>
      </c>
      <c r="H5" s="7">
        <v>0.13</v>
      </c>
      <c r="I5" s="24">
        <f>VLOOKUP(D5,'[2]2022年7-12月'!$B$4:$AA$210,26,0)</f>
        <v>6.811418896570796</v>
      </c>
      <c r="J5" s="20">
        <f>VLOOKUP(D5,'[2]2022年7-12月'!$B$4:$AE$210,30,0)</f>
        <v>6.811418896570796</v>
      </c>
      <c r="K5" s="23">
        <f t="shared" ref="K5:K38" si="0">F5</f>
        <v>7.1864194225663711</v>
      </c>
      <c r="L5" s="19">
        <f t="shared" ref="L5:L38" si="1">G5</f>
        <v>7.1864194225663711</v>
      </c>
      <c r="M5" s="23">
        <f t="shared" ref="M5:M38" si="2">F5</f>
        <v>7.1864194225663711</v>
      </c>
      <c r="N5" s="19">
        <f t="shared" ref="N5:N38" si="3">G5</f>
        <v>7.1864194225663711</v>
      </c>
      <c r="O5" s="16" t="s">
        <v>142</v>
      </c>
      <c r="P5" s="16" t="s">
        <v>155</v>
      </c>
      <c r="Q5" s="8"/>
    </row>
    <row r="6" spans="1:17" ht="62.4" customHeight="1">
      <c r="A6" s="12">
        <v>3</v>
      </c>
      <c r="B6" s="12" t="s">
        <v>80</v>
      </c>
      <c r="C6" s="14" t="s">
        <v>81</v>
      </c>
      <c r="D6" s="14" t="s">
        <v>194</v>
      </c>
      <c r="E6" s="12" t="s">
        <v>20</v>
      </c>
      <c r="F6" s="23">
        <f>VLOOKUP(D6,'[1]2021年7-12月 (调整后)'!$B$4:$AA$210,26,0)</f>
        <v>5.3799975056000005</v>
      </c>
      <c r="G6" s="19">
        <f>VLOOKUP(D6,'[1]2021年7-12月 (调整后)'!$B$4:$AE$210,30,0)</f>
        <v>5.3799975056000005</v>
      </c>
      <c r="H6" s="7">
        <v>0.13</v>
      </c>
      <c r="I6" s="24">
        <f>VLOOKUP(D6,'[2]2022年7-12月'!$B$4:$AA$210,26,0)</f>
        <v>5.1618043480000004</v>
      </c>
      <c r="J6" s="20">
        <f>VLOOKUP(D6,'[2]2022年7-12月'!$B$4:$AE$210,30,0)</f>
        <v>5.1618043480000004</v>
      </c>
      <c r="K6" s="23">
        <f t="shared" si="0"/>
        <v>5.3799975056000005</v>
      </c>
      <c r="L6" s="19">
        <f t="shared" si="1"/>
        <v>5.3799975056000005</v>
      </c>
      <c r="M6" s="23">
        <f t="shared" si="2"/>
        <v>5.3799975056000005</v>
      </c>
      <c r="N6" s="19">
        <f t="shared" si="3"/>
        <v>5.3799975056000005</v>
      </c>
      <c r="O6" s="16" t="s">
        <v>142</v>
      </c>
      <c r="P6" s="16" t="s">
        <v>155</v>
      </c>
      <c r="Q6" s="8"/>
    </row>
    <row r="7" spans="1:17" s="33" customFormat="1" ht="93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VLOOKUP(D7,'[1]2021年7-12月 (调整后)'!$B$4:$AA$210,26,0)</f>
        <v>5.7339975056000005</v>
      </c>
      <c r="G7" s="28">
        <f>VLOOKUP(D7,'[1]2021年7-12月 (调整后)'!$B$4:$AE$210,30,0)</f>
        <v>5.7339975056000005</v>
      </c>
      <c r="H7" s="29">
        <v>0.13</v>
      </c>
      <c r="I7" s="30">
        <f>VLOOKUP(D7,'[2]2022年7-12月'!$B$4:$AA$210,26,0)</f>
        <v>5.5068043480000002</v>
      </c>
      <c r="J7" s="30">
        <f>VLOOKUP(D7,'[2]2022年7-12月'!$B$4:$AE$210,30,0)</f>
        <v>5.5068043480000002</v>
      </c>
      <c r="K7" s="28">
        <f t="shared" si="0"/>
        <v>5.7339975056000005</v>
      </c>
      <c r="L7" s="28">
        <f t="shared" si="1"/>
        <v>5.7339975056000005</v>
      </c>
      <c r="M7" s="28">
        <f t="shared" si="2"/>
        <v>5.7339975056000005</v>
      </c>
      <c r="N7" s="28">
        <f t="shared" si="3"/>
        <v>5.7339975056000005</v>
      </c>
      <c r="O7" s="31" t="s">
        <v>142</v>
      </c>
      <c r="P7" s="31" t="s">
        <v>195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193</v>
      </c>
      <c r="E8" s="12" t="s">
        <v>20</v>
      </c>
      <c r="F8" s="23">
        <f>VLOOKUP(D8,'[1]2021年7-12月 (调整后)'!$B$4:$AA$210,26,0)</f>
        <v>5.3469575056000007</v>
      </c>
      <c r="G8" s="19">
        <f>VLOOKUP(D8,'[1]2021年7-12月 (调整后)'!$B$4:$AE$210,30,0)</f>
        <v>5.6069575056000005</v>
      </c>
      <c r="H8" s="7">
        <v>0.13</v>
      </c>
      <c r="I8" s="24">
        <f>VLOOKUP(D8,'[2]2022年7-12月'!$B$4:$AA$210,26,0)</f>
        <v>5.127304348</v>
      </c>
      <c r="J8" s="20">
        <f>VLOOKUP(D8,'[2]2022年7-12月'!$B$4:$AE$210,30,0)</f>
        <v>5.3873043479999998</v>
      </c>
      <c r="K8" s="23">
        <f t="shared" si="0"/>
        <v>5.3469575056000007</v>
      </c>
      <c r="L8" s="19">
        <f t="shared" si="1"/>
        <v>5.6069575056000005</v>
      </c>
      <c r="M8" s="23">
        <f t="shared" si="2"/>
        <v>5.3469575056000007</v>
      </c>
      <c r="N8" s="19">
        <f t="shared" si="3"/>
        <v>5.6069575056000005</v>
      </c>
      <c r="O8" s="16" t="s">
        <v>142</v>
      </c>
      <c r="P8" s="16" t="s">
        <v>155</v>
      </c>
      <c r="Q8" s="8"/>
    </row>
    <row r="9" spans="1:17" s="33" customFormat="1" ht="62.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VLOOKUP(D9,'[1]2021年7-12月 (调整后)'!$B$4:$AA$210,26,0)</f>
        <v>6.8095853353999996</v>
      </c>
      <c r="G9" s="28">
        <f>VLOOKUP(D9,'[1]2021年7-12月 (调整后)'!$B$4:$AE$210,30,0)</f>
        <v>7.1195853353999992</v>
      </c>
      <c r="H9" s="29">
        <v>0.13</v>
      </c>
      <c r="I9" s="30">
        <f>VLOOKUP(D9,'[2]2022年7-12月'!$B$4:$AA$210,26,0)</f>
        <v>6.5916653694999994</v>
      </c>
      <c r="J9" s="30">
        <f>VLOOKUP(D9,'[2]2022年7-12月'!$B$4:$AE$210,30,0)</f>
        <v>6.901665369499999</v>
      </c>
      <c r="K9" s="28">
        <f t="shared" si="0"/>
        <v>6.8095853353999996</v>
      </c>
      <c r="L9" s="28">
        <f t="shared" si="1"/>
        <v>7.1195853353999992</v>
      </c>
      <c r="M9" s="28">
        <f t="shared" si="2"/>
        <v>6.8095853353999996</v>
      </c>
      <c r="N9" s="28">
        <f t="shared" si="3"/>
        <v>7.1195853353999992</v>
      </c>
      <c r="O9" s="31" t="s">
        <v>142</v>
      </c>
      <c r="P9" s="31" t="s">
        <v>197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189</v>
      </c>
      <c r="E10" s="12" t="s">
        <v>20</v>
      </c>
      <c r="F10" s="23">
        <f>VLOOKUP(D10,'[1]2021年7-12月 (调整后)'!$B$4:$AA$210,26,0)</f>
        <v>6.8685853353999988</v>
      </c>
      <c r="G10" s="19">
        <f>VLOOKUP(D10,'[1]2021年7-12月 (调整后)'!$B$4:$AE$210,30,0)</f>
        <v>7.2985853353999985</v>
      </c>
      <c r="H10" s="7">
        <v>0.13</v>
      </c>
      <c r="I10" s="24">
        <f>VLOOKUP(D10,'[2]2022年7-12月'!$B$4:$AA$210,26,0)</f>
        <v>6.6491653694999995</v>
      </c>
      <c r="J10" s="20">
        <f>VLOOKUP(D10,'[2]2022年7-12月'!$B$4:$AE$210,30,0)</f>
        <v>7.0791653694999992</v>
      </c>
      <c r="K10" s="23">
        <f t="shared" si="0"/>
        <v>6.8685853353999988</v>
      </c>
      <c r="L10" s="19">
        <f t="shared" si="1"/>
        <v>7.2985853353999985</v>
      </c>
      <c r="M10" s="23">
        <f t="shared" si="2"/>
        <v>6.8685853353999988</v>
      </c>
      <c r="N10" s="19">
        <f t="shared" si="3"/>
        <v>7.2985853353999985</v>
      </c>
      <c r="O10" s="16" t="s">
        <v>142</v>
      </c>
      <c r="P10" s="16" t="s">
        <v>155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VLOOKUP(D11,'[1]2021年7-12月 (调整后)'!$B$4:$AA$210,26,0)</f>
        <v>0.36799867938053099</v>
      </c>
      <c r="G11" s="19">
        <f>VLOOKUP(D11,'[1]2021年7-12月 (调整后)'!$B$4:$AE$210,30,0)</f>
        <v>0.36799867938053099</v>
      </c>
      <c r="H11" s="7">
        <v>0.13</v>
      </c>
      <c r="I11" s="24">
        <f>VLOOKUP(D11,'[2]2022年7-12月'!$B$4:$AA$210,26,0)</f>
        <v>0.35213895575221243</v>
      </c>
      <c r="J11" s="20">
        <f>VLOOKUP(D11,'[2]2022年7-12月'!$B$4:$AE$210,30,0)</f>
        <v>0.35213895575221243</v>
      </c>
      <c r="K11" s="23">
        <f t="shared" si="0"/>
        <v>0.36799867938053099</v>
      </c>
      <c r="L11" s="19">
        <f t="shared" si="1"/>
        <v>0.36799867938053099</v>
      </c>
      <c r="M11" s="23">
        <f t="shared" si="2"/>
        <v>0.36799867938053099</v>
      </c>
      <c r="N11" s="19">
        <f t="shared" si="3"/>
        <v>0.36799867938053099</v>
      </c>
      <c r="O11" s="16" t="s">
        <v>142</v>
      </c>
      <c r="P11" s="16" t="s">
        <v>155</v>
      </c>
      <c r="Q11" s="8"/>
    </row>
    <row r="12" spans="1:17" ht="62.4" customHeight="1">
      <c r="A12" s="12">
        <v>9</v>
      </c>
      <c r="B12" s="12" t="s">
        <v>88</v>
      </c>
      <c r="C12" s="14" t="s">
        <v>89</v>
      </c>
      <c r="D12" s="14" t="s">
        <v>162</v>
      </c>
      <c r="E12" s="12" t="s">
        <v>20</v>
      </c>
      <c r="F12" s="23">
        <f>VLOOKUP(D12,'[1]2021年7-12月 (调整后)'!$B$4:$AA$210,26,0)</f>
        <v>2.7226405868749999</v>
      </c>
      <c r="G12" s="19">
        <f>VLOOKUP(D12,'[1]2021年7-12月 (调整后)'!$B$4:$AE$210,30,0)</f>
        <v>2.7226405868749999</v>
      </c>
      <c r="H12" s="7">
        <v>0.13</v>
      </c>
      <c r="I12" s="24">
        <f>VLOOKUP(D12,'[2]2022年7-12月'!$B$4:$AA$210,26,0)</f>
        <v>2.5352687850000004</v>
      </c>
      <c r="J12" s="20">
        <f>VLOOKUP(D12,'[2]2022年7-12月'!$B$4:$AE$210,30,0)</f>
        <v>2.5352687850000004</v>
      </c>
      <c r="K12" s="23">
        <f t="shared" si="0"/>
        <v>2.7226405868749999</v>
      </c>
      <c r="L12" s="19">
        <f t="shared" si="1"/>
        <v>2.7226405868749999</v>
      </c>
      <c r="M12" s="23">
        <f t="shared" si="2"/>
        <v>2.7226405868749999</v>
      </c>
      <c r="N12" s="19">
        <f t="shared" si="3"/>
        <v>2.7226405868749999</v>
      </c>
      <c r="O12" s="16" t="s">
        <v>142</v>
      </c>
      <c r="P12" s="16" t="s">
        <v>155</v>
      </c>
      <c r="Q12" s="8"/>
    </row>
    <row r="13" spans="1:17" ht="62.4" customHeight="1">
      <c r="A13" s="12">
        <v>10</v>
      </c>
      <c r="B13" s="12" t="s">
        <v>90</v>
      </c>
      <c r="C13" s="14" t="s">
        <v>91</v>
      </c>
      <c r="D13" s="14" t="s">
        <v>163</v>
      </c>
      <c r="E13" s="12" t="s">
        <v>20</v>
      </c>
      <c r="F13" s="23">
        <f>VLOOKUP(D13,'[1]2021年7-12月 (调整后)'!$B$4:$AA$210,26,0)</f>
        <v>2.7226405868749999</v>
      </c>
      <c r="G13" s="19">
        <f>VLOOKUP(D13,'[1]2021年7-12月 (调整后)'!$B$4:$AE$210,30,0)</f>
        <v>2.7226405868749999</v>
      </c>
      <c r="H13" s="7">
        <v>0.13</v>
      </c>
      <c r="I13" s="24">
        <f>VLOOKUP(D13,'[2]2022年7-12月'!$B$4:$AA$210,26,0)</f>
        <v>2.5352687850000004</v>
      </c>
      <c r="J13" s="20">
        <f>VLOOKUP(D13,'[2]2022年7-12月'!$B$4:$AE$210,30,0)</f>
        <v>2.5352687850000004</v>
      </c>
      <c r="K13" s="23">
        <f t="shared" si="0"/>
        <v>2.7226405868749999</v>
      </c>
      <c r="L13" s="19">
        <f t="shared" si="1"/>
        <v>2.7226405868749999</v>
      </c>
      <c r="M13" s="23">
        <f t="shared" si="2"/>
        <v>2.7226405868749999</v>
      </c>
      <c r="N13" s="19">
        <f t="shared" si="3"/>
        <v>2.7226405868749999</v>
      </c>
      <c r="O13" s="16" t="s">
        <v>142</v>
      </c>
      <c r="P13" s="16" t="s">
        <v>155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VLOOKUP(D14,'[1]2021年7-12月 (调整后)'!$B$4:$AA$210,26,0)</f>
        <v>0.38266262020530978</v>
      </c>
      <c r="G14" s="19">
        <f>VLOOKUP(D14,'[1]2021年7-12月 (调整后)'!$B$4:$AE$210,30,0)</f>
        <v>0.38266262020530978</v>
      </c>
      <c r="H14" s="7">
        <v>0.13</v>
      </c>
      <c r="I14" s="24">
        <f>VLOOKUP(D14,'[2]2022年7-12月'!$B$4:$AA$210,26,0)</f>
        <v>0.36985742952212386</v>
      </c>
      <c r="J14" s="20">
        <f>VLOOKUP(D14,'[2]2022年7-12月'!$B$4:$AE$210,30,0)</f>
        <v>0.36985742952212386</v>
      </c>
      <c r="K14" s="23">
        <f t="shared" si="0"/>
        <v>0.38266262020530978</v>
      </c>
      <c r="L14" s="19">
        <f t="shared" si="1"/>
        <v>0.38266262020530978</v>
      </c>
      <c r="M14" s="23">
        <f t="shared" si="2"/>
        <v>0.38266262020530978</v>
      </c>
      <c r="N14" s="19">
        <f t="shared" si="3"/>
        <v>0.38266262020530978</v>
      </c>
      <c r="O14" s="16" t="s">
        <v>142</v>
      </c>
      <c r="P14" s="16" t="s">
        <v>155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VLOOKUP(D15,'[1]2021年7-12月 (调整后)'!$B$4:$AA$210,26,0)</f>
        <v>1.5926377140399999</v>
      </c>
      <c r="G15" s="28">
        <f>VLOOKUP(D15,'[1]2021年7-12月 (调整后)'!$B$4:$AE$210,30,0)</f>
        <v>2.0486377140399998</v>
      </c>
      <c r="H15" s="29">
        <v>0.13</v>
      </c>
      <c r="I15" s="30">
        <f>VLOOKUP(D15,'[2]2022年7-12月'!$B$4:$AA$210,26,0)</f>
        <v>1.5302411956999997</v>
      </c>
      <c r="J15" s="30">
        <f>VLOOKUP(D15,'[2]2022年7-12月'!$B$4:$AE$210,30,0)</f>
        <v>1.9862411956999997</v>
      </c>
      <c r="K15" s="28">
        <f t="shared" si="0"/>
        <v>1.5926377140399999</v>
      </c>
      <c r="L15" s="28">
        <f t="shared" si="1"/>
        <v>2.0486377140399998</v>
      </c>
      <c r="M15" s="28">
        <f t="shared" si="2"/>
        <v>1.5926377140399999</v>
      </c>
      <c r="N15" s="28">
        <f t="shared" si="3"/>
        <v>2.0486377140399998</v>
      </c>
      <c r="O15" s="31" t="s">
        <v>142</v>
      </c>
      <c r="P15" s="31" t="s">
        <v>198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191</v>
      </c>
      <c r="E16" s="12" t="s">
        <v>20</v>
      </c>
      <c r="F16" s="23">
        <f>VLOOKUP(D16,'[1]2021年7-12月 (调整后)'!$B$4:$AA$210,26,0)</f>
        <v>2.4693125025671998</v>
      </c>
      <c r="G16" s="19">
        <f>VLOOKUP(D16,'[1]2021年7-12月 (调整后)'!$B$4:$AE$210,30,0)</f>
        <v>2.4693125025671998</v>
      </c>
      <c r="H16" s="7">
        <v>0.13</v>
      </c>
      <c r="I16" s="24">
        <f>VLOOKUP(D16,'[2]2022年7-12月'!$B$4:$AA$210,26,0)</f>
        <v>2.3347773750549994</v>
      </c>
      <c r="J16" s="20">
        <f>VLOOKUP(D16,'[2]2022年7-12月'!$B$4:$AE$210,30,0)</f>
        <v>2.3347773750549994</v>
      </c>
      <c r="K16" s="23">
        <f t="shared" si="0"/>
        <v>2.4693125025671998</v>
      </c>
      <c r="L16" s="19">
        <f t="shared" si="1"/>
        <v>2.4693125025671998</v>
      </c>
      <c r="M16" s="23">
        <f t="shared" si="2"/>
        <v>2.4693125025671998</v>
      </c>
      <c r="N16" s="19">
        <f t="shared" si="3"/>
        <v>2.4693125025671998</v>
      </c>
      <c r="O16" s="16" t="s">
        <v>142</v>
      </c>
      <c r="P16" s="16" t="s">
        <v>155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VLOOKUP(D17,'[1]2021年7-12月 (调整后)'!$B$4:$AA$210,26,0)</f>
        <v>6.7819467500000004</v>
      </c>
      <c r="G17" s="19">
        <f>VLOOKUP(D17,'[1]2021年7-12月 (调整后)'!$B$4:$AE$210,30,0)</f>
        <v>7.5119467499999999</v>
      </c>
      <c r="H17" s="7">
        <v>0.13</v>
      </c>
      <c r="I17" s="24">
        <f>VLOOKUP(D17,'[2]2022年7-12月'!$B$4:$AA$210,26,0)</f>
        <v>6.5321581249999996</v>
      </c>
      <c r="J17" s="20">
        <f>VLOOKUP(D17,'[2]2022年7-12月'!$B$4:$AE$210,30,0)</f>
        <v>7.2621581249999991</v>
      </c>
      <c r="K17" s="23">
        <f t="shared" si="0"/>
        <v>6.7819467500000004</v>
      </c>
      <c r="L17" s="19">
        <f t="shared" si="1"/>
        <v>7.5119467499999999</v>
      </c>
      <c r="M17" s="23">
        <f t="shared" si="2"/>
        <v>6.7819467500000004</v>
      </c>
      <c r="N17" s="19">
        <f t="shared" si="3"/>
        <v>7.5119467499999999</v>
      </c>
      <c r="O17" s="16" t="s">
        <v>142</v>
      </c>
      <c r="P17" s="16" t="s">
        <v>155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VLOOKUP(D18,'[1]2021年7-12月 (调整后)'!$B$4:$AA$210,26,0)</f>
        <v>4.8072181580350009</v>
      </c>
      <c r="G18" s="19">
        <f>VLOOKUP(D18,'[1]2021年7-12月 (调整后)'!$B$4:$AE$210,30,0)</f>
        <v>4.8072181580350009</v>
      </c>
      <c r="H18" s="7">
        <v>0.13</v>
      </c>
      <c r="I18" s="24">
        <f>VLOOKUP(D18,'[2]2022年7-12月'!$B$4:$AA$210,26,0)</f>
        <v>4.6393573996125008</v>
      </c>
      <c r="J18" s="20">
        <f>VLOOKUP(D18,'[2]2022年7-12月'!$B$4:$AE$210,30,0)</f>
        <v>4.6393573996125008</v>
      </c>
      <c r="K18" s="23">
        <f t="shared" si="0"/>
        <v>4.8072181580350009</v>
      </c>
      <c r="L18" s="19">
        <f t="shared" si="1"/>
        <v>4.8072181580350009</v>
      </c>
      <c r="M18" s="23">
        <f t="shared" si="2"/>
        <v>4.8072181580350009</v>
      </c>
      <c r="N18" s="19">
        <f t="shared" si="3"/>
        <v>4.8072181580350009</v>
      </c>
      <c r="O18" s="16" t="s">
        <v>142</v>
      </c>
      <c r="P18" s="16" t="s">
        <v>155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VLOOKUP(D19,'[1]2021年7-12月 (调整后)'!$B$4:$AA$210,26,0)</f>
        <v>4.2665610946749997</v>
      </c>
      <c r="G19" s="19">
        <f>VLOOKUP(D19,'[1]2021年7-12月 (调整后)'!$B$4:$AE$210,30,0)</f>
        <v>4.2665610946749997</v>
      </c>
      <c r="H19" s="7">
        <v>0.13</v>
      </c>
      <c r="I19" s="24">
        <f>VLOOKUP(D19,'[2]2022年7-12月'!$B$4:$AA$210,26,0)</f>
        <v>4.1140506568124993</v>
      </c>
      <c r="J19" s="20">
        <f>VLOOKUP(D19,'[2]2022年7-12月'!$B$4:$AE$210,30,0)</f>
        <v>4.1140506568124993</v>
      </c>
      <c r="K19" s="23">
        <f t="shared" si="0"/>
        <v>4.2665610946749997</v>
      </c>
      <c r="L19" s="19">
        <f t="shared" si="1"/>
        <v>4.2665610946749997</v>
      </c>
      <c r="M19" s="23">
        <f t="shared" si="2"/>
        <v>4.2665610946749997</v>
      </c>
      <c r="N19" s="19">
        <f t="shared" si="3"/>
        <v>4.2665610946749997</v>
      </c>
      <c r="O19" s="16" t="s">
        <v>142</v>
      </c>
      <c r="P19" s="16" t="s">
        <v>155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VLOOKUP(D20,'[1]2021年7-12月 (调整后)'!$B$4:$AA$210,26,0)</f>
        <v>4.2075610946749995</v>
      </c>
      <c r="G20" s="19">
        <f>VLOOKUP(D20,'[1]2021年7-12月 (调整后)'!$B$4:$AE$210,30,0)</f>
        <v>4.2075610946749995</v>
      </c>
      <c r="H20" s="7">
        <v>0.13</v>
      </c>
      <c r="I20" s="24">
        <f>VLOOKUP(D20,'[2]2022年7-12月'!$B$4:$AA$210,26,0)</f>
        <v>4.0565506568124992</v>
      </c>
      <c r="J20" s="20">
        <f>VLOOKUP(D20,'[2]2022年7-12月'!$B$4:$AE$210,30,0)</f>
        <v>4.0565506568124992</v>
      </c>
      <c r="K20" s="23">
        <f t="shared" si="0"/>
        <v>4.2075610946749995</v>
      </c>
      <c r="L20" s="19">
        <f t="shared" si="1"/>
        <v>4.2075610946749995</v>
      </c>
      <c r="M20" s="23">
        <f t="shared" si="2"/>
        <v>4.2075610946749995</v>
      </c>
      <c r="N20" s="19">
        <f t="shared" si="3"/>
        <v>4.2075610946749995</v>
      </c>
      <c r="O20" s="16" t="s">
        <v>142</v>
      </c>
      <c r="P20" s="16" t="s">
        <v>155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VLOOKUP(D21,'[1]2021年7-12月 (调整后)'!$B$4:$AA$210,26,0)</f>
        <v>4.8072181580350009</v>
      </c>
      <c r="G21" s="19">
        <f>VLOOKUP(D21,'[1]2021年7-12月 (调整后)'!$B$4:$AE$210,30,0)</f>
        <v>4.8072181580350009</v>
      </c>
      <c r="H21" s="7">
        <v>0.13</v>
      </c>
      <c r="I21" s="24">
        <f>VLOOKUP(D21,'[2]2022年7-12月'!$B$4:$AA$210,26,0)</f>
        <v>4.6393573996125008</v>
      </c>
      <c r="J21" s="20">
        <f>VLOOKUP(D21,'[2]2022年7-12月'!$B$4:$AE$210,30,0)</f>
        <v>4.6393573996125008</v>
      </c>
      <c r="K21" s="23">
        <f t="shared" si="0"/>
        <v>4.8072181580350009</v>
      </c>
      <c r="L21" s="19">
        <f t="shared" si="1"/>
        <v>4.8072181580350009</v>
      </c>
      <c r="M21" s="23">
        <f t="shared" si="2"/>
        <v>4.8072181580350009</v>
      </c>
      <c r="N21" s="19">
        <f t="shared" si="3"/>
        <v>4.8072181580350009</v>
      </c>
      <c r="O21" s="16" t="s">
        <v>142</v>
      </c>
      <c r="P21" s="16" t="s">
        <v>155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VLOOKUP(D22,'[1]2021年7-12月 (调整后)'!$B$4:$AA$210,26,0)</f>
        <v>2.3997895483750007</v>
      </c>
      <c r="G22" s="19">
        <f>VLOOKUP(D22,'[1]2021年7-12月 (调整后)'!$B$4:$AE$210,30,0)</f>
        <v>2.4317895483750007</v>
      </c>
      <c r="H22" s="7">
        <v>0.13</v>
      </c>
      <c r="I22" s="24">
        <f>VLOOKUP(D22,'[2]2022年7-12月'!$B$4:$AA$210,26,0)</f>
        <v>2.3063945965625003</v>
      </c>
      <c r="J22" s="20">
        <f>VLOOKUP(D22,'[2]2022年7-12月'!$B$4:$AE$210,30,0)</f>
        <v>2.3383945965625004</v>
      </c>
      <c r="K22" s="23">
        <f t="shared" si="0"/>
        <v>2.3997895483750007</v>
      </c>
      <c r="L22" s="19">
        <f t="shared" si="1"/>
        <v>2.4317895483750007</v>
      </c>
      <c r="M22" s="23">
        <f t="shared" si="2"/>
        <v>2.3997895483750007</v>
      </c>
      <c r="N22" s="19">
        <f t="shared" si="3"/>
        <v>2.4317895483750007</v>
      </c>
      <c r="O22" s="16" t="s">
        <v>142</v>
      </c>
      <c r="P22" s="16" t="s">
        <v>155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VLOOKUP(D23,'[1]2021年7-12月 (调整后)'!$B$4:$AA$210,26,0)</f>
        <v>0.27776012245714282</v>
      </c>
      <c r="G23" s="19">
        <f>VLOOKUP(D23,'[1]2021年7-12月 (调整后)'!$B$4:$AE$210,30,0)</f>
        <v>0.27776012245714282</v>
      </c>
      <c r="H23" s="7">
        <v>0.13</v>
      </c>
      <c r="I23" s="24">
        <f>VLOOKUP(D23,'[2]2022年7-12月'!$B$4:$AA$210,26,0)</f>
        <v>0.26602887407142856</v>
      </c>
      <c r="J23" s="20">
        <f>VLOOKUP(D23,'[2]2022年7-12月'!$B$4:$AE$210,30,0)</f>
        <v>0.26602887407142856</v>
      </c>
      <c r="K23" s="23">
        <f t="shared" si="0"/>
        <v>0.27776012245714282</v>
      </c>
      <c r="L23" s="19">
        <f t="shared" si="1"/>
        <v>0.27776012245714282</v>
      </c>
      <c r="M23" s="23">
        <f t="shared" si="2"/>
        <v>0.27776012245714282</v>
      </c>
      <c r="N23" s="19">
        <f t="shared" si="3"/>
        <v>0.27776012245714282</v>
      </c>
      <c r="O23" s="16" t="s">
        <v>142</v>
      </c>
      <c r="P23" s="16" t="s">
        <v>155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VLOOKUP(D24,'[1]2021年7-12月 (调整后)'!$B$4:$AA$210,26,0)</f>
        <v>3.2204907678571431</v>
      </c>
      <c r="G24" s="19">
        <f>VLOOKUP(D24,'[1]2021年7-12月 (调整后)'!$B$4:$AE$210,30,0)</f>
        <v>3.2204907678571431</v>
      </c>
      <c r="H24" s="7">
        <v>0.13</v>
      </c>
      <c r="I24" s="24">
        <f>VLOOKUP(D24,'[2]2022年7-12月'!$B$4:$AA$210,26,0)</f>
        <v>4.0731055467762332</v>
      </c>
      <c r="J24" s="20">
        <f>VLOOKUP(D24,'[2]2022年7-12月'!$B$4:$AE$210,30,0)</f>
        <v>4.0731055467762332</v>
      </c>
      <c r="K24" s="23">
        <f t="shared" si="0"/>
        <v>3.2204907678571431</v>
      </c>
      <c r="L24" s="19">
        <f t="shared" si="1"/>
        <v>3.2204907678571431</v>
      </c>
      <c r="M24" s="23">
        <f t="shared" si="2"/>
        <v>3.2204907678571431</v>
      </c>
      <c r="N24" s="19">
        <f t="shared" si="3"/>
        <v>3.2204907678571431</v>
      </c>
      <c r="O24" s="16" t="s">
        <v>142</v>
      </c>
      <c r="P24" s="16" t="s">
        <v>155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VLOOKUP(D25,'[1]2021年7-12月 (调整后)'!$B$4:$AA$210,26,0)</f>
        <v>3.2204907678571431</v>
      </c>
      <c r="G25" s="19">
        <f>VLOOKUP(D25,'[1]2021年7-12月 (调整后)'!$B$4:$AE$210,30,0)</f>
        <v>3.2204907678571431</v>
      </c>
      <c r="H25" s="7">
        <v>0.13</v>
      </c>
      <c r="I25" s="24">
        <f>VLOOKUP(D25,'[2]2022年7-12月'!$B$4:$AA$210,26,0)</f>
        <v>4.0731055467762332</v>
      </c>
      <c r="J25" s="20">
        <f>VLOOKUP(D25,'[2]2022年7-12月'!$B$4:$AE$210,30,0)</f>
        <v>4.0731055467762332</v>
      </c>
      <c r="K25" s="23">
        <f t="shared" si="0"/>
        <v>3.2204907678571431</v>
      </c>
      <c r="L25" s="19">
        <f t="shared" si="1"/>
        <v>3.2204907678571431</v>
      </c>
      <c r="M25" s="23">
        <f t="shared" si="2"/>
        <v>3.2204907678571431</v>
      </c>
      <c r="N25" s="19">
        <f t="shared" si="3"/>
        <v>3.2204907678571431</v>
      </c>
      <c r="O25" s="16" t="s">
        <v>142</v>
      </c>
      <c r="P25" s="16" t="s">
        <v>155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VLOOKUP(D26,'[1]2021年7-12月 (调整后)'!$B$4:$AA$210,26,0)</f>
        <v>2.3061764239999998</v>
      </c>
      <c r="G26" s="19">
        <f>VLOOKUP(D26,'[1]2021年7-12月 (调整后)'!$B$4:$AE$210,30,0)</f>
        <v>2.3061764239999998</v>
      </c>
      <c r="H26" s="7">
        <v>0.13</v>
      </c>
      <c r="I26" s="24">
        <f>VLOOKUP(D26,'[2]2022年7-12月'!$B$4:$AA$210,26,0)</f>
        <v>3.0136855221238941</v>
      </c>
      <c r="J26" s="20">
        <f>VLOOKUP(D26,'[2]2022年7-12月'!$B$4:$AE$210,30,0)</f>
        <v>3.0136855221238941</v>
      </c>
      <c r="K26" s="23">
        <f t="shared" si="0"/>
        <v>2.3061764239999998</v>
      </c>
      <c r="L26" s="19">
        <f t="shared" si="1"/>
        <v>2.3061764239999998</v>
      </c>
      <c r="M26" s="23">
        <f t="shared" si="2"/>
        <v>2.3061764239999998</v>
      </c>
      <c r="N26" s="19">
        <f t="shared" si="3"/>
        <v>2.3061764239999998</v>
      </c>
      <c r="O26" s="16" t="s">
        <v>142</v>
      </c>
      <c r="P26" s="16" t="s">
        <v>155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VLOOKUP(D27,'[1]2021年7-12月 (调整后)'!$B$4:$AA$210,26,0)</f>
        <v>2.5426470079999999</v>
      </c>
      <c r="G27" s="19">
        <f>VLOOKUP(D27,'[1]2021年7-12月 (调整后)'!$B$4:$AE$210,30,0)</f>
        <v>2.5426470079999999</v>
      </c>
      <c r="H27" s="7">
        <v>0.13</v>
      </c>
      <c r="I27" s="24">
        <f>VLOOKUP(D27,'[2]2022年7-12月'!$B$4:$AA$210,26,0)</f>
        <v>3.3064751150442482</v>
      </c>
      <c r="J27" s="20">
        <f>VLOOKUP(D27,'[2]2022年7-12月'!$B$4:$AE$210,30,0)</f>
        <v>3.3064751150442482</v>
      </c>
      <c r="K27" s="23">
        <f t="shared" si="0"/>
        <v>2.5426470079999999</v>
      </c>
      <c r="L27" s="19">
        <f t="shared" si="1"/>
        <v>2.5426470079999999</v>
      </c>
      <c r="M27" s="23">
        <f t="shared" si="2"/>
        <v>2.5426470079999999</v>
      </c>
      <c r="N27" s="19">
        <f t="shared" si="3"/>
        <v>2.5426470079999999</v>
      </c>
      <c r="O27" s="16" t="s">
        <v>142</v>
      </c>
      <c r="P27" s="16" t="s">
        <v>155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VLOOKUP(D28,'[1]2021年7-12月 (调整后)'!$B$4:$AA$210,26,0)</f>
        <v>0.38121876735999999</v>
      </c>
      <c r="G28" s="19">
        <f>VLOOKUP(D28,'[1]2021年7-12月 (调整后)'!$B$4:$AE$210,30,0)</f>
        <v>0.38121876735999999</v>
      </c>
      <c r="H28" s="7">
        <v>0.13</v>
      </c>
      <c r="I28" s="24">
        <f>VLOOKUP(D28,'[2]2022年7-12月'!$B$4:$AA$210,26,0)</f>
        <v>0.48088675185840707</v>
      </c>
      <c r="J28" s="20">
        <f>VLOOKUP(D28,'[2]2022年7-12月'!$B$4:$AE$210,30,0)</f>
        <v>0.48088675185840707</v>
      </c>
      <c r="K28" s="23">
        <f t="shared" si="0"/>
        <v>0.38121876735999999</v>
      </c>
      <c r="L28" s="19">
        <f t="shared" si="1"/>
        <v>0.38121876735999999</v>
      </c>
      <c r="M28" s="23">
        <f t="shared" si="2"/>
        <v>0.38121876735999999</v>
      </c>
      <c r="N28" s="19">
        <f t="shared" si="3"/>
        <v>0.38121876735999999</v>
      </c>
      <c r="O28" s="16" t="s">
        <v>142</v>
      </c>
      <c r="P28" s="16" t="s">
        <v>155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VLOOKUP(D29,'[1]2021年7-12月 (调整后)'!$B$4:$AA$210,26,0)</f>
        <v>0.41661876736000003</v>
      </c>
      <c r="G29" s="19">
        <f>VLOOKUP(D29,'[1]2021年7-12月 (调整后)'!$B$4:$AE$210,30,0)</f>
        <v>0.41661876736000003</v>
      </c>
      <c r="H29" s="7">
        <v>0.13</v>
      </c>
      <c r="I29" s="24">
        <f>VLOOKUP(D29,'[2]2022年7-12月'!$B$4:$AA$210,26,0)</f>
        <v>0.39841335999999994</v>
      </c>
      <c r="J29" s="20">
        <f>VLOOKUP(D29,'[2]2022年7-12月'!$B$4:$AE$210,30,0)</f>
        <v>0.39841335999999994</v>
      </c>
      <c r="K29" s="23">
        <f t="shared" si="0"/>
        <v>0.41661876736000003</v>
      </c>
      <c r="L29" s="19">
        <f t="shared" si="1"/>
        <v>0.41661876736000003</v>
      </c>
      <c r="M29" s="23">
        <f t="shared" si="2"/>
        <v>0.41661876736000003</v>
      </c>
      <c r="N29" s="19">
        <f t="shared" si="3"/>
        <v>0.41661876736000003</v>
      </c>
      <c r="O29" s="16" t="s">
        <v>142</v>
      </c>
      <c r="P29" s="16" t="s">
        <v>155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VLOOKUP(D30,'[1]2021年7-12月 (调整后)'!$B$4:$AA$210,26,0)</f>
        <v>2.3392164239999995</v>
      </c>
      <c r="G30" s="19">
        <f>VLOOKUP(D30,'[1]2021年7-12月 (调整后)'!$B$4:$AE$210,30,0)</f>
        <v>2.3392164239999995</v>
      </c>
      <c r="H30" s="7">
        <v>0.13</v>
      </c>
      <c r="I30" s="24">
        <f>VLOOKUP(D30,'[2]2022年7-12月'!$B$4:$AA$210,26,0)</f>
        <v>2.2266989999999995</v>
      </c>
      <c r="J30" s="20">
        <f>VLOOKUP(D30,'[2]2022年7-12月'!$B$4:$AE$210,30,0)</f>
        <v>2.2266989999999995</v>
      </c>
      <c r="K30" s="23">
        <f t="shared" si="0"/>
        <v>2.3392164239999995</v>
      </c>
      <c r="L30" s="19">
        <f t="shared" si="1"/>
        <v>2.3392164239999995</v>
      </c>
      <c r="M30" s="23">
        <f t="shared" si="2"/>
        <v>2.3392164239999995</v>
      </c>
      <c r="N30" s="19">
        <f t="shared" si="3"/>
        <v>2.3392164239999995</v>
      </c>
      <c r="O30" s="16" t="s">
        <v>142</v>
      </c>
      <c r="P30" s="16" t="s">
        <v>155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VLOOKUP(D31,'[1]2021年7-12月 (调整后)'!$B$4:$AA$210,26,0)</f>
        <v>2.3392164239999995</v>
      </c>
      <c r="G31" s="19">
        <f>VLOOKUP(D31,'[1]2021年7-12月 (调整后)'!$B$4:$AE$210,30,0)</f>
        <v>2.3392164239999995</v>
      </c>
      <c r="H31" s="7">
        <v>0.13</v>
      </c>
      <c r="I31" s="24">
        <f>VLOOKUP(D31,'[2]2022年7-12月'!$B$4:$AA$210,26,0)</f>
        <v>2.2266989999999995</v>
      </c>
      <c r="J31" s="20">
        <f>VLOOKUP(D31,'[2]2022年7-12月'!$B$4:$AE$210,30,0)</f>
        <v>2.2266989999999995</v>
      </c>
      <c r="K31" s="23">
        <f t="shared" si="0"/>
        <v>2.3392164239999995</v>
      </c>
      <c r="L31" s="19">
        <f t="shared" si="1"/>
        <v>2.3392164239999995</v>
      </c>
      <c r="M31" s="23">
        <f t="shared" si="2"/>
        <v>2.3392164239999995</v>
      </c>
      <c r="N31" s="19">
        <f t="shared" si="3"/>
        <v>2.3392164239999995</v>
      </c>
      <c r="O31" s="16" t="s">
        <v>142</v>
      </c>
      <c r="P31" s="16" t="s">
        <v>155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VLOOKUP(D32,'[1]2021年7-12月 (调整后)'!$B$4:$AA$210,26,0)</f>
        <v>0.72501560000000009</v>
      </c>
      <c r="G32" s="19">
        <f>VLOOKUP(D32,'[1]2021年7-12月 (调整后)'!$B$4:$AE$210,30,0)</f>
        <v>0.72501560000000009</v>
      </c>
      <c r="H32" s="7">
        <v>0.13</v>
      </c>
      <c r="I32" s="24">
        <f>VLOOKUP(D32,'[2]2022年7-12月'!$B$4:$AA$210,26,0)</f>
        <v>0.6985905</v>
      </c>
      <c r="J32" s="20">
        <f>VLOOKUP(D32,'[2]2022年7-12月'!$B$4:$AE$210,30,0)</f>
        <v>0.6985905</v>
      </c>
      <c r="K32" s="23">
        <f t="shared" si="0"/>
        <v>0.72501560000000009</v>
      </c>
      <c r="L32" s="19">
        <f t="shared" si="1"/>
        <v>0.72501560000000009</v>
      </c>
      <c r="M32" s="23">
        <f t="shared" si="2"/>
        <v>0.72501560000000009</v>
      </c>
      <c r="N32" s="19">
        <f t="shared" si="3"/>
        <v>0.72501560000000009</v>
      </c>
      <c r="O32" s="16" t="s">
        <v>142</v>
      </c>
      <c r="P32" s="16" t="s">
        <v>155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182</v>
      </c>
      <c r="E33" s="12" t="s">
        <v>20</v>
      </c>
      <c r="F33" s="23">
        <f>VLOOKUP(D33,'[1]2021年7-12月 (调整后)'!$B$4:$AA$210,26,0)</f>
        <v>0.36108807119999997</v>
      </c>
      <c r="G33" s="19">
        <f>VLOOKUP(D33,'[1]2021年7-12月 (调整后)'!$B$4:$AE$210,30,0)</f>
        <v>0.36108807119999997</v>
      </c>
      <c r="H33" s="7">
        <v>0.13</v>
      </c>
      <c r="I33" s="24">
        <f>VLOOKUP(D33,'[2]2022年7-12月'!$B$4:$AA$210,26,0)</f>
        <v>0.34455465100000005</v>
      </c>
      <c r="J33" s="20">
        <f>VLOOKUP(D33,'[2]2022年7-12月'!$B$4:$AE$210,30,0)</f>
        <v>0.34455465100000005</v>
      </c>
      <c r="K33" s="23">
        <f t="shared" si="0"/>
        <v>0.36108807119999997</v>
      </c>
      <c r="L33" s="19">
        <f t="shared" si="1"/>
        <v>0.36108807119999997</v>
      </c>
      <c r="M33" s="23">
        <f t="shared" si="2"/>
        <v>0.36108807119999997</v>
      </c>
      <c r="N33" s="19">
        <f t="shared" si="3"/>
        <v>0.36108807119999997</v>
      </c>
      <c r="O33" s="16" t="s">
        <v>142</v>
      </c>
      <c r="P33" s="16" t="s">
        <v>155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VLOOKUP(D34,'[1]2021年7-12月 (调整后)'!$B$4:$AA$210,26,0)</f>
        <v>5.048174292876106</v>
      </c>
      <c r="G34" s="19">
        <f>VLOOKUP(D34,'[1]2021年7-12月 (调整后)'!$B$4:$AE$210,30,0)</f>
        <v>5.048174292876106</v>
      </c>
      <c r="H34" s="7">
        <v>0.13</v>
      </c>
      <c r="I34" s="24">
        <f>VLOOKUP(D34,'[2]2022年7-12月'!$B$4:$AA$210,26,0)</f>
        <v>4.8115245974004415</v>
      </c>
      <c r="J34" s="20">
        <f>VLOOKUP(D34,'[2]2022年7-12月'!$B$4:$AE$210,30,0)</f>
        <v>4.8115245974004415</v>
      </c>
      <c r="K34" s="23">
        <f t="shared" si="0"/>
        <v>5.048174292876106</v>
      </c>
      <c r="L34" s="19">
        <f t="shared" si="1"/>
        <v>5.048174292876106</v>
      </c>
      <c r="M34" s="23">
        <f t="shared" si="2"/>
        <v>5.048174292876106</v>
      </c>
      <c r="N34" s="19">
        <f t="shared" si="3"/>
        <v>5.048174292876106</v>
      </c>
      <c r="O34" s="16" t="s">
        <v>142</v>
      </c>
      <c r="P34" s="16" t="s">
        <v>155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VLOOKUP(D35,'[1]2021年7-12月 (调整后)'!$B$4:$AA$210,26,0)</f>
        <v>5.048174292876106</v>
      </c>
      <c r="G35" s="19">
        <f>VLOOKUP(D35,'[1]2021年7-12月 (调整后)'!$B$4:$AE$210,30,0)</f>
        <v>5.048174292876106</v>
      </c>
      <c r="H35" s="7">
        <v>0.13</v>
      </c>
      <c r="I35" s="24">
        <f>VLOOKUP(D35,'[2]2022年7-12月'!$B$4:$AA$210,26,0)</f>
        <v>4.8115245974004415</v>
      </c>
      <c r="J35" s="20">
        <f>VLOOKUP(D35,'[2]2022年7-12月'!$B$4:$AE$210,30,0)</f>
        <v>4.8115245974004415</v>
      </c>
      <c r="K35" s="23">
        <f t="shared" si="0"/>
        <v>5.048174292876106</v>
      </c>
      <c r="L35" s="19">
        <f t="shared" si="1"/>
        <v>5.048174292876106</v>
      </c>
      <c r="M35" s="23">
        <f t="shared" si="2"/>
        <v>5.048174292876106</v>
      </c>
      <c r="N35" s="19">
        <f t="shared" si="3"/>
        <v>5.048174292876106</v>
      </c>
      <c r="O35" s="16" t="s">
        <v>142</v>
      </c>
      <c r="P35" s="16" t="s">
        <v>155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VLOOKUP(D36,'[1]2021年7-12月 (调整后)'!$B$4:$AA$210,26,0)</f>
        <v>11.928973733368732</v>
      </c>
      <c r="G36" s="19">
        <f>VLOOKUP(D36,'[1]2021年7-12月 (调整后)'!$B$4:$AE$210,30,0)</f>
        <v>11.928973733368732</v>
      </c>
      <c r="H36" s="7">
        <v>0.13</v>
      </c>
      <c r="I36" s="24">
        <f>VLOOKUP(D36,'[2]2022年7-12月'!$B$4:$AA$210,26,0)</f>
        <v>11.412496431814159</v>
      </c>
      <c r="J36" s="20">
        <f>VLOOKUP(D36,'[2]2022年7-12月'!$B$4:$AE$210,30,0)</f>
        <v>11.412496431814159</v>
      </c>
      <c r="K36" s="23">
        <f t="shared" si="0"/>
        <v>11.928973733368732</v>
      </c>
      <c r="L36" s="19">
        <f t="shared" si="1"/>
        <v>11.928973733368732</v>
      </c>
      <c r="M36" s="23">
        <f t="shared" si="2"/>
        <v>11.928973733368732</v>
      </c>
      <c r="N36" s="19">
        <f t="shared" si="3"/>
        <v>11.928973733368732</v>
      </c>
      <c r="O36" s="16" t="s">
        <v>142</v>
      </c>
      <c r="P36" s="16" t="s">
        <v>155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VLOOKUP(D37,'[1]2021年7-12月 (调整后)'!$B$4:$AA$210,26,0)</f>
        <v>11.987501733368731</v>
      </c>
      <c r="G37" s="19">
        <f>VLOOKUP(D37,'[1]2021年7-12月 (调整后)'!$B$4:$AE$210,30,0)</f>
        <v>12.375401733368731</v>
      </c>
      <c r="H37" s="7">
        <v>0.13</v>
      </c>
      <c r="I37" s="24">
        <f>VLOOKUP(D37,'[2]2022年7-12月'!$B$4:$AA$210,26,0)</f>
        <v>11.453896431814158</v>
      </c>
      <c r="J37" s="20">
        <f>VLOOKUP(D37,'[2]2022年7-12月'!$B$4:$AE$210,30,0)</f>
        <v>11.841796431814158</v>
      </c>
      <c r="K37" s="23">
        <f t="shared" si="0"/>
        <v>11.987501733368731</v>
      </c>
      <c r="L37" s="19">
        <f t="shared" si="1"/>
        <v>12.375401733368731</v>
      </c>
      <c r="M37" s="23">
        <f t="shared" si="2"/>
        <v>11.987501733368731</v>
      </c>
      <c r="N37" s="19">
        <f t="shared" si="3"/>
        <v>12.375401733368731</v>
      </c>
      <c r="O37" s="16" t="s">
        <v>142</v>
      </c>
      <c r="P37" s="16" t="s">
        <v>155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VLOOKUP(D38,'[1]2021年7-12月 (调整后)'!$B$4:$AA$210,26,0)</f>
        <v>12.261733733368732</v>
      </c>
      <c r="G38" s="19">
        <f>VLOOKUP(D38,'[1]2021年7-12月 (调整后)'!$B$4:$AE$210,30,0)</f>
        <v>12.649633733368733</v>
      </c>
      <c r="H38" s="7">
        <v>0.13</v>
      </c>
      <c r="I38" s="24">
        <f>VLOOKUP(D38,'[2]2022年7-12月'!$B$4:$AA$210,26,0)</f>
        <v>11.740246431814159</v>
      </c>
      <c r="J38" s="20">
        <f>VLOOKUP(D38,'[2]2022年7-12月'!$B$4:$AE$210,30,0)</f>
        <v>12.128146431814159</v>
      </c>
      <c r="K38" s="23">
        <f t="shared" si="0"/>
        <v>12.261733733368732</v>
      </c>
      <c r="L38" s="19">
        <f t="shared" si="1"/>
        <v>12.649633733368733</v>
      </c>
      <c r="M38" s="23">
        <f t="shared" si="2"/>
        <v>12.261733733368732</v>
      </c>
      <c r="N38" s="19">
        <f t="shared" si="3"/>
        <v>12.649633733368733</v>
      </c>
      <c r="O38" s="16" t="s">
        <v>142</v>
      </c>
      <c r="P38" s="16" t="s">
        <v>155</v>
      </c>
      <c r="Q38" s="8"/>
    </row>
    <row r="39" spans="1:17" ht="27.75" customHeight="1">
      <c r="A39" s="193" t="s">
        <v>143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</row>
    <row r="40" spans="1:17" ht="79.2" customHeight="1">
      <c r="A40" s="193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</row>
    <row r="41" spans="1:17" ht="93" customHeight="1">
      <c r="A41" s="194" t="s">
        <v>13</v>
      </c>
      <c r="B41" s="195"/>
      <c r="C41" s="196" t="s">
        <v>14</v>
      </c>
      <c r="D41" s="196"/>
      <c r="E41" s="196"/>
      <c r="F41" s="193" t="s">
        <v>15</v>
      </c>
      <c r="G41" s="193"/>
      <c r="H41" s="193"/>
      <c r="I41" s="193"/>
      <c r="J41" s="25"/>
      <c r="K41" s="193" t="s">
        <v>16</v>
      </c>
      <c r="L41" s="193"/>
      <c r="M41" s="193"/>
      <c r="N41" s="25"/>
      <c r="O41" s="193" t="s">
        <v>17</v>
      </c>
      <c r="P41" s="193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68</vt:i4>
      </vt:variant>
      <vt:variant>
        <vt:lpstr>命名范围</vt:lpstr>
      </vt:variant>
      <vt:variant>
        <vt:i4>1</vt:i4>
      </vt:variant>
    </vt:vector>
  </HeadingPairs>
  <TitlesOfParts>
    <vt:vector size="69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物料及工装采购价格审批表 (13)</vt:lpstr>
      <vt:lpstr>物料及工装采购价格审批表 (14)</vt:lpstr>
      <vt:lpstr>物料及工装采购价格审批表-河北利达H6底支架</vt:lpstr>
      <vt:lpstr>物料及工装采购价格审批表 (天丰冲压件定标)</vt:lpstr>
      <vt:lpstr>物料及工装采购价格审批表 (塑料滚轮验证)</vt:lpstr>
      <vt:lpstr>物料及工装采购价格审批表 (临时机加) </vt:lpstr>
      <vt:lpstr>物料及工装采购价格审批表 (天津凌派等项目冷镦件）</vt:lpstr>
      <vt:lpstr>物料及工装采购价格审批表 (H6项目临时机加件）</vt:lpstr>
      <vt:lpstr>物料及工装采购价格审批表 (保定京苑转潍坊）</vt:lpstr>
      <vt:lpstr>物料及工装采购价格审批表 (江苏力乐)</vt:lpstr>
      <vt:lpstr>物料及工装采购价格审批表 (天丰冲压件重新定标)</vt:lpstr>
      <vt:lpstr>物料及工装采购价格审批表 (黄骅成卓-前横梁焊接总成）</vt:lpstr>
      <vt:lpstr>物料及工装采购价格审批表 (江苏凌派临时机加）</vt:lpstr>
      <vt:lpstr>物料及工装采购价格审批表 （海兴中盛-铁马） (2)</vt:lpstr>
      <vt:lpstr>物料及工装采购价格审批表 （天津沛衡） (3)</vt:lpstr>
      <vt:lpstr>物料及工装采购价格审批表 （恒伟五金K1)</vt:lpstr>
      <vt:lpstr>物料及工装采购价格审批表 （黄骅鑫昌)</vt:lpstr>
      <vt:lpstr>物料及工装采购价格审批表 （潍坊K1头枕杆) (2)</vt:lpstr>
      <vt:lpstr>物料及工装采购价格审批表 （欧马可升级模具改造)</vt:lpstr>
      <vt:lpstr>物料及工装采购价格审批表 （欧马可升级模具改造) (黄骅源宏）</vt:lpstr>
      <vt:lpstr>物料及工装采购价格审批表 （安路普H6项目圆销柱）</vt:lpstr>
      <vt:lpstr>物料及工装采购价格审批表 （沧州啸宇欧马可)</vt:lpstr>
      <vt:lpstr>物料及工装采购价格审批表 （J6L扭力杆-沛衡)</vt:lpstr>
      <vt:lpstr>物料及工装采购价格审批表 （江苏力乐K1半成品)</vt:lpstr>
      <vt:lpstr>物料及工装采购价格审批表 （江苏凌派)</vt:lpstr>
      <vt:lpstr>物料及工装采购价格审批表 （L6000海兴中盛</vt:lpstr>
      <vt:lpstr>物料及工装采购价格审批表 （恒伟五金K1) (2)</vt:lpstr>
      <vt:lpstr>物料及工装采购价格审批表 （旭兴)</vt:lpstr>
      <vt:lpstr>物料采购价格审批表-黄骅宏达</vt:lpstr>
      <vt:lpstr>物料采购价格审批表-天津沛衡扭力弹簧</vt:lpstr>
      <vt:lpstr>物料采购价格审批表-江苏凌派欧马可</vt:lpstr>
      <vt:lpstr>物料采购价格审批表-沧州智凯</vt:lpstr>
      <vt:lpstr>物料采购价格审批表-沧州宇诺</vt:lpstr>
      <vt:lpstr>物料采购价格审批表-转盘-霸州政锦</vt:lpstr>
      <vt:lpstr>物料采购价格审批表-欧马可涡簧-中盛及万金</vt:lpstr>
      <vt:lpstr>物料采购价格审批表-泊头捷润TF</vt:lpstr>
      <vt:lpstr>物料采购价格审批表-黄骅长生J6L坐盆</vt:lpstr>
      <vt:lpstr>物料采购价格审批表-黄骅新强力与长春</vt:lpstr>
      <vt:lpstr>物料采购价格审批表-沧州宇诺1.0</vt:lpstr>
      <vt:lpstr>物料采购价格审批表-霸州政锦</vt:lpstr>
      <vt:lpstr>物料采购价格审批表-黄骅鑫昌防尘罩支架</vt:lpstr>
      <vt:lpstr>物料采购价格审批表-吉林智恒J6L</vt:lpstr>
      <vt:lpstr>物料采购价格审批表-福田大黄蜂-黄骅成卓</vt:lpstr>
      <vt:lpstr>物料及工装采购价格审批表 (江苏凌派-欧马可）</vt:lpstr>
      <vt:lpstr>物料采购价格审批表-泊头捷润</vt:lpstr>
      <vt:lpstr>物料采购价格审批表-黄骅兴岳</vt:lpstr>
      <vt:lpstr>物料采购价格审批表-黄骅旭兴</vt:lpstr>
      <vt:lpstr>物料采购价格审批表-泊头鑫洪</vt:lpstr>
      <vt:lpstr>物料采购价格审批表-河北沁园</vt:lpstr>
      <vt:lpstr>物料采购价格审批表-黄骅富邑</vt:lpstr>
      <vt:lpstr>物料采购价格审批表-黄骅成卓</vt:lpstr>
      <vt:lpstr>物料采购价格审批表-海兴中盛</vt:lpstr>
      <vt:lpstr>物料采购价格审批表-垫片</vt:lpstr>
      <vt:lpstr>物料采购价格审批表-霸州政锦11</vt:lpstr>
      <vt:lpstr>物料采购价格审批表-黄骅成卓3.18</vt:lpstr>
      <vt:lpstr>Sheet1</vt:lpstr>
      <vt:lpstr>Sheet2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2022-09-06T10:40:57Z</cp:lastPrinted>
  <dcterms:created xsi:type="dcterms:W3CDTF">2015-06-05T18:19:34Z</dcterms:created>
  <dcterms:modified xsi:type="dcterms:W3CDTF">2024-03-18T07:30:00Z</dcterms:modified>
</cp:coreProperties>
</file>