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4\新建文件夹 (2)\新建文件夹 (2)1\新建文件夹 (2)\新建文件夹 (2)\鑫昌\"/>
    </mc:Choice>
  </mc:AlternateContent>
  <bookViews>
    <workbookView xWindow="0" yWindow="0" windowWidth="19635" windowHeight="7245" activeTab="1"/>
  </bookViews>
  <sheets>
    <sheet name="核算明细" sheetId="2" r:id="rId1"/>
    <sheet name="最终价格" sheetId="6" r:id="rId2"/>
  </sheets>
  <externalReferences>
    <externalReference r:id="rId3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6" l="1"/>
  <c r="I9" i="6" l="1"/>
  <c r="I8" i="6"/>
  <c r="I4" i="6"/>
  <c r="I5" i="6"/>
  <c r="I6" i="6"/>
  <c r="I7" i="6"/>
  <c r="I10" i="6"/>
  <c r="I11" i="6"/>
  <c r="I12" i="6"/>
  <c r="I13" i="6"/>
  <c r="I14" i="6"/>
  <c r="I15" i="6"/>
  <c r="I3" i="6"/>
  <c r="K3" i="6"/>
  <c r="G4" i="6" l="1"/>
  <c r="G5" i="6"/>
  <c r="G6" i="6"/>
  <c r="G7" i="6"/>
  <c r="G8" i="6"/>
  <c r="G9" i="6"/>
  <c r="G10" i="6"/>
  <c r="G11" i="6"/>
  <c r="G12" i="6"/>
  <c r="G13" i="6"/>
  <c r="G14" i="6"/>
  <c r="G15" i="6"/>
  <c r="G16" i="6"/>
  <c r="I16" i="6" s="1"/>
  <c r="G3" i="6"/>
  <c r="R69" i="2" l="1"/>
  <c r="Y68" i="2"/>
  <c r="Y67" i="2"/>
  <c r="U67" i="2"/>
  <c r="R67" i="2"/>
  <c r="Y66" i="2"/>
  <c r="W66" i="2"/>
  <c r="U66" i="2"/>
  <c r="AA65" i="2"/>
  <c r="Y65" i="2"/>
  <c r="Y69" i="2" s="1"/>
  <c r="W65" i="2"/>
  <c r="U65" i="2"/>
  <c r="R65" i="2"/>
  <c r="Q65" i="2"/>
  <c r="O65" i="2"/>
  <c r="R64" i="2"/>
  <c r="Y63" i="2"/>
  <c r="W62" i="2"/>
  <c r="Y62" i="2" s="1"/>
  <c r="U62" i="2"/>
  <c r="R62" i="2"/>
  <c r="Y61" i="2"/>
  <c r="W61" i="2"/>
  <c r="U61" i="2"/>
  <c r="AA60" i="2"/>
  <c r="W60" i="2"/>
  <c r="Y60" i="2" s="1"/>
  <c r="U60" i="2"/>
  <c r="R60" i="2"/>
  <c r="Q60" i="2"/>
  <c r="O60" i="2"/>
  <c r="R59" i="2"/>
  <c r="Y58" i="2"/>
  <c r="Y57" i="2"/>
  <c r="W57" i="2"/>
  <c r="U57" i="2"/>
  <c r="R57" i="2"/>
  <c r="Y56" i="2"/>
  <c r="W56" i="2"/>
  <c r="AA55" i="2"/>
  <c r="W55" i="2"/>
  <c r="Y55" i="2" s="1"/>
  <c r="Y59" i="2" s="1"/>
  <c r="U55" i="2"/>
  <c r="R55" i="2"/>
  <c r="Q55" i="2"/>
  <c r="O55" i="2"/>
  <c r="R54" i="2"/>
  <c r="Y51" i="2"/>
  <c r="U49" i="2"/>
  <c r="W48" i="2"/>
  <c r="Y48" i="2" s="1"/>
  <c r="U48" i="2"/>
  <c r="R48" i="2"/>
  <c r="U47" i="2"/>
  <c r="W46" i="2"/>
  <c r="U46" i="2"/>
  <c r="Y45" i="2"/>
  <c r="W45" i="2"/>
  <c r="U45" i="2"/>
  <c r="AA44" i="2"/>
  <c r="W44" i="2"/>
  <c r="Y44" i="2" s="1"/>
  <c r="U44" i="2"/>
  <c r="R44" i="2"/>
  <c r="Q44" i="2"/>
  <c r="O44" i="2"/>
  <c r="R43" i="2"/>
  <c r="U42" i="2"/>
  <c r="U41" i="2"/>
  <c r="U40" i="2"/>
  <c r="Y39" i="2"/>
  <c r="Y38" i="2"/>
  <c r="W38" i="2"/>
  <c r="U38" i="2"/>
  <c r="R38" i="2"/>
  <c r="W37" i="2"/>
  <c r="Y37" i="2" s="1"/>
  <c r="U37" i="2"/>
  <c r="AA36" i="2"/>
  <c r="W36" i="2"/>
  <c r="Y36" i="2" s="1"/>
  <c r="U36" i="2"/>
  <c r="R36" i="2"/>
  <c r="Q36" i="2"/>
  <c r="O36" i="2"/>
  <c r="R35" i="2"/>
  <c r="Y34" i="2"/>
  <c r="U34" i="2"/>
  <c r="W33" i="2"/>
  <c r="Y33" i="2" s="1"/>
  <c r="U33" i="2"/>
  <c r="R33" i="2"/>
  <c r="U32" i="2"/>
  <c r="Y31" i="2"/>
  <c r="W31" i="2"/>
  <c r="U31" i="2"/>
  <c r="W30" i="2"/>
  <c r="Y30" i="2" s="1"/>
  <c r="U30" i="2"/>
  <c r="AA29" i="2"/>
  <c r="W29" i="2"/>
  <c r="Y29" i="2" s="1"/>
  <c r="U29" i="2"/>
  <c r="R29" i="2"/>
  <c r="Q29" i="2"/>
  <c r="O29" i="2"/>
  <c r="Y28" i="2"/>
  <c r="R28" i="2"/>
  <c r="Y27" i="2"/>
  <c r="Y24" i="2"/>
  <c r="W24" i="2"/>
  <c r="U24" i="2"/>
  <c r="R24" i="2"/>
  <c r="U23" i="2"/>
  <c r="U22" i="2"/>
  <c r="W21" i="2"/>
  <c r="Y21" i="2" s="1"/>
  <c r="U21" i="2"/>
  <c r="W20" i="2"/>
  <c r="Y20" i="2" s="1"/>
  <c r="U20" i="2"/>
  <c r="AA19" i="2"/>
  <c r="W19" i="2"/>
  <c r="Y19" i="2" s="1"/>
  <c r="U19" i="2"/>
  <c r="R19" i="2"/>
  <c r="Q19" i="2"/>
  <c r="O19" i="2"/>
  <c r="R18" i="2"/>
  <c r="Y17" i="2"/>
  <c r="Y16" i="2"/>
  <c r="U16" i="2"/>
  <c r="R16" i="2"/>
  <c r="Y15" i="2"/>
  <c r="U15" i="2"/>
  <c r="R15" i="2"/>
  <c r="Y14" i="2"/>
  <c r="W14" i="2"/>
  <c r="U14" i="2"/>
  <c r="R14" i="2"/>
  <c r="Y13" i="2"/>
  <c r="W13" i="2"/>
  <c r="U13" i="2"/>
  <c r="Y12" i="2"/>
  <c r="Y18" i="2" s="1"/>
  <c r="AA12" i="2" s="1"/>
  <c r="W12" i="2"/>
  <c r="U12" i="2"/>
  <c r="R12" i="2"/>
  <c r="Q12" i="2"/>
  <c r="O12" i="2"/>
  <c r="R11" i="2"/>
  <c r="Y10" i="2"/>
  <c r="T10" i="2"/>
  <c r="P10" i="2"/>
  <c r="O10" i="2"/>
  <c r="N10" i="2"/>
  <c r="W9" i="2"/>
  <c r="Y9" i="2" s="1"/>
  <c r="T9" i="2"/>
  <c r="P9" i="2"/>
  <c r="O9" i="2"/>
  <c r="N9" i="2"/>
  <c r="W8" i="2"/>
  <c r="Y8" i="2" s="1"/>
  <c r="T8" i="2"/>
  <c r="Y7" i="2"/>
  <c r="W7" i="2"/>
  <c r="T7" i="2"/>
  <c r="W6" i="2"/>
  <c r="Y6" i="2" s="1"/>
  <c r="T6" i="2"/>
  <c r="R6" i="2"/>
  <c r="Q6" i="2"/>
  <c r="O6" i="2"/>
  <c r="M6" i="2"/>
  <c r="E3" i="2"/>
  <c r="E2" i="2"/>
  <c r="Y43" i="2" l="1"/>
  <c r="Y11" i="2"/>
  <c r="AA6" i="2" s="1"/>
  <c r="Y54" i="2"/>
  <c r="Y64" i="2"/>
</calcChain>
</file>

<file path=xl/comments1.xml><?xml version="1.0" encoding="utf-8"?>
<comments xmlns="http://schemas.openxmlformats.org/spreadsheetml/2006/main">
  <authors>
    <author>作者</author>
  </authors>
  <commentList>
    <comment ref="R16" authorId="0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外购</t>
        </r>
      </text>
    </comment>
    <comment ref="R24" authorId="0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外购</t>
        </r>
      </text>
    </comment>
    <comment ref="R33" authorId="0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外购</t>
        </r>
      </text>
    </comment>
    <comment ref="R38" authorId="0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外购</t>
        </r>
      </text>
    </comment>
    <comment ref="R48" authorId="0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外购</t>
        </r>
      </text>
    </comment>
    <comment ref="R57" authorId="0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外购</t>
        </r>
      </text>
    </comment>
    <comment ref="R62" authorId="0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外购</t>
        </r>
      </text>
    </comment>
    <comment ref="R67" authorId="0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外购</t>
        </r>
      </text>
    </comment>
  </commentList>
</comments>
</file>

<file path=xl/sharedStrings.xml><?xml version="1.0" encoding="utf-8"?>
<sst xmlns="http://schemas.openxmlformats.org/spreadsheetml/2006/main" count="322" uniqueCount="131">
  <si>
    <t>序号</t>
  </si>
  <si>
    <t>零件号</t>
  </si>
  <si>
    <t>中文名称</t>
  </si>
  <si>
    <t>供应商</t>
  </si>
  <si>
    <t>SHT0012210</t>
  </si>
  <si>
    <t>1.0座框左侧外边板焊接总成</t>
  </si>
  <si>
    <t>黄骅鑫昌</t>
  </si>
  <si>
    <t>SHT0012211</t>
  </si>
  <si>
    <t>1.0座框右侧外边板焊接总成</t>
  </si>
  <si>
    <t>SHT0012150</t>
  </si>
  <si>
    <t>齿板锁舌</t>
  </si>
  <si>
    <t>SHT0012268</t>
  </si>
  <si>
    <t>左侧调角连接板焊接总成</t>
  </si>
  <si>
    <t>SHT0012269</t>
  </si>
  <si>
    <t>右侧调角连接板焊接总成</t>
  </si>
  <si>
    <t>SHT0012153</t>
  </si>
  <si>
    <t>左侧边框分总成</t>
  </si>
  <si>
    <t>SHT0012154</t>
  </si>
  <si>
    <t>右侧边框分总成</t>
  </si>
  <si>
    <t>SHT0012140</t>
  </si>
  <si>
    <t>座框左侧内边板</t>
  </si>
  <si>
    <t>SHT0012142</t>
  </si>
  <si>
    <t>座框右侧内边板</t>
  </si>
  <si>
    <t>SHT0012146</t>
  </si>
  <si>
    <t>座框前边板</t>
  </si>
  <si>
    <t>SHT0013131</t>
  </si>
  <si>
    <t>座框前边板焊接分总成</t>
  </si>
  <si>
    <t>SHT0013818</t>
  </si>
  <si>
    <t>防尘罩前支架</t>
  </si>
  <si>
    <t>SHT0013819</t>
  </si>
  <si>
    <t>防尘罩侧支架</t>
  </si>
  <si>
    <t>SHT0013822</t>
  </si>
  <si>
    <t>SHT0001971</t>
  </si>
  <si>
    <t>限位门</t>
  </si>
  <si>
    <t>长</t>
  </si>
  <si>
    <t>宽</t>
  </si>
  <si>
    <t>厚</t>
  </si>
  <si>
    <t>冲压力测算</t>
  </si>
  <si>
    <t>物料代码</t>
  </si>
  <si>
    <t>名称</t>
  </si>
  <si>
    <t>图片</t>
  </si>
  <si>
    <t>单件图号</t>
  </si>
  <si>
    <t>零件名称</t>
  </si>
  <si>
    <t>耗用量</t>
  </si>
  <si>
    <t>材质</t>
  </si>
  <si>
    <t>下料尺寸</t>
  </si>
  <si>
    <t>未税单价</t>
  </si>
  <si>
    <t>重量kg</t>
  </si>
  <si>
    <t>材料费</t>
  </si>
  <si>
    <t>加工成本</t>
  </si>
  <si>
    <t>系数</t>
  </si>
  <si>
    <t>未税目标价</t>
  </si>
  <si>
    <t>未税采购单价</t>
  </si>
  <si>
    <t>是否完成模摊</t>
  </si>
  <si>
    <t>对称件</t>
  </si>
  <si>
    <t>长mm</t>
  </si>
  <si>
    <t>宽mm</t>
  </si>
  <si>
    <t>厚mm</t>
  </si>
  <si>
    <t>材料</t>
  </si>
  <si>
    <t>废铁</t>
  </si>
  <si>
    <t>毛重</t>
  </si>
  <si>
    <t>净重</t>
  </si>
  <si>
    <t>工序</t>
  </si>
  <si>
    <t>吨位</t>
  </si>
  <si>
    <t>工序费</t>
  </si>
  <si>
    <t>出件数</t>
  </si>
  <si>
    <t>合计</t>
  </si>
  <si>
    <t>SPFH440-Q/BQB310</t>
  </si>
  <si>
    <t>落料</t>
  </si>
  <si>
    <t>125T</t>
  </si>
  <si>
    <t>是</t>
  </si>
  <si>
    <t>滚筒</t>
  </si>
  <si>
    <t>压平</t>
  </si>
  <si>
    <t>去毛刺</t>
  </si>
  <si>
    <t>材料成本合计：</t>
  </si>
  <si>
    <t>加工成本合计：</t>
  </si>
  <si>
    <t>SHT0012266</t>
  </si>
  <si>
    <t>左侧调角连接板</t>
  </si>
  <si>
    <t>SPFH590-Q/BQB310</t>
  </si>
  <si>
    <t>200T</t>
  </si>
  <si>
    <t>否，含模摊5.3803</t>
  </si>
  <si>
    <t>成型</t>
  </si>
  <si>
    <t>Q37110</t>
  </si>
  <si>
    <t>焊接方螺母</t>
  </si>
  <si>
    <t>冲孔</t>
  </si>
  <si>
    <t>80T</t>
  </si>
  <si>
    <t>H4B-6805326</t>
  </si>
  <si>
    <t>安全带7/16焊接螺母</t>
  </si>
  <si>
    <t>45T</t>
  </si>
  <si>
    <t>焊接</t>
  </si>
  <si>
    <t>SHT0012141</t>
  </si>
  <si>
    <t>座框左侧外边板</t>
  </si>
  <si>
    <t>315T</t>
  </si>
  <si>
    <t>250T</t>
  </si>
  <si>
    <t>否，含模摊9.9139</t>
  </si>
  <si>
    <t>40T</t>
  </si>
  <si>
    <t>切断</t>
  </si>
  <si>
    <t>315T油压</t>
  </si>
  <si>
    <t>BAS0010023</t>
  </si>
  <si>
    <t>仰角旋转支撑轴套</t>
  </si>
  <si>
    <t>35#</t>
  </si>
  <si>
    <t>100T</t>
  </si>
  <si>
    <t>轴含税2.9</t>
  </si>
  <si>
    <t>否，含模摊7.8695</t>
  </si>
  <si>
    <t>一模出2个</t>
  </si>
  <si>
    <t>160T</t>
  </si>
  <si>
    <t>否，含模摊3.844</t>
  </si>
  <si>
    <t>Q37106</t>
  </si>
  <si>
    <t>切边</t>
  </si>
  <si>
    <t>整形</t>
  </si>
  <si>
    <r>
      <rPr>
        <sz val="11"/>
        <color theme="1"/>
        <rFont val="等线"/>
        <charset val="134"/>
        <scheme val="minor"/>
      </rPr>
      <t>Q</t>
    </r>
    <r>
      <rPr>
        <sz val="11"/>
        <color theme="1"/>
        <rFont val="等线"/>
        <charset val="134"/>
        <scheme val="minor"/>
      </rPr>
      <t>235</t>
    </r>
  </si>
  <si>
    <t>63T</t>
  </si>
  <si>
    <t>25T</t>
  </si>
  <si>
    <r>
      <rPr>
        <sz val="11"/>
        <color theme="1"/>
        <rFont val="等线"/>
        <charset val="134"/>
        <scheme val="minor"/>
      </rPr>
      <t>否，含模摊1</t>
    </r>
    <r>
      <rPr>
        <sz val="11"/>
        <color theme="1"/>
        <rFont val="等线"/>
        <charset val="134"/>
        <scheme val="minor"/>
      </rPr>
      <t>.1887</t>
    </r>
  </si>
  <si>
    <t>SQX3000-6805323</t>
  </si>
  <si>
    <t>40t</t>
  </si>
  <si>
    <t>最终价格</t>
    <phoneticPr fontId="12" type="noConversion"/>
  </si>
  <si>
    <r>
      <t>扣除0</t>
    </r>
    <r>
      <rPr>
        <sz val="10"/>
        <color rgb="FFFF0000"/>
        <rFont val="宋体"/>
        <family val="3"/>
        <charset val="134"/>
      </rPr>
      <t>.1模摊</t>
    </r>
    <phoneticPr fontId="12" type="noConversion"/>
  </si>
  <si>
    <t>备注</t>
    <phoneticPr fontId="12" type="noConversion"/>
  </si>
  <si>
    <r>
      <t>扣除0</t>
    </r>
    <r>
      <rPr>
        <sz val="10"/>
        <color rgb="FFFF0000"/>
        <rFont val="宋体"/>
        <family val="3"/>
        <charset val="134"/>
      </rPr>
      <t>.1模摊</t>
    </r>
    <phoneticPr fontId="12" type="noConversion"/>
  </si>
  <si>
    <t>2023年价格</t>
    <phoneticPr fontId="12" type="noConversion"/>
  </si>
  <si>
    <t>差额</t>
    <phoneticPr fontId="12" type="noConversion"/>
  </si>
  <si>
    <t>2023年使用量</t>
    <phoneticPr fontId="12" type="noConversion"/>
  </si>
  <si>
    <t>预计收益</t>
    <phoneticPr fontId="12" type="noConversion"/>
  </si>
  <si>
    <t>合计</t>
    <phoneticPr fontId="12" type="noConversion"/>
  </si>
  <si>
    <t>3月中旬取消</t>
    <phoneticPr fontId="12" type="noConversion"/>
  </si>
  <si>
    <t>未分摊的模具费抵消1-3月的降本</t>
    <phoneticPr fontId="12" type="noConversion"/>
  </si>
  <si>
    <t>SHT0012145</t>
    <phoneticPr fontId="12" type="noConversion"/>
  </si>
  <si>
    <t>右侧仰角卡板</t>
    <phoneticPr fontId="12" type="noConversion"/>
  </si>
  <si>
    <t>SHT0012144</t>
    <phoneticPr fontId="12" type="noConversion"/>
  </si>
  <si>
    <t>左侧仰角卡板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</si>
</sst>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76" formatCode="0.00_);[Red]\(0.00\)"/>
    <numFmt numFmtId="177" formatCode="0.00_ "/>
    <numFmt numFmtId="179" formatCode="_ * #,##0.0000_ ;_ * \-#,##0.0000_ ;_ * &quot;-&quot;??_ ;_ @_ "/>
    <numFmt numFmtId="180" formatCode="0.0_);[Red]\(0.0\)"/>
    <numFmt numFmtId="181" formatCode="_ * #,##0_ ;_ * \-#,##0_ ;_ * &quot;-&quot;??_ ;_ @_ "/>
    <numFmt numFmtId="182" formatCode="0.000_);[Red]\(0.000\)"/>
    <numFmt numFmtId="183" formatCode="0.0_ "/>
    <numFmt numFmtId="184" formatCode="0.0000_);[Red]\(0.0000\)"/>
    <numFmt numFmtId="185" formatCode="0.0000"/>
  </numFmts>
  <fonts count="17" x14ac:knownFonts="1">
    <font>
      <sz val="11"/>
      <color theme="1"/>
      <name val="等线"/>
      <charset val="134"/>
      <scheme val="minor"/>
    </font>
    <font>
      <sz val="10"/>
      <name val="宋体"/>
      <charset val="134"/>
    </font>
    <font>
      <sz val="10"/>
      <color indexed="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9"/>
      <name val="Arial"/>
      <family val="2"/>
    </font>
    <font>
      <b/>
      <sz val="9"/>
      <name val="宋体"/>
      <charset val="134"/>
    </font>
    <font>
      <sz val="9"/>
      <name val="宋体"/>
      <charset val="134"/>
    </font>
    <font>
      <sz val="9"/>
      <name val="等线"/>
      <family val="3"/>
      <charset val="134"/>
      <scheme val="minor"/>
    </font>
    <font>
      <sz val="10"/>
      <color rgb="FFFF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7" fillId="0" borderId="0">
      <alignment vertical="center"/>
    </xf>
    <xf numFmtId="0" fontId="9" fillId="0" borderId="1" applyNumberFormat="0" applyFill="0" applyBorder="0" applyAlignment="0" applyProtection="0">
      <alignment vertical="center"/>
    </xf>
    <xf numFmtId="0" fontId="7" fillId="0" borderId="0">
      <alignment vertical="center"/>
    </xf>
  </cellStyleXfs>
  <cellXfs count="114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7" fillId="0" borderId="0" xfId="4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4" borderId="0" xfId="0" applyFill="1" applyAlignment="1">
      <alignment wrapText="1"/>
    </xf>
    <xf numFmtId="179" fontId="0" fillId="0" borderId="0" xfId="1" applyNumberFormat="1" applyFont="1" applyAlignment="1"/>
    <xf numFmtId="0" fontId="0" fillId="0" borderId="0" xfId="0" applyFill="1" applyAlignment="1">
      <alignment horizontal="center" vertical="center"/>
    </xf>
    <xf numFmtId="180" fontId="1" fillId="0" borderId="0" xfId="0" applyNumberFormat="1" applyFont="1" applyFill="1" applyAlignment="1">
      <alignment horizontal="center" vertical="center" wrapText="1"/>
    </xf>
    <xf numFmtId="181" fontId="0" fillId="0" borderId="0" xfId="1" applyNumberFormat="1" applyFont="1" applyAlignment="1">
      <alignment horizontal="center" vertical="center"/>
    </xf>
    <xf numFmtId="0" fontId="7" fillId="0" borderId="1" xfId="4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180" fontId="7" fillId="0" borderId="1" xfId="4" applyNumberFormat="1" applyBorder="1" applyAlignment="1">
      <alignment horizontal="center" vertical="center" wrapText="1" shrinkToFit="1"/>
    </xf>
    <xf numFmtId="176" fontId="7" fillId="0" borderId="1" xfId="4" applyNumberFormat="1" applyBorder="1" applyAlignment="1">
      <alignment horizontal="center" vertical="center"/>
    </xf>
    <xf numFmtId="182" fontId="7" fillId="0" borderId="1" xfId="4" applyNumberForma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180" fontId="1" fillId="2" borderId="1" xfId="0" applyNumberFormat="1" applyFont="1" applyFill="1" applyBorder="1" applyAlignment="1">
      <alignment vertical="center" wrapText="1"/>
    </xf>
    <xf numFmtId="176" fontId="1" fillId="2" borderId="1" xfId="5" applyNumberFormat="1" applyFont="1" applyFill="1" applyBorder="1" applyAlignment="1" applyProtection="1">
      <alignment vertical="center" wrapText="1"/>
      <protection locked="0"/>
    </xf>
    <xf numFmtId="182" fontId="1" fillId="2" borderId="1" xfId="6" applyNumberFormat="1" applyFont="1" applyFill="1" applyBorder="1">
      <alignment vertical="center"/>
    </xf>
    <xf numFmtId="182" fontId="1" fillId="2" borderId="1" xfId="0" applyNumberFormat="1" applyFont="1" applyFill="1" applyBorder="1" applyAlignment="1">
      <alignment vertical="center" wrapText="1"/>
    </xf>
    <xf numFmtId="180" fontId="0" fillId="2" borderId="1" xfId="0" applyNumberFormat="1" applyFill="1" applyBorder="1" applyAlignment="1">
      <alignment vertical="center"/>
    </xf>
    <xf numFmtId="176" fontId="0" fillId="2" borderId="1" xfId="0" applyNumberFormat="1" applyFill="1" applyBorder="1" applyAlignment="1">
      <alignment vertical="center"/>
    </xf>
    <xf numFmtId="182" fontId="0" fillId="2" borderId="1" xfId="0" applyNumberFormat="1" applyFill="1" applyBorder="1" applyAlignment="1">
      <alignment vertical="center"/>
    </xf>
    <xf numFmtId="176" fontId="7" fillId="4" borderId="1" xfId="4" applyNumberFormat="1" applyFill="1" applyBorder="1" applyAlignment="1">
      <alignment horizontal="center" vertical="center" wrapText="1"/>
    </xf>
    <xf numFmtId="180" fontId="7" fillId="0" borderId="1" xfId="4" applyNumberFormat="1" applyBorder="1" applyAlignment="1">
      <alignment horizontal="center" vertical="center" wrapText="1"/>
    </xf>
    <xf numFmtId="182" fontId="1" fillId="2" borderId="1" xfId="5" applyNumberFormat="1" applyFont="1" applyFill="1" applyBorder="1" applyAlignment="1" applyProtection="1">
      <alignment vertical="center" wrapText="1"/>
      <protection locked="0"/>
    </xf>
    <xf numFmtId="177" fontId="1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vertical="center"/>
    </xf>
    <xf numFmtId="180" fontId="6" fillId="2" borderId="1" xfId="0" applyNumberFormat="1" applyFont="1" applyFill="1" applyBorder="1" applyAlignment="1">
      <alignment vertical="center"/>
    </xf>
    <xf numFmtId="183" fontId="1" fillId="2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76" fontId="7" fillId="0" borderId="1" xfId="4" applyNumberFormat="1" applyBorder="1" applyAlignment="1">
      <alignment horizontal="center" vertical="center" shrinkToFit="1"/>
    </xf>
    <xf numFmtId="179" fontId="0" fillId="2" borderId="2" xfId="1" applyNumberFormat="1" applyFont="1" applyFill="1" applyBorder="1" applyAlignment="1">
      <alignment horizontal="center" vertical="center"/>
    </xf>
    <xf numFmtId="179" fontId="0" fillId="2" borderId="5" xfId="1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7" fontId="0" fillId="2" borderId="1" xfId="0" applyNumberFormat="1" applyFill="1" applyBorder="1" applyAlignment="1">
      <alignment vertical="center"/>
    </xf>
    <xf numFmtId="179" fontId="0" fillId="2" borderId="3" xfId="1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185" fontId="0" fillId="2" borderId="2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vertical="center"/>
    </xf>
    <xf numFmtId="0" fontId="0" fillId="4" borderId="0" xfId="0" applyFill="1" applyAlignment="1">
      <alignment horizontal="center" vertical="center" wrapText="1"/>
    </xf>
    <xf numFmtId="177" fontId="0" fillId="0" borderId="0" xfId="0" applyNumberFormat="1" applyFill="1" applyAlignment="1">
      <alignment vertical="center"/>
    </xf>
    <xf numFmtId="9" fontId="3" fillId="0" borderId="0" xfId="0" applyNumberFormat="1" applyFont="1" applyFill="1" applyAlignment="1">
      <alignment horizontal="center" vertical="center" wrapText="1"/>
    </xf>
    <xf numFmtId="179" fontId="3" fillId="0" borderId="0" xfId="1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2" applyNumberFormat="1" applyFont="1" applyFill="1" applyBorder="1" applyAlignment="1" applyProtection="1">
      <alignment horizontal="center" vertical="center" wrapText="1"/>
    </xf>
    <xf numFmtId="0" fontId="1" fillId="3" borderId="1" xfId="3" applyFont="1" applyFill="1" applyBorder="1" applyAlignment="1" applyProtection="1">
      <alignment horizontal="center" vertical="center" wrapText="1"/>
      <protection locked="0"/>
    </xf>
    <xf numFmtId="176" fontId="1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2" applyNumberFormat="1" applyFont="1" applyFill="1" applyBorder="1" applyAlignment="1" applyProtection="1">
      <alignment horizontal="center" vertical="center" wrapText="1"/>
    </xf>
    <xf numFmtId="0" fontId="4" fillId="3" borderId="1" xfId="3" applyFont="1" applyFill="1" applyBorder="1" applyAlignment="1" applyProtection="1">
      <alignment horizontal="center" vertical="center" wrapText="1"/>
      <protection locked="0"/>
    </xf>
    <xf numFmtId="176" fontId="13" fillId="3" borderId="1" xfId="3" applyNumberFormat="1" applyFont="1" applyFill="1" applyBorder="1" applyAlignment="1" applyProtection="1">
      <alignment horizontal="center" vertical="center" wrapText="1"/>
      <protection locked="0"/>
    </xf>
    <xf numFmtId="2" fontId="4" fillId="3" borderId="1" xfId="3" applyNumberFormat="1" applyFont="1" applyFill="1" applyBorder="1" applyAlignment="1" applyProtection="1">
      <alignment horizontal="center" vertical="center" wrapText="1"/>
      <protection locked="0"/>
    </xf>
    <xf numFmtId="2" fontId="1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4" applyBorder="1" applyAlignment="1">
      <alignment horizontal="center" vertical="center"/>
    </xf>
    <xf numFmtId="184" fontId="7" fillId="0" borderId="4" xfId="4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80" fontId="7" fillId="0" borderId="1" xfId="4" applyNumberFormat="1" applyBorder="1" applyAlignment="1">
      <alignment horizontal="center" vertical="center" wrapText="1" shrinkToFit="1"/>
    </xf>
    <xf numFmtId="176" fontId="7" fillId="0" borderId="1" xfId="4" applyNumberFormat="1" applyBorder="1" applyAlignment="1">
      <alignment horizontal="center" vertical="center"/>
    </xf>
    <xf numFmtId="182" fontId="7" fillId="0" borderId="1" xfId="4" applyNumberFormat="1" applyBorder="1" applyAlignment="1">
      <alignment horizontal="center" vertical="center" shrinkToFit="1"/>
    </xf>
    <xf numFmtId="176" fontId="7" fillId="4" borderId="1" xfId="4" applyNumberFormat="1" applyFill="1" applyBorder="1" applyAlignment="1">
      <alignment horizontal="center" vertical="center"/>
    </xf>
    <xf numFmtId="0" fontId="7" fillId="0" borderId="2" xfId="4" applyBorder="1" applyAlignment="1">
      <alignment horizontal="center" vertical="center"/>
    </xf>
    <xf numFmtId="0" fontId="7" fillId="0" borderId="3" xfId="4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0" borderId="1" xfId="4" applyBorder="1" applyAlignment="1">
      <alignment horizontal="center" vertical="center" wrapText="1"/>
    </xf>
    <xf numFmtId="0" fontId="7" fillId="0" borderId="2" xfId="4" applyBorder="1" applyAlignment="1">
      <alignment horizontal="center" vertical="center" wrapText="1"/>
    </xf>
    <xf numFmtId="0" fontId="7" fillId="0" borderId="3" xfId="4" applyBorder="1" applyAlignment="1">
      <alignment horizontal="center" vertical="center" wrapText="1"/>
    </xf>
    <xf numFmtId="0" fontId="7" fillId="0" borderId="1" xfId="4" applyBorder="1" applyAlignment="1">
      <alignment horizontal="center" vertical="center" wrapText="1" shrinkToFit="1"/>
    </xf>
    <xf numFmtId="0" fontId="7" fillId="0" borderId="2" xfId="4" applyBorder="1" applyAlignment="1">
      <alignment horizontal="center" vertical="center" shrinkToFit="1"/>
    </xf>
    <xf numFmtId="0" fontId="7" fillId="0" borderId="3" xfId="4" applyBorder="1" applyAlignment="1">
      <alignment horizontal="center" vertical="center" shrinkToFit="1"/>
    </xf>
    <xf numFmtId="9" fontId="3" fillId="2" borderId="1" xfId="0" applyNumberFormat="1" applyFont="1" applyFill="1" applyBorder="1" applyAlignment="1">
      <alignment horizontal="center" vertical="center" wrapText="1"/>
    </xf>
    <xf numFmtId="179" fontId="0" fillId="0" borderId="1" xfId="1" applyNumberFormat="1" applyFont="1" applyFill="1" applyBorder="1" applyAlignment="1">
      <alignment horizontal="center" vertical="center" wrapText="1"/>
    </xf>
    <xf numFmtId="184" fontId="7" fillId="0" borderId="1" xfId="4" applyNumberForma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176" fontId="0" fillId="0" borderId="1" xfId="0" applyNumberFormat="1" applyBorder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2" applyNumberFormat="1" applyFont="1" applyFill="1" applyBorder="1" applyAlignment="1" applyProtection="1">
      <alignment horizontal="center" vertical="center" wrapText="1"/>
    </xf>
  </cellXfs>
  <cellStyles count="7">
    <cellStyle name="BOM_Level_Below3" xfId="5"/>
    <cellStyle name="常规" xfId="0" builtinId="0"/>
    <cellStyle name="常规 2" xfId="4"/>
    <cellStyle name="常规 3" xfId="6"/>
    <cellStyle name="常规_正司机座椅 _28 2" xfId="2"/>
    <cellStyle name="千位分隔" xfId="1" builtinId="3"/>
    <cellStyle name="样式 1 2" xfId="3"/>
  </cellStyles>
  <dxfs count="4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pn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160020</xdr:colOff>
      <xdr:row>5</xdr:row>
      <xdr:rowOff>243840</xdr:rowOff>
    </xdr:from>
    <xdr:to>
      <xdr:col>4</xdr:col>
      <xdr:colOff>1691640</xdr:colOff>
      <xdr:row>7</xdr:row>
      <xdr:rowOff>152400</xdr:rowOff>
    </xdr:to>
    <xdr:pic>
      <xdr:nvPicPr>
        <xdr:cNvPr id="2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85" t="37598" r="12505" b="33772"/>
        <a:stretch>
          <a:fillRect/>
        </a:stretch>
      </xdr:blipFill>
      <xdr:spPr>
        <a:xfrm>
          <a:off x="3531870" y="1301115"/>
          <a:ext cx="15316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822960</xdr:colOff>
      <xdr:row>14</xdr:row>
      <xdr:rowOff>38100</xdr:rowOff>
    </xdr:from>
    <xdr:to>
      <xdr:col>4</xdr:col>
      <xdr:colOff>1165860</xdr:colOff>
      <xdr:row>15</xdr:row>
      <xdr:rowOff>53340</xdr:rowOff>
    </xdr:to>
    <xdr:pic>
      <xdr:nvPicPr>
        <xdr:cNvPr id="3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80" b="-780"/>
        <a:stretch>
          <a:fillRect/>
        </a:stretch>
      </xdr:blipFill>
      <xdr:spPr>
        <a:xfrm>
          <a:off x="4194810" y="3598545"/>
          <a:ext cx="342900" cy="370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403860</xdr:colOff>
      <xdr:row>12</xdr:row>
      <xdr:rowOff>304801</xdr:rowOff>
    </xdr:from>
    <xdr:to>
      <xdr:col>4</xdr:col>
      <xdr:colOff>800100</xdr:colOff>
      <xdr:row>14</xdr:row>
      <xdr:rowOff>83821</xdr:rowOff>
    </xdr:to>
    <xdr:pic>
      <xdr:nvPicPr>
        <xdr:cNvPr id="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36" b="-1636"/>
        <a:stretch>
          <a:fillRect/>
        </a:stretch>
      </xdr:blipFill>
      <xdr:spPr>
        <a:xfrm>
          <a:off x="3775710" y="3286125"/>
          <a:ext cx="3962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723900</xdr:colOff>
      <xdr:row>11</xdr:row>
      <xdr:rowOff>73633</xdr:rowOff>
    </xdr:from>
    <xdr:to>
      <xdr:col>4</xdr:col>
      <xdr:colOff>1371600</xdr:colOff>
      <xdr:row>12</xdr:row>
      <xdr:rowOff>297180</xdr:rowOff>
    </xdr:to>
    <xdr:pic>
      <xdr:nvPicPr>
        <xdr:cNvPr id="5" name="图片 14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5750" y="2730500"/>
          <a:ext cx="647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320040</xdr:colOff>
      <xdr:row>20</xdr:row>
      <xdr:rowOff>83820</xdr:rowOff>
    </xdr:from>
    <xdr:to>
      <xdr:col>3</xdr:col>
      <xdr:colOff>201022</xdr:colOff>
      <xdr:row>26</xdr:row>
      <xdr:rowOff>236220</xdr:rowOff>
    </xdr:to>
    <xdr:pic>
      <xdr:nvPicPr>
        <xdr:cNvPr id="6" name="图片 14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8665" y="5413375"/>
          <a:ext cx="1614170" cy="193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205740</xdr:colOff>
      <xdr:row>18</xdr:row>
      <xdr:rowOff>106681</xdr:rowOff>
    </xdr:from>
    <xdr:to>
      <xdr:col>4</xdr:col>
      <xdr:colOff>1315720</xdr:colOff>
      <xdr:row>20</xdr:row>
      <xdr:rowOff>85757</xdr:rowOff>
    </xdr:to>
    <xdr:pic>
      <xdr:nvPicPr>
        <xdr:cNvPr id="7" name="图片 14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7590" y="4788535"/>
          <a:ext cx="110998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531495</xdr:colOff>
      <xdr:row>23</xdr:row>
      <xdr:rowOff>30480</xdr:rowOff>
    </xdr:from>
    <xdr:to>
      <xdr:col>4</xdr:col>
      <xdr:colOff>798195</xdr:colOff>
      <xdr:row>26</xdr:row>
      <xdr:rowOff>17145</xdr:rowOff>
    </xdr:to>
    <xdr:pic>
      <xdr:nvPicPr>
        <xdr:cNvPr id="8" name="图片 15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03345" y="6264275"/>
          <a:ext cx="266700" cy="86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182880</xdr:colOff>
      <xdr:row>28</xdr:row>
      <xdr:rowOff>243840</xdr:rowOff>
    </xdr:from>
    <xdr:to>
      <xdr:col>4</xdr:col>
      <xdr:colOff>1568395</xdr:colOff>
      <xdr:row>33</xdr:row>
      <xdr:rowOff>45720</xdr:rowOff>
    </xdr:to>
    <xdr:pic>
      <xdr:nvPicPr>
        <xdr:cNvPr id="9" name="图片 14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4730" y="7867015"/>
          <a:ext cx="1384935" cy="1215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302782</xdr:colOff>
      <xdr:row>35</xdr:row>
      <xdr:rowOff>68810</xdr:rowOff>
    </xdr:from>
    <xdr:to>
      <xdr:col>4</xdr:col>
      <xdr:colOff>1051559</xdr:colOff>
      <xdr:row>36</xdr:row>
      <xdr:rowOff>104439</xdr:rowOff>
    </xdr:to>
    <xdr:pic>
      <xdr:nvPicPr>
        <xdr:cNvPr id="10" name="图片 15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4110" y="9615805"/>
          <a:ext cx="748665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563432</xdr:colOff>
      <xdr:row>36</xdr:row>
      <xdr:rowOff>246978</xdr:rowOff>
    </xdr:from>
    <xdr:to>
      <xdr:col>4</xdr:col>
      <xdr:colOff>865990</xdr:colOff>
      <xdr:row>38</xdr:row>
      <xdr:rowOff>42959</xdr:rowOff>
    </xdr:to>
    <xdr:pic>
      <xdr:nvPicPr>
        <xdr:cNvPr id="11" name="图片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35095" y="10117455"/>
          <a:ext cx="302260" cy="306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350520</xdr:colOff>
      <xdr:row>36</xdr:row>
      <xdr:rowOff>77159</xdr:rowOff>
    </xdr:from>
    <xdr:to>
      <xdr:col>3</xdr:col>
      <xdr:colOff>487680</xdr:colOff>
      <xdr:row>38</xdr:row>
      <xdr:rowOff>249950</xdr:rowOff>
    </xdr:to>
    <xdr:pic>
      <xdr:nvPicPr>
        <xdr:cNvPr id="12" name="图片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9145" y="9947910"/>
          <a:ext cx="1870710" cy="683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365760</xdr:colOff>
      <xdr:row>12</xdr:row>
      <xdr:rowOff>68580</xdr:rowOff>
    </xdr:from>
    <xdr:to>
      <xdr:col>3</xdr:col>
      <xdr:colOff>22860</xdr:colOff>
      <xdr:row>15</xdr:row>
      <xdr:rowOff>121920</xdr:rowOff>
    </xdr:to>
    <xdr:pic>
      <xdr:nvPicPr>
        <xdr:cNvPr id="13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75" t="8730" r="9627" b="13121"/>
        <a:stretch>
          <a:fillRect/>
        </a:stretch>
      </xdr:blipFill>
      <xdr:spPr>
        <a:xfrm>
          <a:off x="794385" y="3049905"/>
          <a:ext cx="1390650" cy="988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373380</xdr:colOff>
      <xdr:row>43</xdr:row>
      <xdr:rowOff>182880</xdr:rowOff>
    </xdr:from>
    <xdr:to>
      <xdr:col>4</xdr:col>
      <xdr:colOff>1242060</xdr:colOff>
      <xdr:row>50</xdr:row>
      <xdr:rowOff>180340</xdr:rowOff>
    </xdr:to>
    <xdr:pic>
      <xdr:nvPicPr>
        <xdr:cNvPr id="14" name="图片 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5230" y="11840845"/>
          <a:ext cx="868680" cy="185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54</xdr:row>
      <xdr:rowOff>314324</xdr:rowOff>
    </xdr:from>
    <xdr:to>
      <xdr:col>4</xdr:col>
      <xdr:colOff>1443718</xdr:colOff>
      <xdr:row>57</xdr:row>
      <xdr:rowOff>167639</xdr:rowOff>
    </xdr:to>
    <xdr:pic>
      <xdr:nvPicPr>
        <xdr:cNvPr id="15" name="图片 2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2850" y="14848205"/>
          <a:ext cx="1062355" cy="687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213360</xdr:colOff>
      <xdr:row>59</xdr:row>
      <xdr:rowOff>228600</xdr:rowOff>
    </xdr:from>
    <xdr:to>
      <xdr:col>4</xdr:col>
      <xdr:colOff>1563858</xdr:colOff>
      <xdr:row>62</xdr:row>
      <xdr:rowOff>137160</xdr:rowOff>
    </xdr:to>
    <xdr:pic>
      <xdr:nvPicPr>
        <xdr:cNvPr id="16" name="图片 227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5210" y="16108045"/>
          <a:ext cx="135001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350520</xdr:colOff>
      <xdr:row>64</xdr:row>
      <xdr:rowOff>182880</xdr:rowOff>
    </xdr:from>
    <xdr:to>
      <xdr:col>4</xdr:col>
      <xdr:colOff>1131088</xdr:colOff>
      <xdr:row>67</xdr:row>
      <xdr:rowOff>38100</xdr:rowOff>
    </xdr:to>
    <xdr:pic>
      <xdr:nvPicPr>
        <xdr:cNvPr id="17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39" t="-710" r="17780" b="-710"/>
        <a:stretch>
          <a:fillRect/>
        </a:stretch>
      </xdr:blipFill>
      <xdr:spPr>
        <a:xfrm>
          <a:off x="3722370" y="17407255"/>
          <a:ext cx="780415" cy="689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7995;&#261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标价格"/>
      <sheetName val="汇总表"/>
      <sheetName val="河北金属件目标价格"/>
      <sheetName val="河北金属件目标价格 (2)"/>
      <sheetName val="冲压工序费"/>
      <sheetName val="成卓"/>
      <sheetName val="航天宏达按集团"/>
      <sheetName val="航天宏达按库房"/>
    </sheetNames>
    <sheetDataSet>
      <sheetData sheetId="0"/>
      <sheetData sheetId="1"/>
      <sheetData sheetId="2"/>
      <sheetData sheetId="3"/>
      <sheetData sheetId="4">
        <row r="1">
          <cell r="B1" t="str">
            <v>冲压机</v>
          </cell>
          <cell r="C1" t="str">
            <v>工序费</v>
          </cell>
        </row>
        <row r="2">
          <cell r="B2" t="str">
            <v>16T</v>
          </cell>
          <cell r="C2">
            <v>0.03</v>
          </cell>
        </row>
        <row r="3">
          <cell r="B3" t="str">
            <v>25T</v>
          </cell>
          <cell r="C3">
            <v>0.03</v>
          </cell>
        </row>
        <row r="4">
          <cell r="B4" t="str">
            <v>40T</v>
          </cell>
          <cell r="C4">
            <v>0.03</v>
          </cell>
        </row>
        <row r="5">
          <cell r="B5" t="str">
            <v>60T</v>
          </cell>
          <cell r="C5">
            <v>0.04</v>
          </cell>
        </row>
        <row r="6">
          <cell r="B6" t="str">
            <v>63T</v>
          </cell>
          <cell r="C6">
            <v>0.04</v>
          </cell>
        </row>
        <row r="7">
          <cell r="B7" t="str">
            <v>65t</v>
          </cell>
          <cell r="C7">
            <v>0.04</v>
          </cell>
        </row>
        <row r="8">
          <cell r="B8" t="str">
            <v>80T</v>
          </cell>
          <cell r="C8">
            <v>0.05</v>
          </cell>
        </row>
        <row r="9">
          <cell r="B9" t="str">
            <v>100T</v>
          </cell>
          <cell r="C9">
            <v>7.0000000000000007E-2</v>
          </cell>
        </row>
        <row r="10">
          <cell r="B10" t="str">
            <v>110T</v>
          </cell>
          <cell r="C10">
            <v>7.4999999999999997E-2</v>
          </cell>
        </row>
        <row r="11">
          <cell r="B11" t="str">
            <v>125T</v>
          </cell>
          <cell r="C11">
            <v>0.08</v>
          </cell>
        </row>
        <row r="12">
          <cell r="B12" t="str">
            <v>160T</v>
          </cell>
          <cell r="C12">
            <v>0.1</v>
          </cell>
        </row>
        <row r="13">
          <cell r="B13" t="str">
            <v>200T</v>
          </cell>
          <cell r="C13">
            <v>0.15</v>
          </cell>
        </row>
        <row r="14">
          <cell r="B14" t="str">
            <v>250T</v>
          </cell>
          <cell r="C14">
            <v>0.18</v>
          </cell>
        </row>
        <row r="15">
          <cell r="B15" t="str">
            <v>315T</v>
          </cell>
          <cell r="C15">
            <v>0.2</v>
          </cell>
        </row>
        <row r="16">
          <cell r="B16" t="str">
            <v>350T</v>
          </cell>
          <cell r="C16">
            <v>0.28000000000000003</v>
          </cell>
        </row>
        <row r="17">
          <cell r="B17" t="str">
            <v>400T</v>
          </cell>
          <cell r="C17">
            <v>0.3</v>
          </cell>
        </row>
        <row r="18">
          <cell r="B18" t="str">
            <v>液压机160T</v>
          </cell>
          <cell r="C18">
            <v>0.16</v>
          </cell>
        </row>
        <row r="19">
          <cell r="B19" t="str">
            <v>液压机200T</v>
          </cell>
          <cell r="C19">
            <v>0.2</v>
          </cell>
        </row>
        <row r="20">
          <cell r="B20" t="str">
            <v>液压机315T</v>
          </cell>
          <cell r="C20">
            <v>0.25</v>
          </cell>
        </row>
        <row r="21">
          <cell r="B21" t="str">
            <v>液压机500T</v>
          </cell>
          <cell r="C21">
            <v>0.53</v>
          </cell>
        </row>
        <row r="22">
          <cell r="B22" t="str">
            <v>1CM</v>
          </cell>
          <cell r="C22">
            <v>0.05</v>
          </cell>
        </row>
        <row r="23">
          <cell r="B23" t="str">
            <v>1个</v>
          </cell>
          <cell r="C23">
            <v>0.1</v>
          </cell>
        </row>
        <row r="24">
          <cell r="B24" t="str">
            <v>1㎡</v>
          </cell>
          <cell r="C24">
            <v>7</v>
          </cell>
        </row>
        <row r="25">
          <cell r="B25" t="str">
            <v>1㎡</v>
          </cell>
          <cell r="C25">
            <v>14</v>
          </cell>
        </row>
        <row r="26">
          <cell r="B26" t="str">
            <v>1㎡</v>
          </cell>
          <cell r="C26">
            <v>30</v>
          </cell>
        </row>
        <row r="27">
          <cell r="B27" t="str">
            <v>1000T</v>
          </cell>
          <cell r="C27">
            <v>0.48317500000000002</v>
          </cell>
        </row>
        <row r="28">
          <cell r="B28" t="str">
            <v>液压机1000T</v>
          </cell>
          <cell r="C28">
            <v>0.32305</v>
          </cell>
        </row>
        <row r="29">
          <cell r="B29" t="str">
            <v>液压机500T</v>
          </cell>
          <cell r="C29">
            <v>0.16817499999999999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70"/>
  <sheetViews>
    <sheetView workbookViewId="0">
      <pane ySplit="5" topLeftCell="A6" activePane="bottomLeft" state="frozenSplit"/>
      <selection pane="bottomLeft" activeCell="J23" sqref="J23"/>
    </sheetView>
  </sheetViews>
  <sheetFormatPr defaultColWidth="9" defaultRowHeight="14.25" x14ac:dyDescent="0.2"/>
  <cols>
    <col min="1" max="1" width="5.625" style="11" customWidth="1"/>
    <col min="2" max="3" width="11.375" style="11" customWidth="1"/>
    <col min="4" max="4" width="15.875" style="11" customWidth="1"/>
    <col min="5" max="5" width="28" style="11" customWidth="1"/>
    <col min="6" max="6" width="11.875" style="12" customWidth="1"/>
    <col min="7" max="7" width="12.125" style="13" customWidth="1"/>
    <col min="8" max="8" width="6.125" style="14" customWidth="1"/>
    <col min="9" max="9" width="8" style="11" customWidth="1"/>
    <col min="10" max="10" width="6.625" style="11" customWidth="1"/>
    <col min="11" max="11" width="7.625" style="11" customWidth="1"/>
    <col min="12" max="12" width="5.5" style="11" customWidth="1"/>
    <col min="13" max="14" width="5.75" style="11" customWidth="1"/>
    <col min="15" max="16" width="6.625" style="11" customWidth="1"/>
    <col min="17" max="17" width="7.125" style="11" customWidth="1"/>
    <col min="18" max="18" width="8" style="11" customWidth="1"/>
    <col min="19" max="21" width="6.875" style="15" customWidth="1"/>
    <col min="22" max="22" width="7.5" style="11" customWidth="1"/>
    <col min="23" max="23" width="9" style="11"/>
    <col min="24" max="24" width="8.125" style="11" customWidth="1"/>
    <col min="25" max="26" width="9" style="11"/>
    <col min="27" max="27" width="10.5" style="16" customWidth="1"/>
    <col min="28" max="28" width="8.125" style="11" customWidth="1"/>
    <col min="29" max="29" width="10.5" style="11" customWidth="1"/>
    <col min="30" max="30" width="10.125" style="11" customWidth="1"/>
    <col min="31" max="31" width="11.5" style="11" customWidth="1"/>
    <col min="32" max="16384" width="9" style="11"/>
  </cols>
  <sheetData>
    <row r="1" spans="1:33" x14ac:dyDescent="0.2">
      <c r="B1" s="17" t="s">
        <v>34</v>
      </c>
      <c r="C1" s="17" t="s">
        <v>35</v>
      </c>
      <c r="D1" s="17" t="s">
        <v>36</v>
      </c>
      <c r="E1" s="17" t="s">
        <v>37</v>
      </c>
    </row>
    <row r="2" spans="1:33" x14ac:dyDescent="0.2">
      <c r="B2" s="18">
        <v>283</v>
      </c>
      <c r="C2" s="18">
        <v>83</v>
      </c>
      <c r="D2" s="18">
        <v>2.5</v>
      </c>
      <c r="E2" s="19">
        <f>(B2+C2)*2*D2*440/9800</f>
        <v>82.163265306122497</v>
      </c>
    </row>
    <row r="3" spans="1:33" x14ac:dyDescent="0.2">
      <c r="B3" s="17">
        <v>295</v>
      </c>
      <c r="C3" s="17">
        <v>145</v>
      </c>
      <c r="D3" s="17">
        <v>2</v>
      </c>
      <c r="E3" s="19">
        <f>(B3+C3)*2*D3*440/9800</f>
        <v>79.020408163265301</v>
      </c>
    </row>
    <row r="4" spans="1:33" s="8" customFormat="1" ht="19.5" customHeight="1" x14ac:dyDescent="0.2">
      <c r="A4" s="91" t="s">
        <v>0</v>
      </c>
      <c r="B4" s="96" t="s">
        <v>38</v>
      </c>
      <c r="C4" s="97" t="s">
        <v>1</v>
      </c>
      <c r="D4" s="96" t="s">
        <v>39</v>
      </c>
      <c r="E4" s="97" t="s">
        <v>40</v>
      </c>
      <c r="F4" s="96" t="s">
        <v>41</v>
      </c>
      <c r="G4" s="99" t="s">
        <v>42</v>
      </c>
      <c r="H4" s="96" t="s">
        <v>43</v>
      </c>
      <c r="I4" s="100" t="s">
        <v>44</v>
      </c>
      <c r="J4" s="87" t="s">
        <v>45</v>
      </c>
      <c r="K4" s="87"/>
      <c r="L4" s="87"/>
      <c r="M4" s="88" t="s">
        <v>46</v>
      </c>
      <c r="N4" s="88"/>
      <c r="O4" s="89" t="s">
        <v>47</v>
      </c>
      <c r="P4" s="89"/>
      <c r="Q4" s="89"/>
      <c r="R4" s="88" t="s">
        <v>48</v>
      </c>
      <c r="S4" s="90" t="s">
        <v>49</v>
      </c>
      <c r="T4" s="90"/>
      <c r="U4" s="90"/>
      <c r="V4" s="88"/>
      <c r="W4" s="88"/>
      <c r="X4" s="88"/>
      <c r="Y4" s="88"/>
      <c r="Z4" s="88" t="s">
        <v>50</v>
      </c>
      <c r="AA4" s="103" t="s">
        <v>51</v>
      </c>
      <c r="AB4" s="104" t="s">
        <v>3</v>
      </c>
      <c r="AC4" s="84" t="s">
        <v>52</v>
      </c>
      <c r="AD4" s="84" t="s">
        <v>53</v>
      </c>
      <c r="AE4" s="83" t="s">
        <v>54</v>
      </c>
      <c r="AF4" s="83"/>
      <c r="AG4" s="83"/>
    </row>
    <row r="5" spans="1:33" s="8" customFormat="1" ht="21" customHeight="1" x14ac:dyDescent="0.2">
      <c r="A5" s="92"/>
      <c r="B5" s="96"/>
      <c r="C5" s="98"/>
      <c r="D5" s="96"/>
      <c r="E5" s="98"/>
      <c r="F5" s="96"/>
      <c r="G5" s="99"/>
      <c r="H5" s="96"/>
      <c r="I5" s="101"/>
      <c r="J5" s="30" t="s">
        <v>55</v>
      </c>
      <c r="K5" s="30" t="s">
        <v>56</v>
      </c>
      <c r="L5" s="30" t="s">
        <v>57</v>
      </c>
      <c r="M5" s="31" t="s">
        <v>58</v>
      </c>
      <c r="N5" s="31" t="s">
        <v>59</v>
      </c>
      <c r="O5" s="32" t="s">
        <v>60</v>
      </c>
      <c r="P5" s="32" t="s">
        <v>61</v>
      </c>
      <c r="Q5" s="32" t="s">
        <v>59</v>
      </c>
      <c r="R5" s="88"/>
      <c r="S5" s="41" t="s">
        <v>62</v>
      </c>
      <c r="T5" s="41"/>
      <c r="U5" s="41"/>
      <c r="V5" s="31" t="s">
        <v>63</v>
      </c>
      <c r="W5" s="31" t="s">
        <v>64</v>
      </c>
      <c r="X5" s="42" t="s">
        <v>65</v>
      </c>
      <c r="Y5" s="51" t="s">
        <v>66</v>
      </c>
      <c r="Z5" s="88"/>
      <c r="AA5" s="103"/>
      <c r="AB5" s="104"/>
      <c r="AC5" s="84"/>
      <c r="AD5" s="84"/>
      <c r="AE5" s="20" t="s">
        <v>38</v>
      </c>
      <c r="AF5" s="20" t="s">
        <v>1</v>
      </c>
      <c r="AG5" s="20" t="s">
        <v>39</v>
      </c>
    </row>
    <row r="6" spans="1:33" s="9" customFormat="1" ht="25.5" customHeight="1" x14ac:dyDescent="0.2">
      <c r="A6" s="93">
        <v>8</v>
      </c>
      <c r="B6" s="22" t="s">
        <v>9</v>
      </c>
      <c r="C6" s="21" t="s">
        <v>9</v>
      </c>
      <c r="D6" s="22" t="s">
        <v>10</v>
      </c>
      <c r="E6" s="93"/>
      <c r="F6" s="21" t="s">
        <v>9</v>
      </c>
      <c r="G6" s="22" t="s">
        <v>10</v>
      </c>
      <c r="H6" s="23">
        <v>1</v>
      </c>
      <c r="I6" s="33" t="s">
        <v>67</v>
      </c>
      <c r="J6" s="34">
        <v>147</v>
      </c>
      <c r="K6" s="34">
        <v>30</v>
      </c>
      <c r="L6" s="34">
        <v>4</v>
      </c>
      <c r="M6" s="35">
        <f>5.5/1.13</f>
        <v>4.8672566371681398</v>
      </c>
      <c r="N6" s="35">
        <v>2.5</v>
      </c>
      <c r="O6" s="36">
        <f>J6*K6*L6*0.00000785</f>
        <v>0.13847400000000001</v>
      </c>
      <c r="P6" s="37">
        <v>4.1000000000000002E-2</v>
      </c>
      <c r="Q6" s="43">
        <f>O6-P6</f>
        <v>9.7474000000000005E-2</v>
      </c>
      <c r="R6" s="35">
        <f>M6*O6-N6*Q6</f>
        <v>0.43030349557522102</v>
      </c>
      <c r="S6" s="44" t="s">
        <v>68</v>
      </c>
      <c r="T6" s="44">
        <f>25*8/3000</f>
        <v>6.6666666666666693E-2</v>
      </c>
      <c r="U6" s="44"/>
      <c r="V6" s="45" t="s">
        <v>69</v>
      </c>
      <c r="W6" s="46">
        <f>VLOOKUP(V6,[1]冲压工序费!B:C,2,0)</f>
        <v>0.08</v>
      </c>
      <c r="X6" s="47">
        <v>1</v>
      </c>
      <c r="Y6" s="46">
        <f t="shared" ref="Y6:Y9" si="0">W6*X6</f>
        <v>0.08</v>
      </c>
      <c r="Z6" s="102">
        <v>1.2</v>
      </c>
      <c r="AA6" s="52">
        <f>(R6+Y11)*Z6+R8*1.03</f>
        <v>0.86436419469026515</v>
      </c>
      <c r="AB6" s="3" t="s">
        <v>6</v>
      </c>
      <c r="AC6" s="5">
        <v>1.1642999999999999</v>
      </c>
      <c r="AD6" s="3" t="s">
        <v>70</v>
      </c>
      <c r="AE6" s="3"/>
      <c r="AF6" s="3"/>
      <c r="AG6" s="3"/>
    </row>
    <row r="7" spans="1:33" s="9" customFormat="1" ht="20.100000000000001" customHeight="1" x14ac:dyDescent="0.2">
      <c r="A7" s="94"/>
      <c r="B7" s="25"/>
      <c r="C7" s="24"/>
      <c r="D7" s="25"/>
      <c r="E7" s="94"/>
      <c r="F7" s="2"/>
      <c r="G7" s="7"/>
      <c r="H7" s="1"/>
      <c r="I7" s="29"/>
      <c r="J7" s="38"/>
      <c r="K7" s="38"/>
      <c r="L7" s="38"/>
      <c r="M7" s="39"/>
      <c r="N7" s="39"/>
      <c r="O7" s="40"/>
      <c r="P7" s="40"/>
      <c r="Q7" s="40"/>
      <c r="R7" s="39"/>
      <c r="S7" s="44" t="s">
        <v>71</v>
      </c>
      <c r="T7" s="44">
        <f>Y7</f>
        <v>0.05</v>
      </c>
      <c r="U7" s="44"/>
      <c r="V7" s="45"/>
      <c r="W7" s="46">
        <f>20*0.8</f>
        <v>16</v>
      </c>
      <c r="X7" s="48">
        <v>400</v>
      </c>
      <c r="Y7" s="46">
        <f>W7/X7+0.01</f>
        <v>0.05</v>
      </c>
      <c r="Z7" s="102"/>
      <c r="AA7" s="53"/>
      <c r="AB7" s="54"/>
      <c r="AC7" s="54"/>
      <c r="AD7" s="54"/>
      <c r="AE7" s="54"/>
      <c r="AF7" s="54"/>
      <c r="AG7" s="54"/>
    </row>
    <row r="8" spans="1:33" s="9" customFormat="1" ht="20.100000000000001" customHeight="1" x14ac:dyDescent="0.2">
      <c r="A8" s="94"/>
      <c r="B8" s="25"/>
      <c r="C8" s="24"/>
      <c r="D8" s="25"/>
      <c r="E8" s="94"/>
      <c r="F8" s="26"/>
      <c r="G8" s="26"/>
      <c r="H8" s="23"/>
      <c r="I8" s="33"/>
      <c r="J8" s="34"/>
      <c r="K8" s="34"/>
      <c r="L8" s="34"/>
      <c r="M8" s="35"/>
      <c r="N8" s="35"/>
      <c r="O8" s="36"/>
      <c r="P8" s="37"/>
      <c r="Q8" s="43"/>
      <c r="R8" s="35"/>
      <c r="S8" s="44" t="s">
        <v>72</v>
      </c>
      <c r="T8" s="44">
        <f>25*8/3000</f>
        <v>6.6666666666666693E-2</v>
      </c>
      <c r="U8" s="44"/>
      <c r="V8" s="45" t="s">
        <v>69</v>
      </c>
      <c r="W8" s="46">
        <f>VLOOKUP(V8,[1]冲压工序费!B:C,2,0)</f>
        <v>0.08</v>
      </c>
      <c r="X8" s="47">
        <v>1</v>
      </c>
      <c r="Y8" s="46">
        <f t="shared" si="0"/>
        <v>0.08</v>
      </c>
      <c r="Z8" s="102"/>
      <c r="AA8" s="53"/>
      <c r="AB8" s="54"/>
      <c r="AC8" s="54"/>
      <c r="AD8" s="54"/>
      <c r="AE8" s="54"/>
      <c r="AF8" s="54"/>
      <c r="AG8" s="54"/>
    </row>
    <row r="9" spans="1:33" s="9" customFormat="1" ht="20.100000000000001" customHeight="1" x14ac:dyDescent="0.2">
      <c r="A9" s="94"/>
      <c r="B9" s="25"/>
      <c r="C9" s="24"/>
      <c r="D9" s="25"/>
      <c r="E9" s="94"/>
      <c r="F9" s="26"/>
      <c r="G9" s="26"/>
      <c r="H9" s="23"/>
      <c r="I9" s="33"/>
      <c r="J9" s="34"/>
      <c r="K9" s="34"/>
      <c r="L9" s="34"/>
      <c r="M9" s="35"/>
      <c r="N9" s="35">
        <f>0.14*6.5</f>
        <v>0.91</v>
      </c>
      <c r="O9" s="36">
        <f>0.1*3.4</f>
        <v>0.34</v>
      </c>
      <c r="P9" s="37">
        <f>N9-O9</f>
        <v>0.56999999999999995</v>
      </c>
      <c r="Q9" s="43"/>
      <c r="R9" s="35"/>
      <c r="S9" s="44" t="s">
        <v>73</v>
      </c>
      <c r="T9" s="44">
        <f>25*8/2000</f>
        <v>0.1</v>
      </c>
      <c r="U9" s="44"/>
      <c r="V9" s="45" t="s">
        <v>69</v>
      </c>
      <c r="W9" s="46">
        <f>VLOOKUP(V9,[1]冲压工序费!B:C,2,0)</f>
        <v>0.08</v>
      </c>
      <c r="X9" s="47">
        <v>1</v>
      </c>
      <c r="Y9" s="46">
        <f t="shared" si="0"/>
        <v>0.08</v>
      </c>
      <c r="Z9" s="102"/>
      <c r="AA9" s="53"/>
      <c r="AB9" s="54"/>
      <c r="AC9" s="54"/>
      <c r="AD9" s="54"/>
      <c r="AE9" s="54"/>
      <c r="AF9" s="54"/>
      <c r="AG9" s="54"/>
    </row>
    <row r="10" spans="1:33" s="9" customFormat="1" ht="20.100000000000001" customHeight="1" x14ac:dyDescent="0.2">
      <c r="A10" s="94"/>
      <c r="B10" s="25"/>
      <c r="C10" s="24"/>
      <c r="D10" s="25"/>
      <c r="E10" s="94"/>
      <c r="F10" s="26"/>
      <c r="G10" s="26"/>
      <c r="H10" s="23"/>
      <c r="I10" s="33"/>
      <c r="J10" s="34"/>
      <c r="K10" s="34"/>
      <c r="L10" s="34"/>
      <c r="M10" s="35"/>
      <c r="N10" s="35">
        <f>0.14*5.5</f>
        <v>0.77</v>
      </c>
      <c r="O10" s="36">
        <f>0.1*2.4</f>
        <v>0.24</v>
      </c>
      <c r="P10" s="37">
        <f>N10-O10</f>
        <v>0.53</v>
      </c>
      <c r="Q10" s="43"/>
      <c r="R10" s="35"/>
      <c r="S10" s="44"/>
      <c r="T10" s="44">
        <f>SUM(T6:T9)</f>
        <v>0.28333333333333299</v>
      </c>
      <c r="U10" s="44"/>
      <c r="V10" s="45"/>
      <c r="W10" s="46"/>
      <c r="X10" s="47"/>
      <c r="Y10" s="46">
        <f>X10*W10*P6</f>
        <v>0</v>
      </c>
      <c r="Z10" s="102"/>
      <c r="AA10" s="53"/>
      <c r="AB10" s="54"/>
      <c r="AC10" s="54"/>
      <c r="AD10" s="54"/>
      <c r="AE10" s="54"/>
      <c r="AF10" s="54"/>
      <c r="AG10" s="54"/>
    </row>
    <row r="11" spans="1:33" s="9" customFormat="1" ht="20.100000000000001" customHeight="1" x14ac:dyDescent="0.2">
      <c r="A11" s="95"/>
      <c r="B11" s="28"/>
      <c r="C11" s="27"/>
      <c r="D11" s="28"/>
      <c r="E11" s="95"/>
      <c r="F11" s="29" t="s">
        <v>74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39">
        <f>SUM(R6:R10)</f>
        <v>0.43030349557522102</v>
      </c>
      <c r="S11" s="85" t="s">
        <v>75</v>
      </c>
      <c r="T11" s="85"/>
      <c r="U11" s="85"/>
      <c r="V11" s="86"/>
      <c r="W11" s="86"/>
      <c r="X11" s="86"/>
      <c r="Y11" s="55">
        <f>SUM(Y6:Y10)</f>
        <v>0.29000000000000004</v>
      </c>
      <c r="Z11" s="102"/>
      <c r="AA11" s="56"/>
      <c r="AB11" s="6"/>
      <c r="AC11" s="6"/>
      <c r="AD11" s="6"/>
      <c r="AE11" s="6"/>
      <c r="AF11" s="6"/>
      <c r="AG11" s="6"/>
    </row>
    <row r="12" spans="1:33" s="9" customFormat="1" ht="25.5" customHeight="1" x14ac:dyDescent="0.2">
      <c r="A12" s="93">
        <v>10</v>
      </c>
      <c r="B12" s="22" t="s">
        <v>11</v>
      </c>
      <c r="C12" s="21" t="s">
        <v>11</v>
      </c>
      <c r="D12" s="22" t="s">
        <v>12</v>
      </c>
      <c r="E12" s="22"/>
      <c r="F12" s="26" t="s">
        <v>76</v>
      </c>
      <c r="G12" s="26" t="s">
        <v>77</v>
      </c>
      <c r="H12" s="23">
        <v>1</v>
      </c>
      <c r="I12" s="33" t="s">
        <v>78</v>
      </c>
      <c r="J12" s="34">
        <v>235</v>
      </c>
      <c r="K12" s="34">
        <v>139</v>
      </c>
      <c r="L12" s="34">
        <v>2.5</v>
      </c>
      <c r="M12" s="35">
        <v>5.13</v>
      </c>
      <c r="N12" s="35">
        <v>2.6</v>
      </c>
      <c r="O12" s="36">
        <f>J12*K12*L12*0.00000785</f>
        <v>0.64105062499999999</v>
      </c>
      <c r="P12" s="37">
        <v>0.41899999999999998</v>
      </c>
      <c r="Q12" s="43">
        <f>O12-P12</f>
        <v>0.222050625</v>
      </c>
      <c r="R12" s="35">
        <f>M12*O12-N12*Q12</f>
        <v>2.71125808125</v>
      </c>
      <c r="S12" s="44" t="s">
        <v>68</v>
      </c>
      <c r="T12" s="44"/>
      <c r="U12" s="44">
        <f t="shared" ref="U12:U16" si="1">25*8/3000</f>
        <v>6.6666666666666693E-2</v>
      </c>
      <c r="V12" s="45" t="s">
        <v>79</v>
      </c>
      <c r="W12" s="46">
        <f>VLOOKUP(V12,[1]冲压工序费!B:C,2,0)</f>
        <v>0.15</v>
      </c>
      <c r="X12" s="47">
        <v>1</v>
      </c>
      <c r="Y12" s="46">
        <f t="shared" ref="Y12:Y17" si="2">W12*X12</f>
        <v>0.15</v>
      </c>
      <c r="Z12" s="102">
        <v>1.1499999999999999</v>
      </c>
      <c r="AA12" s="52">
        <f>(R12+Y18)*Z12+R16*1.03</f>
        <v>4.8355127934374993</v>
      </c>
      <c r="AB12" s="3" t="s">
        <v>6</v>
      </c>
      <c r="AC12" s="5">
        <v>5.2628000000000004</v>
      </c>
      <c r="AD12" s="3" t="s">
        <v>80</v>
      </c>
      <c r="AE12" s="3" t="s">
        <v>13</v>
      </c>
      <c r="AF12" s="3" t="s">
        <v>13</v>
      </c>
      <c r="AG12" s="3" t="s">
        <v>14</v>
      </c>
    </row>
    <row r="13" spans="1:33" s="9" customFormat="1" ht="25.5" customHeight="1" x14ac:dyDescent="0.2">
      <c r="A13" s="94"/>
      <c r="B13" s="25"/>
      <c r="C13" s="24"/>
      <c r="D13" s="25"/>
      <c r="E13" s="25"/>
      <c r="F13" s="26"/>
      <c r="G13" s="26"/>
      <c r="H13" s="23"/>
      <c r="I13" s="33"/>
      <c r="J13" s="34"/>
      <c r="K13" s="34"/>
      <c r="L13" s="34"/>
      <c r="M13" s="35"/>
      <c r="N13" s="35"/>
      <c r="O13" s="36"/>
      <c r="P13" s="37"/>
      <c r="Q13" s="43"/>
      <c r="R13" s="35"/>
      <c r="S13" s="44" t="s">
        <v>81</v>
      </c>
      <c r="T13" s="44"/>
      <c r="U13" s="44">
        <f t="shared" si="1"/>
        <v>6.6666666666666693E-2</v>
      </c>
      <c r="V13" s="45" t="s">
        <v>69</v>
      </c>
      <c r="W13" s="46">
        <f>VLOOKUP(V13,[1]冲压工序费!B:C,2,0)</f>
        <v>0.08</v>
      </c>
      <c r="X13" s="47">
        <v>1</v>
      </c>
      <c r="Y13" s="46">
        <f t="shared" si="2"/>
        <v>0.08</v>
      </c>
      <c r="Z13" s="102"/>
      <c r="AA13" s="53"/>
      <c r="AB13" s="57"/>
      <c r="AC13" s="54"/>
      <c r="AD13" s="57"/>
      <c r="AE13" s="57"/>
      <c r="AF13" s="57"/>
      <c r="AG13" s="57"/>
    </row>
    <row r="14" spans="1:33" s="9" customFormat="1" ht="20.100000000000001" customHeight="1" x14ac:dyDescent="0.2">
      <c r="A14" s="94"/>
      <c r="B14" s="25"/>
      <c r="C14" s="24"/>
      <c r="D14" s="25"/>
      <c r="E14" s="25"/>
      <c r="F14" s="2" t="s">
        <v>82</v>
      </c>
      <c r="G14" s="7" t="s">
        <v>83</v>
      </c>
      <c r="H14" s="1">
        <v>2</v>
      </c>
      <c r="I14" s="29"/>
      <c r="J14" s="38"/>
      <c r="K14" s="38"/>
      <c r="L14" s="38"/>
      <c r="M14" s="39">
        <v>0.1111</v>
      </c>
      <c r="N14" s="39"/>
      <c r="O14" s="40"/>
      <c r="P14" s="40"/>
      <c r="Q14" s="40"/>
      <c r="R14" s="35">
        <f>H14*M14</f>
        <v>0.22220000000000001</v>
      </c>
      <c r="S14" s="44" t="s">
        <v>84</v>
      </c>
      <c r="T14" s="44"/>
      <c r="U14" s="44">
        <f t="shared" si="1"/>
        <v>6.6666666666666693E-2</v>
      </c>
      <c r="V14" s="45" t="s">
        <v>85</v>
      </c>
      <c r="W14" s="46">
        <f>VLOOKUP(V14,[1]冲压工序费!B:C,2,0)</f>
        <v>0.05</v>
      </c>
      <c r="X14" s="48">
        <v>1</v>
      </c>
      <c r="Y14" s="46">
        <f t="shared" si="2"/>
        <v>0.05</v>
      </c>
      <c r="Z14" s="102"/>
      <c r="AA14" s="53"/>
      <c r="AB14" s="54"/>
      <c r="AC14" s="54"/>
      <c r="AD14" s="54"/>
      <c r="AE14" s="54"/>
      <c r="AF14" s="54"/>
      <c r="AG14" s="54"/>
    </row>
    <row r="15" spans="1:33" s="9" customFormat="1" ht="27.95" customHeight="1" x14ac:dyDescent="0.2">
      <c r="A15" s="94"/>
      <c r="B15" s="25"/>
      <c r="C15" s="24"/>
      <c r="D15" s="25"/>
      <c r="E15" s="25"/>
      <c r="F15" s="2" t="s">
        <v>86</v>
      </c>
      <c r="G15" s="7" t="s">
        <v>87</v>
      </c>
      <c r="H15" s="1">
        <v>1</v>
      </c>
      <c r="I15" s="29"/>
      <c r="J15" s="38"/>
      <c r="K15" s="38"/>
      <c r="L15" s="38"/>
      <c r="M15" s="39">
        <v>0.34</v>
      </c>
      <c r="N15" s="39"/>
      <c r="O15" s="40"/>
      <c r="P15" s="40"/>
      <c r="Q15" s="40"/>
      <c r="R15" s="35">
        <f>H15*M15</f>
        <v>0.34</v>
      </c>
      <c r="S15" s="44" t="s">
        <v>84</v>
      </c>
      <c r="T15" s="44" t="s">
        <v>85</v>
      </c>
      <c r="U15" s="44">
        <f t="shared" si="1"/>
        <v>6.6666666666666693E-2</v>
      </c>
      <c r="V15" s="45" t="s">
        <v>88</v>
      </c>
      <c r="W15" s="46">
        <v>0.03</v>
      </c>
      <c r="X15" s="48">
        <v>1</v>
      </c>
      <c r="Y15" s="46">
        <f t="shared" si="2"/>
        <v>0.03</v>
      </c>
      <c r="Z15" s="102"/>
      <c r="AA15" s="53"/>
      <c r="AB15" s="54"/>
      <c r="AC15" s="54"/>
      <c r="AD15" s="54"/>
      <c r="AE15" s="54"/>
      <c r="AF15" s="54"/>
      <c r="AG15" s="54"/>
    </row>
    <row r="16" spans="1:33" s="9" customFormat="1" ht="20.100000000000001" customHeight="1" x14ac:dyDescent="0.2">
      <c r="A16" s="94"/>
      <c r="B16" s="25"/>
      <c r="C16" s="24"/>
      <c r="D16" s="25"/>
      <c r="E16" s="25"/>
      <c r="F16" s="7"/>
      <c r="G16" s="7"/>
      <c r="H16" s="23"/>
      <c r="I16" s="33"/>
      <c r="J16" s="34"/>
      <c r="K16" s="34"/>
      <c r="L16" s="34"/>
      <c r="M16" s="35"/>
      <c r="N16" s="35"/>
      <c r="O16" s="36"/>
      <c r="P16" s="37"/>
      <c r="Q16" s="43"/>
      <c r="R16" s="35">
        <f>R14+R15</f>
        <v>0.56220000000000003</v>
      </c>
      <c r="S16" s="44" t="s">
        <v>84</v>
      </c>
      <c r="T16" s="44" t="s">
        <v>85</v>
      </c>
      <c r="U16" s="44">
        <f t="shared" si="1"/>
        <v>6.6666666666666693E-2</v>
      </c>
      <c r="V16" s="45" t="s">
        <v>88</v>
      </c>
      <c r="W16" s="46">
        <v>0.03</v>
      </c>
      <c r="X16" s="48">
        <v>1</v>
      </c>
      <c r="Y16" s="46">
        <f t="shared" si="2"/>
        <v>0.03</v>
      </c>
      <c r="Z16" s="102"/>
      <c r="AA16" s="53"/>
      <c r="AB16" s="54"/>
      <c r="AC16" s="54"/>
      <c r="AD16" s="54"/>
      <c r="AE16" s="54"/>
      <c r="AF16" s="54"/>
      <c r="AG16" s="54"/>
    </row>
    <row r="17" spans="1:33" s="9" customFormat="1" ht="20.100000000000001" customHeight="1" x14ac:dyDescent="0.2">
      <c r="A17" s="94"/>
      <c r="B17" s="25"/>
      <c r="C17" s="24"/>
      <c r="D17" s="25"/>
      <c r="E17" s="25"/>
      <c r="F17" s="26"/>
      <c r="G17" s="26"/>
      <c r="H17" s="23"/>
      <c r="I17" s="33"/>
      <c r="J17" s="34"/>
      <c r="K17" s="34"/>
      <c r="L17" s="34"/>
      <c r="M17" s="35"/>
      <c r="N17" s="35"/>
      <c r="O17" s="36"/>
      <c r="P17" s="37"/>
      <c r="Q17" s="43"/>
      <c r="R17" s="35"/>
      <c r="S17" s="44" t="s">
        <v>89</v>
      </c>
      <c r="T17" s="44"/>
      <c r="U17" s="44"/>
      <c r="V17" s="45"/>
      <c r="W17" s="46">
        <v>0.05</v>
      </c>
      <c r="X17" s="47">
        <v>13</v>
      </c>
      <c r="Y17" s="46">
        <f t="shared" si="2"/>
        <v>0.65</v>
      </c>
      <c r="Z17" s="102"/>
      <c r="AA17" s="53"/>
      <c r="AB17" s="54"/>
      <c r="AC17" s="54"/>
      <c r="AD17" s="54"/>
      <c r="AE17" s="54"/>
      <c r="AF17" s="54"/>
      <c r="AG17" s="54"/>
    </row>
    <row r="18" spans="1:33" s="9" customFormat="1" ht="20.100000000000001" customHeight="1" x14ac:dyDescent="0.2">
      <c r="A18" s="95"/>
      <c r="B18" s="28"/>
      <c r="C18" s="27"/>
      <c r="D18" s="28"/>
      <c r="E18" s="28"/>
      <c r="F18" s="29" t="s">
        <v>74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39">
        <f>SUM(R12:R17)</f>
        <v>3.8356580812500001</v>
      </c>
      <c r="S18" s="85" t="s">
        <v>75</v>
      </c>
      <c r="T18" s="85"/>
      <c r="U18" s="85"/>
      <c r="V18" s="86"/>
      <c r="W18" s="86"/>
      <c r="X18" s="86"/>
      <c r="Y18" s="55">
        <f>SUM(Y12:Y17)</f>
        <v>0.99</v>
      </c>
      <c r="Z18" s="102"/>
      <c r="AA18" s="56"/>
      <c r="AB18" s="6"/>
      <c r="AC18" s="6"/>
      <c r="AD18" s="6"/>
      <c r="AE18" s="6"/>
      <c r="AF18" s="6"/>
      <c r="AG18" s="6"/>
    </row>
    <row r="19" spans="1:33" s="9" customFormat="1" ht="25.5" customHeight="1" x14ac:dyDescent="0.2">
      <c r="A19" s="93">
        <v>11</v>
      </c>
      <c r="B19" s="22" t="s">
        <v>15</v>
      </c>
      <c r="C19" s="21" t="s">
        <v>15</v>
      </c>
      <c r="D19" s="22" t="s">
        <v>16</v>
      </c>
      <c r="E19" s="22"/>
      <c r="F19" s="2" t="s">
        <v>90</v>
      </c>
      <c r="G19" s="7" t="s">
        <v>91</v>
      </c>
      <c r="H19" s="23">
        <v>1</v>
      </c>
      <c r="I19" s="33" t="s">
        <v>78</v>
      </c>
      <c r="J19" s="34">
        <v>525</v>
      </c>
      <c r="K19" s="34">
        <v>112.5</v>
      </c>
      <c r="L19" s="34">
        <v>2</v>
      </c>
      <c r="M19" s="35">
        <v>5.13</v>
      </c>
      <c r="N19" s="35">
        <v>2.5</v>
      </c>
      <c r="O19" s="36">
        <f>J19*K19*L19*0.00000785</f>
        <v>0.92728124999999995</v>
      </c>
      <c r="P19" s="37">
        <v>0.55300000000000005</v>
      </c>
      <c r="Q19" s="43">
        <f>O19-P19</f>
        <v>0.37428125000000001</v>
      </c>
      <c r="R19" s="35">
        <f>M19*O19-N19*Q19</f>
        <v>3.8212496874999999</v>
      </c>
      <c r="S19" s="44" t="s">
        <v>68</v>
      </c>
      <c r="T19" s="44" t="s">
        <v>92</v>
      </c>
      <c r="U19" s="44">
        <f>25*8/2000</f>
        <v>0.1</v>
      </c>
      <c r="V19" s="45" t="s">
        <v>93</v>
      </c>
      <c r="W19" s="46">
        <f>VLOOKUP(V19,[1]冲压工序费!B:C,2,0)</f>
        <v>0.18</v>
      </c>
      <c r="X19" s="47">
        <v>1</v>
      </c>
      <c r="Y19" s="46">
        <f t="shared" ref="Y19:Y21" si="3">W19*X19</f>
        <v>0.18</v>
      </c>
      <c r="Z19" s="102">
        <v>1.1499999999999999</v>
      </c>
      <c r="AA19" s="52">
        <f>(R19+Y28)*Z19+R24*1.03</f>
        <v>8.2836333058167408</v>
      </c>
      <c r="AB19" s="3" t="s">
        <v>6</v>
      </c>
      <c r="AC19" s="5">
        <v>9.8139000000000003</v>
      </c>
      <c r="AD19" s="3" t="s">
        <v>94</v>
      </c>
      <c r="AE19" s="3" t="s">
        <v>17</v>
      </c>
      <c r="AF19" s="3" t="s">
        <v>17</v>
      </c>
      <c r="AG19" s="3" t="s">
        <v>18</v>
      </c>
    </row>
    <row r="20" spans="1:33" s="9" customFormat="1" ht="25.5" customHeight="1" x14ac:dyDescent="0.2">
      <c r="A20" s="94"/>
      <c r="B20" s="25"/>
      <c r="C20" s="24"/>
      <c r="D20" s="25"/>
      <c r="E20" s="25"/>
      <c r="F20" s="2"/>
      <c r="G20" s="7"/>
      <c r="H20" s="23"/>
      <c r="I20" s="33"/>
      <c r="J20" s="34"/>
      <c r="K20" s="34"/>
      <c r="L20" s="34"/>
      <c r="M20" s="35"/>
      <c r="N20" s="35"/>
      <c r="O20" s="36"/>
      <c r="P20" s="37"/>
      <c r="Q20" s="43"/>
      <c r="R20" s="35"/>
      <c r="S20" s="44" t="s">
        <v>84</v>
      </c>
      <c r="T20" s="44" t="s">
        <v>69</v>
      </c>
      <c r="U20" s="44">
        <f>25*8/2000/2</f>
        <v>0.05</v>
      </c>
      <c r="V20" s="45" t="s">
        <v>79</v>
      </c>
      <c r="W20" s="46">
        <f>VLOOKUP(V20,[1]冲压工序费!B:C,2,0)</f>
        <v>0.15</v>
      </c>
      <c r="X20" s="47">
        <v>1</v>
      </c>
      <c r="Y20" s="46">
        <f t="shared" si="3"/>
        <v>0.15</v>
      </c>
      <c r="Z20" s="102"/>
      <c r="AA20" s="53"/>
      <c r="AB20" s="57"/>
      <c r="AC20" s="54"/>
      <c r="AD20" s="57"/>
      <c r="AE20" s="57"/>
      <c r="AF20" s="57"/>
      <c r="AG20" s="57"/>
    </row>
    <row r="21" spans="1:33" s="9" customFormat="1" ht="20.100000000000001" customHeight="1" x14ac:dyDescent="0.2">
      <c r="A21" s="94"/>
      <c r="B21" s="25"/>
      <c r="C21" s="24"/>
      <c r="D21" s="25"/>
      <c r="E21" s="25"/>
      <c r="F21" s="7"/>
      <c r="G21" s="7"/>
      <c r="H21" s="1"/>
      <c r="I21" s="29"/>
      <c r="J21" s="38"/>
      <c r="K21" s="38"/>
      <c r="L21" s="38"/>
      <c r="M21" s="39"/>
      <c r="N21" s="39"/>
      <c r="O21" s="40"/>
      <c r="P21" s="40"/>
      <c r="Q21" s="40"/>
      <c r="R21" s="39"/>
      <c r="S21" s="44" t="s">
        <v>84</v>
      </c>
      <c r="T21" s="44" t="s">
        <v>95</v>
      </c>
      <c r="U21" s="44">
        <f>25*8/1600</f>
        <v>0.125</v>
      </c>
      <c r="V21" s="45" t="s">
        <v>69</v>
      </c>
      <c r="W21" s="46">
        <f>VLOOKUP(V21,[1]冲压工序费!B:C,2,0)</f>
        <v>0.08</v>
      </c>
      <c r="X21" s="48">
        <v>1</v>
      </c>
      <c r="Y21" s="46">
        <f t="shared" si="3"/>
        <v>0.08</v>
      </c>
      <c r="Z21" s="102"/>
      <c r="AA21" s="53"/>
      <c r="AB21" s="54"/>
      <c r="AC21" s="54"/>
      <c r="AD21" s="54"/>
      <c r="AE21" s="54"/>
      <c r="AF21" s="54"/>
      <c r="AG21" s="54"/>
    </row>
    <row r="22" spans="1:33" s="9" customFormat="1" ht="20.100000000000001" customHeight="1" x14ac:dyDescent="0.2">
      <c r="A22" s="94"/>
      <c r="B22" s="25"/>
      <c r="C22" s="24"/>
      <c r="D22" s="25"/>
      <c r="E22" s="25"/>
      <c r="F22" s="26"/>
      <c r="G22" s="26"/>
      <c r="H22" s="23"/>
      <c r="I22" s="33"/>
      <c r="J22" s="34"/>
      <c r="K22" s="34"/>
      <c r="L22" s="34"/>
      <c r="M22" s="35"/>
      <c r="N22" s="35"/>
      <c r="O22" s="36"/>
      <c r="P22" s="37"/>
      <c r="Q22" s="43"/>
      <c r="R22" s="35"/>
      <c r="S22" s="44" t="s">
        <v>96</v>
      </c>
      <c r="T22" s="44" t="s">
        <v>79</v>
      </c>
      <c r="U22" s="44">
        <f>25*8/1500</f>
        <v>0.133333333333333</v>
      </c>
      <c r="V22" s="45"/>
      <c r="W22" s="46"/>
      <c r="X22" s="47"/>
      <c r="Y22" s="46"/>
      <c r="Z22" s="102"/>
      <c r="AA22" s="53"/>
      <c r="AB22" s="54"/>
      <c r="AC22" s="54"/>
      <c r="AD22" s="54"/>
      <c r="AE22" s="54"/>
      <c r="AF22" s="54"/>
      <c r="AG22" s="54"/>
    </row>
    <row r="23" spans="1:33" s="9" customFormat="1" ht="30.95" customHeight="1" x14ac:dyDescent="0.2">
      <c r="A23" s="94"/>
      <c r="B23" s="25"/>
      <c r="C23" s="24"/>
      <c r="D23" s="25"/>
      <c r="E23" s="25"/>
      <c r="F23" s="26"/>
      <c r="G23" s="26"/>
      <c r="H23" s="23"/>
      <c r="I23" s="33"/>
      <c r="J23" s="34"/>
      <c r="K23" s="34"/>
      <c r="L23" s="34"/>
      <c r="M23" s="35"/>
      <c r="N23" s="35"/>
      <c r="O23" s="36"/>
      <c r="P23" s="37"/>
      <c r="Q23" s="43"/>
      <c r="R23" s="35"/>
      <c r="S23" s="44" t="s">
        <v>81</v>
      </c>
      <c r="T23" s="44" t="s">
        <v>97</v>
      </c>
      <c r="U23" s="44">
        <f>25*8/1000</f>
        <v>0.2</v>
      </c>
      <c r="V23" s="45"/>
      <c r="W23" s="46"/>
      <c r="X23" s="47"/>
      <c r="Y23" s="46"/>
      <c r="Z23" s="102"/>
      <c r="AA23" s="53"/>
      <c r="AB23" s="54"/>
      <c r="AC23" s="54"/>
      <c r="AD23" s="54"/>
      <c r="AE23" s="54"/>
      <c r="AF23" s="54"/>
      <c r="AG23" s="54"/>
    </row>
    <row r="24" spans="1:33" s="9" customFormat="1" ht="20.100000000000001" customHeight="1" x14ac:dyDescent="0.2">
      <c r="A24" s="94"/>
      <c r="B24" s="25"/>
      <c r="C24" s="24"/>
      <c r="D24" s="25"/>
      <c r="E24" s="25"/>
      <c r="F24" s="26" t="s">
        <v>98</v>
      </c>
      <c r="G24" s="26" t="s">
        <v>99</v>
      </c>
      <c r="H24" s="23">
        <v>1</v>
      </c>
      <c r="I24" s="33" t="s">
        <v>100</v>
      </c>
      <c r="J24" s="34"/>
      <c r="K24" s="34"/>
      <c r="L24" s="34"/>
      <c r="M24" s="35">
        <v>1.73</v>
      </c>
      <c r="N24" s="35"/>
      <c r="O24" s="36"/>
      <c r="P24" s="37">
        <v>8.6499999999999994E-2</v>
      </c>
      <c r="Q24" s="43"/>
      <c r="R24" s="35">
        <f>2.9/1.13</f>
        <v>2.5663716814159301</v>
      </c>
      <c r="S24" s="44" t="s">
        <v>81</v>
      </c>
      <c r="T24" s="44" t="s">
        <v>101</v>
      </c>
      <c r="U24" s="44">
        <f>25*8/1600</f>
        <v>0.125</v>
      </c>
      <c r="V24" s="45" t="s">
        <v>79</v>
      </c>
      <c r="W24" s="46">
        <f>VLOOKUP(V24,[1]冲压工序费!B:C,2,0)</f>
        <v>0.15</v>
      </c>
      <c r="X24" s="47">
        <v>1</v>
      </c>
      <c r="Y24" s="46">
        <f t="shared" ref="Y24:Y31" si="4">W24*X24</f>
        <v>0.15</v>
      </c>
      <c r="Z24" s="102"/>
      <c r="AA24" s="53"/>
      <c r="AB24" s="54"/>
      <c r="AC24" s="54"/>
      <c r="AD24" s="54"/>
      <c r="AE24" s="54"/>
      <c r="AF24" s="54"/>
      <c r="AG24" s="54"/>
    </row>
    <row r="25" spans="1:33" s="9" customFormat="1" ht="20.100000000000001" customHeight="1" x14ac:dyDescent="0.2">
      <c r="A25" s="94"/>
      <c r="B25" s="25"/>
      <c r="C25" s="24"/>
      <c r="D25" s="25"/>
      <c r="E25" s="25"/>
      <c r="F25" s="26"/>
      <c r="G25" s="26"/>
      <c r="H25" s="23"/>
      <c r="I25" s="33"/>
      <c r="J25" s="34"/>
      <c r="K25" s="34"/>
      <c r="L25" s="34"/>
      <c r="M25" s="35"/>
      <c r="N25" s="35"/>
      <c r="O25" s="36"/>
      <c r="P25" s="37"/>
      <c r="Q25" s="43"/>
      <c r="R25" s="35"/>
      <c r="S25" s="44"/>
      <c r="T25" s="44"/>
      <c r="U25" s="44"/>
      <c r="V25" s="45"/>
      <c r="W25" s="46"/>
      <c r="X25" s="47"/>
      <c r="Y25" s="46"/>
      <c r="Z25" s="102"/>
      <c r="AA25" s="53"/>
      <c r="AB25" s="54"/>
      <c r="AC25" s="54"/>
      <c r="AD25" s="54"/>
      <c r="AE25" s="54"/>
      <c r="AF25" s="54"/>
      <c r="AG25" s="54"/>
    </row>
    <row r="26" spans="1:33" s="9" customFormat="1" ht="29.1" customHeight="1" x14ac:dyDescent="0.2">
      <c r="A26" s="94"/>
      <c r="B26" s="25"/>
      <c r="C26" s="24"/>
      <c r="D26" s="25"/>
      <c r="E26" s="25"/>
      <c r="F26" s="26"/>
      <c r="G26" s="26"/>
      <c r="H26" s="23"/>
      <c r="I26" s="33"/>
      <c r="J26" s="34"/>
      <c r="K26" s="34"/>
      <c r="L26" s="34"/>
      <c r="M26" s="35"/>
      <c r="N26" s="35"/>
      <c r="O26" s="36"/>
      <c r="P26" s="37"/>
      <c r="Q26" s="43"/>
      <c r="R26" s="35" t="s">
        <v>102</v>
      </c>
      <c r="S26" s="44"/>
      <c r="T26" s="44"/>
      <c r="U26" s="44"/>
      <c r="V26" s="45"/>
      <c r="W26" s="46"/>
      <c r="X26" s="47"/>
      <c r="Y26" s="46"/>
      <c r="Z26" s="102"/>
      <c r="AA26" s="53"/>
      <c r="AB26" s="54"/>
      <c r="AC26" s="54"/>
      <c r="AD26" s="54"/>
      <c r="AE26" s="54"/>
      <c r="AF26" s="54"/>
      <c r="AG26" s="54"/>
    </row>
    <row r="27" spans="1:33" s="9" customFormat="1" ht="20.100000000000001" customHeight="1" x14ac:dyDescent="0.2">
      <c r="A27" s="94"/>
      <c r="B27" s="25"/>
      <c r="C27" s="24"/>
      <c r="D27" s="25"/>
      <c r="E27" s="25"/>
      <c r="F27" s="26"/>
      <c r="G27" s="26"/>
      <c r="H27" s="23"/>
      <c r="I27" s="33"/>
      <c r="J27" s="34"/>
      <c r="K27" s="34"/>
      <c r="L27" s="34"/>
      <c r="M27" s="35"/>
      <c r="N27" s="35"/>
      <c r="O27" s="36"/>
      <c r="P27" s="37"/>
      <c r="Q27" s="43"/>
      <c r="R27" s="35"/>
      <c r="S27" s="44" t="s">
        <v>89</v>
      </c>
      <c r="T27" s="44"/>
      <c r="U27" s="44"/>
      <c r="V27" s="45"/>
      <c r="W27" s="46">
        <v>0.05</v>
      </c>
      <c r="X27" s="47">
        <v>7</v>
      </c>
      <c r="Y27" s="46">
        <f t="shared" si="4"/>
        <v>0.35</v>
      </c>
      <c r="Z27" s="102"/>
      <c r="AA27" s="53"/>
      <c r="AB27" s="54"/>
      <c r="AC27" s="54"/>
      <c r="AD27" s="54"/>
      <c r="AE27" s="54"/>
      <c r="AF27" s="54"/>
      <c r="AG27" s="54"/>
    </row>
    <row r="28" spans="1:33" s="9" customFormat="1" ht="20.100000000000001" customHeight="1" x14ac:dyDescent="0.2">
      <c r="A28" s="95"/>
      <c r="B28" s="28"/>
      <c r="C28" s="27"/>
      <c r="D28" s="28"/>
      <c r="E28" s="28"/>
      <c r="F28" s="29" t="s">
        <v>74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39">
        <f>SUM(R19:R24)</f>
        <v>6.38762136891593</v>
      </c>
      <c r="S28" s="85" t="s">
        <v>75</v>
      </c>
      <c r="T28" s="85"/>
      <c r="U28" s="85"/>
      <c r="V28" s="86"/>
      <c r="W28" s="86"/>
      <c r="X28" s="86"/>
      <c r="Y28" s="55">
        <f>SUM(U19:U24)+Y27</f>
        <v>1.0833333333333299</v>
      </c>
      <c r="Z28" s="102"/>
      <c r="AA28" s="56"/>
      <c r="AB28" s="6"/>
      <c r="AC28" s="6"/>
      <c r="AD28" s="6"/>
      <c r="AE28" s="6"/>
      <c r="AF28" s="6"/>
      <c r="AG28" s="6"/>
    </row>
    <row r="29" spans="1:33" s="9" customFormat="1" ht="25.5" customHeight="1" x14ac:dyDescent="0.2">
      <c r="A29" s="93">
        <v>12</v>
      </c>
      <c r="B29" s="22" t="s">
        <v>19</v>
      </c>
      <c r="C29" s="21" t="s">
        <v>19</v>
      </c>
      <c r="D29" s="22" t="s">
        <v>20</v>
      </c>
      <c r="E29" s="22"/>
      <c r="F29" s="2" t="s">
        <v>19</v>
      </c>
      <c r="G29" s="7" t="s">
        <v>20</v>
      </c>
      <c r="H29" s="23">
        <v>1</v>
      </c>
      <c r="I29" s="33" t="s">
        <v>78</v>
      </c>
      <c r="J29" s="34">
        <v>530</v>
      </c>
      <c r="K29" s="34">
        <v>130</v>
      </c>
      <c r="L29" s="34">
        <v>2</v>
      </c>
      <c r="M29" s="35">
        <v>5.13</v>
      </c>
      <c r="N29" s="35">
        <v>2.5</v>
      </c>
      <c r="O29" s="36">
        <f>J29*K29*L29*0.00000785</f>
        <v>1.0817300000000001</v>
      </c>
      <c r="P29" s="37">
        <v>0.68899999999999995</v>
      </c>
      <c r="Q29" s="43">
        <f>O29-P29</f>
        <v>0.39273000000000002</v>
      </c>
      <c r="R29" s="35">
        <f>M29*O29-N29*Q29</f>
        <v>4.5674498999999997</v>
      </c>
      <c r="S29" s="44" t="s">
        <v>68</v>
      </c>
      <c r="T29" s="44" t="s">
        <v>92</v>
      </c>
      <c r="U29" s="44">
        <f>25*8/2000/2</f>
        <v>0.05</v>
      </c>
      <c r="V29" s="45" t="s">
        <v>93</v>
      </c>
      <c r="W29" s="46">
        <f>VLOOKUP(V29,[1]冲压工序费!B:C,2,0)</f>
        <v>0.18</v>
      </c>
      <c r="X29" s="47">
        <v>1</v>
      </c>
      <c r="Y29" s="46">
        <f t="shared" si="4"/>
        <v>0.18</v>
      </c>
      <c r="Z29" s="102">
        <v>1.1499999999999999</v>
      </c>
      <c r="AA29" s="52">
        <f>(SUM(U29:U34)+R29)*Z29+R33*1.03</f>
        <v>6.0384007183333299</v>
      </c>
      <c r="AB29" s="3" t="s">
        <v>6</v>
      </c>
      <c r="AC29" s="5">
        <v>7.3695000000000004</v>
      </c>
      <c r="AD29" s="3" t="s">
        <v>103</v>
      </c>
      <c r="AE29" s="3" t="s">
        <v>21</v>
      </c>
      <c r="AF29" s="3" t="s">
        <v>21</v>
      </c>
      <c r="AG29" s="3" t="s">
        <v>22</v>
      </c>
    </row>
    <row r="30" spans="1:33" s="9" customFormat="1" ht="25.5" customHeight="1" x14ac:dyDescent="0.2">
      <c r="A30" s="94"/>
      <c r="B30" s="25"/>
      <c r="C30" s="24"/>
      <c r="D30" s="25"/>
      <c r="E30" s="25"/>
      <c r="F30" s="2"/>
      <c r="G30" s="7"/>
      <c r="H30" s="23"/>
      <c r="I30" s="33" t="s">
        <v>104</v>
      </c>
      <c r="J30" s="34"/>
      <c r="K30" s="34"/>
      <c r="L30" s="34"/>
      <c r="M30" s="35"/>
      <c r="N30" s="35"/>
      <c r="O30" s="36"/>
      <c r="P30" s="37"/>
      <c r="Q30" s="43"/>
      <c r="R30" s="35"/>
      <c r="S30" s="44" t="s">
        <v>84</v>
      </c>
      <c r="T30" s="44" t="s">
        <v>69</v>
      </c>
      <c r="U30" s="44">
        <f>25*8/2000/2</f>
        <v>0.05</v>
      </c>
      <c r="V30" s="45" t="s">
        <v>79</v>
      </c>
      <c r="W30" s="46">
        <f>VLOOKUP(V30,[1]冲压工序费!B:C,2,0)</f>
        <v>0.15</v>
      </c>
      <c r="X30" s="47">
        <v>1</v>
      </c>
      <c r="Y30" s="46">
        <f t="shared" si="4"/>
        <v>0.15</v>
      </c>
      <c r="Z30" s="102"/>
      <c r="AA30" s="53"/>
      <c r="AB30" s="57"/>
      <c r="AC30" s="54"/>
      <c r="AD30" s="57"/>
      <c r="AE30" s="57"/>
      <c r="AF30" s="57"/>
      <c r="AG30" s="57"/>
    </row>
    <row r="31" spans="1:33" s="9" customFormat="1" ht="20.100000000000001" customHeight="1" x14ac:dyDescent="0.2">
      <c r="A31" s="94"/>
      <c r="B31" s="25"/>
      <c r="C31" s="24"/>
      <c r="D31" s="25"/>
      <c r="E31" s="25"/>
      <c r="F31" s="7"/>
      <c r="G31" s="7"/>
      <c r="H31" s="1"/>
      <c r="I31" s="29"/>
      <c r="J31" s="38"/>
      <c r="K31" s="38"/>
      <c r="L31" s="38"/>
      <c r="M31" s="39"/>
      <c r="N31" s="39"/>
      <c r="O31" s="40"/>
      <c r="P31" s="40"/>
      <c r="Q31" s="40"/>
      <c r="R31" s="39"/>
      <c r="S31" s="44" t="s">
        <v>84</v>
      </c>
      <c r="T31" s="44" t="s">
        <v>95</v>
      </c>
      <c r="U31" s="44">
        <f>25*8/1600</f>
        <v>0.125</v>
      </c>
      <c r="V31" s="45" t="s">
        <v>69</v>
      </c>
      <c r="W31" s="46">
        <f>VLOOKUP(V31,[1]冲压工序费!B:C,2,0)</f>
        <v>0.08</v>
      </c>
      <c r="X31" s="48">
        <v>1</v>
      </c>
      <c r="Y31" s="46">
        <f t="shared" si="4"/>
        <v>0.08</v>
      </c>
      <c r="Z31" s="102"/>
      <c r="AA31" s="53"/>
      <c r="AB31" s="54"/>
      <c r="AC31" s="54"/>
      <c r="AD31" s="54"/>
      <c r="AE31" s="54"/>
      <c r="AF31" s="54"/>
      <c r="AG31" s="54"/>
    </row>
    <row r="32" spans="1:33" s="9" customFormat="1" ht="20.100000000000001" customHeight="1" x14ac:dyDescent="0.2">
      <c r="A32" s="94"/>
      <c r="B32" s="25"/>
      <c r="C32" s="24"/>
      <c r="D32" s="25"/>
      <c r="E32" s="25"/>
      <c r="F32" s="26"/>
      <c r="G32" s="26"/>
      <c r="H32" s="23"/>
      <c r="I32" s="33"/>
      <c r="J32" s="34"/>
      <c r="K32" s="34"/>
      <c r="L32" s="34"/>
      <c r="M32" s="35"/>
      <c r="N32" s="35"/>
      <c r="O32" s="36"/>
      <c r="P32" s="37"/>
      <c r="Q32" s="43"/>
      <c r="R32" s="35"/>
      <c r="S32" s="44" t="s">
        <v>96</v>
      </c>
      <c r="T32" s="44" t="s">
        <v>79</v>
      </c>
      <c r="U32" s="44">
        <f>25*8/1500</f>
        <v>0.133333333333333</v>
      </c>
      <c r="V32" s="45"/>
      <c r="W32" s="46"/>
      <c r="X32" s="47"/>
      <c r="Y32" s="46"/>
      <c r="Z32" s="102"/>
      <c r="AA32" s="53"/>
      <c r="AB32" s="54"/>
      <c r="AC32" s="54"/>
      <c r="AD32" s="54"/>
      <c r="AE32" s="54"/>
      <c r="AF32" s="54"/>
      <c r="AG32" s="54"/>
    </row>
    <row r="33" spans="1:33" s="9" customFormat="1" ht="20.100000000000001" customHeight="1" x14ac:dyDescent="0.2">
      <c r="A33" s="94"/>
      <c r="B33" s="25"/>
      <c r="C33" s="24"/>
      <c r="D33" s="25"/>
      <c r="E33" s="25"/>
      <c r="F33" s="26"/>
      <c r="G33" s="26"/>
      <c r="H33" s="23"/>
      <c r="I33" s="33"/>
      <c r="J33" s="34"/>
      <c r="K33" s="34"/>
      <c r="L33" s="34"/>
      <c r="M33" s="35"/>
      <c r="N33" s="35"/>
      <c r="O33" s="36"/>
      <c r="P33" s="37"/>
      <c r="Q33" s="43"/>
      <c r="R33" s="35">
        <f>H33*M33</f>
        <v>0</v>
      </c>
      <c r="S33" s="44" t="s">
        <v>81</v>
      </c>
      <c r="T33" s="44" t="s">
        <v>97</v>
      </c>
      <c r="U33" s="44">
        <f>25*8/1000</f>
        <v>0.2</v>
      </c>
      <c r="V33" s="45" t="s">
        <v>79</v>
      </c>
      <c r="W33" s="46">
        <f>VLOOKUP(V33,[1]冲压工序费!B:C,2,0)</f>
        <v>0.15</v>
      </c>
      <c r="X33" s="47">
        <v>1</v>
      </c>
      <c r="Y33" s="46">
        <f t="shared" ref="Y33:Y39" si="5">W33*X33</f>
        <v>0.15</v>
      </c>
      <c r="Z33" s="102"/>
      <c r="AA33" s="53"/>
      <c r="AB33" s="54"/>
      <c r="AC33" s="54"/>
      <c r="AD33" s="54"/>
      <c r="AE33" s="54"/>
      <c r="AF33" s="54"/>
      <c r="AG33" s="54"/>
    </row>
    <row r="34" spans="1:33" s="9" customFormat="1" ht="20.100000000000001" customHeight="1" x14ac:dyDescent="0.2">
      <c r="A34" s="94"/>
      <c r="B34" s="25"/>
      <c r="C34" s="24"/>
      <c r="D34" s="25"/>
      <c r="E34" s="25"/>
      <c r="F34" s="26"/>
      <c r="G34" s="26"/>
      <c r="H34" s="23"/>
      <c r="I34" s="33"/>
      <c r="J34" s="34"/>
      <c r="K34" s="34"/>
      <c r="L34" s="34"/>
      <c r="M34" s="35"/>
      <c r="N34" s="35"/>
      <c r="O34" s="36"/>
      <c r="P34" s="37"/>
      <c r="Q34" s="43"/>
      <c r="R34" s="35"/>
      <c r="S34" s="44" t="s">
        <v>81</v>
      </c>
      <c r="T34" s="44" t="s">
        <v>101</v>
      </c>
      <c r="U34" s="44">
        <f>25*8/1600</f>
        <v>0.125</v>
      </c>
      <c r="V34" s="45"/>
      <c r="W34" s="46"/>
      <c r="X34" s="47"/>
      <c r="Y34" s="46">
        <f t="shared" si="5"/>
        <v>0</v>
      </c>
      <c r="Z34" s="102"/>
      <c r="AA34" s="53"/>
      <c r="AB34" s="54"/>
      <c r="AC34" s="54"/>
      <c r="AD34" s="54"/>
      <c r="AE34" s="54"/>
      <c r="AF34" s="54"/>
      <c r="AG34" s="54"/>
    </row>
    <row r="35" spans="1:33" s="9" customFormat="1" ht="20.100000000000001" customHeight="1" x14ac:dyDescent="0.2">
      <c r="A35" s="95"/>
      <c r="B35" s="28"/>
      <c r="C35" s="27"/>
      <c r="D35" s="28"/>
      <c r="E35" s="28"/>
      <c r="F35" s="29" t="s">
        <v>74</v>
      </c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39">
        <f>SUM(R29:R34)</f>
        <v>4.5674498999999997</v>
      </c>
      <c r="S35" s="85" t="s">
        <v>75</v>
      </c>
      <c r="T35" s="85"/>
      <c r="U35" s="85"/>
      <c r="V35" s="86"/>
      <c r="W35" s="86"/>
      <c r="X35" s="86"/>
      <c r="Y35" s="55"/>
      <c r="Z35" s="102"/>
      <c r="AA35" s="56"/>
      <c r="AB35" s="6"/>
      <c r="AC35" s="6"/>
      <c r="AD35" s="6"/>
      <c r="AE35" s="6"/>
      <c r="AF35" s="6"/>
      <c r="AG35" s="6"/>
    </row>
    <row r="36" spans="1:33" s="9" customFormat="1" ht="25.5" customHeight="1" x14ac:dyDescent="0.2">
      <c r="A36" s="93">
        <v>14</v>
      </c>
      <c r="B36" s="22" t="s">
        <v>25</v>
      </c>
      <c r="C36" s="21" t="s">
        <v>25</v>
      </c>
      <c r="D36" s="22" t="s">
        <v>26</v>
      </c>
      <c r="E36" s="22"/>
      <c r="F36" s="7" t="s">
        <v>23</v>
      </c>
      <c r="G36" s="7" t="s">
        <v>24</v>
      </c>
      <c r="H36" s="23">
        <v>1</v>
      </c>
      <c r="I36" s="33" t="s">
        <v>78</v>
      </c>
      <c r="J36" s="34">
        <v>358</v>
      </c>
      <c r="K36" s="34">
        <v>70</v>
      </c>
      <c r="L36" s="34">
        <v>2</v>
      </c>
      <c r="M36" s="35">
        <v>5.13</v>
      </c>
      <c r="N36" s="35">
        <v>2.5</v>
      </c>
      <c r="O36" s="36">
        <f>J36*K36*L36*0.00000785</f>
        <v>0.39344200000000001</v>
      </c>
      <c r="P36" s="37">
        <v>0.22109999999999999</v>
      </c>
      <c r="Q36" s="43">
        <f>O36-P36</f>
        <v>0.172342</v>
      </c>
      <c r="R36" s="35">
        <f>M36*O36-N36*Q36</f>
        <v>1.5875024600000001</v>
      </c>
      <c r="S36" s="44" t="s">
        <v>68</v>
      </c>
      <c r="T36" s="44" t="s">
        <v>79</v>
      </c>
      <c r="U36" s="44">
        <f t="shared" ref="U36:U38" si="6">25*8/2700</f>
        <v>7.4074074074074098E-2</v>
      </c>
      <c r="V36" s="45" t="s">
        <v>105</v>
      </c>
      <c r="W36" s="46">
        <f>VLOOKUP(V36,[1]冲压工序费!B:C,2,0)</f>
        <v>0.1</v>
      </c>
      <c r="X36" s="47">
        <v>1</v>
      </c>
      <c r="Y36" s="46">
        <f t="shared" si="5"/>
        <v>0.1</v>
      </c>
      <c r="Z36" s="102">
        <v>1.1499999999999999</v>
      </c>
      <c r="AA36" s="52">
        <f>(R36+SUM(U36:U42))*Z36+R38*1.03</f>
        <v>2.63265894011111</v>
      </c>
      <c r="AB36" s="3" t="s">
        <v>6</v>
      </c>
      <c r="AC36" s="5">
        <v>3.2440000000000002</v>
      </c>
      <c r="AD36" s="3" t="s">
        <v>106</v>
      </c>
      <c r="AE36" s="3"/>
      <c r="AF36" s="3"/>
      <c r="AG36" s="3"/>
    </row>
    <row r="37" spans="1:33" s="9" customFormat="1" ht="20.100000000000001" customHeight="1" x14ac:dyDescent="0.2">
      <c r="A37" s="94"/>
      <c r="B37" s="25"/>
      <c r="C37" s="24"/>
      <c r="D37" s="25"/>
      <c r="E37" s="25"/>
      <c r="F37" s="7"/>
      <c r="G37" s="29"/>
      <c r="H37" s="1"/>
      <c r="I37" s="29"/>
      <c r="J37" s="38"/>
      <c r="K37" s="38"/>
      <c r="L37" s="38"/>
      <c r="M37" s="39"/>
      <c r="N37" s="39"/>
      <c r="O37" s="40"/>
      <c r="P37" s="40"/>
      <c r="Q37" s="40"/>
      <c r="R37" s="39"/>
      <c r="S37" s="44" t="s">
        <v>81</v>
      </c>
      <c r="T37" s="44" t="s">
        <v>79</v>
      </c>
      <c r="U37" s="44">
        <f t="shared" si="6"/>
        <v>7.4074074074074098E-2</v>
      </c>
      <c r="V37" s="45" t="s">
        <v>105</v>
      </c>
      <c r="W37" s="46">
        <f>VLOOKUP(V37,[1]冲压工序费!B:C,2,0)</f>
        <v>0.1</v>
      </c>
      <c r="X37" s="48">
        <v>1</v>
      </c>
      <c r="Y37" s="46">
        <f t="shared" si="5"/>
        <v>0.1</v>
      </c>
      <c r="Z37" s="102"/>
      <c r="AA37" s="53"/>
      <c r="AB37" s="54"/>
      <c r="AC37" s="54"/>
      <c r="AD37" s="54"/>
      <c r="AE37" s="54"/>
      <c r="AF37" s="54"/>
      <c r="AG37" s="54"/>
    </row>
    <row r="38" spans="1:33" s="9" customFormat="1" ht="20.100000000000001" customHeight="1" x14ac:dyDescent="0.2">
      <c r="A38" s="94"/>
      <c r="B38" s="25"/>
      <c r="C38" s="24"/>
      <c r="D38" s="25"/>
      <c r="E38" s="25"/>
      <c r="F38" s="26" t="s">
        <v>107</v>
      </c>
      <c r="G38" s="26" t="s">
        <v>83</v>
      </c>
      <c r="H38" s="23">
        <v>2</v>
      </c>
      <c r="I38" s="33"/>
      <c r="J38" s="34"/>
      <c r="K38" s="34"/>
      <c r="L38" s="34"/>
      <c r="M38" s="35">
        <v>3.2000000000000001E-2</v>
      </c>
      <c r="N38" s="35"/>
      <c r="O38" s="36"/>
      <c r="P38" s="37"/>
      <c r="Q38" s="43"/>
      <c r="R38" s="35">
        <f>H38*M38</f>
        <v>6.4000000000000001E-2</v>
      </c>
      <c r="S38" s="44" t="s">
        <v>84</v>
      </c>
      <c r="T38" s="44"/>
      <c r="U38" s="44">
        <f t="shared" si="6"/>
        <v>7.4074074074074098E-2</v>
      </c>
      <c r="V38" s="45" t="s">
        <v>69</v>
      </c>
      <c r="W38" s="46">
        <f>VLOOKUP(V38,[1]冲压工序费!B:C,2,0)</f>
        <v>0.08</v>
      </c>
      <c r="X38" s="47">
        <v>1</v>
      </c>
      <c r="Y38" s="46">
        <f t="shared" si="5"/>
        <v>0.08</v>
      </c>
      <c r="Z38" s="102"/>
      <c r="AA38" s="53"/>
      <c r="AB38" s="54"/>
      <c r="AC38" s="54"/>
      <c r="AD38" s="54"/>
      <c r="AE38" s="54"/>
      <c r="AF38" s="54"/>
      <c r="AG38" s="54"/>
    </row>
    <row r="39" spans="1:33" s="9" customFormat="1" ht="20.100000000000001" customHeight="1" x14ac:dyDescent="0.2">
      <c r="A39" s="94"/>
      <c r="B39" s="25"/>
      <c r="C39" s="24"/>
      <c r="D39" s="25"/>
      <c r="E39" s="25"/>
      <c r="F39" s="26"/>
      <c r="G39" s="26"/>
      <c r="H39" s="23"/>
      <c r="I39" s="33"/>
      <c r="J39" s="34"/>
      <c r="K39" s="34"/>
      <c r="L39" s="34"/>
      <c r="M39" s="35"/>
      <c r="N39" s="35"/>
      <c r="O39" s="36"/>
      <c r="P39" s="37"/>
      <c r="Q39" s="43"/>
      <c r="R39" s="35"/>
      <c r="S39" s="44" t="s">
        <v>89</v>
      </c>
      <c r="T39" s="44"/>
      <c r="U39" s="44">
        <v>0.2</v>
      </c>
      <c r="V39" s="45"/>
      <c r="W39" s="46">
        <v>0.05</v>
      </c>
      <c r="X39" s="47">
        <v>4</v>
      </c>
      <c r="Y39" s="46">
        <f t="shared" si="5"/>
        <v>0.2</v>
      </c>
      <c r="Z39" s="102"/>
      <c r="AA39" s="53"/>
      <c r="AB39" s="54"/>
      <c r="AC39" s="54"/>
      <c r="AD39" s="54"/>
      <c r="AE39" s="54"/>
      <c r="AF39" s="54"/>
      <c r="AG39" s="54"/>
    </row>
    <row r="40" spans="1:33" s="9" customFormat="1" ht="20.100000000000001" customHeight="1" x14ac:dyDescent="0.2">
      <c r="A40" s="94"/>
      <c r="B40" s="25"/>
      <c r="C40" s="24"/>
      <c r="D40" s="25"/>
      <c r="E40" s="25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39"/>
      <c r="S40" s="44" t="s">
        <v>81</v>
      </c>
      <c r="T40" s="44" t="s">
        <v>79</v>
      </c>
      <c r="U40" s="44">
        <f t="shared" ref="U40:U42" si="7">25*8/2700</f>
        <v>7.4074074074074098E-2</v>
      </c>
      <c r="V40" s="1"/>
      <c r="W40" s="1"/>
      <c r="X40" s="1"/>
      <c r="Y40" s="55"/>
      <c r="Z40" s="102"/>
      <c r="AA40" s="53"/>
      <c r="AB40" s="54"/>
      <c r="AC40" s="54"/>
      <c r="AD40" s="54"/>
      <c r="AE40" s="54"/>
      <c r="AF40" s="54"/>
      <c r="AG40" s="54"/>
    </row>
    <row r="41" spans="1:33" s="9" customFormat="1" ht="20.100000000000001" customHeight="1" x14ac:dyDescent="0.2">
      <c r="A41" s="94"/>
      <c r="B41" s="25"/>
      <c r="C41" s="24"/>
      <c r="D41" s="25"/>
      <c r="E41" s="25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39"/>
      <c r="S41" s="44" t="s">
        <v>108</v>
      </c>
      <c r="T41" s="44" t="s">
        <v>79</v>
      </c>
      <c r="U41" s="44">
        <f t="shared" si="7"/>
        <v>7.4074074074074098E-2</v>
      </c>
      <c r="V41" s="1"/>
      <c r="W41" s="1"/>
      <c r="X41" s="1"/>
      <c r="Y41" s="55"/>
      <c r="Z41" s="102"/>
      <c r="AA41" s="53"/>
      <c r="AB41" s="54"/>
      <c r="AC41" s="54"/>
      <c r="AD41" s="54"/>
      <c r="AE41" s="54"/>
      <c r="AF41" s="54"/>
      <c r="AG41" s="54"/>
    </row>
    <row r="42" spans="1:33" s="9" customFormat="1" ht="20.100000000000001" customHeight="1" x14ac:dyDescent="0.2">
      <c r="A42" s="94"/>
      <c r="B42" s="25"/>
      <c r="C42" s="24"/>
      <c r="D42" s="25"/>
      <c r="E42" s="25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39"/>
      <c r="S42" s="49" t="s">
        <v>109</v>
      </c>
      <c r="T42" s="49" t="s">
        <v>95</v>
      </c>
      <c r="U42" s="44">
        <f t="shared" si="7"/>
        <v>7.4074074074074098E-2</v>
      </c>
      <c r="V42" s="1"/>
      <c r="W42" s="1"/>
      <c r="X42" s="1"/>
      <c r="Y42" s="55"/>
      <c r="Z42" s="102"/>
      <c r="AA42" s="53"/>
      <c r="AB42" s="54"/>
      <c r="AC42" s="54"/>
      <c r="AD42" s="54"/>
      <c r="AE42" s="54"/>
      <c r="AF42" s="54"/>
      <c r="AG42" s="54"/>
    </row>
    <row r="43" spans="1:33" s="9" customFormat="1" ht="20.100000000000001" customHeight="1" x14ac:dyDescent="0.2">
      <c r="A43" s="95"/>
      <c r="B43" s="28"/>
      <c r="C43" s="27"/>
      <c r="D43" s="28"/>
      <c r="E43" s="28"/>
      <c r="F43" s="29" t="s">
        <v>74</v>
      </c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39">
        <f>SUM(R36:R39)</f>
        <v>1.6515024599999999</v>
      </c>
      <c r="S43" s="85" t="s">
        <v>75</v>
      </c>
      <c r="T43" s="85"/>
      <c r="U43" s="85"/>
      <c r="V43" s="86"/>
      <c r="W43" s="86"/>
      <c r="X43" s="86"/>
      <c r="Y43" s="55">
        <f>SUM(Y36:Y39)</f>
        <v>0.48000000000000004</v>
      </c>
      <c r="Z43" s="102"/>
      <c r="AA43" s="56"/>
      <c r="AB43" s="6"/>
      <c r="AC43" s="6"/>
      <c r="AD43" s="6"/>
      <c r="AE43" s="6"/>
      <c r="AF43" s="6"/>
      <c r="AG43" s="6"/>
    </row>
    <row r="44" spans="1:33" s="9" customFormat="1" ht="25.5" customHeight="1" x14ac:dyDescent="0.2">
      <c r="A44" s="93">
        <v>30</v>
      </c>
      <c r="B44" s="22" t="s">
        <v>27</v>
      </c>
      <c r="C44" s="21" t="s">
        <v>27</v>
      </c>
      <c r="D44" s="22" t="s">
        <v>28</v>
      </c>
      <c r="E44" s="22"/>
      <c r="F44" s="2" t="s">
        <v>27</v>
      </c>
      <c r="G44" s="7" t="s">
        <v>28</v>
      </c>
      <c r="H44" s="23">
        <v>1</v>
      </c>
      <c r="I44" s="7" t="s">
        <v>110</v>
      </c>
      <c r="J44" s="34">
        <v>487</v>
      </c>
      <c r="K44" s="34">
        <v>17.5</v>
      </c>
      <c r="L44" s="34">
        <v>2</v>
      </c>
      <c r="M44" s="35">
        <v>3.9</v>
      </c>
      <c r="N44" s="35">
        <v>2.6</v>
      </c>
      <c r="O44" s="36">
        <f>J44*K44*L44*0.00000785</f>
        <v>0.13380325000000001</v>
      </c>
      <c r="P44" s="37">
        <v>0.108</v>
      </c>
      <c r="Q44" s="43">
        <f>O44-P44</f>
        <v>2.580325E-2</v>
      </c>
      <c r="R44" s="35">
        <f>M44*O44-N44*Q44</f>
        <v>0.454744225</v>
      </c>
      <c r="S44" s="44" t="s">
        <v>68</v>
      </c>
      <c r="T44" s="44" t="s">
        <v>85</v>
      </c>
      <c r="U44" s="44">
        <f t="shared" ref="U44:U47" si="8">25*8/2000</f>
        <v>0.1</v>
      </c>
      <c r="V44" s="45" t="s">
        <v>105</v>
      </c>
      <c r="W44" s="46">
        <f>VLOOKUP(V44,[1]冲压工序费!B:C,2,0)</f>
        <v>0.1</v>
      </c>
      <c r="X44" s="47">
        <v>1</v>
      </c>
      <c r="Y44" s="46">
        <f t="shared" ref="Y44:Y48" si="9">W44*X44</f>
        <v>0.1</v>
      </c>
      <c r="Z44" s="102">
        <v>1.1499999999999999</v>
      </c>
      <c r="AA44" s="52">
        <f>(R44+SUM(U44:U49))*Z44+R46*1.03</f>
        <v>1.25354409404412</v>
      </c>
      <c r="AB44" s="3" t="s">
        <v>6</v>
      </c>
      <c r="AC44" s="58">
        <v>1.2141999999999999</v>
      </c>
      <c r="AD44" s="3"/>
      <c r="AE44" s="3"/>
      <c r="AF44" s="3"/>
      <c r="AG44" s="3"/>
    </row>
    <row r="45" spans="1:33" s="9" customFormat="1" ht="20.100000000000001" customHeight="1" x14ac:dyDescent="0.2">
      <c r="A45" s="94"/>
      <c r="B45" s="25"/>
      <c r="C45" s="24"/>
      <c r="D45" s="25"/>
      <c r="E45" s="25"/>
      <c r="F45" s="7"/>
      <c r="G45" s="7"/>
      <c r="H45" s="1"/>
      <c r="I45" s="29"/>
      <c r="J45" s="38"/>
      <c r="K45" s="38"/>
      <c r="L45" s="38"/>
      <c r="M45" s="39"/>
      <c r="N45" s="39"/>
      <c r="O45" s="40"/>
      <c r="P45" s="40"/>
      <c r="Q45" s="40"/>
      <c r="R45" s="39"/>
      <c r="S45" s="44" t="s">
        <v>84</v>
      </c>
      <c r="T45" s="50" t="s">
        <v>111</v>
      </c>
      <c r="U45" s="44">
        <f t="shared" si="8"/>
        <v>0.1</v>
      </c>
      <c r="V45" s="45" t="s">
        <v>111</v>
      </c>
      <c r="W45" s="46">
        <f>VLOOKUP(V45,[1]冲压工序费!B:C,2,0)</f>
        <v>0.04</v>
      </c>
      <c r="X45" s="48">
        <v>1</v>
      </c>
      <c r="Y45" s="46">
        <f t="shared" si="9"/>
        <v>0.04</v>
      </c>
      <c r="Z45" s="102"/>
      <c r="AA45" s="53"/>
      <c r="AB45" s="54"/>
      <c r="AC45" s="54"/>
      <c r="AD45" s="54"/>
      <c r="AE45" s="54"/>
      <c r="AF45" s="54"/>
      <c r="AG45" s="54"/>
    </row>
    <row r="46" spans="1:33" s="9" customFormat="1" ht="20.100000000000001" customHeight="1" x14ac:dyDescent="0.2">
      <c r="A46" s="94"/>
      <c r="B46" s="25"/>
      <c r="C46" s="24"/>
      <c r="D46" s="25"/>
      <c r="E46" s="25"/>
      <c r="F46" s="26"/>
      <c r="G46" s="26"/>
      <c r="H46" s="23"/>
      <c r="I46" s="33"/>
      <c r="J46" s="34"/>
      <c r="K46" s="34"/>
      <c r="L46" s="34"/>
      <c r="M46" s="35"/>
      <c r="N46" s="35"/>
      <c r="O46" s="36"/>
      <c r="P46" s="37"/>
      <c r="Q46" s="43"/>
      <c r="R46" s="35"/>
      <c r="S46" s="44" t="s">
        <v>84</v>
      </c>
      <c r="T46" s="50" t="s">
        <v>111</v>
      </c>
      <c r="U46" s="44">
        <f t="shared" si="8"/>
        <v>0.1</v>
      </c>
      <c r="V46" s="45"/>
      <c r="W46" s="46">
        <f>25*8/2500</f>
        <v>0.08</v>
      </c>
      <c r="X46" s="48">
        <v>1</v>
      </c>
      <c r="Y46" s="46"/>
      <c r="Z46" s="102"/>
      <c r="AA46" s="53"/>
      <c r="AB46" s="54"/>
      <c r="AC46" s="54"/>
      <c r="AD46" s="54"/>
      <c r="AE46" s="54"/>
      <c r="AF46" s="54"/>
      <c r="AG46" s="54"/>
    </row>
    <row r="47" spans="1:33" s="9" customFormat="1" ht="20.100000000000001" customHeight="1" x14ac:dyDescent="0.2">
      <c r="A47" s="94"/>
      <c r="B47" s="25"/>
      <c r="C47" s="24"/>
      <c r="D47" s="25"/>
      <c r="E47" s="25"/>
      <c r="F47" s="26"/>
      <c r="G47" s="26"/>
      <c r="H47" s="23"/>
      <c r="I47" s="33"/>
      <c r="J47" s="34"/>
      <c r="K47" s="34"/>
      <c r="L47" s="34"/>
      <c r="M47" s="35"/>
      <c r="N47" s="35"/>
      <c r="O47" s="36"/>
      <c r="P47" s="37"/>
      <c r="Q47" s="43"/>
      <c r="R47" s="35"/>
      <c r="S47" s="44" t="s">
        <v>84</v>
      </c>
      <c r="T47" s="50" t="s">
        <v>111</v>
      </c>
      <c r="U47" s="44">
        <f t="shared" si="8"/>
        <v>0.1</v>
      </c>
      <c r="V47" s="45"/>
      <c r="W47" s="46"/>
      <c r="X47" s="48">
        <v>1</v>
      </c>
      <c r="Y47" s="46"/>
      <c r="Z47" s="102"/>
      <c r="AA47" s="53"/>
      <c r="AB47" s="54"/>
      <c r="AC47" s="54"/>
      <c r="AD47" s="54"/>
      <c r="AE47" s="54"/>
      <c r="AF47" s="54"/>
      <c r="AG47" s="54"/>
    </row>
    <row r="48" spans="1:33" s="9" customFormat="1" ht="20.100000000000001" customHeight="1" x14ac:dyDescent="0.2">
      <c r="A48" s="94"/>
      <c r="B48" s="25"/>
      <c r="C48" s="24"/>
      <c r="D48" s="25"/>
      <c r="E48" s="25"/>
      <c r="F48" s="26"/>
      <c r="G48" s="26"/>
      <c r="H48" s="23"/>
      <c r="I48" s="33"/>
      <c r="J48" s="34"/>
      <c r="K48" s="34"/>
      <c r="L48" s="34"/>
      <c r="M48" s="35"/>
      <c r="N48" s="35"/>
      <c r="O48" s="36"/>
      <c r="P48" s="37"/>
      <c r="Q48" s="43"/>
      <c r="R48" s="35">
        <f>H48*M48</f>
        <v>0</v>
      </c>
      <c r="S48" s="44" t="s">
        <v>81</v>
      </c>
      <c r="T48" s="50" t="s">
        <v>111</v>
      </c>
      <c r="U48" s="44">
        <f>25*8/1700</f>
        <v>0.11764705882352899</v>
      </c>
      <c r="V48" s="45" t="s">
        <v>85</v>
      </c>
      <c r="W48" s="46">
        <f>VLOOKUP(V48,[1]冲压工序费!B:C,2,0)</f>
        <v>0.05</v>
      </c>
      <c r="X48" s="48">
        <v>1</v>
      </c>
      <c r="Y48" s="46">
        <f t="shared" si="9"/>
        <v>0.05</v>
      </c>
      <c r="Z48" s="102"/>
      <c r="AA48" s="53"/>
      <c r="AB48" s="54"/>
      <c r="AC48" s="54"/>
      <c r="AD48" s="54"/>
      <c r="AE48" s="54"/>
      <c r="AF48" s="54"/>
      <c r="AG48" s="54"/>
    </row>
    <row r="49" spans="1:33" s="9" customFormat="1" ht="20.100000000000001" customHeight="1" x14ac:dyDescent="0.2">
      <c r="A49" s="94"/>
      <c r="B49" s="25"/>
      <c r="C49" s="24"/>
      <c r="D49" s="25"/>
      <c r="E49" s="25"/>
      <c r="F49" s="26"/>
      <c r="G49" s="26"/>
      <c r="H49" s="23"/>
      <c r="I49" s="33"/>
      <c r="J49" s="34"/>
      <c r="K49" s="34"/>
      <c r="L49" s="34"/>
      <c r="M49" s="35"/>
      <c r="N49" s="35"/>
      <c r="O49" s="36"/>
      <c r="P49" s="37"/>
      <c r="Q49" s="43"/>
      <c r="R49" s="35"/>
      <c r="S49" s="44" t="s">
        <v>81</v>
      </c>
      <c r="T49" s="44" t="s">
        <v>95</v>
      </c>
      <c r="U49" s="44">
        <f>25*8/1700</f>
        <v>0.11764705882352899</v>
      </c>
      <c r="V49" s="45"/>
      <c r="W49" s="46"/>
      <c r="X49" s="47">
        <v>1</v>
      </c>
      <c r="Y49" s="46"/>
      <c r="Z49" s="102"/>
      <c r="AA49" s="53"/>
      <c r="AB49" s="54"/>
      <c r="AC49" s="54"/>
      <c r="AD49" s="54"/>
      <c r="AE49" s="54"/>
      <c r="AF49" s="54"/>
      <c r="AG49" s="54"/>
    </row>
    <row r="50" spans="1:33" s="9" customFormat="1" ht="20.100000000000001" customHeight="1" x14ac:dyDescent="0.2">
      <c r="A50" s="94"/>
      <c r="B50" s="25"/>
      <c r="C50" s="24"/>
      <c r="D50" s="25"/>
      <c r="E50" s="25"/>
      <c r="F50" s="26"/>
      <c r="G50" s="26"/>
      <c r="H50" s="23"/>
      <c r="I50" s="33"/>
      <c r="J50" s="34"/>
      <c r="K50" s="34"/>
      <c r="L50" s="34"/>
      <c r="M50" s="35"/>
      <c r="N50" s="35"/>
      <c r="O50" s="36"/>
      <c r="P50" s="37"/>
      <c r="Q50" s="43"/>
      <c r="R50" s="35"/>
      <c r="S50" s="44"/>
      <c r="T50" s="44"/>
      <c r="U50" s="44"/>
      <c r="V50" s="45"/>
      <c r="W50" s="46"/>
      <c r="X50" s="47"/>
      <c r="Y50" s="46"/>
      <c r="Z50" s="102"/>
      <c r="AA50" s="53"/>
      <c r="AB50" s="54"/>
      <c r="AC50" s="54"/>
      <c r="AD50" s="54"/>
      <c r="AE50" s="54"/>
      <c r="AF50" s="54"/>
      <c r="AG50" s="54"/>
    </row>
    <row r="51" spans="1:33" s="9" customFormat="1" ht="20.100000000000001" customHeight="1" x14ac:dyDescent="0.2">
      <c r="A51" s="94"/>
      <c r="B51" s="25"/>
      <c r="C51" s="24"/>
      <c r="D51" s="25"/>
      <c r="E51" s="25"/>
      <c r="F51" s="26"/>
      <c r="G51" s="26"/>
      <c r="H51" s="23"/>
      <c r="I51" s="33"/>
      <c r="J51" s="34"/>
      <c r="K51" s="34"/>
      <c r="L51" s="34"/>
      <c r="M51" s="35"/>
      <c r="N51" s="35"/>
      <c r="O51" s="36"/>
      <c r="P51" s="37"/>
      <c r="Q51" s="43"/>
      <c r="R51" s="35"/>
      <c r="S51" s="44" t="s">
        <v>89</v>
      </c>
      <c r="T51" s="44"/>
      <c r="U51" s="44"/>
      <c r="V51" s="45"/>
      <c r="W51" s="46"/>
      <c r="X51" s="47"/>
      <c r="Y51" s="46">
        <f t="shared" ref="Y51:Y58" si="10">W51*X51</f>
        <v>0</v>
      </c>
      <c r="Z51" s="102"/>
      <c r="AA51" s="53"/>
      <c r="AB51" s="54"/>
      <c r="AC51" s="54"/>
      <c r="AD51" s="54"/>
      <c r="AE51" s="54"/>
      <c r="AF51" s="54"/>
      <c r="AG51" s="54"/>
    </row>
    <row r="52" spans="1:33" s="9" customFormat="1" ht="20.100000000000001" customHeight="1" x14ac:dyDescent="0.2">
      <c r="A52" s="94"/>
      <c r="B52" s="25"/>
      <c r="C52" s="24"/>
      <c r="D52" s="25"/>
      <c r="E52" s="25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39"/>
      <c r="S52" s="49"/>
      <c r="T52" s="49"/>
      <c r="U52" s="49"/>
      <c r="V52" s="1"/>
      <c r="W52" s="1"/>
      <c r="X52" s="1"/>
      <c r="Y52" s="55"/>
      <c r="Z52" s="102"/>
      <c r="AA52" s="53"/>
      <c r="AB52" s="54"/>
      <c r="AC52" s="54"/>
      <c r="AD52" s="54"/>
      <c r="AE52" s="54"/>
      <c r="AF52" s="54"/>
      <c r="AG52" s="54"/>
    </row>
    <row r="53" spans="1:33" s="9" customFormat="1" ht="20.100000000000001" customHeight="1" x14ac:dyDescent="0.2">
      <c r="A53" s="94"/>
      <c r="B53" s="25"/>
      <c r="C53" s="24"/>
      <c r="D53" s="25"/>
      <c r="E53" s="25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39"/>
      <c r="S53" s="49"/>
      <c r="T53" s="49"/>
      <c r="U53" s="49"/>
      <c r="V53" s="1"/>
      <c r="W53" s="1"/>
      <c r="X53" s="1"/>
      <c r="Y53" s="55"/>
      <c r="Z53" s="102"/>
      <c r="AA53" s="53"/>
      <c r="AB53" s="54"/>
      <c r="AC53" s="54"/>
      <c r="AD53" s="54"/>
      <c r="AE53" s="54"/>
      <c r="AF53" s="54"/>
      <c r="AG53" s="54"/>
    </row>
    <row r="54" spans="1:33" s="9" customFormat="1" ht="20.100000000000001" customHeight="1" x14ac:dyDescent="0.2">
      <c r="A54" s="95"/>
      <c r="B54" s="28"/>
      <c r="C54" s="27"/>
      <c r="D54" s="28"/>
      <c r="E54" s="28"/>
      <c r="F54" s="29" t="s">
        <v>74</v>
      </c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39">
        <f>SUM(R44:R51)</f>
        <v>0.454744225</v>
      </c>
      <c r="S54" s="85" t="s">
        <v>75</v>
      </c>
      <c r="T54" s="85"/>
      <c r="U54" s="85"/>
      <c r="V54" s="86"/>
      <c r="W54" s="86"/>
      <c r="X54" s="86"/>
      <c r="Y54" s="55">
        <f>SUM(Y44:Y51)</f>
        <v>0.19</v>
      </c>
      <c r="Z54" s="102"/>
      <c r="AA54" s="56"/>
      <c r="AB54" s="6"/>
      <c r="AC54" s="6"/>
      <c r="AD54" s="6"/>
      <c r="AE54" s="6"/>
      <c r="AF54" s="6"/>
      <c r="AG54" s="6"/>
    </row>
    <row r="55" spans="1:33" s="9" customFormat="1" ht="25.5" customHeight="1" x14ac:dyDescent="0.2">
      <c r="A55" s="93">
        <v>31</v>
      </c>
      <c r="B55" s="22" t="s">
        <v>29</v>
      </c>
      <c r="C55" s="21" t="s">
        <v>29</v>
      </c>
      <c r="D55" s="22" t="s">
        <v>30</v>
      </c>
      <c r="E55" s="22"/>
      <c r="F55" s="21" t="s">
        <v>29</v>
      </c>
      <c r="G55" s="22" t="s">
        <v>30</v>
      </c>
      <c r="H55" s="23">
        <v>1</v>
      </c>
      <c r="I55" s="7" t="s">
        <v>110</v>
      </c>
      <c r="J55" s="34">
        <v>218</v>
      </c>
      <c r="K55" s="34">
        <v>17.5</v>
      </c>
      <c r="L55" s="34">
        <v>2</v>
      </c>
      <c r="M55" s="35">
        <v>3.9</v>
      </c>
      <c r="N55" s="35">
        <v>2.6</v>
      </c>
      <c r="O55" s="36">
        <f>J55*K55*L55*0.00000785</f>
        <v>5.9895499999999997E-2</v>
      </c>
      <c r="P55" s="37">
        <v>4.8000000000000001E-2</v>
      </c>
      <c r="Q55" s="43">
        <f>O55-P55</f>
        <v>1.18955E-2</v>
      </c>
      <c r="R55" s="35">
        <f>M55*O55-N55*Q55</f>
        <v>0.20266414999999999</v>
      </c>
      <c r="S55" s="44" t="s">
        <v>68</v>
      </c>
      <c r="T55" s="44" t="s">
        <v>101</v>
      </c>
      <c r="U55" s="44">
        <f>25*8/1500</f>
        <v>0.133333333333333</v>
      </c>
      <c r="V55" s="45" t="s">
        <v>85</v>
      </c>
      <c r="W55" s="46">
        <f>VLOOKUP(V55,[1]冲压工序费!B:C,2,0)</f>
        <v>0.05</v>
      </c>
      <c r="X55" s="47">
        <v>1</v>
      </c>
      <c r="Y55" s="46">
        <f t="shared" si="10"/>
        <v>0.05</v>
      </c>
      <c r="Z55" s="102">
        <v>1.1499999999999999</v>
      </c>
      <c r="AA55" s="52">
        <f>(R55+SUM(U55:U58))*Z55+R57*1.03</f>
        <v>0.53589710583333305</v>
      </c>
      <c r="AB55" s="3" t="s">
        <v>6</v>
      </c>
      <c r="AC55" s="58">
        <v>0.46</v>
      </c>
      <c r="AD55" s="3"/>
      <c r="AE55" s="3"/>
      <c r="AF55" s="3"/>
      <c r="AG55" s="3"/>
    </row>
    <row r="56" spans="1:33" s="9" customFormat="1" ht="20.100000000000001" customHeight="1" x14ac:dyDescent="0.2">
      <c r="A56" s="94"/>
      <c r="B56" s="25"/>
      <c r="C56" s="24"/>
      <c r="D56" s="25"/>
      <c r="E56" s="25"/>
      <c r="F56" s="7"/>
      <c r="G56" s="7"/>
      <c r="H56" s="1"/>
      <c r="I56" s="29"/>
      <c r="J56" s="38"/>
      <c r="K56" s="38"/>
      <c r="L56" s="38"/>
      <c r="M56" s="39"/>
      <c r="N56" s="39"/>
      <c r="O56" s="40"/>
      <c r="P56" s="40"/>
      <c r="Q56" s="40"/>
      <c r="R56" s="39"/>
      <c r="S56" s="44" t="s">
        <v>84</v>
      </c>
      <c r="T56" s="44"/>
      <c r="U56" s="44">
        <v>0.03</v>
      </c>
      <c r="V56" s="45" t="s">
        <v>112</v>
      </c>
      <c r="W56" s="46">
        <f>VLOOKUP(V56,[1]冲压工序费!B:C,2,0)</f>
        <v>0.03</v>
      </c>
      <c r="X56" s="48">
        <v>1</v>
      </c>
      <c r="Y56" s="46">
        <f t="shared" si="10"/>
        <v>0.03</v>
      </c>
      <c r="Z56" s="102"/>
      <c r="AA56" s="53"/>
      <c r="AB56" s="54"/>
      <c r="AC56" s="54"/>
      <c r="AD56" s="54"/>
      <c r="AE56" s="54"/>
      <c r="AF56" s="54"/>
      <c r="AG56" s="54"/>
    </row>
    <row r="57" spans="1:33" s="9" customFormat="1" ht="20.100000000000001" customHeight="1" x14ac:dyDescent="0.2">
      <c r="A57" s="94"/>
      <c r="B57" s="25"/>
      <c r="C57" s="24"/>
      <c r="D57" s="25"/>
      <c r="E57" s="25"/>
      <c r="F57" s="26"/>
      <c r="G57" s="26"/>
      <c r="H57" s="23"/>
      <c r="I57" s="33"/>
      <c r="J57" s="34"/>
      <c r="K57" s="34"/>
      <c r="L57" s="34"/>
      <c r="M57" s="35"/>
      <c r="N57" s="35"/>
      <c r="O57" s="36"/>
      <c r="P57" s="37"/>
      <c r="Q57" s="43"/>
      <c r="R57" s="35">
        <f>H57*M57</f>
        <v>0</v>
      </c>
      <c r="S57" s="44" t="s">
        <v>81</v>
      </c>
      <c r="T57" s="44" t="s">
        <v>85</v>
      </c>
      <c r="U57" s="44">
        <f>25*8/2000</f>
        <v>0.1</v>
      </c>
      <c r="V57" s="45" t="s">
        <v>95</v>
      </c>
      <c r="W57" s="46">
        <f>VLOOKUP(V57,[1]冲压工序费!B:C,2,0)</f>
        <v>0.03</v>
      </c>
      <c r="X57" s="48">
        <v>1</v>
      </c>
      <c r="Y57" s="46">
        <f t="shared" si="10"/>
        <v>0.03</v>
      </c>
      <c r="Z57" s="102"/>
      <c r="AA57" s="53"/>
      <c r="AB57" s="54"/>
      <c r="AC57" s="54"/>
      <c r="AD57" s="54"/>
      <c r="AE57" s="54"/>
      <c r="AF57" s="54"/>
      <c r="AG57" s="54"/>
    </row>
    <row r="58" spans="1:33" s="9" customFormat="1" ht="20.100000000000001" customHeight="1" x14ac:dyDescent="0.2">
      <c r="A58" s="94"/>
      <c r="B58" s="25"/>
      <c r="C58" s="24"/>
      <c r="D58" s="25"/>
      <c r="E58" s="25"/>
      <c r="F58" s="26"/>
      <c r="G58" s="26"/>
      <c r="H58" s="23"/>
      <c r="I58" s="33"/>
      <c r="J58" s="34"/>
      <c r="K58" s="34"/>
      <c r="L58" s="34"/>
      <c r="M58" s="35"/>
      <c r="N58" s="35"/>
      <c r="O58" s="36"/>
      <c r="P58" s="37"/>
      <c r="Q58" s="43"/>
      <c r="R58" s="35"/>
      <c r="S58" s="44" t="s">
        <v>89</v>
      </c>
      <c r="T58" s="44"/>
      <c r="U58" s="44"/>
      <c r="V58" s="45"/>
      <c r="W58" s="46"/>
      <c r="X58" s="47"/>
      <c r="Y58" s="46">
        <f t="shared" si="10"/>
        <v>0</v>
      </c>
      <c r="Z58" s="102"/>
      <c r="AA58" s="53"/>
      <c r="AB58" s="54"/>
      <c r="AC58" s="54"/>
      <c r="AD58" s="54"/>
      <c r="AE58" s="54"/>
      <c r="AF58" s="54"/>
      <c r="AG58" s="54"/>
    </row>
    <row r="59" spans="1:33" s="9" customFormat="1" ht="20.100000000000001" customHeight="1" x14ac:dyDescent="0.2">
      <c r="A59" s="95"/>
      <c r="B59" s="28"/>
      <c r="C59" s="27"/>
      <c r="D59" s="28"/>
      <c r="E59" s="28"/>
      <c r="F59" s="29" t="s">
        <v>74</v>
      </c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39">
        <f>SUM(R55:R58)</f>
        <v>0.20266414999999999</v>
      </c>
      <c r="S59" s="85" t="s">
        <v>75</v>
      </c>
      <c r="T59" s="85"/>
      <c r="U59" s="85"/>
      <c r="V59" s="86"/>
      <c r="W59" s="86"/>
      <c r="X59" s="86"/>
      <c r="Y59" s="55">
        <f>SUM(Y55:Y58)</f>
        <v>0.11</v>
      </c>
      <c r="Z59" s="102"/>
      <c r="AA59" s="56"/>
      <c r="AB59" s="6"/>
      <c r="AC59" s="6"/>
      <c r="AD59" s="6"/>
      <c r="AE59" s="6"/>
      <c r="AF59" s="6"/>
      <c r="AG59" s="6"/>
    </row>
    <row r="60" spans="1:33" s="9" customFormat="1" ht="25.5" customHeight="1" x14ac:dyDescent="0.2">
      <c r="A60" s="93">
        <v>35</v>
      </c>
      <c r="B60" s="22" t="s">
        <v>31</v>
      </c>
      <c r="C60" s="21" t="s">
        <v>31</v>
      </c>
      <c r="D60" s="22" t="s">
        <v>28</v>
      </c>
      <c r="E60" s="22"/>
      <c r="F60" s="21" t="s">
        <v>31</v>
      </c>
      <c r="G60" s="7" t="s">
        <v>28</v>
      </c>
      <c r="H60" s="23">
        <v>1</v>
      </c>
      <c r="I60" s="7" t="s">
        <v>110</v>
      </c>
      <c r="J60" s="34">
        <v>392</v>
      </c>
      <c r="K60" s="34">
        <v>17.5</v>
      </c>
      <c r="L60" s="34">
        <v>2</v>
      </c>
      <c r="M60" s="35">
        <v>3.9</v>
      </c>
      <c r="N60" s="35">
        <v>2.6</v>
      </c>
      <c r="O60" s="36">
        <f>J60*K60*L60*0.00000785</f>
        <v>0.10770200000000001</v>
      </c>
      <c r="P60" s="37">
        <v>8.5500000000000007E-2</v>
      </c>
      <c r="Q60" s="43">
        <f>O60-P60</f>
        <v>2.2202E-2</v>
      </c>
      <c r="R60" s="35">
        <f>M60*O60-N60*Q60</f>
        <v>0.36231259999999998</v>
      </c>
      <c r="S60" s="44" t="s">
        <v>68</v>
      </c>
      <c r="T60" s="44" t="s">
        <v>101</v>
      </c>
      <c r="U60" s="44">
        <f>25*8/1700</f>
        <v>0.11764705882352899</v>
      </c>
      <c r="V60" s="45" t="s">
        <v>105</v>
      </c>
      <c r="W60" s="46">
        <f>VLOOKUP(V60,[1]冲压工序费!B:C,2,0)</f>
        <v>0.1</v>
      </c>
      <c r="X60" s="47">
        <v>1</v>
      </c>
      <c r="Y60" s="46">
        <f t="shared" ref="Y60:Y63" si="11">W60*X60</f>
        <v>0.1</v>
      </c>
      <c r="Z60" s="102">
        <v>1.1499999999999999</v>
      </c>
      <c r="AA60" s="52">
        <f>(R60+SUM(U60:U63))*Z60+R62*1.03</f>
        <v>0.85862027431372401</v>
      </c>
      <c r="AB60" s="3" t="s">
        <v>6</v>
      </c>
      <c r="AC60" s="58">
        <v>0.84870000000000001</v>
      </c>
      <c r="AD60" s="3" t="s">
        <v>113</v>
      </c>
      <c r="AE60" s="3"/>
      <c r="AF60" s="3"/>
      <c r="AG60" s="3"/>
    </row>
    <row r="61" spans="1:33" s="9" customFormat="1" ht="20.100000000000001" customHeight="1" x14ac:dyDescent="0.2">
      <c r="A61" s="94"/>
      <c r="B61" s="25"/>
      <c r="C61" s="24"/>
      <c r="D61" s="25"/>
      <c r="E61" s="25"/>
      <c r="F61" s="7"/>
      <c r="G61" s="7"/>
      <c r="H61" s="1"/>
      <c r="I61" s="29"/>
      <c r="J61" s="38"/>
      <c r="K61" s="38"/>
      <c r="L61" s="38"/>
      <c r="M61" s="39"/>
      <c r="N61" s="39"/>
      <c r="O61" s="40"/>
      <c r="P61" s="40"/>
      <c r="Q61" s="40"/>
      <c r="R61" s="39"/>
      <c r="S61" s="44" t="s">
        <v>84</v>
      </c>
      <c r="T61" s="50" t="s">
        <v>85</v>
      </c>
      <c r="U61" s="44">
        <f t="shared" ref="U61:U66" si="12">25*8/1500</f>
        <v>0.133333333333333</v>
      </c>
      <c r="V61" s="45" t="s">
        <v>111</v>
      </c>
      <c r="W61" s="46">
        <f>VLOOKUP(V61,[1]冲压工序费!B:C,2,0)</f>
        <v>0.04</v>
      </c>
      <c r="X61" s="48">
        <v>1</v>
      </c>
      <c r="Y61" s="46">
        <f t="shared" si="11"/>
        <v>0.04</v>
      </c>
      <c r="Z61" s="102"/>
      <c r="AA61" s="53"/>
      <c r="AB61" s="54"/>
      <c r="AC61" s="54"/>
      <c r="AD61" s="54"/>
      <c r="AE61" s="54"/>
      <c r="AF61" s="54"/>
      <c r="AG61" s="54"/>
    </row>
    <row r="62" spans="1:33" s="9" customFormat="1" ht="20.100000000000001" customHeight="1" x14ac:dyDescent="0.2">
      <c r="A62" s="94"/>
      <c r="B62" s="25"/>
      <c r="C62" s="24"/>
      <c r="D62" s="25"/>
      <c r="E62" s="25"/>
      <c r="F62" s="26"/>
      <c r="G62" s="26"/>
      <c r="H62" s="23"/>
      <c r="I62" s="33"/>
      <c r="J62" s="34"/>
      <c r="K62" s="34"/>
      <c r="L62" s="34"/>
      <c r="M62" s="35"/>
      <c r="N62" s="35"/>
      <c r="O62" s="36"/>
      <c r="P62" s="37"/>
      <c r="Q62" s="43"/>
      <c r="R62" s="35">
        <f>H62*M62</f>
        <v>0</v>
      </c>
      <c r="S62" s="44" t="s">
        <v>81</v>
      </c>
      <c r="T62" s="50" t="s">
        <v>85</v>
      </c>
      <c r="U62" s="44">
        <f t="shared" si="12"/>
        <v>0.133333333333333</v>
      </c>
      <c r="V62" s="45" t="s">
        <v>85</v>
      </c>
      <c r="W62" s="46">
        <f>VLOOKUP(V62,[1]冲压工序费!B:C,2,0)</f>
        <v>0.05</v>
      </c>
      <c r="X62" s="48">
        <v>1</v>
      </c>
      <c r="Y62" s="46">
        <f t="shared" si="11"/>
        <v>0.05</v>
      </c>
      <c r="Z62" s="102"/>
      <c r="AA62" s="53"/>
      <c r="AB62" s="54"/>
      <c r="AC62" s="54"/>
      <c r="AD62" s="54"/>
      <c r="AE62" s="54"/>
      <c r="AF62" s="54"/>
      <c r="AG62" s="54"/>
    </row>
    <row r="63" spans="1:33" s="9" customFormat="1" ht="20.100000000000001" customHeight="1" x14ac:dyDescent="0.2">
      <c r="A63" s="94"/>
      <c r="B63" s="25"/>
      <c r="C63" s="24"/>
      <c r="D63" s="25"/>
      <c r="E63" s="25"/>
      <c r="F63" s="26"/>
      <c r="G63" s="26"/>
      <c r="H63" s="23"/>
      <c r="I63" s="33"/>
      <c r="J63" s="34"/>
      <c r="K63" s="34"/>
      <c r="L63" s="34"/>
      <c r="M63" s="35"/>
      <c r="N63" s="35"/>
      <c r="O63" s="36"/>
      <c r="P63" s="37"/>
      <c r="Q63" s="43"/>
      <c r="R63" s="35"/>
      <c r="S63" s="44" t="s">
        <v>89</v>
      </c>
      <c r="T63" s="44"/>
      <c r="U63" s="44"/>
      <c r="V63" s="45"/>
      <c r="W63" s="46"/>
      <c r="X63" s="47"/>
      <c r="Y63" s="46">
        <f t="shared" si="11"/>
        <v>0</v>
      </c>
      <c r="Z63" s="102"/>
      <c r="AA63" s="53"/>
      <c r="AB63" s="54"/>
      <c r="AC63" s="54"/>
      <c r="AD63" s="54"/>
      <c r="AE63" s="54"/>
      <c r="AF63" s="54"/>
      <c r="AG63" s="54"/>
    </row>
    <row r="64" spans="1:33" s="9" customFormat="1" ht="20.100000000000001" customHeight="1" x14ac:dyDescent="0.2">
      <c r="A64" s="95"/>
      <c r="B64" s="28"/>
      <c r="C64" s="27"/>
      <c r="D64" s="28"/>
      <c r="E64" s="28"/>
      <c r="F64" s="29" t="s">
        <v>74</v>
      </c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39">
        <f>SUM(R60:R63)</f>
        <v>0.36231259999999998</v>
      </c>
      <c r="S64" s="85" t="s">
        <v>75</v>
      </c>
      <c r="T64" s="85"/>
      <c r="U64" s="85"/>
      <c r="V64" s="86"/>
      <c r="W64" s="86"/>
      <c r="X64" s="86"/>
      <c r="Y64" s="55">
        <f>SUM(Y60:Y63)</f>
        <v>0.19</v>
      </c>
      <c r="Z64" s="102"/>
      <c r="AA64" s="56"/>
      <c r="AB64" s="6"/>
      <c r="AC64" s="6"/>
      <c r="AD64" s="6"/>
      <c r="AE64" s="6"/>
      <c r="AF64" s="6"/>
      <c r="AG64" s="6"/>
    </row>
    <row r="65" spans="1:33" s="9" customFormat="1" ht="25.5" customHeight="1" x14ac:dyDescent="0.2">
      <c r="A65" s="93">
        <v>50</v>
      </c>
      <c r="B65" s="22" t="s">
        <v>32</v>
      </c>
      <c r="C65" s="21" t="s">
        <v>114</v>
      </c>
      <c r="D65" s="22" t="s">
        <v>33</v>
      </c>
      <c r="E65" s="22"/>
      <c r="F65" s="2" t="s">
        <v>32</v>
      </c>
      <c r="G65" s="7" t="s">
        <v>33</v>
      </c>
      <c r="H65" s="23">
        <v>1</v>
      </c>
      <c r="I65" s="33" t="s">
        <v>78</v>
      </c>
      <c r="J65" s="34">
        <v>69</v>
      </c>
      <c r="K65" s="34">
        <v>45</v>
      </c>
      <c r="L65" s="34">
        <v>3.5</v>
      </c>
      <c r="M65" s="35">
        <v>5.13</v>
      </c>
      <c r="N65" s="35">
        <v>2.6</v>
      </c>
      <c r="O65" s="36">
        <f>J65*K65*L65*0.00000785</f>
        <v>8.5309874999999993E-2</v>
      </c>
      <c r="P65" s="37">
        <v>1.5800000000000002E-2</v>
      </c>
      <c r="Q65" s="43">
        <f>O65-P65</f>
        <v>6.9509874999999999E-2</v>
      </c>
      <c r="R65" s="35">
        <f>M65*O65-N65*Q65</f>
        <v>0.25691398375000002</v>
      </c>
      <c r="S65" s="44" t="s">
        <v>68</v>
      </c>
      <c r="T65" s="44" t="s">
        <v>101</v>
      </c>
      <c r="U65" s="44">
        <f>25*8/3000</f>
        <v>6.6666666666666693E-2</v>
      </c>
      <c r="V65" s="45" t="s">
        <v>85</v>
      </c>
      <c r="W65" s="46">
        <f>VLOOKUP(V65,[1]冲压工序费!B:C,2,0)</f>
        <v>0.05</v>
      </c>
      <c r="X65" s="47">
        <v>1</v>
      </c>
      <c r="Y65" s="46">
        <f t="shared" ref="Y65:Y68" si="13">W65*X65</f>
        <v>0.05</v>
      </c>
      <c r="Z65" s="102">
        <v>1.1499999999999999</v>
      </c>
      <c r="AA65" s="52">
        <f>(R65+SUM(U65:U68))*Z65+R67*1.03</f>
        <v>0.64045108131249995</v>
      </c>
      <c r="AB65" s="3" t="s">
        <v>6</v>
      </c>
      <c r="AC65" s="58">
        <v>0.57520000000000004</v>
      </c>
      <c r="AD65" s="3"/>
      <c r="AE65" s="3"/>
      <c r="AF65" s="3"/>
      <c r="AG65" s="3"/>
    </row>
    <row r="66" spans="1:33" s="9" customFormat="1" ht="20.100000000000001" customHeight="1" x14ac:dyDescent="0.2">
      <c r="A66" s="94"/>
      <c r="B66" s="25"/>
      <c r="C66" s="24"/>
      <c r="D66" s="25"/>
      <c r="E66" s="25"/>
      <c r="F66" s="7"/>
      <c r="G66" s="7"/>
      <c r="H66" s="1"/>
      <c r="I66" s="29"/>
      <c r="J66" s="38"/>
      <c r="K66" s="38"/>
      <c r="L66" s="38"/>
      <c r="M66" s="39"/>
      <c r="N66" s="39"/>
      <c r="O66" s="40"/>
      <c r="P66" s="40"/>
      <c r="Q66" s="40"/>
      <c r="R66" s="39"/>
      <c r="S66" s="44" t="s">
        <v>81</v>
      </c>
      <c r="T66" s="44" t="s">
        <v>85</v>
      </c>
      <c r="U66" s="44">
        <f t="shared" si="12"/>
        <v>0.133333333333333</v>
      </c>
      <c r="V66" s="45" t="s">
        <v>115</v>
      </c>
      <c r="W66" s="46">
        <f>VLOOKUP(V66,[1]冲压工序费!B:C,2,0)</f>
        <v>0.03</v>
      </c>
      <c r="X66" s="47">
        <v>1</v>
      </c>
      <c r="Y66" s="46">
        <f t="shared" si="13"/>
        <v>0.03</v>
      </c>
      <c r="Z66" s="102"/>
      <c r="AA66" s="53"/>
      <c r="AB66" s="54"/>
      <c r="AC66" s="54"/>
      <c r="AD66" s="54"/>
      <c r="AE66" s="54"/>
      <c r="AF66" s="54"/>
      <c r="AG66" s="54"/>
    </row>
    <row r="67" spans="1:33" s="9" customFormat="1" ht="20.100000000000001" customHeight="1" x14ac:dyDescent="0.2">
      <c r="A67" s="94"/>
      <c r="B67" s="25"/>
      <c r="C67" s="24"/>
      <c r="D67" s="25"/>
      <c r="E67" s="25"/>
      <c r="F67" s="26"/>
      <c r="G67" s="26"/>
      <c r="H67" s="23"/>
      <c r="I67" s="33"/>
      <c r="J67" s="34"/>
      <c r="K67" s="34"/>
      <c r="L67" s="34"/>
      <c r="M67" s="35"/>
      <c r="N67" s="35"/>
      <c r="O67" s="36"/>
      <c r="P67" s="37"/>
      <c r="Q67" s="43"/>
      <c r="R67" s="35">
        <f>H67*M67</f>
        <v>0</v>
      </c>
      <c r="S67" s="44" t="s">
        <v>109</v>
      </c>
      <c r="T67" s="44" t="s">
        <v>85</v>
      </c>
      <c r="U67" s="44">
        <f>25*8/2000</f>
        <v>0.1</v>
      </c>
      <c r="V67" s="45"/>
      <c r="W67" s="46"/>
      <c r="X67" s="48"/>
      <c r="Y67" s="46">
        <f t="shared" si="13"/>
        <v>0</v>
      </c>
      <c r="Z67" s="102"/>
      <c r="AA67" s="53"/>
      <c r="AB67" s="54"/>
      <c r="AC67" s="54"/>
      <c r="AD67" s="54"/>
      <c r="AE67" s="54"/>
      <c r="AF67" s="54"/>
      <c r="AG67" s="54"/>
    </row>
    <row r="68" spans="1:33" s="9" customFormat="1" ht="20.100000000000001" customHeight="1" x14ac:dyDescent="0.2">
      <c r="A68" s="94"/>
      <c r="B68" s="25"/>
      <c r="C68" s="24"/>
      <c r="D68" s="25"/>
      <c r="E68" s="25"/>
      <c r="F68" s="26"/>
      <c r="G68" s="26"/>
      <c r="H68" s="23"/>
      <c r="I68" s="33"/>
      <c r="J68" s="34"/>
      <c r="K68" s="34"/>
      <c r="L68" s="34"/>
      <c r="M68" s="35"/>
      <c r="N68" s="35"/>
      <c r="O68" s="36"/>
      <c r="P68" s="37"/>
      <c r="Q68" s="43"/>
      <c r="R68" s="35"/>
      <c r="S68" s="44"/>
      <c r="T68" s="44"/>
      <c r="U68" s="44"/>
      <c r="V68" s="45"/>
      <c r="W68" s="46"/>
      <c r="X68" s="47"/>
      <c r="Y68" s="46">
        <f t="shared" si="13"/>
        <v>0</v>
      </c>
      <c r="Z68" s="102"/>
      <c r="AA68" s="53"/>
      <c r="AB68" s="54"/>
      <c r="AC68" s="54"/>
      <c r="AD68" s="54"/>
      <c r="AE68" s="54"/>
      <c r="AF68" s="54"/>
      <c r="AG68" s="54"/>
    </row>
    <row r="69" spans="1:33" s="9" customFormat="1" ht="20.100000000000001" customHeight="1" x14ac:dyDescent="0.2">
      <c r="A69" s="95"/>
      <c r="B69" s="28"/>
      <c r="C69" s="27"/>
      <c r="D69" s="28"/>
      <c r="E69" s="28"/>
      <c r="F69" s="29" t="s">
        <v>74</v>
      </c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39">
        <f>SUM(R65:R68)</f>
        <v>0.25691398375000002</v>
      </c>
      <c r="S69" s="85" t="s">
        <v>75</v>
      </c>
      <c r="T69" s="85"/>
      <c r="U69" s="85"/>
      <c r="V69" s="86"/>
      <c r="W69" s="86"/>
      <c r="X69" s="86"/>
      <c r="Y69" s="55">
        <f>SUM(Y65:Y68)</f>
        <v>0.08</v>
      </c>
      <c r="Z69" s="102"/>
      <c r="AA69" s="56"/>
      <c r="AB69" s="6"/>
      <c r="AC69" s="6"/>
      <c r="AD69" s="6"/>
      <c r="AE69" s="6"/>
      <c r="AF69" s="6"/>
      <c r="AG69" s="6"/>
    </row>
    <row r="70" spans="1:33" s="10" customFormat="1" ht="20.100000000000001" customHeight="1" x14ac:dyDescent="0.2">
      <c r="A70" s="59"/>
      <c r="B70" s="60"/>
      <c r="C70" s="59"/>
      <c r="D70" s="60"/>
      <c r="E70" s="59"/>
      <c r="F70" s="61"/>
      <c r="G70" s="61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62"/>
      <c r="S70" s="63"/>
      <c r="T70" s="63"/>
      <c r="U70" s="63"/>
      <c r="V70" s="17"/>
      <c r="W70" s="17"/>
      <c r="X70" s="17"/>
      <c r="Y70" s="64"/>
      <c r="Z70" s="65"/>
      <c r="AA70" s="66"/>
    </row>
  </sheetData>
  <mergeCells count="48">
    <mergeCell ref="Z55:Z59"/>
    <mergeCell ref="Z60:Z64"/>
    <mergeCell ref="Z65:Z69"/>
    <mergeCell ref="AA4:AA5"/>
    <mergeCell ref="AB4:AB5"/>
    <mergeCell ref="Z12:Z18"/>
    <mergeCell ref="Z19:Z28"/>
    <mergeCell ref="Z29:Z35"/>
    <mergeCell ref="Z36:Z43"/>
    <mergeCell ref="Z44:Z54"/>
    <mergeCell ref="H4:H5"/>
    <mergeCell ref="I4:I5"/>
    <mergeCell ref="R4:R5"/>
    <mergeCell ref="Z4:Z5"/>
    <mergeCell ref="Z6:Z11"/>
    <mergeCell ref="S11:X11"/>
    <mergeCell ref="D4:D5"/>
    <mergeCell ref="E4:E5"/>
    <mergeCell ref="E6:E11"/>
    <mergeCell ref="F4:F5"/>
    <mergeCell ref="G4:G5"/>
    <mergeCell ref="S54:X54"/>
    <mergeCell ref="S59:X59"/>
    <mergeCell ref="S64:X64"/>
    <mergeCell ref="S69:X69"/>
    <mergeCell ref="A4:A5"/>
    <mergeCell ref="A6:A11"/>
    <mergeCell ref="A12:A18"/>
    <mergeCell ref="A19:A28"/>
    <mergeCell ref="A29:A35"/>
    <mergeCell ref="A36:A43"/>
    <mergeCell ref="A44:A54"/>
    <mergeCell ref="A55:A59"/>
    <mergeCell ref="A60:A64"/>
    <mergeCell ref="A65:A69"/>
    <mergeCell ref="B4:B5"/>
    <mergeCell ref="C4:C5"/>
    <mergeCell ref="S35:X35"/>
    <mergeCell ref="S43:X43"/>
    <mergeCell ref="J4:L4"/>
    <mergeCell ref="M4:N4"/>
    <mergeCell ref="O4:Q4"/>
    <mergeCell ref="S4:Y4"/>
    <mergeCell ref="AE4:AG4"/>
    <mergeCell ref="AC4:AC5"/>
    <mergeCell ref="AD4:AD5"/>
    <mergeCell ref="S18:X18"/>
    <mergeCell ref="S28:X28"/>
  </mergeCells>
  <phoneticPr fontId="12" type="noConversion"/>
  <conditionalFormatting sqref="B2:D2">
    <cfRule type="duplicateValues" dxfId="41" priority="16"/>
  </conditionalFormatting>
  <conditionalFormatting sqref="J6:L6">
    <cfRule type="duplicateValues" dxfId="40" priority="40"/>
  </conditionalFormatting>
  <conditionalFormatting sqref="U19">
    <cfRule type="duplicateValues" dxfId="39" priority="5"/>
  </conditionalFormatting>
  <conditionalFormatting sqref="T20">
    <cfRule type="duplicateValues" dxfId="38" priority="7"/>
  </conditionalFormatting>
  <conditionalFormatting sqref="U20">
    <cfRule type="duplicateValues" dxfId="37" priority="4"/>
  </conditionalFormatting>
  <conditionalFormatting sqref="V20">
    <cfRule type="duplicateValues" dxfId="36" priority="30"/>
  </conditionalFormatting>
  <conditionalFormatting sqref="U21">
    <cfRule type="duplicateValues" dxfId="35" priority="2"/>
  </conditionalFormatting>
  <conditionalFormatting sqref="U22">
    <cfRule type="duplicateValues" dxfId="34" priority="3"/>
  </conditionalFormatting>
  <conditionalFormatting sqref="S23:U23">
    <cfRule type="duplicateValues" dxfId="33" priority="8"/>
  </conditionalFormatting>
  <conditionalFormatting sqref="S24">
    <cfRule type="duplicateValues" dxfId="32" priority="6"/>
  </conditionalFormatting>
  <conditionalFormatting sqref="U24">
    <cfRule type="duplicateValues" dxfId="31" priority="1"/>
  </conditionalFormatting>
  <conditionalFormatting sqref="U29">
    <cfRule type="duplicateValues" dxfId="30" priority="13"/>
  </conditionalFormatting>
  <conditionalFormatting sqref="T30">
    <cfRule type="duplicateValues" dxfId="29" priority="28"/>
  </conditionalFormatting>
  <conditionalFormatting sqref="U30">
    <cfRule type="duplicateValues" dxfId="28" priority="12"/>
  </conditionalFormatting>
  <conditionalFormatting sqref="V30">
    <cfRule type="duplicateValues" dxfId="27" priority="26"/>
  </conditionalFormatting>
  <conditionalFormatting sqref="U31">
    <cfRule type="duplicateValues" dxfId="26" priority="10"/>
  </conditionalFormatting>
  <conditionalFormatting sqref="U32">
    <cfRule type="duplicateValues" dxfId="25" priority="11"/>
  </conditionalFormatting>
  <conditionalFormatting sqref="S33:U33">
    <cfRule type="duplicateValues" dxfId="24" priority="29"/>
  </conditionalFormatting>
  <conditionalFormatting sqref="V33">
    <cfRule type="duplicateValues" dxfId="23" priority="25"/>
  </conditionalFormatting>
  <conditionalFormatting sqref="S34">
    <cfRule type="duplicateValues" dxfId="22" priority="14"/>
  </conditionalFormatting>
  <conditionalFormatting sqref="U34">
    <cfRule type="duplicateValues" dxfId="21" priority="9"/>
  </conditionalFormatting>
  <conditionalFormatting sqref="J36:L36">
    <cfRule type="duplicateValues" dxfId="20" priority="33"/>
  </conditionalFormatting>
  <conditionalFormatting sqref="J44:L44">
    <cfRule type="duplicateValues" dxfId="19" priority="24"/>
  </conditionalFormatting>
  <conditionalFormatting sqref="J55:L55">
    <cfRule type="duplicateValues" dxfId="18" priority="21"/>
  </conditionalFormatting>
  <conditionalFormatting sqref="J60:L60">
    <cfRule type="duplicateValues" dxfId="17" priority="20"/>
  </conditionalFormatting>
  <conditionalFormatting sqref="J65:L65">
    <cfRule type="duplicateValues" dxfId="16" priority="18"/>
  </conditionalFormatting>
  <conditionalFormatting sqref="B1:B1048576">
    <cfRule type="duplicateValues" dxfId="15" priority="15"/>
  </conditionalFormatting>
  <conditionalFormatting sqref="F4:F5">
    <cfRule type="duplicateValues" dxfId="14" priority="41"/>
  </conditionalFormatting>
  <conditionalFormatting sqref="V24:V26">
    <cfRule type="duplicateValues" dxfId="13" priority="27"/>
  </conditionalFormatting>
  <conditionalFormatting sqref="J8:L10">
    <cfRule type="duplicateValues" dxfId="12" priority="39"/>
  </conditionalFormatting>
  <conditionalFormatting sqref="J12:L13">
    <cfRule type="duplicateValues" dxfId="11" priority="42"/>
  </conditionalFormatting>
  <conditionalFormatting sqref="J16:L17">
    <cfRule type="duplicateValues" dxfId="10" priority="36"/>
  </conditionalFormatting>
  <conditionalFormatting sqref="J19:L20">
    <cfRule type="duplicateValues" dxfId="9" priority="38"/>
  </conditionalFormatting>
  <conditionalFormatting sqref="J24:L27">
    <cfRule type="duplicateValues" dxfId="8" priority="37"/>
  </conditionalFormatting>
  <conditionalFormatting sqref="S25:U26">
    <cfRule type="duplicateValues" dxfId="7" priority="31"/>
  </conditionalFormatting>
  <conditionalFormatting sqref="J29:L30">
    <cfRule type="duplicateValues" dxfId="6" priority="35"/>
  </conditionalFormatting>
  <conditionalFormatting sqref="J33:L34">
    <cfRule type="duplicateValues" dxfId="5" priority="34"/>
  </conditionalFormatting>
  <conditionalFormatting sqref="J38:L42">
    <cfRule type="duplicateValues" dxfId="4" priority="32"/>
  </conditionalFormatting>
  <conditionalFormatting sqref="J48:L53">
    <cfRule type="duplicateValues" dxfId="3" priority="23"/>
  </conditionalFormatting>
  <conditionalFormatting sqref="J57:L58">
    <cfRule type="duplicateValues" dxfId="2" priority="22"/>
  </conditionalFormatting>
  <conditionalFormatting sqref="J62:L63">
    <cfRule type="duplicateValues" dxfId="1" priority="19"/>
  </conditionalFormatting>
  <conditionalFormatting sqref="J67:L68">
    <cfRule type="duplicateValues" dxfId="0" priority="17"/>
  </conditionalFormatting>
  <pageMargins left="0.75" right="0.75" top="1" bottom="1" header="0.5" footer="0.5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G18" sqref="G18"/>
    </sheetView>
  </sheetViews>
  <sheetFormatPr defaultRowHeight="14.25" x14ac:dyDescent="0.2"/>
  <cols>
    <col min="1" max="1" width="8" customWidth="1"/>
    <col min="2" max="2" width="13.75" customWidth="1"/>
    <col min="3" max="3" width="23.125" customWidth="1"/>
    <col min="4" max="4" width="9.75" customWidth="1"/>
    <col min="5" max="5" width="11.75" customWidth="1"/>
    <col min="6" max="7" width="9.75" customWidth="1"/>
    <col min="8" max="8" width="13.75" customWidth="1"/>
    <col min="9" max="9" width="9.75" customWidth="1"/>
    <col min="10" max="10" width="12.375" customWidth="1"/>
  </cols>
  <sheetData>
    <row r="1" spans="1:11" x14ac:dyDescent="0.2">
      <c r="A1" s="80" t="s">
        <v>0</v>
      </c>
      <c r="B1" s="81" t="s">
        <v>1</v>
      </c>
      <c r="C1" s="82" t="s">
        <v>2</v>
      </c>
      <c r="D1" s="80" t="s">
        <v>3</v>
      </c>
      <c r="E1" s="78" t="s">
        <v>120</v>
      </c>
      <c r="F1" s="106" t="s">
        <v>116</v>
      </c>
      <c r="G1" s="106" t="s">
        <v>121</v>
      </c>
      <c r="H1" s="106" t="s">
        <v>122</v>
      </c>
      <c r="I1" s="106" t="s">
        <v>123</v>
      </c>
      <c r="J1" s="105" t="s">
        <v>118</v>
      </c>
    </row>
    <row r="2" spans="1:11" x14ac:dyDescent="0.2">
      <c r="A2" s="80"/>
      <c r="B2" s="81"/>
      <c r="C2" s="82"/>
      <c r="D2" s="80"/>
      <c r="E2" s="79"/>
      <c r="F2" s="79"/>
      <c r="G2" s="107"/>
      <c r="H2" s="107"/>
      <c r="I2" s="107"/>
      <c r="J2" s="80"/>
    </row>
    <row r="3" spans="1:11" ht="24.95" customHeight="1" x14ac:dyDescent="0.2">
      <c r="A3" s="4">
        <v>1</v>
      </c>
      <c r="B3" s="68" t="s">
        <v>4</v>
      </c>
      <c r="C3" s="69" t="s">
        <v>5</v>
      </c>
      <c r="D3" s="70" t="s">
        <v>6</v>
      </c>
      <c r="E3" s="70">
        <v>6.1463000000000001</v>
      </c>
      <c r="F3" s="71">
        <v>6.1463000000000001</v>
      </c>
      <c r="G3" s="71">
        <f>E3-F3</f>
        <v>0</v>
      </c>
      <c r="H3" s="71">
        <v>6952</v>
      </c>
      <c r="I3" s="71">
        <f>H3*G3</f>
        <v>0</v>
      </c>
      <c r="J3" s="71"/>
      <c r="K3">
        <f>H3*G3</f>
        <v>0</v>
      </c>
    </row>
    <row r="4" spans="1:11" ht="24.95" customHeight="1" x14ac:dyDescent="0.2">
      <c r="A4" s="4">
        <v>2</v>
      </c>
      <c r="B4" s="68" t="s">
        <v>7</v>
      </c>
      <c r="C4" s="69" t="s">
        <v>8</v>
      </c>
      <c r="D4" s="70" t="s">
        <v>6</v>
      </c>
      <c r="E4" s="70">
        <v>6.1463000000000001</v>
      </c>
      <c r="F4" s="71">
        <v>6.1463000000000001</v>
      </c>
      <c r="G4" s="71">
        <f t="shared" ref="G4:G16" si="0">E4-F4</f>
        <v>0</v>
      </c>
      <c r="H4" s="71">
        <v>6953</v>
      </c>
      <c r="I4" s="71">
        <f t="shared" ref="I4:I16" si="1">H4*G4</f>
        <v>0</v>
      </c>
      <c r="J4" s="71"/>
    </row>
    <row r="5" spans="1:11" ht="24.95" customHeight="1" x14ac:dyDescent="0.2">
      <c r="A5" s="4">
        <v>3</v>
      </c>
      <c r="B5" s="68" t="s">
        <v>9</v>
      </c>
      <c r="C5" s="69" t="s">
        <v>10</v>
      </c>
      <c r="D5" s="70" t="s">
        <v>6</v>
      </c>
      <c r="E5" s="70">
        <v>1.1642999999999999</v>
      </c>
      <c r="F5" s="71">
        <v>0.9</v>
      </c>
      <c r="G5" s="71">
        <f t="shared" si="0"/>
        <v>0.26429999999999987</v>
      </c>
      <c r="H5" s="71">
        <v>98564</v>
      </c>
      <c r="I5" s="71">
        <f t="shared" si="1"/>
        <v>26050.465199999988</v>
      </c>
      <c r="J5" s="71"/>
    </row>
    <row r="6" spans="1:11" ht="24.95" customHeight="1" x14ac:dyDescent="0.2">
      <c r="A6" s="4">
        <v>4</v>
      </c>
      <c r="B6" s="68" t="s">
        <v>11</v>
      </c>
      <c r="C6" s="69" t="s">
        <v>12</v>
      </c>
      <c r="D6" s="70" t="s">
        <v>6</v>
      </c>
      <c r="E6" s="70">
        <v>5.2628000000000004</v>
      </c>
      <c r="F6" s="71">
        <v>5</v>
      </c>
      <c r="G6" s="71">
        <f t="shared" si="0"/>
        <v>0.26280000000000037</v>
      </c>
      <c r="H6" s="71">
        <v>73587</v>
      </c>
      <c r="I6" s="71">
        <f t="shared" si="1"/>
        <v>19338.663600000025</v>
      </c>
      <c r="J6" s="71"/>
    </row>
    <row r="7" spans="1:11" ht="24.95" customHeight="1" x14ac:dyDescent="0.2">
      <c r="A7" s="4">
        <v>5</v>
      </c>
      <c r="B7" s="68" t="s">
        <v>13</v>
      </c>
      <c r="C7" s="69" t="s">
        <v>14</v>
      </c>
      <c r="D7" s="70" t="s">
        <v>6</v>
      </c>
      <c r="E7" s="70">
        <v>5.2628000000000004</v>
      </c>
      <c r="F7" s="71">
        <v>5</v>
      </c>
      <c r="G7" s="71">
        <f t="shared" si="0"/>
        <v>0.26280000000000037</v>
      </c>
      <c r="H7" s="71">
        <v>73197</v>
      </c>
      <c r="I7" s="71">
        <f t="shared" si="1"/>
        <v>19236.171600000027</v>
      </c>
      <c r="J7" s="71"/>
    </row>
    <row r="8" spans="1:11" ht="24.95" customHeight="1" x14ac:dyDescent="0.2">
      <c r="A8" s="4">
        <v>6</v>
      </c>
      <c r="B8" s="72" t="s">
        <v>15</v>
      </c>
      <c r="C8" s="73" t="s">
        <v>16</v>
      </c>
      <c r="D8" s="74" t="s">
        <v>6</v>
      </c>
      <c r="E8" s="74">
        <v>9.8139000000000003</v>
      </c>
      <c r="F8" s="76">
        <v>8.7343710000000012</v>
      </c>
      <c r="G8" s="71">
        <f t="shared" si="0"/>
        <v>1.0795289999999991</v>
      </c>
      <c r="H8" s="76">
        <v>28474</v>
      </c>
      <c r="I8" s="71">
        <f>(H8+0.1)*G8</f>
        <v>30738.616698899972</v>
      </c>
      <c r="J8" s="75" t="s">
        <v>119</v>
      </c>
    </row>
    <row r="9" spans="1:11" ht="24.95" customHeight="1" x14ac:dyDescent="0.2">
      <c r="A9" s="4">
        <v>7</v>
      </c>
      <c r="B9" s="72" t="s">
        <v>17</v>
      </c>
      <c r="C9" s="73" t="s">
        <v>18</v>
      </c>
      <c r="D9" s="74" t="s">
        <v>6</v>
      </c>
      <c r="E9" s="74">
        <v>9.9138999999999999</v>
      </c>
      <c r="F9" s="76">
        <v>8.8233709999999999</v>
      </c>
      <c r="G9" s="71">
        <f t="shared" si="0"/>
        <v>1.0905290000000001</v>
      </c>
      <c r="H9" s="76">
        <v>28516</v>
      </c>
      <c r="I9" s="71">
        <f>(H9+0.1)*G9</f>
        <v>31097.6340169</v>
      </c>
      <c r="J9" s="75" t="s">
        <v>117</v>
      </c>
    </row>
    <row r="10" spans="1:11" ht="24.95" customHeight="1" x14ac:dyDescent="0.2">
      <c r="A10" s="4">
        <v>8</v>
      </c>
      <c r="B10" s="68" t="s">
        <v>19</v>
      </c>
      <c r="C10" s="69" t="s">
        <v>20</v>
      </c>
      <c r="D10" s="70" t="s">
        <v>6</v>
      </c>
      <c r="E10" s="70">
        <v>7.3695000000000004</v>
      </c>
      <c r="F10" s="77">
        <v>6.5588550000000003</v>
      </c>
      <c r="G10" s="71">
        <f t="shared" si="0"/>
        <v>0.81064500000000006</v>
      </c>
      <c r="H10" s="77">
        <v>27978</v>
      </c>
      <c r="I10" s="71">
        <f t="shared" si="1"/>
        <v>22680.22581</v>
      </c>
      <c r="J10" s="71"/>
    </row>
    <row r="11" spans="1:11" ht="24.95" customHeight="1" x14ac:dyDescent="0.2">
      <c r="A11" s="4">
        <v>9</v>
      </c>
      <c r="B11" s="68" t="s">
        <v>21</v>
      </c>
      <c r="C11" s="69" t="s">
        <v>22</v>
      </c>
      <c r="D11" s="70" t="s">
        <v>6</v>
      </c>
      <c r="E11" s="70">
        <v>7.3695000000000004</v>
      </c>
      <c r="F11" s="77">
        <v>6.5588550000000003</v>
      </c>
      <c r="G11" s="71">
        <f t="shared" si="0"/>
        <v>0.81064500000000006</v>
      </c>
      <c r="H11" s="77">
        <v>28064</v>
      </c>
      <c r="I11" s="71">
        <f t="shared" si="1"/>
        <v>22749.941280000003</v>
      </c>
      <c r="J11" s="71"/>
    </row>
    <row r="12" spans="1:11" ht="24.95" customHeight="1" x14ac:dyDescent="0.2">
      <c r="A12" s="4">
        <v>10</v>
      </c>
      <c r="B12" s="68" t="s">
        <v>25</v>
      </c>
      <c r="C12" s="69" t="s">
        <v>26</v>
      </c>
      <c r="D12" s="70" t="s">
        <v>6</v>
      </c>
      <c r="E12" s="70">
        <v>3.2440000000000002</v>
      </c>
      <c r="F12" s="77">
        <v>3.0817999999999999</v>
      </c>
      <c r="G12" s="71">
        <f t="shared" si="0"/>
        <v>0.16220000000000034</v>
      </c>
      <c r="H12" s="77">
        <v>28672</v>
      </c>
      <c r="I12" s="71">
        <f t="shared" si="1"/>
        <v>4650.5984000000099</v>
      </c>
      <c r="J12" s="71"/>
    </row>
    <row r="13" spans="1:11" ht="24.95" customHeight="1" x14ac:dyDescent="0.2">
      <c r="A13" s="4">
        <v>11</v>
      </c>
      <c r="B13" s="68" t="s">
        <v>27</v>
      </c>
      <c r="C13" s="69" t="s">
        <v>28</v>
      </c>
      <c r="D13" s="70" t="s">
        <v>6</v>
      </c>
      <c r="E13" s="70">
        <v>1.2141999999999999</v>
      </c>
      <c r="F13" s="71">
        <v>1</v>
      </c>
      <c r="G13" s="71">
        <f t="shared" si="0"/>
        <v>0.21419999999999995</v>
      </c>
      <c r="H13" s="71">
        <v>54680</v>
      </c>
      <c r="I13" s="71">
        <f t="shared" si="1"/>
        <v>11712.455999999996</v>
      </c>
      <c r="J13" s="71"/>
    </row>
    <row r="14" spans="1:11" ht="24.95" customHeight="1" x14ac:dyDescent="0.2">
      <c r="A14" s="4">
        <v>12</v>
      </c>
      <c r="B14" s="68" t="s">
        <v>29</v>
      </c>
      <c r="C14" s="69" t="s">
        <v>30</v>
      </c>
      <c r="D14" s="70" t="s">
        <v>6</v>
      </c>
      <c r="E14" s="70">
        <v>0.64159999999999995</v>
      </c>
      <c r="F14" s="71">
        <v>0.55000000000000004</v>
      </c>
      <c r="G14" s="71">
        <f t="shared" si="0"/>
        <v>9.1599999999999904E-2</v>
      </c>
      <c r="H14" s="71">
        <v>56607</v>
      </c>
      <c r="I14" s="71">
        <f t="shared" si="1"/>
        <v>5185.201199999995</v>
      </c>
      <c r="J14" s="71"/>
    </row>
    <row r="15" spans="1:11" ht="24.95" customHeight="1" x14ac:dyDescent="0.2">
      <c r="A15" s="4">
        <v>13</v>
      </c>
      <c r="B15" s="68" t="s">
        <v>31</v>
      </c>
      <c r="C15" s="69" t="s">
        <v>28</v>
      </c>
      <c r="D15" s="70" t="s">
        <v>6</v>
      </c>
      <c r="E15" s="70">
        <v>0.84870000000000001</v>
      </c>
      <c r="F15" s="71">
        <v>0.7</v>
      </c>
      <c r="G15" s="71">
        <f t="shared" si="0"/>
        <v>0.14870000000000005</v>
      </c>
      <c r="H15" s="71">
        <v>2617</v>
      </c>
      <c r="I15" s="71">
        <f t="shared" si="1"/>
        <v>389.14790000000016</v>
      </c>
      <c r="J15" s="71"/>
    </row>
    <row r="16" spans="1:11" ht="24.95" customHeight="1" x14ac:dyDescent="0.2">
      <c r="A16" s="4">
        <v>14</v>
      </c>
      <c r="B16" s="68" t="s">
        <v>32</v>
      </c>
      <c r="C16" s="69" t="s">
        <v>33</v>
      </c>
      <c r="D16" s="70" t="s">
        <v>6</v>
      </c>
      <c r="E16" s="70">
        <v>0.57520000000000004</v>
      </c>
      <c r="F16" s="70">
        <v>0.57520000000000004</v>
      </c>
      <c r="G16" s="71">
        <f t="shared" si="0"/>
        <v>0</v>
      </c>
      <c r="H16" s="71">
        <v>30305</v>
      </c>
      <c r="I16" s="71">
        <f t="shared" si="1"/>
        <v>0</v>
      </c>
      <c r="J16" s="71"/>
    </row>
    <row r="17" spans="1:10" ht="24.95" customHeight="1" x14ac:dyDescent="0.2">
      <c r="A17" s="4">
        <v>15</v>
      </c>
      <c r="B17" s="112" t="s">
        <v>127</v>
      </c>
      <c r="C17" s="113" t="s">
        <v>128</v>
      </c>
      <c r="D17" s="70" t="s">
        <v>6</v>
      </c>
      <c r="E17" s="108" t="s">
        <v>125</v>
      </c>
      <c r="F17" s="67"/>
      <c r="G17" s="67"/>
      <c r="H17" s="67"/>
      <c r="I17" s="109"/>
      <c r="J17" s="110" t="s">
        <v>126</v>
      </c>
    </row>
    <row r="18" spans="1:10" ht="24.95" customHeight="1" x14ac:dyDescent="0.2">
      <c r="A18" s="4">
        <v>16</v>
      </c>
      <c r="B18" s="112" t="s">
        <v>129</v>
      </c>
      <c r="C18" s="113" t="s">
        <v>130</v>
      </c>
      <c r="D18" s="70" t="s">
        <v>6</v>
      </c>
      <c r="E18" s="108" t="s">
        <v>125</v>
      </c>
      <c r="F18" s="67"/>
      <c r="G18" s="67"/>
      <c r="H18" s="67"/>
      <c r="I18" s="67"/>
      <c r="J18" s="111"/>
    </row>
    <row r="19" spans="1:10" ht="24.95" customHeight="1" x14ac:dyDescent="0.2">
      <c r="A19" s="67" t="s">
        <v>124</v>
      </c>
      <c r="B19" s="67"/>
      <c r="C19" s="67"/>
      <c r="D19" s="67"/>
      <c r="E19" s="67"/>
      <c r="F19" s="67"/>
      <c r="G19" s="67"/>
      <c r="H19" s="67"/>
      <c r="I19" s="109">
        <f>SUM(I3:I16)</f>
        <v>193829.12170580003</v>
      </c>
      <c r="J19" s="67"/>
    </row>
  </sheetData>
  <mergeCells count="11">
    <mergeCell ref="A1:A2"/>
    <mergeCell ref="B1:B2"/>
    <mergeCell ref="C1:C2"/>
    <mergeCell ref="D1:D2"/>
    <mergeCell ref="J17:J18"/>
    <mergeCell ref="J1:J2"/>
    <mergeCell ref="E1:E2"/>
    <mergeCell ref="G1:G2"/>
    <mergeCell ref="H1:H2"/>
    <mergeCell ref="I1:I2"/>
    <mergeCell ref="F1:F2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核算明细</vt:lpstr>
      <vt:lpstr>最终价格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2024-03-22T05:43:00Z</dcterms:created>
  <dcterms:modified xsi:type="dcterms:W3CDTF">2024-04-01T09:09:15Z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6E500FF954BD4BDAADEFBDF51C450D0C_12</vt:lpwstr>
  </property>
  <property fmtid="{D5CDD505-2E9C-101B-9397-08002B2CF9AE}" pid="3" name="KSOProductBuildVer">
    <vt:lpwstr>2052-12.1.0.16417</vt:lpwstr>
  </property>
</Properties>
</file>