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colors3.xml" ContentType="application/vnd.ms-office.chartcolorstyle+xml"/>
  <Override PartName="/xl/charts/colors4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charts/style3.xml" ContentType="application/vnd.ms-office.chartstyle+xml"/>
  <Override PartName="/xl/charts/style4.xml" ContentType="application/vnd.ms-office.chartstyle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075" tabRatio="873" firstSheet="1" activeTab="1"/>
  </bookViews>
  <sheets>
    <sheet name="⑮边际贡献分析" sheetId="33" state="hidden" r:id="rId1"/>
    <sheet name="强检明细" sheetId="63" r:id="rId2"/>
    <sheet name="Sheet3" sheetId="64" r:id="rId3"/>
    <sheet name="KPI达成率" sheetId="32" state="hidden" r:id="rId4"/>
    <sheet name="Sheet1" sheetId="23" state="hidden" r:id="rId5"/>
    <sheet name="Sheet2" sheetId="24" state="hidden" r:id="rId6"/>
  </sheets>
  <externalReferences>
    <externalReference r:id="rId7"/>
    <externalReference r:id="rId8"/>
    <externalReference r:id="rId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A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质量部</t>
        </r>
      </text>
    </comment>
    <comment ref="A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质量部</t>
        </r>
      </text>
    </comment>
    <comment ref="A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质量部</t>
        </r>
      </text>
    </comment>
    <comment ref="A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质量部</t>
        </r>
      </text>
    </comment>
    <comment ref="A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质量部</t>
        </r>
      </text>
    </comment>
    <comment ref="A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质量部</t>
        </r>
      </text>
    </comment>
    <comment ref="A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生管部</t>
        </r>
      </text>
    </comment>
    <comment ref="A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财务部</t>
        </r>
      </text>
    </comment>
    <comment ref="B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万元</t>
        </r>
      </text>
    </comment>
    <comment ref="C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万元</t>
        </r>
      </text>
    </comment>
    <comment ref="A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财务部</t>
        </r>
      </text>
    </comment>
    <comment ref="C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万元</t>
        </r>
      </text>
    </comment>
    <comment ref="A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财务+生管部</t>
        </r>
      </text>
    </comment>
    <comment ref="B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财务</t>
        </r>
      </text>
    </comment>
    <comment ref="C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财务</t>
        </r>
      </text>
    </comment>
    <comment ref="D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财务</t>
        </r>
      </text>
    </comment>
    <comment ref="A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综管部</t>
        </r>
      </text>
    </comment>
    <comment ref="A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采购部</t>
        </r>
      </text>
    </comment>
    <comment ref="A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财务部</t>
        </r>
      </text>
    </comment>
    <comment ref="A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采购部</t>
        </r>
      </text>
    </comment>
    <comment ref="A1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综管部</t>
        </r>
      </text>
    </comment>
    <comment ref="A1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综管部</t>
        </r>
      </text>
    </comment>
    <comment ref="A1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综管部</t>
        </r>
      </text>
    </comment>
  </commentList>
</comments>
</file>

<file path=xl/sharedStrings.xml><?xml version="1.0" encoding="utf-8"?>
<sst xmlns="http://schemas.openxmlformats.org/spreadsheetml/2006/main" count="467" uniqueCount="290">
  <si>
    <t>2020年经营边际贡献表</t>
  </si>
  <si>
    <t>分析依据表</t>
  </si>
  <si>
    <t>编制：河北事业部</t>
  </si>
  <si>
    <t>单位：万元</t>
  </si>
  <si>
    <t>销售收入区间</t>
  </si>
  <si>
    <t>保证利润率</t>
  </si>
  <si>
    <r>
      <rPr>
        <sz val="11"/>
        <color theme="1"/>
        <rFont val="微软雅黑"/>
        <charset val="134"/>
      </rPr>
      <t xml:space="preserve">边际贡献（估计）
</t>
    </r>
    <r>
      <rPr>
        <sz val="8"/>
        <color theme="1"/>
        <rFont val="微软雅黑"/>
        <charset val="134"/>
      </rPr>
      <t>上下浮动50万</t>
    </r>
  </si>
  <si>
    <t>年份</t>
  </si>
  <si>
    <t>1月份</t>
  </si>
  <si>
    <t>2月份</t>
  </si>
  <si>
    <t>3月份</t>
  </si>
  <si>
    <t>4月份</t>
  </si>
  <si>
    <t>5月份</t>
  </si>
  <si>
    <t>6月份</t>
  </si>
  <si>
    <t>7月份</t>
  </si>
  <si>
    <t>8月份</t>
  </si>
  <si>
    <t>9月份</t>
  </si>
  <si>
    <t>10月份</t>
  </si>
  <si>
    <t>11月份</t>
  </si>
  <si>
    <t>12月份</t>
  </si>
  <si>
    <t>累计</t>
  </si>
  <si>
    <t>2019年销售收入</t>
  </si>
  <si>
    <t>1000以下</t>
  </si>
  <si>
    <t>2020年预算销售收入</t>
  </si>
  <si>
    <t>2020年发货销售收入</t>
  </si>
  <si>
    <t>1000-2000</t>
  </si>
  <si>
    <t>2020年产值收入</t>
  </si>
  <si>
    <t>2019年边际贡献</t>
  </si>
  <si>
    <t>2020年预算边际贡献</t>
  </si>
  <si>
    <t>2000-2500</t>
  </si>
  <si>
    <t>2020年发货边际贡献</t>
  </si>
  <si>
    <t>2020年产值边际贡献</t>
  </si>
  <si>
    <t>1月</t>
  </si>
  <si>
    <t>2月</t>
  </si>
  <si>
    <t>领用原材料1月</t>
  </si>
  <si>
    <t>19年实际边际贡献率</t>
  </si>
  <si>
    <t>2500-3000</t>
  </si>
  <si>
    <t>骨架产值</t>
  </si>
  <si>
    <t>20预算边际贡献率</t>
  </si>
  <si>
    <t>座椅</t>
  </si>
  <si>
    <t>20发货边际贡献率</t>
  </si>
  <si>
    <t>3000-3500</t>
  </si>
  <si>
    <t>黄骅缝纫</t>
  </si>
  <si>
    <t>20产值边际贡献率</t>
  </si>
  <si>
    <t>发泡</t>
  </si>
  <si>
    <t>19年实际税前利润率</t>
  </si>
  <si>
    <t>注塑</t>
  </si>
  <si>
    <t>20预算税前利润率</t>
  </si>
  <si>
    <t>3500-4000</t>
  </si>
  <si>
    <t>喷涂</t>
  </si>
  <si>
    <t>20发货税前利润率</t>
  </si>
  <si>
    <t>灯镜</t>
  </si>
  <si>
    <t>20产值税前利润率</t>
  </si>
  <si>
    <t>沧州缝纫</t>
  </si>
  <si>
    <t>同期比</t>
  </si>
  <si>
    <t>完成预算率</t>
  </si>
  <si>
    <t>毛利润=收入-材料-直产人工-制造费用（固定+变动）</t>
  </si>
  <si>
    <t>本月异常
原因分析</t>
  </si>
  <si>
    <t>1、边际贡献率排序：发货边际贡献率＞上期边际贡献率＞预算边际贡献率＞同期边际贡献率＞本月产值边际贡献率，得出本月按发货为最理想边际贡献值。
2、按发货口径（标准材料定额）已经完成边际贡献目标；按产值（实际领用材料）未完成边际贡献目标，主要由于本月领用材料耗费大，附加值仅有22.58%</t>
  </si>
  <si>
    <t>边际贡献=收入-材料成本-直产人工-变动制费-运费-三包</t>
  </si>
  <si>
    <t>改进措施</t>
  </si>
  <si>
    <t>税前利润=边际贡献-固定费用-税金及附加</t>
  </si>
  <si>
    <t>盈亏平衡点=固定成本/边际贡献率</t>
  </si>
  <si>
    <t>经营边际贡献图</t>
  </si>
  <si>
    <t>2019年-2020年2月份收入小于1000时，固定成本260.25万（含研发）</t>
  </si>
  <si>
    <t>收入</t>
  </si>
  <si>
    <t>固定成本+税金</t>
  </si>
  <si>
    <t>2000以下</t>
  </si>
  <si>
    <t>2500以下</t>
  </si>
  <si>
    <t>3000以下</t>
  </si>
  <si>
    <t>3500以下</t>
  </si>
  <si>
    <t>4000以下</t>
  </si>
  <si>
    <t>那么设固定成本+税金以上为标准</t>
  </si>
  <si>
    <t>边际贡献-274.33=利润</t>
  </si>
  <si>
    <t>边际贡献=6%收入+274.33</t>
  </si>
  <si>
    <t>单元一</t>
  </si>
  <si>
    <t>单元三</t>
  </si>
  <si>
    <t>单元六</t>
  </si>
  <si>
    <r>
      <rPr>
        <sz val="10.5"/>
        <color theme="1"/>
        <rFont val="宋体"/>
        <charset val="134"/>
      </rPr>
      <t>项</t>
    </r>
    <r>
      <rPr>
        <sz val="10.5"/>
        <color theme="1"/>
        <rFont val="Arial"/>
        <charset val="134"/>
      </rPr>
      <t xml:space="preserve">	</t>
    </r>
    <r>
      <rPr>
        <sz val="10.5"/>
        <color theme="1"/>
        <rFont val="宋体"/>
        <charset val="134"/>
      </rPr>
      <t>目名称</t>
    </r>
  </si>
  <si>
    <t>J6P经典版</t>
  </si>
  <si>
    <t>检测机构</t>
  </si>
  <si>
    <t>中机科</t>
  </si>
  <si>
    <t>J6L</t>
  </si>
  <si>
    <t>J6G</t>
  </si>
  <si>
    <t>产品名称</t>
  </si>
  <si>
    <t>前座总成</t>
  </si>
  <si>
    <t>基础图号</t>
  </si>
  <si>
    <t>6900010WH43-C00</t>
  </si>
  <si>
    <t>驾驶员座总成</t>
  </si>
  <si>
    <t>6800010EH13-C00</t>
  </si>
  <si>
    <t>6900010GH13-C00</t>
  </si>
  <si>
    <t>报告编号</t>
  </si>
  <si>
    <t>QG23431W90F81</t>
  </si>
  <si>
    <t>报告日期</t>
  </si>
  <si>
    <t>QG23431ZZU841</t>
  </si>
  <si>
    <t>QG23431W9V591</t>
  </si>
  <si>
    <t>扩项图号</t>
  </si>
  <si>
    <t>差异描述</t>
  </si>
  <si>
    <t>涵盖图号</t>
  </si>
  <si>
    <t>6900010WH43J/A</t>
  </si>
  <si>
    <t>更换面料（3C未括）</t>
  </si>
  <si>
    <t>6800010FH13-C00</t>
  </si>
  <si>
    <t>增加通风、加热功能</t>
  </si>
  <si>
    <t>6900010HH13-C00</t>
  </si>
  <si>
    <t>更换面料</t>
  </si>
  <si>
    <t>6900010XH43-C00</t>
  </si>
  <si>
    <t>6900010YH43-C00</t>
  </si>
  <si>
    <t>6800010EH13J-AL1</t>
  </si>
  <si>
    <t>取消可变阻尼、取消速降、气动腰托变机械腰托、更换面料、增加LOGO、增加右扶手</t>
  </si>
  <si>
    <t>6900010JH13-C00</t>
  </si>
  <si>
    <t>取消旋转机构、旋转开关、VOSS接头</t>
  </si>
  <si>
    <t>单元二</t>
  </si>
  <si>
    <t>6800010EH13J/A</t>
  </si>
  <si>
    <t>6900010KH13-C00</t>
  </si>
  <si>
    <t>取消旋转机构、旋转开关、VOSS接头、更换面料</t>
  </si>
  <si>
    <t>单元四</t>
  </si>
  <si>
    <t>6900010MH13-C00</t>
  </si>
  <si>
    <t>6800010WH43-C00</t>
  </si>
  <si>
    <t>6900010LH13-C00</t>
  </si>
  <si>
    <t>QG23431W90F51</t>
  </si>
  <si>
    <t>6900010AH13-C00</t>
  </si>
  <si>
    <t>6900010NH13-C00</t>
  </si>
  <si>
    <t>取消旋转机构、旋转开关、VOSS接头、滑轨总成、支架总成、更换面料</t>
  </si>
  <si>
    <t>QG23431ZZU851</t>
  </si>
  <si>
    <t>6900010SH13-C00</t>
  </si>
  <si>
    <t>6800010YH43-C00</t>
  </si>
  <si>
    <t>单元七</t>
  </si>
  <si>
    <t>6900010BH13-C00</t>
  </si>
  <si>
    <t>6800010WH43J/A</t>
  </si>
  <si>
    <t>取消速降、更换面料</t>
  </si>
  <si>
    <t>6900010FH13-C00</t>
  </si>
  <si>
    <t>驾驶员总成</t>
  </si>
  <si>
    <t>6800010UH13-C00</t>
  </si>
  <si>
    <t>6800010XH43J/A</t>
  </si>
  <si>
    <t>取消扶手、更换面料</t>
  </si>
  <si>
    <t>6800010YH43J/A</t>
  </si>
  <si>
    <t>6900010AH13J/A</t>
  </si>
  <si>
    <t>6800010ZH43J/A</t>
  </si>
  <si>
    <t>单元五</t>
  </si>
  <si>
    <t>6800010VH13-C00</t>
  </si>
  <si>
    <t>取消按摩功能</t>
  </si>
  <si>
    <t>6800010ZH43-C00</t>
  </si>
  <si>
    <t>增加加热功能、更换面料</t>
  </si>
  <si>
    <t>6800010WH13-C00</t>
  </si>
  <si>
    <t>自适应阻尼更改可变阻尼、增加腰托</t>
  </si>
  <si>
    <t>6800010ZD04-C00</t>
  </si>
  <si>
    <t>增加通风、加热功能、更换面料</t>
  </si>
  <si>
    <t>6800010JH13-C00</t>
  </si>
  <si>
    <t>6800010XH13-C00</t>
  </si>
  <si>
    <t>自适应阻尼更改可变阻尼、增加腰托、取消加热</t>
  </si>
  <si>
    <t>6800010YD04-C00</t>
  </si>
  <si>
    <t>增加通风功能、更换面料</t>
  </si>
  <si>
    <t>QG23431ZZU861</t>
  </si>
  <si>
    <t>6800010-D29-C00/A</t>
  </si>
  <si>
    <t>更改阻尼延长时间</t>
  </si>
  <si>
    <t>6800010DH13-C00</t>
  </si>
  <si>
    <t>机械腰托、气动升降（基础款）</t>
  </si>
  <si>
    <t>6800010AD29-C00/A</t>
  </si>
  <si>
    <t>取消按摩功能、更改阻尼延长时间</t>
  </si>
  <si>
    <t>6800010HH13-C00</t>
  </si>
  <si>
    <t>更改为气动腰托、更改VOSS接头</t>
  </si>
  <si>
    <t>6900010PH13-C00</t>
  </si>
  <si>
    <t>重新做</t>
  </si>
  <si>
    <t>储物盒三点式</t>
  </si>
  <si>
    <t>更改为气动腰托、更改VOSS接头、增加右扶手、增加通风、加热功能、更换面料</t>
  </si>
  <si>
    <t>6900010QH13-C00</t>
  </si>
  <si>
    <t>旋转三点式</t>
  </si>
  <si>
    <t>6800010KH13-C00</t>
  </si>
  <si>
    <t>更改为气动腰托、更改VOSS接头、增加右扶手</t>
  </si>
  <si>
    <t>6900010RH13-C00</t>
  </si>
  <si>
    <t>滑轨三点式</t>
  </si>
  <si>
    <t>6800010NH13-C00</t>
  </si>
  <si>
    <t>更改为气动腰托、更改VOSS接头、增加右扶手、增加通风功能、更换面料</t>
  </si>
  <si>
    <t>6900010TH13-C00</t>
  </si>
  <si>
    <t>管梁三点式</t>
  </si>
  <si>
    <t>6800010PH13-C00</t>
  </si>
  <si>
    <t>不用新开单元，可以合并到不带安全带图号上</t>
  </si>
  <si>
    <t>6800010LH13-C00</t>
  </si>
  <si>
    <t>更改VOSS接头</t>
  </si>
  <si>
    <t>6800010QH13-C00</t>
  </si>
  <si>
    <t>6800010DH13J/A</t>
  </si>
  <si>
    <t>6800010MH13-C00</t>
  </si>
  <si>
    <t>6800010SH13-C00</t>
  </si>
  <si>
    <t>更改为气动腰托、更改VOSS接头、增加左右扶手、增加通风、加热功能、更换面料</t>
  </si>
  <si>
    <t>6800010TH13-C00</t>
  </si>
  <si>
    <t>更改为气动腰托、更改VOSS接头、增加左右扶手、增加通风功能、更换面料</t>
  </si>
  <si>
    <t>6800010YH13-C00</t>
  </si>
  <si>
    <t>6800010ZH13-C00</t>
  </si>
  <si>
    <t>职能归属</t>
  </si>
  <si>
    <t>长春工厂</t>
  </si>
  <si>
    <t>集团</t>
  </si>
  <si>
    <t>备注</t>
  </si>
  <si>
    <t>合作机构</t>
  </si>
  <si>
    <t>长春汽车检测中心</t>
  </si>
  <si>
    <t>中机科（北京）</t>
  </si>
  <si>
    <t>折扣</t>
  </si>
  <si>
    <t>集团包含所有工厂产品，长春只包含一汽解放产品，故折扣力度低</t>
  </si>
  <si>
    <t>检测费用</t>
  </si>
  <si>
    <t>未打折前297500</t>
  </si>
  <si>
    <t>第二年费用</t>
  </si>
  <si>
    <t>总计7个单元</t>
  </si>
  <si>
    <t>快递费用</t>
  </si>
  <si>
    <t>邮寄北京费用较高</t>
  </si>
  <si>
    <t>检测周期</t>
  </si>
  <si>
    <t>两年费用对比</t>
  </si>
  <si>
    <t>降低38955</t>
  </si>
  <si>
    <t>KPI达成率问题改善对策汇总表</t>
  </si>
  <si>
    <t>KPI项目</t>
  </si>
  <si>
    <t>2020年目标</t>
  </si>
  <si>
    <t>1-12月份完成</t>
  </si>
  <si>
    <t>正常进度率%</t>
  </si>
  <si>
    <t>实际达成率%</t>
  </si>
  <si>
    <t>问题点</t>
  </si>
  <si>
    <t>原因分析</t>
  </si>
  <si>
    <t>改善方案</t>
  </si>
  <si>
    <t>责任人</t>
  </si>
  <si>
    <t>完成时间</t>
  </si>
  <si>
    <t>供应商PPM</t>
  </si>
  <si>
    <t>0公里PPM</t>
  </si>
  <si>
    <t>制程PPM</t>
  </si>
  <si>
    <t>三包费用占比</t>
  </si>
  <si>
    <t>客诉整改完成率</t>
  </si>
  <si>
    <t>体系运营</t>
  </si>
  <si>
    <t>/</t>
  </si>
  <si>
    <t>销售计划
满足率</t>
  </si>
  <si>
    <t>内部回款</t>
  </si>
  <si>
    <t>外部回款</t>
  </si>
  <si>
    <t>存货
周转率</t>
  </si>
  <si>
    <t>人均产值</t>
  </si>
  <si>
    <t>成本降低</t>
  </si>
  <si>
    <t>销售收入</t>
  </si>
  <si>
    <t>净利率</t>
  </si>
  <si>
    <t>绩效覆盖率</t>
  </si>
  <si>
    <t>培训完成率</t>
  </si>
  <si>
    <t>核心人员流失率</t>
  </si>
  <si>
    <t>&lt;10%</t>
  </si>
  <si>
    <t>河北光华荣昌工厂预算完成情况说明</t>
  </si>
  <si>
    <t>项      目</t>
  </si>
  <si>
    <t>一厂</t>
  </si>
  <si>
    <t>二厂</t>
  </si>
  <si>
    <t>合计</t>
  </si>
  <si>
    <t>1-6月
总预算</t>
  </si>
  <si>
    <t>1-6月
实际发生</t>
  </si>
  <si>
    <t>预算达成率</t>
  </si>
  <si>
    <t>其中二厂
（沧州缝纫）</t>
  </si>
  <si>
    <t>净收入（不含税）</t>
  </si>
  <si>
    <t xml:space="preserve">  材料成本（定额）</t>
  </si>
  <si>
    <t>附加值</t>
  </si>
  <si>
    <t>附加值率</t>
  </si>
  <si>
    <t>变动成本合计</t>
  </si>
  <si>
    <t xml:space="preserve">  边际贡献</t>
  </si>
  <si>
    <t xml:space="preserve">  边际贡献率</t>
  </si>
  <si>
    <t>直接人工</t>
  </si>
  <si>
    <t>直接人工占收入比例</t>
  </si>
  <si>
    <t>间接人工</t>
  </si>
  <si>
    <t>折旧</t>
  </si>
  <si>
    <t>固定费用</t>
  </si>
  <si>
    <t>固定成本合计</t>
  </si>
  <si>
    <t>息税前利润</t>
  </si>
  <si>
    <t>息税前利润率%</t>
  </si>
  <si>
    <t xml:space="preserve">  正常经营财务费用</t>
  </si>
  <si>
    <t>税前利润</t>
  </si>
  <si>
    <t>税前利润率%</t>
  </si>
  <si>
    <t>所得税</t>
  </si>
  <si>
    <t>税后利润</t>
  </si>
  <si>
    <t>税后利润%</t>
  </si>
  <si>
    <t>说明</t>
  </si>
  <si>
    <t>一厂利润情况：
利润：6月预算利润108.62万，实际利润78.60万，未完成预算目标；
直接人工：预算占比5.92%，实际占比8.52%，高于预算2.6个百分点；
间接人工：预算占比5.6%，实际占比2.75%，低于预算2.85个百分点；</t>
  </si>
  <si>
    <t>二厂利润情况：
利润：二厂6月预算利润128.3万，实际利润-47.67万；未完成预算目标；主要为附加值低
直接人工：预算占比4.84%，实际占比7.7%，高于预算2.86个百分点；
间接人工：预算占比2.95%，实际占比2.75%，低于预算0.2个百分点；
其中二厂后视镜产品部分附加值为负，发泡原料上涨等因素，收入低利润小；
沧州缝纫车间：分摊完三项费用（销、管、财）最后利润-10.22万，由于工资固定，所以销售收入越少，利润越小。</t>
  </si>
  <si>
    <t>                       项目</t>
  </si>
  <si>
    <t>半年指标完成小结</t>
  </si>
  <si>
    <t>  指标</t>
  </si>
  <si>
    <t>目标</t>
  </si>
  <si>
    <t>实际</t>
  </si>
  <si>
    <t>年中总目标</t>
  </si>
  <si>
    <t>年中完成实际</t>
  </si>
  <si>
    <t>销售达成</t>
  </si>
  <si>
    <t>销售回款达成</t>
  </si>
  <si>
    <t>生产效率</t>
  </si>
  <si>
    <t>异常工时</t>
  </si>
  <si>
    <t>销售计划满足率</t>
  </si>
  <si>
    <t>供应商到货及时率</t>
  </si>
  <si>
    <t>账实相符率</t>
  </si>
  <si>
    <t>在库金额</t>
  </si>
  <si>
    <t>关键人员流失率</t>
  </si>
  <si>
    <t>零公里PPM</t>
  </si>
  <si>
    <t>市场三包索赔</t>
  </si>
  <si>
    <t>设备完好率</t>
  </si>
  <si>
    <t>固定资产相符率</t>
  </si>
  <si>
    <t>采购成本降低率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</si>
</sst>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 "/>
    <numFmt numFmtId="178" formatCode="#,##0.00_ ;[Red]\-#,##0.00\ "/>
    <numFmt numFmtId="179" formatCode="0.0%"/>
    <numFmt numFmtId="180" formatCode="#,##0.00_ "/>
    <numFmt numFmtId="181" formatCode="_ * #,##0.0000_ ;_ * \-#,##0.0000_ ;_ * &quot;-&quot;??.00_ ;_ @_ "/>
    <numFmt numFmtId="182" formatCode="0.00_);[Red]\(0.00\)"/>
  </numFmts>
  <fonts count="60">
    <font>
      <sz val="11"/>
      <color theme="1"/>
      <name val="宋体"/>
      <charset val="134"/>
      <scheme val="minor"/>
    </font>
    <font>
      <b/>
      <sz val="9"/>
      <color rgb="FFFFFFFF"/>
      <name val="微软雅黑"/>
      <charset val="134"/>
    </font>
    <font>
      <b/>
      <sz val="8"/>
      <color rgb="FFFFFFFF"/>
      <name val="微软雅黑"/>
      <charset val="134"/>
    </font>
    <font>
      <sz val="9"/>
      <color rgb="FF548235"/>
      <name val="微软雅黑"/>
      <charset val="134"/>
    </font>
    <font>
      <sz val="9"/>
      <color rgb="FF000000"/>
      <name val="微软雅黑"/>
      <charset val="134"/>
    </font>
    <font>
      <sz val="9"/>
      <color rgb="FF548235"/>
      <name val="华文中宋"/>
      <charset val="134"/>
    </font>
    <font>
      <sz val="9"/>
      <color rgb="FF000000"/>
      <name val="华文中宋"/>
      <charset val="134"/>
    </font>
    <font>
      <b/>
      <sz val="8"/>
      <color rgb="FFFFFFFF"/>
      <name val="华文中宋"/>
      <charset val="134"/>
    </font>
    <font>
      <sz val="10"/>
      <color rgb="FF000000"/>
      <name val="华文细黑"/>
      <charset val="134"/>
    </font>
    <font>
      <sz val="9"/>
      <color rgb="FF000000"/>
      <name val="华文细黑"/>
      <charset val="134"/>
    </font>
    <font>
      <sz val="9"/>
      <color rgb="FF000000"/>
      <name val="宋体"/>
      <charset val="134"/>
    </font>
    <font>
      <sz val="10"/>
      <name val="微软雅黑"/>
      <charset val="134"/>
    </font>
    <font>
      <sz val="10"/>
      <name val="宋体"/>
      <charset val="134"/>
    </font>
    <font>
      <b/>
      <sz val="9"/>
      <name val="微软雅黑"/>
      <charset val="134"/>
    </font>
    <font>
      <sz val="11"/>
      <color theme="1"/>
      <name val="微软雅黑"/>
      <charset val="134"/>
    </font>
    <font>
      <b/>
      <sz val="14"/>
      <name val="微软雅黑"/>
      <charset val="134"/>
    </font>
    <font>
      <b/>
      <sz val="8"/>
      <name val="微软雅黑"/>
      <charset val="134"/>
    </font>
    <font>
      <sz val="9"/>
      <name val="微软雅黑"/>
      <charset val="134"/>
    </font>
    <font>
      <sz val="8"/>
      <color rgb="FF000000"/>
      <name val="微软雅黑"/>
      <charset val="134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4"/>
      <color theme="1"/>
      <name val="微软雅黑"/>
      <charset val="134"/>
    </font>
    <font>
      <b/>
      <sz val="11"/>
      <color theme="1"/>
      <name val="微软雅黑"/>
      <charset val="134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rgb="FFFF0000"/>
      <name val="宋体"/>
      <charset val="134"/>
      <scheme val="minor"/>
    </font>
    <font>
      <b/>
      <sz val="18"/>
      <color rgb="FFFF0000"/>
      <name val="宋体"/>
      <charset val="134"/>
      <scheme val="minor"/>
    </font>
    <font>
      <sz val="10.5"/>
      <color theme="1"/>
      <name val="宋体"/>
      <charset val="134"/>
    </font>
    <font>
      <sz val="10.5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b/>
      <sz val="22"/>
      <color rgb="FFFF0000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Times New Roman"/>
      <charset val="134"/>
    </font>
    <font>
      <sz val="11"/>
      <name val="돋움체"/>
      <charset val="134"/>
    </font>
    <font>
      <sz val="10.5"/>
      <color theme="1"/>
      <name val="Arial"/>
      <charset val="134"/>
    </font>
    <font>
      <sz val="8"/>
      <color theme="1"/>
      <name val="微软雅黑"/>
      <charset val="134"/>
    </font>
    <font>
      <sz val="9"/>
      <name val="宋体"/>
      <charset val="134"/>
    </font>
    <font>
      <b/>
      <sz val="9"/>
      <name val="宋体"/>
      <charset val="134"/>
    </font>
  </fonts>
  <fills count="44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8808252204962"/>
        <bgColor indexed="64"/>
      </patternFill>
    </fill>
    <fill>
      <patternFill patternType="solid">
        <fgColor theme="0" tint="-0.1488387707144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340800195319"/>
        <bgColor indexed="64"/>
      </patternFill>
    </fill>
    <fill>
      <patternFill patternType="solid">
        <fgColor theme="4" tint="0.799340800195319"/>
        <bgColor indexed="64"/>
      </patternFill>
    </fill>
    <fill>
      <patternFill patternType="solid">
        <fgColor theme="5" tint="0.7993408001953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18" borderId="49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50" applyNumberFormat="0" applyFill="0" applyAlignment="0" applyProtection="0">
      <alignment vertical="center"/>
    </xf>
    <xf numFmtId="0" fontId="40" fillId="0" borderId="50" applyNumberFormat="0" applyFill="0" applyAlignment="0" applyProtection="0">
      <alignment vertical="center"/>
    </xf>
    <xf numFmtId="0" fontId="41" fillId="0" borderId="51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19" borderId="52" applyNumberFormat="0" applyAlignment="0" applyProtection="0">
      <alignment vertical="center"/>
    </xf>
    <xf numFmtId="0" fontId="43" fillId="20" borderId="53" applyNumberFormat="0" applyAlignment="0" applyProtection="0">
      <alignment vertical="center"/>
    </xf>
    <xf numFmtId="0" fontId="44" fillId="20" borderId="52" applyNumberFormat="0" applyAlignment="0" applyProtection="0">
      <alignment vertical="center"/>
    </xf>
    <xf numFmtId="0" fontId="45" fillId="21" borderId="54" applyNumberFormat="0" applyAlignment="0" applyProtection="0">
      <alignment vertical="center"/>
    </xf>
    <xf numFmtId="0" fontId="46" fillId="0" borderId="55" applyNumberFormat="0" applyFill="0" applyAlignment="0" applyProtection="0">
      <alignment vertical="center"/>
    </xf>
    <xf numFmtId="0" fontId="47" fillId="0" borderId="56" applyNumberFormat="0" applyFill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52" fillId="39" borderId="0" applyNumberFormat="0" applyBorder="0" applyAlignment="0" applyProtection="0">
      <alignment vertical="center"/>
    </xf>
    <xf numFmtId="0" fontId="51" fillId="40" borderId="0" applyNumberFormat="0" applyBorder="0" applyAlignment="0" applyProtection="0">
      <alignment vertical="center"/>
    </xf>
    <xf numFmtId="0" fontId="51" fillId="41" borderId="0" applyNumberFormat="0" applyBorder="0" applyAlignment="0" applyProtection="0">
      <alignment vertical="center"/>
    </xf>
    <xf numFmtId="0" fontId="52" fillId="42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9" fontId="5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4" fillId="0" borderId="0"/>
    <xf numFmtId="0" fontId="55" fillId="0" borderId="0">
      <alignment vertical="center"/>
    </xf>
  </cellStyleXfs>
  <cellXfs count="276">
    <xf numFmtId="0" fontId="0" fillId="0" borderId="0" xfId="0">
      <alignment vertical="center"/>
    </xf>
    <xf numFmtId="0" fontId="1" fillId="2" borderId="1" xfId="0" applyFont="1" applyFill="1" applyBorder="1" applyAlignment="1">
      <alignment vertical="center" wrapText="1"/>
    </xf>
    <xf numFmtId="0" fontId="0" fillId="2" borderId="1" xfId="0" applyFill="1" applyBorder="1">
      <alignment vertical="center"/>
    </xf>
    <xf numFmtId="0" fontId="2" fillId="2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9" fontId="3" fillId="3" borderId="1" xfId="0" applyNumberFormat="1" applyFont="1" applyFill="1" applyBorder="1" applyAlignment="1">
      <alignment vertical="center" wrapText="1"/>
    </xf>
    <xf numFmtId="10" fontId="4" fillId="3" borderId="1" xfId="0" applyNumberFormat="1" applyFont="1" applyFill="1" applyBorder="1" applyAlignment="1">
      <alignment vertical="center" wrapText="1"/>
    </xf>
    <xf numFmtId="9" fontId="6" fillId="3" borderId="1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9" fontId="4" fillId="3" borderId="1" xfId="0" applyNumberFormat="1" applyFont="1" applyFill="1" applyBorder="1" applyAlignment="1">
      <alignment vertical="center" wrapText="1"/>
    </xf>
    <xf numFmtId="10" fontId="3" fillId="3" borderId="1" xfId="0" applyNumberFormat="1" applyFont="1" applyFill="1" applyBorder="1" applyAlignment="1">
      <alignment vertical="center" wrapText="1"/>
    </xf>
    <xf numFmtId="9" fontId="3" fillId="3" borderId="1" xfId="0" applyNumberFormat="1" applyFont="1" applyFill="1" applyBorder="1" applyAlignment="1">
      <alignment horizontal="center" vertical="center" wrapText="1"/>
    </xf>
    <xf numFmtId="10" fontId="4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0" fillId="3" borderId="1" xfId="0" applyFill="1" applyBorder="1">
      <alignment vertical="center"/>
    </xf>
    <xf numFmtId="10" fontId="9" fillId="3" borderId="1" xfId="0" applyNumberFormat="1" applyFont="1" applyFill="1" applyBorder="1" applyAlignment="1">
      <alignment vertical="center" wrapText="1"/>
    </xf>
    <xf numFmtId="10" fontId="8" fillId="3" borderId="1" xfId="0" applyNumberFormat="1" applyFont="1" applyFill="1" applyBorder="1" applyAlignment="1">
      <alignment vertical="center" wrapText="1"/>
    </xf>
    <xf numFmtId="9" fontId="0" fillId="3" borderId="1" xfId="0" applyNumberFormat="1" applyFill="1" applyBorder="1">
      <alignment vertical="center"/>
    </xf>
    <xf numFmtId="0" fontId="10" fillId="3" borderId="1" xfId="0" applyFont="1" applyFill="1" applyBorder="1" applyAlignment="1">
      <alignment vertical="center" wrapText="1"/>
    </xf>
    <xf numFmtId="10" fontId="0" fillId="3" borderId="1" xfId="0" applyNumberFormat="1" applyFill="1" applyBorder="1">
      <alignment vertical="center"/>
    </xf>
    <xf numFmtId="177" fontId="0" fillId="3" borderId="1" xfId="0" applyNumberFormat="1" applyFill="1" applyBorder="1">
      <alignment vertical="center"/>
    </xf>
    <xf numFmtId="9" fontId="4" fillId="3" borderId="1" xfId="0" applyNumberFormat="1" applyFont="1" applyFill="1" applyBorder="1" applyAlignment="1">
      <alignment horizontal="center" vertical="center" wrapText="1"/>
    </xf>
    <xf numFmtId="4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>
      <alignment vertical="center"/>
    </xf>
    <xf numFmtId="178" fontId="11" fillId="0" borderId="0" xfId="50" applyNumberFormat="1" applyFont="1">
      <alignment vertical="center"/>
    </xf>
    <xf numFmtId="178" fontId="12" fillId="0" borderId="0" xfId="50" applyNumberFormat="1" applyFont="1">
      <alignment vertical="center"/>
    </xf>
    <xf numFmtId="178" fontId="13" fillId="0" borderId="0" xfId="50" applyNumberFormat="1" applyFont="1">
      <alignment vertical="center"/>
    </xf>
    <xf numFmtId="0" fontId="14" fillId="0" borderId="0" xfId="0" applyFont="1">
      <alignment vertical="center"/>
    </xf>
    <xf numFmtId="178" fontId="12" fillId="0" borderId="0" xfId="50" applyNumberFormat="1" applyFont="1" applyAlignment="1">
      <alignment vertical="center" wrapText="1"/>
    </xf>
    <xf numFmtId="43" fontId="12" fillId="0" borderId="0" xfId="1" applyFont="1" applyFill="1" applyBorder="1" applyAlignment="1" applyProtection="1">
      <alignment vertical="center" wrapText="1"/>
    </xf>
    <xf numFmtId="178" fontId="15" fillId="0" borderId="0" xfId="50" applyNumberFormat="1" applyFont="1" applyAlignment="1">
      <alignment horizontal="center" vertical="center"/>
    </xf>
    <xf numFmtId="178" fontId="16" fillId="4" borderId="2" xfId="50" applyNumberFormat="1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178" fontId="16" fillId="4" borderId="5" xfId="5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178" fontId="16" fillId="4" borderId="6" xfId="50" applyNumberFormat="1" applyFont="1" applyFill="1" applyBorder="1" applyAlignment="1">
      <alignment vertical="center" wrapText="1"/>
    </xf>
    <xf numFmtId="43" fontId="17" fillId="0" borderId="7" xfId="1" applyFont="1" applyFill="1" applyBorder="1" applyAlignment="1">
      <alignment horizontal="center" vertical="center" shrinkToFit="1"/>
    </xf>
    <xf numFmtId="10" fontId="18" fillId="0" borderId="7" xfId="0" applyNumberFormat="1" applyFont="1" applyBorder="1" applyAlignment="1">
      <alignment horizontal="right" vertical="center" wrapText="1"/>
    </xf>
    <xf numFmtId="43" fontId="17" fillId="0" borderId="7" xfId="1" applyFont="1" applyFill="1" applyBorder="1" applyAlignment="1" applyProtection="1">
      <alignment vertical="center"/>
    </xf>
    <xf numFmtId="10" fontId="18" fillId="0" borderId="7" xfId="3" applyNumberFormat="1" applyFont="1" applyFill="1" applyBorder="1" applyAlignment="1" applyProtection="1">
      <alignment horizontal="right" vertical="center" wrapText="1"/>
    </xf>
    <xf numFmtId="179" fontId="17" fillId="0" borderId="7" xfId="3" applyNumberFormat="1" applyFont="1" applyFill="1" applyBorder="1" applyAlignment="1">
      <alignment horizontal="center" vertical="center" shrinkToFit="1"/>
    </xf>
    <xf numFmtId="43" fontId="17" fillId="0" borderId="7" xfId="1" applyFont="1" applyFill="1" applyBorder="1" applyAlignment="1" applyProtection="1">
      <alignment horizontal="center" vertical="center" shrinkToFit="1"/>
    </xf>
    <xf numFmtId="10" fontId="17" fillId="0" borderId="7" xfId="3" applyNumberFormat="1" applyFont="1" applyFill="1" applyBorder="1" applyAlignment="1">
      <alignment horizontal="center" vertical="center" shrinkToFit="1"/>
    </xf>
    <xf numFmtId="43" fontId="17" fillId="0" borderId="7" xfId="1" applyFont="1" applyFill="1" applyBorder="1" applyAlignment="1" applyProtection="1">
      <alignment vertical="center" shrinkToFit="1"/>
    </xf>
    <xf numFmtId="179" fontId="17" fillId="0" borderId="7" xfId="3" applyNumberFormat="1" applyFont="1" applyFill="1" applyBorder="1" applyAlignment="1" applyProtection="1">
      <alignment vertical="center" shrinkToFit="1"/>
    </xf>
    <xf numFmtId="178" fontId="16" fillId="4" borderId="8" xfId="50" applyNumberFormat="1" applyFont="1" applyFill="1" applyBorder="1" applyAlignment="1">
      <alignment vertical="center" wrapText="1"/>
    </xf>
    <xf numFmtId="179" fontId="17" fillId="0" borderId="9" xfId="3" applyNumberFormat="1" applyFont="1" applyFill="1" applyBorder="1" applyAlignment="1">
      <alignment horizontal="center" vertical="center" shrinkToFit="1"/>
    </xf>
    <xf numFmtId="10" fontId="18" fillId="0" borderId="9" xfId="0" applyNumberFormat="1" applyFont="1" applyBorder="1" applyAlignment="1">
      <alignment horizontal="right" vertical="center" wrapText="1"/>
    </xf>
    <xf numFmtId="0" fontId="19" fillId="5" borderId="10" xfId="0" applyFont="1" applyFill="1" applyBorder="1" applyAlignment="1">
      <alignment horizontal="center" vertical="center" wrapText="1"/>
    </xf>
    <xf numFmtId="180" fontId="20" fillId="0" borderId="11" xfId="0" applyNumberFormat="1" applyFont="1" applyBorder="1" applyAlignment="1">
      <alignment horizontal="left" vertical="top" wrapText="1"/>
    </xf>
    <xf numFmtId="180" fontId="20" fillId="0" borderId="12" xfId="0" applyNumberFormat="1" applyFont="1" applyBorder="1" applyAlignment="1">
      <alignment horizontal="left" vertical="top" wrapText="1"/>
    </xf>
    <xf numFmtId="180" fontId="20" fillId="0" borderId="13" xfId="0" applyNumberFormat="1" applyFont="1" applyBorder="1" applyAlignment="1">
      <alignment horizontal="left" vertical="top" wrapText="1"/>
    </xf>
    <xf numFmtId="10" fontId="12" fillId="0" borderId="0" xfId="3" applyNumberFormat="1" applyFont="1" applyFill="1" applyBorder="1" applyAlignment="1" applyProtection="1">
      <alignment vertical="center" wrapText="1"/>
    </xf>
    <xf numFmtId="0" fontId="16" fillId="4" borderId="14" xfId="0" applyFont="1" applyFill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center" vertical="center" wrapText="1"/>
    </xf>
    <xf numFmtId="43" fontId="17" fillId="0" borderId="7" xfId="1" applyFont="1" applyFill="1" applyBorder="1" applyAlignment="1" applyProtection="1">
      <alignment horizontal="center" vertical="center"/>
    </xf>
    <xf numFmtId="10" fontId="18" fillId="0" borderId="16" xfId="0" applyNumberFormat="1" applyFont="1" applyBorder="1" applyAlignment="1">
      <alignment horizontal="right" vertical="center" wrapText="1"/>
    </xf>
    <xf numFmtId="179" fontId="17" fillId="0" borderId="7" xfId="3" applyNumberFormat="1" applyFont="1" applyFill="1" applyBorder="1" applyAlignment="1" applyProtection="1">
      <alignment horizontal="center" vertical="center" shrinkToFit="1"/>
    </xf>
    <xf numFmtId="181" fontId="17" fillId="0" borderId="9" xfId="1" applyNumberFormat="1" applyFont="1" applyFill="1" applyBorder="1" applyAlignment="1">
      <alignment horizontal="center" vertical="center" shrinkToFit="1"/>
    </xf>
    <xf numFmtId="10" fontId="17" fillId="0" borderId="9" xfId="3" applyNumberFormat="1" applyFont="1" applyFill="1" applyBorder="1" applyAlignment="1">
      <alignment horizontal="center" vertical="center" shrinkToFit="1"/>
    </xf>
    <xf numFmtId="10" fontId="18" fillId="0" borderId="17" xfId="0" applyNumberFormat="1" applyFont="1" applyBorder="1" applyAlignment="1">
      <alignment horizontal="right" vertical="center" wrapText="1"/>
    </xf>
    <xf numFmtId="180" fontId="20" fillId="0" borderId="18" xfId="0" applyNumberFormat="1" applyFont="1" applyBorder="1" applyAlignment="1">
      <alignment horizontal="left" vertical="top" wrapText="1"/>
    </xf>
    <xf numFmtId="0" fontId="21" fillId="0" borderId="0" xfId="0" applyFont="1">
      <alignment vertical="center"/>
    </xf>
    <xf numFmtId="0" fontId="0" fillId="0" borderId="0" xfId="0" applyAlignment="1">
      <alignment horizontal="left" vertical="center"/>
    </xf>
    <xf numFmtId="0" fontId="22" fillId="0" borderId="1" xfId="0" applyFont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/>
    </xf>
    <xf numFmtId="0" fontId="21" fillId="7" borderId="1" xfId="0" applyFont="1" applyFill="1" applyBorder="1" applyAlignment="1">
      <alignment horizontal="center" vertical="center"/>
    </xf>
    <xf numFmtId="1" fontId="21" fillId="7" borderId="1" xfId="0" applyNumberFormat="1" applyFont="1" applyFill="1" applyBorder="1" applyAlignment="1">
      <alignment horizontal="center" vertical="center"/>
    </xf>
    <xf numFmtId="10" fontId="21" fillId="0" borderId="1" xfId="0" applyNumberFormat="1" applyFont="1" applyBorder="1" applyAlignment="1">
      <alignment horizontal="center" vertical="center"/>
    </xf>
    <xf numFmtId="10" fontId="21" fillId="7" borderId="1" xfId="0" applyNumberFormat="1" applyFont="1" applyFill="1" applyBorder="1" applyAlignment="1">
      <alignment horizontal="center" vertical="center"/>
    </xf>
    <xf numFmtId="0" fontId="21" fillId="8" borderId="1" xfId="0" applyFont="1" applyFill="1" applyBorder="1" applyAlignment="1">
      <alignment horizontal="left" vertical="center" wrapText="1"/>
    </xf>
    <xf numFmtId="0" fontId="21" fillId="8" borderId="1" xfId="0" applyFont="1" applyFill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10" fontId="21" fillId="8" borderId="1" xfId="0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9" borderId="1" xfId="0" applyFont="1" applyFill="1" applyBorder="1" applyAlignment="1">
      <alignment horizontal="center" vertical="center"/>
    </xf>
    <xf numFmtId="182" fontId="21" fillId="7" borderId="19" xfId="0" applyNumberFormat="1" applyFont="1" applyFill="1" applyBorder="1" applyAlignment="1">
      <alignment horizontal="center" vertical="center"/>
    </xf>
    <xf numFmtId="2" fontId="21" fillId="7" borderId="1" xfId="0" applyNumberFormat="1" applyFont="1" applyFill="1" applyBorder="1" applyAlignment="1">
      <alignment horizontal="center" vertical="center"/>
    </xf>
    <xf numFmtId="10" fontId="21" fillId="7" borderId="19" xfId="0" applyNumberFormat="1" applyFont="1" applyFill="1" applyBorder="1" applyAlignment="1">
      <alignment horizontal="center" vertical="center"/>
    </xf>
    <xf numFmtId="182" fontId="21" fillId="7" borderId="20" xfId="0" applyNumberFormat="1" applyFont="1" applyFill="1" applyBorder="1" applyAlignment="1">
      <alignment horizontal="center" vertical="center"/>
    </xf>
    <xf numFmtId="10" fontId="21" fillId="7" borderId="20" xfId="0" applyNumberFormat="1" applyFont="1" applyFill="1" applyBorder="1" applyAlignment="1">
      <alignment horizontal="center" vertical="center"/>
    </xf>
    <xf numFmtId="0" fontId="21" fillId="10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left" vertical="center" wrapText="1"/>
    </xf>
    <xf numFmtId="0" fontId="21" fillId="11" borderId="1" xfId="0" applyFont="1" applyFill="1" applyBorder="1" applyAlignment="1">
      <alignment horizontal="center" vertical="center"/>
    </xf>
    <xf numFmtId="2" fontId="21" fillId="7" borderId="1" xfId="0" applyNumberFormat="1" applyFont="1" applyFill="1" applyBorder="1" applyAlignment="1">
      <alignment horizontal="center" vertical="center" wrapText="1"/>
    </xf>
    <xf numFmtId="2" fontId="11" fillId="7" borderId="1" xfId="0" applyNumberFormat="1" applyFont="1" applyFill="1" applyBorder="1" applyAlignment="1">
      <alignment horizontal="center" vertical="center"/>
    </xf>
    <xf numFmtId="9" fontId="11" fillId="7" borderId="1" xfId="0" applyNumberFormat="1" applyFont="1" applyFill="1" applyBorder="1" applyAlignment="1">
      <alignment horizontal="center" vertical="center"/>
    </xf>
    <xf numFmtId="10" fontId="11" fillId="7" borderId="1" xfId="3" applyNumberFormat="1" applyFont="1" applyFill="1" applyBorder="1" applyAlignment="1">
      <alignment horizontal="center" vertical="center"/>
    </xf>
    <xf numFmtId="0" fontId="21" fillId="8" borderId="1" xfId="0" applyFont="1" applyFill="1" applyBorder="1" applyAlignment="1">
      <alignment horizontal="center" vertical="center" wrapText="1"/>
    </xf>
    <xf numFmtId="58" fontId="21" fillId="8" borderId="1" xfId="0" applyNumberFormat="1" applyFont="1" applyFill="1" applyBorder="1" applyAlignment="1">
      <alignment horizontal="center" vertical="center" wrapText="1"/>
    </xf>
    <xf numFmtId="0" fontId="21" fillId="8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58" fontId="2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21" xfId="0" applyFont="1" applyBorder="1" applyAlignment="1">
      <alignment horizontal="center" vertical="top" wrapText="1"/>
    </xf>
    <xf numFmtId="0" fontId="0" fillId="0" borderId="2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8" fillId="0" borderId="6" xfId="0" applyFont="1" applyBorder="1" applyAlignment="1">
      <alignment horizontal="center" vertical="top" wrapText="1"/>
    </xf>
    <xf numFmtId="0" fontId="28" fillId="0" borderId="23" xfId="0" applyFont="1" applyBorder="1" applyAlignment="1">
      <alignment horizontal="center" vertical="top" wrapText="1"/>
    </xf>
    <xf numFmtId="0" fontId="28" fillId="0" borderId="24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8" fillId="0" borderId="23" xfId="0" applyFont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top" wrapText="1"/>
    </xf>
    <xf numFmtId="0" fontId="29" fillId="0" borderId="24" xfId="0" applyFont="1" applyBorder="1" applyAlignment="1">
      <alignment horizontal="center" vertical="top" wrapText="1"/>
    </xf>
    <xf numFmtId="0" fontId="30" fillId="0" borderId="6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30" fillId="0" borderId="25" xfId="0" applyFont="1" applyBorder="1" applyAlignment="1">
      <alignment horizontal="center" vertical="center"/>
    </xf>
    <xf numFmtId="0" fontId="30" fillId="0" borderId="24" xfId="0" applyFont="1" applyBorder="1" applyAlignment="1">
      <alignment horizontal="center" vertical="center"/>
    </xf>
    <xf numFmtId="0" fontId="0" fillId="7" borderId="6" xfId="0" applyFill="1" applyBorder="1" applyAlignment="1">
      <alignment horizontal="left" vertical="center"/>
    </xf>
    <xf numFmtId="0" fontId="0" fillId="7" borderId="1" xfId="0" applyFill="1" applyBorder="1" applyAlignment="1">
      <alignment horizontal="left" vertical="center"/>
    </xf>
    <xf numFmtId="0" fontId="0" fillId="7" borderId="15" xfId="0" applyFill="1" applyBorder="1" applyAlignment="1">
      <alignment horizontal="left" vertical="center"/>
    </xf>
    <xf numFmtId="0" fontId="0" fillId="12" borderId="25" xfId="0" applyFill="1" applyBorder="1" applyAlignment="1">
      <alignment horizontal="left" vertical="center"/>
    </xf>
    <xf numFmtId="0" fontId="0" fillId="12" borderId="26" xfId="0" applyFill="1" applyBorder="1" applyAlignment="1">
      <alignment horizontal="left" vertical="center"/>
    </xf>
    <xf numFmtId="0" fontId="0" fillId="7" borderId="8" xfId="0" applyFill="1" applyBorder="1" applyAlignment="1">
      <alignment horizontal="left" vertical="center"/>
    </xf>
    <xf numFmtId="0" fontId="0" fillId="7" borderId="27" xfId="0" applyFill="1" applyBorder="1" applyAlignment="1">
      <alignment horizontal="left" vertical="center"/>
    </xf>
    <xf numFmtId="0" fontId="0" fillId="7" borderId="28" xfId="0" applyFill="1" applyBorder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32" fillId="0" borderId="23" xfId="0" applyFont="1" applyBorder="1" applyAlignment="1">
      <alignment horizontal="center" vertical="top" wrapText="1"/>
    </xf>
    <xf numFmtId="0" fontId="32" fillId="0" borderId="26" xfId="0" applyFont="1" applyBorder="1" applyAlignment="1">
      <alignment horizontal="center" vertical="top" wrapText="1"/>
    </xf>
    <xf numFmtId="0" fontId="32" fillId="0" borderId="29" xfId="0" applyFont="1" applyBorder="1" applyAlignment="1">
      <alignment horizontal="center" vertical="top" wrapText="1"/>
    </xf>
    <xf numFmtId="0" fontId="28" fillId="12" borderId="23" xfId="0" applyFont="1" applyFill="1" applyBorder="1" applyAlignment="1">
      <alignment horizontal="center" vertical="top" wrapText="1"/>
    </xf>
    <xf numFmtId="0" fontId="28" fillId="12" borderId="26" xfId="0" applyFont="1" applyFill="1" applyBorder="1" applyAlignment="1">
      <alignment horizontal="center" vertical="top" wrapText="1"/>
    </xf>
    <xf numFmtId="0" fontId="28" fillId="12" borderId="29" xfId="0" applyFont="1" applyFill="1" applyBorder="1" applyAlignment="1">
      <alignment horizontal="center" vertical="top" wrapText="1"/>
    </xf>
    <xf numFmtId="0" fontId="0" fillId="7" borderId="25" xfId="0" applyFill="1" applyBorder="1" applyAlignment="1">
      <alignment horizontal="left" vertical="center"/>
    </xf>
    <xf numFmtId="0" fontId="0" fillId="7" borderId="26" xfId="0" applyFill="1" applyBorder="1" applyAlignment="1">
      <alignment horizontal="left" vertical="center"/>
    </xf>
    <xf numFmtId="0" fontId="28" fillId="0" borderId="1" xfId="0" applyFont="1" applyBorder="1" applyAlignment="1">
      <alignment horizontal="center" vertical="top" wrapText="1"/>
    </xf>
    <xf numFmtId="0" fontId="0" fillId="0" borderId="23" xfId="0" applyBorder="1" applyAlignment="1">
      <alignment horizontal="center" vertical="center"/>
    </xf>
    <xf numFmtId="0" fontId="0" fillId="7" borderId="30" xfId="0" applyFill="1" applyBorder="1" applyAlignment="1">
      <alignment horizontal="left" vertical="center"/>
    </xf>
    <xf numFmtId="0" fontId="0" fillId="7" borderId="31" xfId="0" applyFill="1" applyBorder="1" applyAlignment="1">
      <alignment horizontal="left" vertical="center"/>
    </xf>
    <xf numFmtId="0" fontId="0" fillId="0" borderId="0" xfId="0" applyFill="1">
      <alignment vertical="center"/>
    </xf>
    <xf numFmtId="0" fontId="30" fillId="0" borderId="23" xfId="0" applyFont="1" applyBorder="1" applyAlignment="1">
      <alignment horizontal="center" vertical="center"/>
    </xf>
    <xf numFmtId="0" fontId="0" fillId="12" borderId="23" xfId="0" applyFill="1" applyBorder="1" applyAlignment="1">
      <alignment horizontal="left" vertical="center"/>
    </xf>
    <xf numFmtId="0" fontId="0" fillId="13" borderId="1" xfId="0" applyFill="1" applyBorder="1" applyAlignment="1">
      <alignment horizontal="left" vertical="center"/>
    </xf>
    <xf numFmtId="0" fontId="0" fillId="13" borderId="1" xfId="0" applyFill="1" applyBorder="1">
      <alignment vertical="center"/>
    </xf>
    <xf numFmtId="0" fontId="0" fillId="13" borderId="1" xfId="0" applyFill="1" applyBorder="1" applyAlignment="1">
      <alignment horizontal="left" vertical="center" wrapText="1"/>
    </xf>
    <xf numFmtId="0" fontId="0" fillId="7" borderId="23" xfId="0" applyFill="1" applyBorder="1" applyAlignment="1">
      <alignment horizontal="left" vertical="center"/>
    </xf>
    <xf numFmtId="0" fontId="28" fillId="0" borderId="24" xfId="0" applyFont="1" applyBorder="1" applyAlignment="1">
      <alignment horizontal="center" vertical="center" wrapText="1"/>
    </xf>
    <xf numFmtId="0" fontId="28" fillId="12" borderId="23" xfId="0" applyFont="1" applyFill="1" applyBorder="1" applyAlignment="1">
      <alignment horizontal="center" vertical="center" wrapText="1"/>
    </xf>
    <xf numFmtId="0" fontId="28" fillId="12" borderId="26" xfId="0" applyFont="1" applyFill="1" applyBorder="1" applyAlignment="1">
      <alignment horizontal="center" vertical="center" wrapText="1"/>
    </xf>
    <xf numFmtId="0" fontId="28" fillId="12" borderId="29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left" vertical="center" wrapText="1"/>
    </xf>
    <xf numFmtId="0" fontId="0" fillId="7" borderId="15" xfId="0" applyFill="1" applyBorder="1" applyAlignment="1">
      <alignment horizontal="left" vertical="center" wrapText="1"/>
    </xf>
    <xf numFmtId="0" fontId="0" fillId="7" borderId="27" xfId="0" applyFill="1" applyBorder="1" applyAlignment="1">
      <alignment horizontal="left" vertical="center" wrapText="1"/>
    </xf>
    <xf numFmtId="0" fontId="0" fillId="7" borderId="28" xfId="0" applyFill="1" applyBorder="1" applyAlignment="1">
      <alignment horizontal="left" vertical="center" wrapText="1"/>
    </xf>
    <xf numFmtId="0" fontId="0" fillId="7" borderId="27" xfId="0" applyFill="1" applyBorder="1" applyAlignment="1">
      <alignment horizontal="center" vertical="center" wrapText="1"/>
    </xf>
    <xf numFmtId="0" fontId="0" fillId="7" borderId="28" xfId="0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32" fillId="0" borderId="24" xfId="0" applyFont="1" applyBorder="1" applyAlignment="1">
      <alignment horizontal="center" vertical="top" wrapText="1"/>
    </xf>
    <xf numFmtId="0" fontId="0" fillId="7" borderId="1" xfId="0" applyFill="1" applyBorder="1" applyAlignment="1">
      <alignment horizontal="center" vertical="center"/>
    </xf>
    <xf numFmtId="0" fontId="28" fillId="12" borderId="24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8" fillId="7" borderId="23" xfId="0" applyFont="1" applyFill="1" applyBorder="1" applyAlignment="1">
      <alignment horizontal="center" vertical="center" wrapText="1"/>
    </xf>
    <xf numFmtId="0" fontId="28" fillId="7" borderId="26" xfId="0" applyFont="1" applyFill="1" applyBorder="1" applyAlignment="1">
      <alignment horizontal="center" vertical="center" wrapText="1"/>
    </xf>
    <xf numFmtId="0" fontId="28" fillId="7" borderId="24" xfId="0" applyFont="1" applyFill="1" applyBorder="1" applyAlignment="1">
      <alignment horizontal="center" vertical="center" wrapText="1"/>
    </xf>
    <xf numFmtId="0" fontId="14" fillId="14" borderId="0" xfId="0" applyFont="1" applyFill="1">
      <alignment vertical="center"/>
    </xf>
    <xf numFmtId="0" fontId="0" fillId="14" borderId="0" xfId="0" applyFill="1">
      <alignment vertical="center"/>
    </xf>
    <xf numFmtId="0" fontId="33" fillId="14" borderId="21" xfId="0" applyFont="1" applyFill="1" applyBorder="1" applyAlignment="1">
      <alignment horizontal="center" vertical="center"/>
    </xf>
    <xf numFmtId="0" fontId="33" fillId="14" borderId="3" xfId="0" applyFont="1" applyFill="1" applyBorder="1" applyAlignment="1">
      <alignment horizontal="center" vertical="center"/>
    </xf>
    <xf numFmtId="0" fontId="20" fillId="14" borderId="32" xfId="0" applyFont="1" applyFill="1" applyBorder="1" applyAlignment="1">
      <alignment horizontal="left" vertical="center"/>
    </xf>
    <xf numFmtId="0" fontId="20" fillId="14" borderId="33" xfId="0" applyFont="1" applyFill="1" applyBorder="1" applyAlignment="1">
      <alignment horizontal="left" vertical="center"/>
    </xf>
    <xf numFmtId="0" fontId="20" fillId="14" borderId="34" xfId="0" applyFont="1" applyFill="1" applyBorder="1" applyAlignment="1">
      <alignment horizontal="left" vertical="center"/>
    </xf>
    <xf numFmtId="0" fontId="20" fillId="14" borderId="35" xfId="0" applyFont="1" applyFill="1" applyBorder="1" applyAlignment="1">
      <alignment horizontal="left" vertical="center"/>
    </xf>
    <xf numFmtId="0" fontId="19" fillId="0" borderId="6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0" fillId="15" borderId="6" xfId="0" applyFont="1" applyFill="1" applyBorder="1" applyAlignment="1">
      <alignment horizontal="center" vertical="center"/>
    </xf>
    <xf numFmtId="180" fontId="20" fillId="0" borderId="1" xfId="0" applyNumberFormat="1" applyFont="1" applyBorder="1" applyAlignment="1">
      <alignment horizontal="right" vertical="center"/>
    </xf>
    <xf numFmtId="180" fontId="20" fillId="0" borderId="1" xfId="3" applyNumberFormat="1" applyFont="1" applyFill="1" applyBorder="1" applyAlignment="1">
      <alignment horizontal="right" vertical="center"/>
    </xf>
    <xf numFmtId="43" fontId="20" fillId="0" borderId="1" xfId="1" applyFont="1" applyFill="1" applyBorder="1" applyAlignment="1">
      <alignment horizontal="right" vertical="center"/>
    </xf>
    <xf numFmtId="0" fontId="20" fillId="16" borderId="6" xfId="0" applyFont="1" applyFill="1" applyBorder="1" applyAlignment="1">
      <alignment horizontal="center" vertical="center"/>
    </xf>
    <xf numFmtId="0" fontId="20" fillId="17" borderId="6" xfId="0" applyFont="1" applyFill="1" applyBorder="1" applyAlignment="1">
      <alignment horizontal="center" vertical="center"/>
    </xf>
    <xf numFmtId="10" fontId="20" fillId="0" borderId="1" xfId="3" applyNumberFormat="1" applyFont="1" applyFill="1" applyBorder="1" applyAlignment="1">
      <alignment horizontal="right" vertical="center"/>
    </xf>
    <xf numFmtId="10" fontId="17" fillId="0" borderId="1" xfId="3" applyNumberFormat="1" applyFont="1" applyFill="1" applyBorder="1" applyAlignment="1">
      <alignment horizontal="right" vertical="center"/>
    </xf>
    <xf numFmtId="0" fontId="20" fillId="9" borderId="6" xfId="0" applyFont="1" applyFill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180" fontId="20" fillId="0" borderId="1" xfId="0" applyNumberFormat="1" applyFont="1" applyBorder="1" applyAlignment="1">
      <alignment horizontal="left" vertical="center" wrapText="1"/>
    </xf>
    <xf numFmtId="0" fontId="19" fillId="0" borderId="8" xfId="0" applyFont="1" applyBorder="1" applyAlignment="1">
      <alignment horizontal="center" vertical="center" wrapText="1"/>
    </xf>
    <xf numFmtId="180" fontId="20" fillId="0" borderId="27" xfId="0" applyNumberFormat="1" applyFont="1" applyBorder="1" applyAlignment="1">
      <alignment horizontal="left" vertical="center" wrapText="1"/>
    </xf>
    <xf numFmtId="0" fontId="22" fillId="14" borderId="0" xfId="0" applyFont="1" applyFill="1" applyAlignment="1">
      <alignment horizontal="center" vertical="center"/>
    </xf>
    <xf numFmtId="0" fontId="20" fillId="14" borderId="0" xfId="0" applyFont="1" applyFill="1" applyAlignment="1">
      <alignment horizontal="left" vertical="center"/>
    </xf>
    <xf numFmtId="0" fontId="20" fillId="14" borderId="0" xfId="0" applyFont="1" applyFill="1">
      <alignment vertical="center"/>
    </xf>
    <xf numFmtId="0" fontId="20" fillId="14" borderId="0" xfId="0" applyFont="1" applyFill="1" applyAlignment="1">
      <alignment horizontal="center" vertical="center"/>
    </xf>
    <xf numFmtId="10" fontId="14" fillId="14" borderId="0" xfId="3" applyNumberFormat="1" applyFont="1" applyFill="1">
      <alignment vertical="center"/>
    </xf>
    <xf numFmtId="0" fontId="0" fillId="14" borderId="0" xfId="0" applyFill="1" applyAlignment="1">
      <alignment horizontal="center" vertical="center"/>
    </xf>
    <xf numFmtId="0" fontId="33" fillId="14" borderId="14" xfId="0" applyFont="1" applyFill="1" applyBorder="1" applyAlignment="1">
      <alignment horizontal="center" vertical="center"/>
    </xf>
    <xf numFmtId="0" fontId="23" fillId="14" borderId="0" xfId="0" applyFont="1" applyFill="1" applyAlignment="1">
      <alignment horizontal="center" vertical="center"/>
    </xf>
    <xf numFmtId="0" fontId="20" fillId="14" borderId="36" xfId="0" applyFont="1" applyFill="1" applyBorder="1" applyAlignment="1">
      <alignment horizontal="left" vertical="center"/>
    </xf>
    <xf numFmtId="0" fontId="20" fillId="14" borderId="15" xfId="0" applyFont="1" applyFill="1" applyBorder="1" applyAlignment="1">
      <alignment horizontal="left" vertical="center"/>
    </xf>
    <xf numFmtId="0" fontId="14" fillId="14" borderId="21" xfId="0" applyFont="1" applyFill="1" applyBorder="1" applyAlignment="1">
      <alignment horizontal="center" vertical="center"/>
    </xf>
    <xf numFmtId="0" fontId="20" fillId="14" borderId="37" xfId="0" applyFont="1" applyFill="1" applyBorder="1" applyAlignment="1">
      <alignment horizontal="left" vertical="center"/>
    </xf>
    <xf numFmtId="0" fontId="14" fillId="14" borderId="6" xfId="0" applyFont="1" applyFill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180" fontId="20" fillId="0" borderId="15" xfId="0" applyNumberFormat="1" applyFont="1" applyBorder="1" applyAlignment="1">
      <alignment horizontal="right" vertical="center"/>
    </xf>
    <xf numFmtId="0" fontId="14" fillId="14" borderId="32" xfId="0" applyFont="1" applyFill="1" applyBorder="1" applyAlignment="1">
      <alignment horizontal="center" vertical="center"/>
    </xf>
    <xf numFmtId="0" fontId="14" fillId="14" borderId="34" xfId="0" applyFont="1" applyFill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14" borderId="38" xfId="0" applyFont="1" applyFill="1" applyBorder="1" applyAlignment="1">
      <alignment horizontal="center" vertical="center"/>
    </xf>
    <xf numFmtId="10" fontId="20" fillId="0" borderId="15" xfId="3" applyNumberFormat="1" applyFont="1" applyFill="1" applyBorder="1" applyAlignment="1">
      <alignment horizontal="right" vertical="center"/>
    </xf>
    <xf numFmtId="10" fontId="14" fillId="14" borderId="6" xfId="3" applyNumberFormat="1" applyFont="1" applyFill="1" applyBorder="1" applyAlignment="1">
      <alignment horizontal="center" vertical="center"/>
    </xf>
    <xf numFmtId="10" fontId="14" fillId="14" borderId="8" xfId="3" applyNumberFormat="1" applyFont="1" applyFill="1" applyBorder="1" applyAlignment="1">
      <alignment horizontal="center" vertical="center"/>
    </xf>
    <xf numFmtId="10" fontId="14" fillId="14" borderId="0" xfId="3" applyNumberFormat="1" applyFont="1" applyFill="1" applyAlignment="1">
      <alignment horizontal="center" vertical="center"/>
    </xf>
    <xf numFmtId="0" fontId="14" fillId="14" borderId="0" xfId="0" applyFont="1" applyFill="1" applyAlignment="1">
      <alignment horizontal="center" vertical="center"/>
    </xf>
    <xf numFmtId="180" fontId="20" fillId="0" borderId="15" xfId="0" applyNumberFormat="1" applyFont="1" applyBorder="1" applyAlignment="1">
      <alignment horizontal="left" vertical="center" wrapText="1"/>
    </xf>
    <xf numFmtId="180" fontId="20" fillId="0" borderId="27" xfId="0" applyNumberFormat="1" applyFont="1" applyBorder="1" applyAlignment="1">
      <alignment horizontal="left" vertical="center"/>
    </xf>
    <xf numFmtId="180" fontId="20" fillId="0" borderId="28" xfId="0" applyNumberFormat="1" applyFont="1" applyBorder="1" applyAlignment="1">
      <alignment horizontal="left" vertical="center"/>
    </xf>
    <xf numFmtId="180" fontId="20" fillId="14" borderId="0" xfId="0" applyNumberFormat="1" applyFont="1" applyFill="1">
      <alignment vertical="center"/>
    </xf>
    <xf numFmtId="0" fontId="23" fillId="14" borderId="0" xfId="0" applyFont="1" applyFill="1">
      <alignment vertical="center"/>
    </xf>
    <xf numFmtId="0" fontId="14" fillId="14" borderId="3" xfId="0" applyFont="1" applyFill="1" applyBorder="1" applyAlignment="1">
      <alignment horizontal="center" vertical="center"/>
    </xf>
    <xf numFmtId="0" fontId="14" fillId="14" borderId="39" xfId="0" applyFont="1" applyFill="1" applyBorder="1" applyAlignment="1">
      <alignment horizontal="center" vertical="center"/>
    </xf>
    <xf numFmtId="0" fontId="14" fillId="14" borderId="40" xfId="0" applyFont="1" applyFill="1" applyBorder="1" applyAlignment="1">
      <alignment horizontal="center" vertical="center"/>
    </xf>
    <xf numFmtId="0" fontId="14" fillId="14" borderId="39" xfId="0" applyFont="1" applyFill="1" applyBorder="1" applyAlignment="1">
      <alignment horizontal="center" vertical="center" wrapText="1"/>
    </xf>
    <xf numFmtId="0" fontId="14" fillId="14" borderId="41" xfId="0" applyFont="1" applyFill="1" applyBorder="1" applyAlignment="1">
      <alignment horizontal="center" vertical="center"/>
    </xf>
    <xf numFmtId="0" fontId="14" fillId="14" borderId="1" xfId="0" applyFont="1" applyFill="1" applyBorder="1" applyAlignment="1">
      <alignment horizontal="center" vertical="center"/>
    </xf>
    <xf numFmtId="0" fontId="14" fillId="14" borderId="42" xfId="0" applyFont="1" applyFill="1" applyBorder="1" applyAlignment="1">
      <alignment horizontal="center" vertical="center"/>
    </xf>
    <xf numFmtId="0" fontId="14" fillId="14" borderId="43" xfId="0" applyFont="1" applyFill="1" applyBorder="1" applyAlignment="1">
      <alignment horizontal="center" vertical="center"/>
    </xf>
    <xf numFmtId="0" fontId="14" fillId="14" borderId="44" xfId="0" applyFont="1" applyFill="1" applyBorder="1" applyAlignment="1">
      <alignment horizontal="center" vertical="center"/>
    </xf>
    <xf numFmtId="0" fontId="21" fillId="14" borderId="0" xfId="0" applyFont="1" applyFill="1" applyAlignment="1">
      <alignment horizontal="center" vertical="center"/>
    </xf>
    <xf numFmtId="0" fontId="14" fillId="14" borderId="45" xfId="0" applyFont="1" applyFill="1" applyBorder="1" applyAlignment="1">
      <alignment horizontal="center" vertical="center"/>
    </xf>
    <xf numFmtId="0" fontId="14" fillId="14" borderId="37" xfId="0" applyFont="1" applyFill="1" applyBorder="1" applyAlignment="1">
      <alignment horizontal="center" vertical="center"/>
    </xf>
    <xf numFmtId="0" fontId="14" fillId="14" borderId="46" xfId="0" applyFont="1" applyFill="1" applyBorder="1" applyAlignment="1">
      <alignment horizontal="center" vertical="center"/>
    </xf>
    <xf numFmtId="0" fontId="14" fillId="14" borderId="36" xfId="0" applyFont="1" applyFill="1" applyBorder="1" applyAlignment="1">
      <alignment horizontal="center" vertical="center"/>
    </xf>
    <xf numFmtId="9" fontId="14" fillId="14" borderId="1" xfId="0" applyNumberFormat="1" applyFont="1" applyFill="1" applyBorder="1" applyAlignment="1">
      <alignment horizontal="center" vertical="center"/>
    </xf>
    <xf numFmtId="0" fontId="14" fillId="14" borderId="15" xfId="0" applyFont="1" applyFill="1" applyBorder="1" applyAlignment="1">
      <alignment horizontal="center" vertical="center"/>
    </xf>
    <xf numFmtId="43" fontId="14" fillId="14" borderId="0" xfId="1" applyFont="1" applyFill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9" fontId="14" fillId="14" borderId="47" xfId="0" applyNumberFormat="1" applyFont="1" applyFill="1" applyBorder="1" applyAlignment="1">
      <alignment horizontal="center" vertical="center"/>
    </xf>
    <xf numFmtId="9" fontId="14" fillId="14" borderId="36" xfId="0" applyNumberFormat="1" applyFont="1" applyFill="1" applyBorder="1" applyAlignment="1">
      <alignment horizontal="center" vertical="center"/>
    </xf>
    <xf numFmtId="0" fontId="14" fillId="14" borderId="47" xfId="0" applyFont="1" applyFill="1" applyBorder="1" applyAlignment="1">
      <alignment horizontal="center" vertical="center"/>
    </xf>
    <xf numFmtId="0" fontId="14" fillId="14" borderId="48" xfId="0" applyFont="1" applyFill="1" applyBorder="1" applyAlignment="1">
      <alignment horizontal="center" vertical="center"/>
    </xf>
    <xf numFmtId="9" fontId="14" fillId="14" borderId="42" xfId="0" applyNumberFormat="1" applyFont="1" applyFill="1" applyBorder="1" applyAlignment="1">
      <alignment horizontal="center" vertical="center"/>
    </xf>
    <xf numFmtId="9" fontId="14" fillId="14" borderId="43" xfId="0" applyNumberFormat="1" applyFont="1" applyFill="1" applyBorder="1" applyAlignment="1">
      <alignment horizontal="center" vertical="center"/>
    </xf>
    <xf numFmtId="9" fontId="14" fillId="14" borderId="45" xfId="0" applyNumberFormat="1" applyFont="1" applyFill="1" applyBorder="1" applyAlignment="1">
      <alignment horizontal="center" vertical="center"/>
    </xf>
    <xf numFmtId="9" fontId="14" fillId="14" borderId="37" xfId="0" applyNumberFormat="1" applyFont="1" applyFill="1" applyBorder="1" applyAlignment="1">
      <alignment horizontal="center" vertical="center"/>
    </xf>
    <xf numFmtId="10" fontId="14" fillId="14" borderId="1" xfId="3" applyNumberFormat="1" applyFont="1" applyFill="1" applyBorder="1" applyAlignment="1">
      <alignment horizontal="center" vertical="center"/>
    </xf>
    <xf numFmtId="0" fontId="14" fillId="14" borderId="1" xfId="1" applyNumberFormat="1" applyFont="1" applyFill="1" applyBorder="1" applyAlignment="1">
      <alignment horizontal="center" vertical="center"/>
    </xf>
    <xf numFmtId="0" fontId="14" fillId="14" borderId="15" xfId="1" applyNumberFormat="1" applyFont="1" applyFill="1" applyBorder="1" applyAlignment="1">
      <alignment horizontal="center" vertical="center"/>
    </xf>
    <xf numFmtId="10" fontId="14" fillId="14" borderId="27" xfId="3" applyNumberFormat="1" applyFont="1" applyFill="1" applyBorder="1" applyAlignment="1">
      <alignment horizontal="center" vertical="center"/>
    </xf>
    <xf numFmtId="0" fontId="14" fillId="14" borderId="27" xfId="0" applyFont="1" applyFill="1" applyBorder="1" applyAlignment="1">
      <alignment horizontal="center" vertical="center"/>
    </xf>
    <xf numFmtId="0" fontId="14" fillId="14" borderId="27" xfId="1" applyNumberFormat="1" applyFont="1" applyFill="1" applyBorder="1" applyAlignment="1">
      <alignment horizontal="center" vertical="center"/>
    </xf>
    <xf numFmtId="0" fontId="14" fillId="14" borderId="28" xfId="1" applyNumberFormat="1" applyFont="1" applyFill="1" applyBorder="1" applyAlignment="1">
      <alignment horizontal="center" vertical="center"/>
    </xf>
    <xf numFmtId="0" fontId="14" fillId="14" borderId="0" xfId="1" applyNumberFormat="1" applyFont="1" applyFill="1" applyAlignment="1">
      <alignment horizontal="center" vertical="center"/>
    </xf>
    <xf numFmtId="0" fontId="21" fillId="14" borderId="0" xfId="0" applyFont="1" applyFill="1">
      <alignment vertical="center"/>
    </xf>
    <xf numFmtId="43" fontId="21" fillId="14" borderId="0" xfId="1" applyFont="1" applyFill="1">
      <alignment vertical="center"/>
    </xf>
    <xf numFmtId="43" fontId="21" fillId="0" borderId="0" xfId="1" applyFont="1">
      <alignment vertical="center"/>
    </xf>
    <xf numFmtId="10" fontId="21" fillId="14" borderId="0" xfId="3" applyNumberFormat="1" applyFont="1" applyFill="1">
      <alignment vertical="center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10" xfId="50"/>
    <cellStyle name="常规 10 3" xfId="51"/>
    <cellStyle name="常规 100 2 2 2" xfId="52"/>
    <cellStyle name="常规 11 2" xfId="53"/>
    <cellStyle name="常规 16" xfId="54"/>
    <cellStyle name="常规 19" xfId="55"/>
    <cellStyle name="常规 2" xfId="56"/>
    <cellStyle name="常规 2 2" xfId="57"/>
    <cellStyle name="常规 2 2 2" xfId="58"/>
    <cellStyle name="常规 2 2 3 2 2 2 2 2 3" xfId="59"/>
    <cellStyle name="常规 2 2 3 2 2 2 2 2 3 2 2 2 2" xfId="60"/>
    <cellStyle name="常规 2 2 3 2 3 2 2 2 2 2" xfId="61"/>
    <cellStyle name="常规 2 3" xfId="62"/>
    <cellStyle name="常规 2 4 3 2 2 2 2" xfId="63"/>
    <cellStyle name="常规 2 63" xfId="64"/>
    <cellStyle name="常规 2 64" xfId="65"/>
    <cellStyle name="常规 3" xfId="66"/>
    <cellStyle name="常规 5" xfId="67"/>
    <cellStyle name="常规 6" xfId="68"/>
    <cellStyle name="常规 7" xfId="69"/>
    <cellStyle name="千位分隔 2" xfId="70"/>
    <cellStyle name="千位分隔 2 2" xfId="71"/>
    <cellStyle name="千位分隔 2 2 2" xfId="72"/>
    <cellStyle name="千位分隔 2 3" xfId="73"/>
    <cellStyle name="千位分隔 3" xfId="74"/>
    <cellStyle name="千位分隔 3 2" xfId="75"/>
    <cellStyle name="千位分隔 4" xfId="76"/>
    <cellStyle name="样式 1" xfId="77"/>
    <cellStyle name="표준_반장업무일지(신)" xfId="78"/>
  </cellStyles>
  <dxfs count="1">
    <dxf>
      <font>
        <color rgb="FF9C0006"/>
      </font>
    </dxf>
  </dxfs>
  <tableStyles count="0" defaultTableStyle="TableStyleMedium9"/>
  <colors>
    <mruColors>
      <color rgb="000000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3" Type="http://schemas.microsoft.com/office/2011/relationships/chartColorStyle" Target="colors1.xml"/><Relationship Id="rId2" Type="http://schemas.microsoft.com/office/2011/relationships/chartStyle" Target="style1.xml"/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microsoft.com/office/2011/relationships/chartColorStyle" Target="colors4.xml"/><Relationship Id="rId2" Type="http://schemas.microsoft.com/office/2011/relationships/chartStyle" Target="style4.xml"/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ln w="12700" cmpd="sng">
                  <a:solidFill>
                    <a:schemeClr val="accent1"/>
                  </a:solidFill>
                  <a:prstDash val="solid"/>
                </a:ln>
                <a:solidFill>
                  <a:schemeClr val="tx1">
                    <a:lumMod val="65000"/>
                    <a:lumOff val="35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  <a:latin typeface="+mn-lt"/>
                <a:ea typeface="+mn-ea"/>
                <a:cs typeface="+mn-cs"/>
              </a:defRPr>
            </a:pPr>
            <a:r>
              <a:rPr lang="en-US" altLang="zh-CN">
                <a:ln w="12700" cmpd="sng">
                  <a:solidFill>
                    <a:schemeClr val="accent1"/>
                  </a:solidFill>
                  <a:prstDash val="solid"/>
                </a:ln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2019</a:t>
            </a:r>
            <a:r>
              <a:rPr altLang="en-US">
                <a:ln w="12700" cmpd="sng">
                  <a:solidFill>
                    <a:schemeClr val="accent1"/>
                  </a:solidFill>
                  <a:prstDash val="solid"/>
                </a:ln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年边际贡献图</a:t>
            </a:r>
            <a:endParaRPr altLang="en-US">
              <a:ln w="12700" cmpd="sng">
                <a:solidFill>
                  <a:schemeClr val="accent1"/>
                </a:solidFill>
                <a:prstDash val="solid"/>
              </a:ln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endParaRPr>
          </a:p>
        </c:rich>
      </c:tx>
      <c:layout>
        <c:manualLayout>
          <c:xMode val="edge"/>
          <c:yMode val="edge"/>
          <c:x val="0.377974137931034"/>
          <c:y val="0.00696055684454756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"销售收入"</c:f>
              <c:strCache>
                <c:ptCount val="1"/>
                <c:pt idx="0">
                  <c:v>销售收入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⑮边际贡献分析!$B$4:$N$4</c:f>
              <c:strCache>
                <c:ptCount val="13"/>
                <c:pt idx="0">
                  <c:v>1月份</c:v>
                </c:pt>
                <c:pt idx="1">
                  <c:v>2月份</c:v>
                </c:pt>
                <c:pt idx="2">
                  <c:v>3月份</c:v>
                </c:pt>
                <c:pt idx="3">
                  <c:v>4月份</c:v>
                </c:pt>
                <c:pt idx="4">
                  <c:v>5月份</c:v>
                </c:pt>
                <c:pt idx="5">
                  <c:v>6月份</c:v>
                </c:pt>
                <c:pt idx="6">
                  <c:v>7月份</c:v>
                </c:pt>
                <c:pt idx="7">
                  <c:v>8月份</c:v>
                </c:pt>
                <c:pt idx="8">
                  <c:v>9月份</c:v>
                </c:pt>
                <c:pt idx="9">
                  <c:v>10月份</c:v>
                </c:pt>
                <c:pt idx="10">
                  <c:v>11月份</c:v>
                </c:pt>
                <c:pt idx="11">
                  <c:v>12月份</c:v>
                </c:pt>
                <c:pt idx="12">
                  <c:v>累计</c:v>
                </c:pt>
              </c:strCache>
            </c:strRef>
          </c:cat>
          <c:val>
            <c:numRef>
              <c:f>⑮边际贡献分析!$B$5:$M$5</c:f>
              <c:numCache>
                <c:formatCode>#,##0.00_ </c:formatCode>
                <c:ptCount val="12"/>
                <c:pt idx="0">
                  <c:v>2825.86568998707</c:v>
                </c:pt>
                <c:pt idx="1">
                  <c:v>1881.14954429622</c:v>
                </c:pt>
                <c:pt idx="2">
                  <c:v>3110.68815188908</c:v>
                </c:pt>
                <c:pt idx="3">
                  <c:v>2847.26780177151</c:v>
                </c:pt>
                <c:pt idx="4">
                  <c:v>2675.44502956843</c:v>
                </c:pt>
                <c:pt idx="5">
                  <c:v>2055.24065277627</c:v>
                </c:pt>
                <c:pt idx="6">
                  <c:v>2012.75341306024</c:v>
                </c:pt>
                <c:pt idx="7">
                  <c:v>2452.88292601386</c:v>
                </c:pt>
                <c:pt idx="8">
                  <c:v>2526.09291961495</c:v>
                </c:pt>
                <c:pt idx="9">
                  <c:v>2860.54154393783</c:v>
                </c:pt>
                <c:pt idx="10">
                  <c:v>3351.04742399836</c:v>
                </c:pt>
                <c:pt idx="11">
                  <c:v>3604.79728254796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8461627"/>
        <c:axId val="884375725"/>
      </c:barChart>
      <c:lineChart>
        <c:grouping val="standard"/>
        <c:varyColors val="0"/>
        <c:ser>
          <c:idx val="1"/>
          <c:order val="1"/>
          <c:tx>
            <c:strRef>
              <c:f>"边际贡献"</c:f>
              <c:strCache>
                <c:ptCount val="1"/>
                <c:pt idx="0">
                  <c:v>边际贡献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0498084291187739"/>
                  <c:y val="-0.176999438097022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>
                      <a:defRPr lang="zh-CN"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zh-CN"/>
                      <a:t>15.10%</a:t>
                    </a:r>
                    <a:endParaRPr lang="en-US" altLang="zh-CN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0593869731800766"/>
                  <c:y val="-0.272522944371605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>
                      <a:defRPr lang="zh-CN"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zh-CN"/>
                      <a:t>14.95%</a:t>
                    </a:r>
                    <a:endParaRPr lang="en-US" altLang="zh-CN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0459770114942529"/>
                  <c:y val="-0.115190110507586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>
                      <a:defRPr lang="zh-CN"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zh-CN"/>
                      <a:t>14.98%</a:t>
                    </a:r>
                    <a:endParaRPr lang="en-US" altLang="zh-CN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0613026819923372"/>
                  <c:y val="-0.12923768495973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>
                      <a:defRPr lang="zh-CN"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zh-CN"/>
                      <a:t>14.58%</a:t>
                    </a:r>
                    <a:endParaRPr lang="en-US" altLang="zh-CN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053639846743295"/>
                  <c:y val="-0.12923768495973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>
                      <a:defRPr lang="zh-CN"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zh-CN"/>
                      <a:t>12.53%</a:t>
                    </a:r>
                    <a:endParaRPr lang="en-US" altLang="zh-CN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0478927203065134"/>
                  <c:y val="-0.20790410189174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>
                      <a:defRPr lang="zh-CN"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zh-CN"/>
                      <a:t>12.92%</a:t>
                    </a:r>
                    <a:endParaRPr lang="en-US" altLang="zh-CN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053639846743295"/>
                  <c:y val="-0.224761191234314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>
                      <a:defRPr lang="zh-CN"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zh-CN"/>
                      <a:t>14.06%</a:t>
                    </a:r>
                    <a:endParaRPr lang="en-US" altLang="zh-CN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0.0574712643678161"/>
                  <c:y val="-0.250046825248174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>
                      <a:defRPr lang="zh-CN"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zh-CN"/>
                      <a:t>16.44%</a:t>
                    </a:r>
                    <a:endParaRPr lang="en-US" altLang="zh-CN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0.0555555555555556"/>
                  <c:y val="-0.219142161453456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>
                      <a:defRPr lang="zh-CN"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zh-CN"/>
                      <a:t>15.48%</a:t>
                    </a:r>
                    <a:endParaRPr lang="en-US" altLang="zh-CN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0.0613026819923372"/>
                  <c:y val="-0.123618655178872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>
                      <a:defRPr lang="zh-CN"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zh-CN"/>
                      <a:t>14.29%</a:t>
                    </a:r>
                    <a:endParaRPr lang="en-US" altLang="zh-CN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0.0632183908045977"/>
                  <c:y val="-0.10395205094587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>
                      <a:defRPr lang="zh-CN"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zh-CN"/>
                      <a:t>15.77%</a:t>
                    </a:r>
                    <a:endParaRPr lang="en-US" altLang="zh-CN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0.0593869731800766"/>
                  <c:y val="-0.0786664169320097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>
                      <a:defRPr lang="zh-CN"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zh-CN"/>
                      <a:t>16.29%</a:t>
                    </a:r>
                    <a:endParaRPr lang="en-US" altLang="zh-CN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⑮边际贡献分析!$B$4:$N$4</c:f>
              <c:strCache>
                <c:ptCount val="13"/>
                <c:pt idx="0">
                  <c:v>1月份</c:v>
                </c:pt>
                <c:pt idx="1">
                  <c:v>2月份</c:v>
                </c:pt>
                <c:pt idx="2">
                  <c:v>3月份</c:v>
                </c:pt>
                <c:pt idx="3">
                  <c:v>4月份</c:v>
                </c:pt>
                <c:pt idx="4">
                  <c:v>5月份</c:v>
                </c:pt>
                <c:pt idx="5">
                  <c:v>6月份</c:v>
                </c:pt>
                <c:pt idx="6">
                  <c:v>7月份</c:v>
                </c:pt>
                <c:pt idx="7">
                  <c:v>8月份</c:v>
                </c:pt>
                <c:pt idx="8">
                  <c:v>9月份</c:v>
                </c:pt>
                <c:pt idx="9">
                  <c:v>10月份</c:v>
                </c:pt>
                <c:pt idx="10">
                  <c:v>11月份</c:v>
                </c:pt>
                <c:pt idx="11">
                  <c:v>12月份</c:v>
                </c:pt>
                <c:pt idx="12">
                  <c:v>累计</c:v>
                </c:pt>
              </c:strCache>
            </c:strRef>
          </c:cat>
          <c:val>
            <c:numRef>
              <c:f>⑮边际贡献分析!$B$9:$M$9</c:f>
              <c:numCache>
                <c:formatCode>_ * #,##0.00_ ;_ * \-#,##0.00_ ;_ * "-"??_ ;_ @_ </c:formatCode>
                <c:ptCount val="12"/>
                <c:pt idx="0">
                  <c:v>426.80505875472</c:v>
                </c:pt>
                <c:pt idx="1">
                  <c:v>281.3175421517</c:v>
                </c:pt>
                <c:pt idx="2">
                  <c:v>466.10989690947</c:v>
                </c:pt>
                <c:pt idx="3">
                  <c:v>415.00531094467</c:v>
                </c:pt>
                <c:pt idx="4">
                  <c:v>335.18824532843</c:v>
                </c:pt>
                <c:pt idx="5">
                  <c:v>265.59601213866</c:v>
                </c:pt>
                <c:pt idx="6">
                  <c:v>282.93538372583</c:v>
                </c:pt>
                <c:pt idx="7">
                  <c:v>403.13490830576</c:v>
                </c:pt>
                <c:pt idx="8">
                  <c:v>391.04498073087</c:v>
                </c:pt>
                <c:pt idx="9">
                  <c:v>408.86001342475</c:v>
                </c:pt>
                <c:pt idx="10">
                  <c:v>528.49605063936</c:v>
                </c:pt>
                <c:pt idx="11">
                  <c:v>587.17177099384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69785244"/>
        <c:axId val="394370300"/>
      </c:lineChart>
      <c:catAx>
        <c:axId val="918461627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884375725"/>
        <c:crosses val="autoZero"/>
        <c:auto val="1"/>
        <c:lblAlgn val="ctr"/>
        <c:lblOffset val="100"/>
        <c:noMultiLvlLbl val="0"/>
      </c:catAx>
      <c:valAx>
        <c:axId val="88437572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_ " sourceLinked="1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18461627"/>
        <c:crosses val="autoZero"/>
        <c:crossBetween val="between"/>
      </c:valAx>
      <c:catAx>
        <c:axId val="697852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94370300"/>
        <c:crosses val="autoZero"/>
        <c:auto val="1"/>
        <c:lblAlgn val="ctr"/>
        <c:lblOffset val="100"/>
        <c:noMultiLvlLbl val="0"/>
      </c:catAx>
      <c:valAx>
        <c:axId val="394370300"/>
        <c:scaling>
          <c:orientation val="minMax"/>
        </c:scaling>
        <c:delete val="0"/>
        <c:axPos val="r"/>
        <c:numFmt formatCode="_(* #,##0.00_);_(* \(#,##0.0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69785244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ln>
                  <a:solidFill>
                    <a:schemeClr val="accent1"/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>
                <a:ln>
                  <a:solidFill>
                    <a:schemeClr val="accent1"/>
                  </a:solidFill>
                </a:ln>
              </a:rPr>
              <a:t>2020</a:t>
            </a:r>
            <a:r>
              <a:rPr altLang="en-US">
                <a:ln>
                  <a:solidFill>
                    <a:schemeClr val="accent1"/>
                  </a:solidFill>
                </a:ln>
              </a:rPr>
              <a:t>年预算边际贡献图</a:t>
            </a:r>
            <a:endParaRPr altLang="en-US">
              <a:ln>
                <a:solidFill>
                  <a:schemeClr val="accent1"/>
                </a:solidFill>
              </a:ln>
            </a:endParaRPr>
          </a:p>
        </c:rich>
      </c:tx>
      <c:layout>
        <c:manualLayout>
          <c:xMode val="edge"/>
          <c:yMode val="edge"/>
          <c:x val="0.262589522546419"/>
          <c:y val="0.00545157186988915"/>
        </c:manualLayout>
      </c:layout>
      <c:overlay val="0"/>
      <c:spPr>
        <a:noFill/>
        <a:ln>
          <a:noFill/>
        </a:ln>
        <a:effectLst>
          <a:glow rad="228600">
            <a:srgbClr val="FFFF00">
              <a:alpha val="40000"/>
            </a:srgbClr>
          </a:glow>
          <a:outerShdw blurRad="50800" dist="38100" dir="2700000" algn="tl" rotWithShape="0">
            <a:prstClr val="black">
              <a:alpha val="40000"/>
            </a:prstClr>
          </a:outerShdw>
        </a:effectLst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"销售收入"</c:f>
              <c:strCache>
                <c:ptCount val="1"/>
                <c:pt idx="0">
                  <c:v>销售收入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name>边际贡献</c:name>
            <c:trendlineType val="linear"/>
            <c:dispRSqr val="0"/>
            <c:dispEq val="0"/>
          </c:trendline>
          <c:cat>
            <c:strRef>
              <c:f>⑮边际贡献分析!$B$4:$N$4</c:f>
              <c:strCache>
                <c:ptCount val="13"/>
                <c:pt idx="0">
                  <c:v>1月份</c:v>
                </c:pt>
                <c:pt idx="1">
                  <c:v>2月份</c:v>
                </c:pt>
                <c:pt idx="2">
                  <c:v>3月份</c:v>
                </c:pt>
                <c:pt idx="3">
                  <c:v>4月份</c:v>
                </c:pt>
                <c:pt idx="4">
                  <c:v>5月份</c:v>
                </c:pt>
                <c:pt idx="5">
                  <c:v>6月份</c:v>
                </c:pt>
                <c:pt idx="6">
                  <c:v>7月份</c:v>
                </c:pt>
                <c:pt idx="7">
                  <c:v>8月份</c:v>
                </c:pt>
                <c:pt idx="8">
                  <c:v>9月份</c:v>
                </c:pt>
                <c:pt idx="9">
                  <c:v>10月份</c:v>
                </c:pt>
                <c:pt idx="10">
                  <c:v>11月份</c:v>
                </c:pt>
                <c:pt idx="11">
                  <c:v>12月份</c:v>
                </c:pt>
                <c:pt idx="12">
                  <c:v>累计</c:v>
                </c:pt>
              </c:strCache>
            </c:strRef>
          </c:cat>
          <c:val>
            <c:numRef>
              <c:f>⑮边际贡献分析!$B$6:$M$6</c:f>
              <c:numCache>
                <c:formatCode>#,##0.00_ </c:formatCode>
                <c:ptCount val="12"/>
                <c:pt idx="0">
                  <c:v>2529.92631280689</c:v>
                </c:pt>
                <c:pt idx="1">
                  <c:v>2378.21334811656</c:v>
                </c:pt>
                <c:pt idx="2">
                  <c:v>2378.09779726404</c:v>
                </c:pt>
                <c:pt idx="3">
                  <c:v>2434.71233659228</c:v>
                </c:pt>
                <c:pt idx="4">
                  <c:v>2434.45341700453</c:v>
                </c:pt>
                <c:pt idx="5">
                  <c:v>3362.11820197145</c:v>
                </c:pt>
                <c:pt idx="6">
                  <c:v>3470.12213282844</c:v>
                </c:pt>
                <c:pt idx="7">
                  <c:v>3590.7876581637</c:v>
                </c:pt>
                <c:pt idx="8">
                  <c:v>3682.50168783541</c:v>
                </c:pt>
                <c:pt idx="9">
                  <c:v>3653.77127025248</c:v>
                </c:pt>
                <c:pt idx="10">
                  <c:v>4397.89976725272</c:v>
                </c:pt>
                <c:pt idx="11">
                  <c:v>4258.04873669028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8461627"/>
        <c:axId val="884375725"/>
      </c:barChart>
      <c:lineChart>
        <c:grouping val="standard"/>
        <c:varyColors val="0"/>
        <c:ser>
          <c:idx val="1"/>
          <c:order val="1"/>
          <c:tx>
            <c:strRef>
              <c:f>"边际贡献"</c:f>
              <c:strCache>
                <c:ptCount val="1"/>
                <c:pt idx="0">
                  <c:v>边际贡献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0569002804706229"/>
                  <c:y val="-0.0759314412336578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>
                      <a:defRPr lang="zh-CN"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zh-CN"/>
                      <a:t>19.09%</a:t>
                    </a:r>
                    <a:endParaRPr lang="en-US" altLang="zh-CN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0623739919354839"/>
                  <c:y val="-0.323094212399326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>
                      <a:defRPr lang="zh-CN"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zh-CN"/>
                      <a:t>21.51%</a:t>
                    </a:r>
                    <a:endParaRPr lang="en-US" altLang="zh-CN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0645263148210456"/>
                  <c:y val="-0.0190340421851664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>
                      <a:defRPr lang="zh-CN"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zh-CN"/>
                      <a:t>18.37%</a:t>
                    </a:r>
                    <a:endParaRPr lang="en-US" altLang="zh-CN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0572280328678976"/>
                  <c:y val="-0.111413117747383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>
                      <a:defRPr lang="zh-CN"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zh-CN"/>
                      <a:t>19.31</a:t>
                    </a:r>
                    <a:endParaRPr lang="en-US" altLang="zh-CN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0624395424149388"/>
                  <c:y val="-0.217542121535846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>
                      <a:defRPr lang="zh-CN"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zh-CN"/>
                      <a:t>19.68%</a:t>
                    </a:r>
                    <a:endParaRPr lang="en-US" altLang="zh-CN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0662197843504227"/>
                  <c:y val="-0.338444180543181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>
                      <a:defRPr lang="zh-CN"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zh-CN"/>
                      <a:t>20.96%</a:t>
                    </a:r>
                    <a:endParaRPr lang="en-US" altLang="zh-CN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0703933291626362"/>
                  <c:y val="-0.364864750337783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>
                      <a:defRPr lang="zh-CN"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zh-CN"/>
                      <a:t>21.54%</a:t>
                    </a:r>
                    <a:endParaRPr lang="en-US" altLang="zh-CN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0.0619151385792993"/>
                  <c:y val="-0.29539573418574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>
                      <a:defRPr lang="zh-CN"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zh-CN"/>
                      <a:t>22.45%</a:t>
                    </a:r>
                    <a:endParaRPr lang="en-US" altLang="zh-CN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0.054813508064516"/>
                  <c:y val="-0.293743129162772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>
                      <a:defRPr lang="zh-CN"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zh-CN"/>
                      <a:t>21.68%</a:t>
                    </a:r>
                    <a:endParaRPr lang="en-US" altLang="zh-CN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0.062373991935484"/>
                  <c:y val="-0.332034320566925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>
                      <a:defRPr lang="zh-CN"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zh-CN"/>
                      <a:t>21.88%</a:t>
                    </a:r>
                    <a:endParaRPr lang="en-US" altLang="zh-CN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0.0565069775938933"/>
                  <c:y val="-0.178887934477123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>
                      <a:defRPr lang="zh-CN"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zh-CN"/>
                      <a:t>20.33%</a:t>
                    </a:r>
                    <a:endParaRPr lang="en-US" altLang="zh-CN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0.0725456520481979"/>
                  <c:y val="-0.20945484438355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>
                      <a:defRPr lang="zh-CN"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zh-CN"/>
                      <a:t>22.01%</a:t>
                    </a:r>
                    <a:endParaRPr lang="en-US" altLang="zh-CN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⑮边际贡献分析!$B$4:$N$4</c:f>
              <c:strCache>
                <c:ptCount val="13"/>
                <c:pt idx="0">
                  <c:v>1月份</c:v>
                </c:pt>
                <c:pt idx="1">
                  <c:v>2月份</c:v>
                </c:pt>
                <c:pt idx="2">
                  <c:v>3月份</c:v>
                </c:pt>
                <c:pt idx="3">
                  <c:v>4月份</c:v>
                </c:pt>
                <c:pt idx="4">
                  <c:v>5月份</c:v>
                </c:pt>
                <c:pt idx="5">
                  <c:v>6月份</c:v>
                </c:pt>
                <c:pt idx="6">
                  <c:v>7月份</c:v>
                </c:pt>
                <c:pt idx="7">
                  <c:v>8月份</c:v>
                </c:pt>
                <c:pt idx="8">
                  <c:v>9月份</c:v>
                </c:pt>
                <c:pt idx="9">
                  <c:v>10月份</c:v>
                </c:pt>
                <c:pt idx="10">
                  <c:v>11月份</c:v>
                </c:pt>
                <c:pt idx="11">
                  <c:v>12月份</c:v>
                </c:pt>
                <c:pt idx="12">
                  <c:v>累计</c:v>
                </c:pt>
              </c:strCache>
            </c:strRef>
          </c:cat>
          <c:val>
            <c:numRef>
              <c:f>⑮边际贡献分析!$B$9:$M$9</c:f>
              <c:numCache>
                <c:formatCode>_ * #,##0.00_ ;_ * \-#,##0.00_ ;_ * "-"??_ ;_ @_ </c:formatCode>
                <c:ptCount val="12"/>
                <c:pt idx="0">
                  <c:v>426.80505875472</c:v>
                </c:pt>
                <c:pt idx="1">
                  <c:v>281.3175421517</c:v>
                </c:pt>
                <c:pt idx="2">
                  <c:v>466.10989690947</c:v>
                </c:pt>
                <c:pt idx="3">
                  <c:v>415.00531094467</c:v>
                </c:pt>
                <c:pt idx="4">
                  <c:v>335.18824532843</c:v>
                </c:pt>
                <c:pt idx="5">
                  <c:v>265.59601213866</c:v>
                </c:pt>
                <c:pt idx="6">
                  <c:v>282.93538372583</c:v>
                </c:pt>
                <c:pt idx="7">
                  <c:v>403.13490830576</c:v>
                </c:pt>
                <c:pt idx="8">
                  <c:v>391.04498073087</c:v>
                </c:pt>
                <c:pt idx="9">
                  <c:v>408.86001342475</c:v>
                </c:pt>
                <c:pt idx="10">
                  <c:v>528.49605063936</c:v>
                </c:pt>
                <c:pt idx="11">
                  <c:v>587.17177099384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69785244"/>
        <c:axId val="394370300"/>
      </c:lineChart>
      <c:catAx>
        <c:axId val="918461627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884375725"/>
        <c:crossesAt val="0"/>
        <c:auto val="1"/>
        <c:lblAlgn val="ctr"/>
        <c:lblOffset val="100"/>
        <c:noMultiLvlLbl val="0"/>
      </c:catAx>
      <c:valAx>
        <c:axId val="884375725"/>
        <c:scaling>
          <c:orientation val="minMax"/>
          <c:max val="4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_ " sourceLinked="1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18461627"/>
        <c:crosses val="autoZero"/>
        <c:crossBetween val="between"/>
      </c:valAx>
      <c:catAx>
        <c:axId val="697852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94370300"/>
        <c:crosses val="autoZero"/>
        <c:auto val="1"/>
        <c:lblAlgn val="ctr"/>
        <c:lblOffset val="100"/>
        <c:noMultiLvlLbl val="0"/>
      </c:catAx>
      <c:valAx>
        <c:axId val="394370300"/>
        <c:scaling>
          <c:orientation val="minMax"/>
        </c:scaling>
        <c:delete val="0"/>
        <c:axPos val="r"/>
        <c:numFmt formatCode="_(* #,##0.00_);_(* \(#,##0.0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69785244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ln>
                  <a:solidFill>
                    <a:schemeClr val="accent1"/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>
                <a:ln>
                  <a:solidFill>
                    <a:schemeClr val="accent1"/>
                  </a:solidFill>
                </a:ln>
              </a:rPr>
              <a:t>2020</a:t>
            </a:r>
            <a:r>
              <a:rPr altLang="en-US">
                <a:ln>
                  <a:solidFill>
                    <a:schemeClr val="accent1"/>
                  </a:solidFill>
                </a:ln>
              </a:rPr>
              <a:t>年发货边际贡献图</a:t>
            </a:r>
            <a:endParaRPr altLang="en-US">
              <a:ln>
                <a:solidFill>
                  <a:schemeClr val="accent1"/>
                </a:solidFill>
              </a:ln>
            </a:endParaRPr>
          </a:p>
        </c:rich>
      </c:tx>
      <c:layout>
        <c:manualLayout>
          <c:xMode val="edge"/>
          <c:yMode val="edge"/>
          <c:x val="0.377974137931034"/>
          <c:y val="0.00696055684454756"/>
        </c:manualLayout>
      </c:layout>
      <c:overlay val="0"/>
      <c:spPr>
        <a:noFill/>
        <a:ln>
          <a:noFill/>
        </a:ln>
        <a:effectLst>
          <a:glow rad="228600">
            <a:srgbClr val="FFFF00">
              <a:alpha val="40000"/>
            </a:srgbClr>
          </a:glow>
          <a:outerShdw blurRad="50800" dist="38100" dir="2700000" algn="tl" rotWithShape="0">
            <a:prstClr val="black">
              <a:alpha val="40000"/>
            </a:prstClr>
          </a:outerShdw>
        </a:effectLst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"销售收入"</c:f>
              <c:strCache>
                <c:ptCount val="1"/>
                <c:pt idx="0">
                  <c:v>销售收入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layout/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>
                      <a:defRPr lang="zh-CN"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zh-CN"/>
                      <a:t>22.48%</a:t>
                    </a:r>
                    <a:endParaRPr lang="en-US" altLang="zh-CN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⑮边际贡献分析!$B$4:$N$4</c:f>
              <c:strCache>
                <c:ptCount val="13"/>
                <c:pt idx="0">
                  <c:v>1月份</c:v>
                </c:pt>
                <c:pt idx="1">
                  <c:v>2月份</c:v>
                </c:pt>
                <c:pt idx="2">
                  <c:v>3月份</c:v>
                </c:pt>
                <c:pt idx="3">
                  <c:v>4月份</c:v>
                </c:pt>
                <c:pt idx="4">
                  <c:v>5月份</c:v>
                </c:pt>
                <c:pt idx="5">
                  <c:v>6月份</c:v>
                </c:pt>
                <c:pt idx="6">
                  <c:v>7月份</c:v>
                </c:pt>
                <c:pt idx="7">
                  <c:v>8月份</c:v>
                </c:pt>
                <c:pt idx="8">
                  <c:v>9月份</c:v>
                </c:pt>
                <c:pt idx="9">
                  <c:v>10月份</c:v>
                </c:pt>
                <c:pt idx="10">
                  <c:v>11月份</c:v>
                </c:pt>
                <c:pt idx="11">
                  <c:v>12月份</c:v>
                </c:pt>
                <c:pt idx="12">
                  <c:v>累计</c:v>
                </c:pt>
              </c:strCache>
            </c:strRef>
          </c:cat>
          <c:val>
            <c:numRef>
              <c:f>⑮边际贡献分析!$B$7:$M$7</c:f>
              <c:numCache>
                <c:formatCode>_ * #,##0.00_ ;_ * \-#,##0.00_ ;_ * "-"??_ ;_ @_ </c:formatCode>
                <c:ptCount val="12"/>
                <c:pt idx="0">
                  <c:v>2256.32972890688</c:v>
                </c:pt>
                <c:pt idx="1">
                  <c:v>925.793384773363</c:v>
                </c:pt>
                <c:pt idx="2">
                  <c:v>2443.97824583814</c:v>
                </c:pt>
                <c:pt idx="3">
                  <c:v>3202.29327096207</c:v>
                </c:pt>
                <c:pt idx="4">
                  <c:v>3363.15787885179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18461627"/>
        <c:axId val="884375725"/>
      </c:barChart>
      <c:lineChart>
        <c:grouping val="standard"/>
        <c:varyColors val="0"/>
        <c:ser>
          <c:idx val="1"/>
          <c:order val="1"/>
          <c:tx>
            <c:strRef>
              <c:f>"边际贡献"</c:f>
              <c:strCache>
                <c:ptCount val="1"/>
                <c:pt idx="0">
                  <c:v>边际贡献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0434425043199471"/>
                  <c:y val="-0.110644451385395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>
                      <a:defRPr lang="zh-CN"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zh-CN"/>
                      <a:t>15.03%</a:t>
                    </a:r>
                    <a:endParaRPr lang="en-US" altLang="zh-CN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0407661446874596"/>
                  <c:y val="-0.14692032397815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>
                      <a:defRPr lang="zh-CN"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zh-CN"/>
                      <a:t>8.24%</a:t>
                    </a:r>
                    <a:endParaRPr lang="en-US" altLang="zh-CN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0670705322371268"/>
                  <c:y val="-0.0452127652354915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>
                      <a:defRPr lang="zh-CN"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zh-CN"/>
                      <a:t>17.41%</a:t>
                    </a:r>
                    <a:endParaRPr lang="en-US" altLang="zh-CN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0692340977931631"/>
                  <c:y val="0.03281079110463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>
                      <a:defRPr lang="zh-CN"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zh-CN"/>
                      <a:t>19.88%</a:t>
                    </a:r>
                    <a:endParaRPr lang="en-US" altLang="zh-CN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⑮边际贡献分析!$B$4:$N$4</c:f>
              <c:strCache>
                <c:ptCount val="13"/>
                <c:pt idx="0">
                  <c:v>1月份</c:v>
                </c:pt>
                <c:pt idx="1">
                  <c:v>2月份</c:v>
                </c:pt>
                <c:pt idx="2">
                  <c:v>3月份</c:v>
                </c:pt>
                <c:pt idx="3">
                  <c:v>4月份</c:v>
                </c:pt>
                <c:pt idx="4">
                  <c:v>5月份</c:v>
                </c:pt>
                <c:pt idx="5">
                  <c:v>6月份</c:v>
                </c:pt>
                <c:pt idx="6">
                  <c:v>7月份</c:v>
                </c:pt>
                <c:pt idx="7">
                  <c:v>8月份</c:v>
                </c:pt>
                <c:pt idx="8">
                  <c:v>9月份</c:v>
                </c:pt>
                <c:pt idx="9">
                  <c:v>10月份</c:v>
                </c:pt>
                <c:pt idx="10">
                  <c:v>11月份</c:v>
                </c:pt>
                <c:pt idx="11">
                  <c:v>12月份</c:v>
                </c:pt>
                <c:pt idx="12">
                  <c:v>累计</c:v>
                </c:pt>
              </c:strCache>
            </c:strRef>
          </c:cat>
          <c:val>
            <c:numRef>
              <c:f>⑮边际贡献分析!$B$11:$M$11</c:f>
              <c:numCache>
                <c:formatCode>_ * #,##0.00_ ;_ * \-#,##0.00_ ;_ * "-"??_ ;_ @_ </c:formatCode>
                <c:ptCount val="12"/>
                <c:pt idx="0">
                  <c:v>389.85234197769</c:v>
                </c:pt>
                <c:pt idx="1">
                  <c:v>91.544923762854</c:v>
                </c:pt>
                <c:pt idx="2">
                  <c:v>460.49492906547</c:v>
                </c:pt>
                <c:pt idx="3">
                  <c:v>636.40360275918</c:v>
                </c:pt>
                <c:pt idx="4">
                  <c:v>756.081073749329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69785244"/>
        <c:axId val="394370300"/>
      </c:lineChart>
      <c:catAx>
        <c:axId val="918461627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884375725"/>
        <c:crosses val="autoZero"/>
        <c:auto val="1"/>
        <c:lblAlgn val="ctr"/>
        <c:lblOffset val="100"/>
        <c:noMultiLvlLbl val="0"/>
      </c:catAx>
      <c:valAx>
        <c:axId val="884375725"/>
        <c:scaling>
          <c:orientation val="minMax"/>
          <c:max val="4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18461627"/>
        <c:crosses val="autoZero"/>
        <c:crossBetween val="between"/>
      </c:valAx>
      <c:catAx>
        <c:axId val="697852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94370300"/>
        <c:crosses val="autoZero"/>
        <c:auto val="1"/>
        <c:lblAlgn val="ctr"/>
        <c:lblOffset val="100"/>
        <c:noMultiLvlLbl val="0"/>
      </c:catAx>
      <c:valAx>
        <c:axId val="394370300"/>
        <c:scaling>
          <c:orientation val="minMax"/>
          <c:max val="700"/>
        </c:scaling>
        <c:delete val="0"/>
        <c:axPos val="r"/>
        <c:numFmt formatCode="_(* #,##0.00_);_(* \(#,##0.0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69785244"/>
        <c:crosses val="max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ln>
                  <a:solidFill>
                    <a:schemeClr val="accent1"/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>
                <a:ln>
                  <a:solidFill>
                    <a:schemeClr val="accent1"/>
                  </a:solidFill>
                </a:ln>
              </a:rPr>
              <a:t>2020</a:t>
            </a:r>
            <a:r>
              <a:rPr altLang="en-US">
                <a:ln>
                  <a:solidFill>
                    <a:schemeClr val="accent1"/>
                  </a:solidFill>
                </a:ln>
              </a:rPr>
              <a:t>年产值边际贡献图</a:t>
            </a:r>
            <a:endParaRPr altLang="en-US">
              <a:ln>
                <a:solidFill>
                  <a:schemeClr val="accent1"/>
                </a:solidFill>
              </a:ln>
            </a:endParaRPr>
          </a:p>
        </c:rich>
      </c:tx>
      <c:layout>
        <c:manualLayout>
          <c:xMode val="edge"/>
          <c:yMode val="edge"/>
          <c:x val="0.346908410906728"/>
          <c:y val="0.00566251415628539"/>
        </c:manualLayout>
      </c:layout>
      <c:overlay val="0"/>
      <c:spPr>
        <a:noFill/>
        <a:ln>
          <a:noFill/>
        </a:ln>
        <a:effectLst>
          <a:glow rad="228600">
            <a:srgbClr val="FFFF00">
              <a:alpha val="40000"/>
            </a:srgbClr>
          </a:glow>
          <a:outerShdw blurRad="50800" dist="38100" dir="2700000" algn="tl" rotWithShape="0">
            <a:prstClr val="black">
              <a:alpha val="40000"/>
            </a:prstClr>
          </a:outerShdw>
        </a:effectLst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"销售收入"</c:f>
              <c:strCache>
                <c:ptCount val="1"/>
                <c:pt idx="0">
                  <c:v>销售收入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layout>
                <c:manualLayout>
                  <c:x val="0.0271411338962606"/>
                  <c:y val="-0.0277572168763879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>
                      <a:defRPr lang="zh-CN"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zh-CN"/>
                      <a:t>29.47%</a:t>
                    </a:r>
                    <a:endParaRPr lang="en-US" altLang="zh-CN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⑮边际贡献分析!$B$4:$N$4</c:f>
              <c:strCache>
                <c:ptCount val="13"/>
                <c:pt idx="0">
                  <c:v>1月份</c:v>
                </c:pt>
                <c:pt idx="1">
                  <c:v>2月份</c:v>
                </c:pt>
                <c:pt idx="2">
                  <c:v>3月份</c:v>
                </c:pt>
                <c:pt idx="3">
                  <c:v>4月份</c:v>
                </c:pt>
                <c:pt idx="4">
                  <c:v>5月份</c:v>
                </c:pt>
                <c:pt idx="5">
                  <c:v>6月份</c:v>
                </c:pt>
                <c:pt idx="6">
                  <c:v>7月份</c:v>
                </c:pt>
                <c:pt idx="7">
                  <c:v>8月份</c:v>
                </c:pt>
                <c:pt idx="8">
                  <c:v>9月份</c:v>
                </c:pt>
                <c:pt idx="9">
                  <c:v>10月份</c:v>
                </c:pt>
                <c:pt idx="10">
                  <c:v>11月份</c:v>
                </c:pt>
                <c:pt idx="11">
                  <c:v>12月份</c:v>
                </c:pt>
                <c:pt idx="12">
                  <c:v>累计</c:v>
                </c:pt>
              </c:strCache>
            </c:strRef>
          </c:cat>
          <c:val>
            <c:numRef>
              <c:f>⑮边际贡献分析!$B$8:$M$8</c:f>
              <c:numCache>
                <c:formatCode>_ * #,##0.00_ ;_ * \-#,##0.00_ ;_ * "-"??_ ;_ @_ </c:formatCode>
                <c:ptCount val="12"/>
                <c:pt idx="0">
                  <c:v>2455.39989258284</c:v>
                </c:pt>
                <c:pt idx="1">
                  <c:v>1222.73926295326</c:v>
                </c:pt>
                <c:pt idx="2">
                  <c:v>2470.41958376978</c:v>
                </c:pt>
                <c:pt idx="3">
                  <c:v>3304.61248474028</c:v>
                </c:pt>
                <c:pt idx="4">
                  <c:v>3354.40856821342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18461627"/>
        <c:axId val="884375725"/>
      </c:barChart>
      <c:lineChart>
        <c:grouping val="standard"/>
        <c:varyColors val="0"/>
        <c:ser>
          <c:idx val="1"/>
          <c:order val="1"/>
          <c:tx>
            <c:strRef>
              <c:f>"边际贡献"</c:f>
              <c:strCache>
                <c:ptCount val="1"/>
                <c:pt idx="0">
                  <c:v>边际贡献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0594830459354737"/>
                  <c:y val="-0.0727056518808074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>
                      <a:defRPr lang="zh-CN"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zh-CN"/>
                      <a:t>14.96%</a:t>
                    </a:r>
                    <a:endParaRPr lang="en-US" altLang="zh-CN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0603665966713151"/>
                  <c:y val="-0.27767336135577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>
                      <a:defRPr lang="zh-CN"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zh-CN"/>
                      <a:t>15.16%</a:t>
                    </a:r>
                    <a:endParaRPr lang="en-US" altLang="zh-CN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0773533230891421"/>
                  <c:y val="-0.149979851093988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>
                      <a:defRPr lang="zh-CN"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zh-CN"/>
                      <a:t>15.51%</a:t>
                    </a:r>
                    <a:endParaRPr lang="en-US" altLang="zh-CN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>
                      <a:defRPr lang="zh-CN"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zh-CN"/>
                      <a:t>11.99%</a:t>
                    </a:r>
                    <a:endParaRPr lang="en-US" altLang="zh-CN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⑮边际贡献分析!$B$4:$N$4</c:f>
              <c:strCache>
                <c:ptCount val="13"/>
                <c:pt idx="0">
                  <c:v>1月份</c:v>
                </c:pt>
                <c:pt idx="1">
                  <c:v>2月份</c:v>
                </c:pt>
                <c:pt idx="2">
                  <c:v>3月份</c:v>
                </c:pt>
                <c:pt idx="3">
                  <c:v>4月份</c:v>
                </c:pt>
                <c:pt idx="4">
                  <c:v>5月份</c:v>
                </c:pt>
                <c:pt idx="5">
                  <c:v>6月份</c:v>
                </c:pt>
                <c:pt idx="6">
                  <c:v>7月份</c:v>
                </c:pt>
                <c:pt idx="7">
                  <c:v>8月份</c:v>
                </c:pt>
                <c:pt idx="8">
                  <c:v>9月份</c:v>
                </c:pt>
                <c:pt idx="9">
                  <c:v>10月份</c:v>
                </c:pt>
                <c:pt idx="10">
                  <c:v>11月份</c:v>
                </c:pt>
                <c:pt idx="11">
                  <c:v>12月份</c:v>
                </c:pt>
                <c:pt idx="12">
                  <c:v>累计</c:v>
                </c:pt>
              </c:strCache>
            </c:strRef>
          </c:cat>
          <c:val>
            <c:numRef>
              <c:f>⑮边际贡献分析!$B$12:$M$12</c:f>
              <c:numCache>
                <c:formatCode>_ * #,##0.00_ ;_ * \-#,##0.00_ ;_ * "-"??_ ;_ @_ </c:formatCode>
                <c:ptCount val="12"/>
                <c:pt idx="0">
                  <c:v>367.374157392843</c:v>
                </c:pt>
                <c:pt idx="1">
                  <c:v>185.314845833261</c:v>
                </c:pt>
                <c:pt idx="2">
                  <c:v>383.157678861702</c:v>
                </c:pt>
                <c:pt idx="3">
                  <c:v>973.83180274028</c:v>
                </c:pt>
                <c:pt idx="4">
                  <c:v>402.333236213419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69785244"/>
        <c:axId val="394370300"/>
      </c:lineChart>
      <c:catAx>
        <c:axId val="918461627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884375725"/>
        <c:crosses val="autoZero"/>
        <c:auto val="1"/>
        <c:lblAlgn val="ctr"/>
        <c:lblOffset val="100"/>
        <c:noMultiLvlLbl val="0"/>
      </c:catAx>
      <c:valAx>
        <c:axId val="884375725"/>
        <c:scaling>
          <c:orientation val="minMax"/>
          <c:max val="4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18461627"/>
        <c:crosses val="autoZero"/>
        <c:crossBetween val="between"/>
      </c:valAx>
      <c:catAx>
        <c:axId val="697852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94370300"/>
        <c:crosses val="autoZero"/>
        <c:auto val="1"/>
        <c:lblAlgn val="ctr"/>
        <c:lblOffset val="100"/>
        <c:noMultiLvlLbl val="0"/>
      </c:catAx>
      <c:valAx>
        <c:axId val="394370300"/>
        <c:scaling>
          <c:orientation val="minMax"/>
          <c:max val="700"/>
        </c:scaling>
        <c:delete val="0"/>
        <c:axPos val="r"/>
        <c:numFmt formatCode="General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69785244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chart" Target="../charts/chart4.xml"/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27</xdr:row>
      <xdr:rowOff>101600</xdr:rowOff>
    </xdr:from>
    <xdr:to>
      <xdr:col>5</xdr:col>
      <xdr:colOff>678180</xdr:colOff>
      <xdr:row>42</xdr:row>
      <xdr:rowOff>167640</xdr:rowOff>
    </xdr:to>
    <xdr:graphicFrame>
      <xdr:nvGraphicFramePr>
        <xdr:cNvPr id="2" name="图表 1"/>
        <xdr:cNvGraphicFramePr/>
      </xdr:nvGraphicFramePr>
      <xdr:xfrm>
        <a:off x="9525" y="6372225"/>
        <a:ext cx="4717415" cy="346900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104775</xdr:colOff>
      <xdr:row>27</xdr:row>
      <xdr:rowOff>113665</xdr:rowOff>
    </xdr:from>
    <xdr:to>
      <xdr:col>13</xdr:col>
      <xdr:colOff>174625</xdr:colOff>
      <xdr:row>42</xdr:row>
      <xdr:rowOff>207645</xdr:rowOff>
    </xdr:to>
    <xdr:graphicFrame>
      <xdr:nvGraphicFramePr>
        <xdr:cNvPr id="3" name="图表 2"/>
        <xdr:cNvGraphicFramePr/>
      </xdr:nvGraphicFramePr>
      <xdr:xfrm>
        <a:off x="4839335" y="6384290"/>
        <a:ext cx="4870450" cy="349694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228600</xdr:colOff>
      <xdr:row>27</xdr:row>
      <xdr:rowOff>76835</xdr:rowOff>
    </xdr:from>
    <xdr:to>
      <xdr:col>19</xdr:col>
      <xdr:colOff>30480</xdr:colOff>
      <xdr:row>42</xdr:row>
      <xdr:rowOff>160020</xdr:rowOff>
    </xdr:to>
    <xdr:graphicFrame>
      <xdr:nvGraphicFramePr>
        <xdr:cNvPr id="4" name="图表 3"/>
        <xdr:cNvGraphicFramePr/>
      </xdr:nvGraphicFramePr>
      <xdr:xfrm>
        <a:off x="9763760" y="6347460"/>
        <a:ext cx="4404360" cy="34861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28</xdr:row>
      <xdr:rowOff>66675</xdr:rowOff>
    </xdr:from>
    <xdr:to>
      <xdr:col>0</xdr:col>
      <xdr:colOff>761365</xdr:colOff>
      <xdr:row>29</xdr:row>
      <xdr:rowOff>67310</xdr:rowOff>
    </xdr:to>
    <xdr:sp>
      <xdr:nvSpPr>
        <xdr:cNvPr id="5" name="文本框 4"/>
        <xdr:cNvSpPr txBox="1"/>
      </xdr:nvSpPr>
      <xdr:spPr>
        <a:xfrm>
          <a:off x="38100" y="6546850"/>
          <a:ext cx="723265" cy="2101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900">
              <a:latin typeface="+mn-ea"/>
            </a:rPr>
            <a:t>销售收入</a:t>
          </a:r>
          <a:endParaRPr lang="zh-CN" altLang="en-US" sz="900">
            <a:latin typeface="+mn-ea"/>
          </a:endParaRPr>
        </a:p>
      </xdr:txBody>
    </xdr:sp>
    <xdr:clientData/>
  </xdr:twoCellAnchor>
  <xdr:twoCellAnchor>
    <xdr:from>
      <xdr:col>6</xdr:col>
      <xdr:colOff>142875</xdr:colOff>
      <xdr:row>28</xdr:row>
      <xdr:rowOff>66675</xdr:rowOff>
    </xdr:from>
    <xdr:to>
      <xdr:col>7</xdr:col>
      <xdr:colOff>104775</xdr:colOff>
      <xdr:row>29</xdr:row>
      <xdr:rowOff>38735</xdr:rowOff>
    </xdr:to>
    <xdr:sp>
      <xdr:nvSpPr>
        <xdr:cNvPr id="6" name="文本框 5"/>
        <xdr:cNvSpPr txBox="1"/>
      </xdr:nvSpPr>
      <xdr:spPr>
        <a:xfrm>
          <a:off x="4877435" y="6546850"/>
          <a:ext cx="647700" cy="1816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900">
              <a:latin typeface="+mn-ea"/>
            </a:rPr>
            <a:t>销售收入</a:t>
          </a:r>
          <a:endParaRPr lang="zh-CN" altLang="en-US" sz="900">
            <a:latin typeface="+mn-ea"/>
          </a:endParaRPr>
        </a:p>
      </xdr:txBody>
    </xdr:sp>
    <xdr:clientData/>
  </xdr:twoCellAnchor>
  <xdr:twoCellAnchor>
    <xdr:from>
      <xdr:col>12</xdr:col>
      <xdr:colOff>266700</xdr:colOff>
      <xdr:row>28</xdr:row>
      <xdr:rowOff>47625</xdr:rowOff>
    </xdr:from>
    <xdr:to>
      <xdr:col>13</xdr:col>
      <xdr:colOff>276225</xdr:colOff>
      <xdr:row>29</xdr:row>
      <xdr:rowOff>47625</xdr:rowOff>
    </xdr:to>
    <xdr:sp>
      <xdr:nvSpPr>
        <xdr:cNvPr id="7" name="文本框 6"/>
        <xdr:cNvSpPr txBox="1"/>
      </xdr:nvSpPr>
      <xdr:spPr>
        <a:xfrm>
          <a:off x="9116060" y="6527800"/>
          <a:ext cx="695325" cy="209550"/>
        </a:xfrm>
        <a:prstGeom prst="rect">
          <a:avLst/>
        </a:prstGeom>
      </xdr:spPr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900"/>
            <a:t>边际贡献</a:t>
          </a:r>
          <a:endParaRPr lang="zh-CN" altLang="en-US" sz="900"/>
        </a:p>
      </xdr:txBody>
    </xdr:sp>
    <xdr:clientData/>
  </xdr:twoCellAnchor>
  <xdr:twoCellAnchor>
    <xdr:from>
      <xdr:col>13</xdr:col>
      <xdr:colOff>276225</xdr:colOff>
      <xdr:row>28</xdr:row>
      <xdr:rowOff>47625</xdr:rowOff>
    </xdr:from>
    <xdr:to>
      <xdr:col>14</xdr:col>
      <xdr:colOff>247015</xdr:colOff>
      <xdr:row>29</xdr:row>
      <xdr:rowOff>38735</xdr:rowOff>
    </xdr:to>
    <xdr:sp>
      <xdr:nvSpPr>
        <xdr:cNvPr id="8" name="文本框 7"/>
        <xdr:cNvSpPr txBox="1"/>
      </xdr:nvSpPr>
      <xdr:spPr>
        <a:xfrm>
          <a:off x="9811385" y="6527800"/>
          <a:ext cx="723900" cy="2006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900">
              <a:latin typeface="+mn-ea"/>
            </a:rPr>
            <a:t>销售收入</a:t>
          </a:r>
          <a:endParaRPr lang="zh-CN" altLang="en-US" sz="900">
            <a:latin typeface="+mn-ea"/>
          </a:endParaRPr>
        </a:p>
      </xdr:txBody>
    </xdr:sp>
    <xdr:clientData/>
  </xdr:twoCellAnchor>
  <xdr:twoCellAnchor>
    <xdr:from>
      <xdr:col>18</xdr:col>
      <xdr:colOff>28575</xdr:colOff>
      <xdr:row>28</xdr:row>
      <xdr:rowOff>38100</xdr:rowOff>
    </xdr:from>
    <xdr:to>
      <xdr:col>19</xdr:col>
      <xdr:colOff>38100</xdr:colOff>
      <xdr:row>29</xdr:row>
      <xdr:rowOff>38100</xdr:rowOff>
    </xdr:to>
    <xdr:sp>
      <xdr:nvSpPr>
        <xdr:cNvPr id="9" name="文本框 8"/>
        <xdr:cNvSpPr txBox="1"/>
      </xdr:nvSpPr>
      <xdr:spPr>
        <a:xfrm>
          <a:off x="13480415" y="6518275"/>
          <a:ext cx="695325" cy="209550"/>
        </a:xfrm>
        <a:prstGeom prst="rect">
          <a:avLst/>
        </a:prstGeom>
      </xdr:spPr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900"/>
            <a:t>边际贡献</a:t>
          </a:r>
          <a:endParaRPr lang="zh-CN" altLang="en-US" sz="900"/>
        </a:p>
      </xdr:txBody>
    </xdr:sp>
    <xdr:clientData/>
  </xdr:twoCellAnchor>
  <xdr:twoCellAnchor>
    <xdr:from>
      <xdr:col>19</xdr:col>
      <xdr:colOff>101600</xdr:colOff>
      <xdr:row>27</xdr:row>
      <xdr:rowOff>129540</xdr:rowOff>
    </xdr:from>
    <xdr:to>
      <xdr:col>24</xdr:col>
      <xdr:colOff>102870</xdr:colOff>
      <xdr:row>42</xdr:row>
      <xdr:rowOff>160655</xdr:rowOff>
    </xdr:to>
    <xdr:graphicFrame>
      <xdr:nvGraphicFramePr>
        <xdr:cNvPr id="10" name="图表 9"/>
        <xdr:cNvGraphicFramePr/>
      </xdr:nvGraphicFramePr>
      <xdr:xfrm>
        <a:off x="14239240" y="6400165"/>
        <a:ext cx="4432300" cy="3434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161925</xdr:colOff>
      <xdr:row>28</xdr:row>
      <xdr:rowOff>77470</xdr:rowOff>
    </xdr:from>
    <xdr:to>
      <xdr:col>20</xdr:col>
      <xdr:colOff>199390</xdr:colOff>
      <xdr:row>29</xdr:row>
      <xdr:rowOff>68580</xdr:rowOff>
    </xdr:to>
    <xdr:sp>
      <xdr:nvSpPr>
        <xdr:cNvPr id="11" name="文本框 10"/>
        <xdr:cNvSpPr txBox="1"/>
      </xdr:nvSpPr>
      <xdr:spPr>
        <a:xfrm>
          <a:off x="14299565" y="6557645"/>
          <a:ext cx="723265" cy="2006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900">
              <a:latin typeface="+mn-ea"/>
            </a:rPr>
            <a:t>销售收入</a:t>
          </a:r>
          <a:endParaRPr lang="zh-CN" altLang="en-US" sz="900">
            <a:latin typeface="+mn-ea"/>
          </a:endParaRPr>
        </a:p>
      </xdr:txBody>
    </xdr:sp>
    <xdr:clientData/>
  </xdr:twoCellAnchor>
  <xdr:twoCellAnchor>
    <xdr:from>
      <xdr:col>23</xdr:col>
      <xdr:colOff>449580</xdr:colOff>
      <xdr:row>28</xdr:row>
      <xdr:rowOff>88265</xdr:rowOff>
    </xdr:from>
    <xdr:to>
      <xdr:col>24</xdr:col>
      <xdr:colOff>68580</xdr:colOff>
      <xdr:row>29</xdr:row>
      <xdr:rowOff>88265</xdr:rowOff>
    </xdr:to>
    <xdr:sp>
      <xdr:nvSpPr>
        <xdr:cNvPr id="12" name="文本框 11"/>
        <xdr:cNvSpPr txBox="1"/>
      </xdr:nvSpPr>
      <xdr:spPr>
        <a:xfrm>
          <a:off x="17941290" y="6568440"/>
          <a:ext cx="695960" cy="209550"/>
        </a:xfrm>
        <a:prstGeom prst="rect">
          <a:avLst/>
        </a:prstGeom>
      </xdr:spPr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900"/>
            <a:t>边际贡献</a:t>
          </a:r>
          <a:endParaRPr lang="zh-CN" altLang="en-US" sz="900"/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0.85032</cdr:x>
      <cdr:y>0.01498</cdr:y>
    </cdr:from>
    <cdr:to>
      <cdr:x>0.98633</cdr:x>
      <cdr:y>0.11613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27830" y="50800"/>
          <a:ext cx="676275" cy="342900"/>
        </a:xfrm>
        <a:prstGeom xmlns:a="http://schemas.openxmlformats.org/drawingml/2006/main" prst="rect">
          <a:avLst/>
        </a:prstGeom>
      </cdr:spPr>
      <cdr:txBody xmlns:a="http://schemas.openxmlformats.org/drawingml/2006/main">
        <a:bodyPr vertOverflow="clip" horzOverflow="clip" wrap="square" rtlCol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cdr:txBody>
    </cdr:sp>
  </cdr:relSizeAnchor>
  <cdr:relSizeAnchor xmlns:cdr="http://schemas.openxmlformats.org/drawingml/2006/chartDrawing">
    <cdr:from>
      <cdr:x>0.86015</cdr:x>
      <cdr:y>0.05713</cdr:y>
    </cdr:from>
    <cdr:to>
      <cdr:x>1</cdr:x>
      <cdr:y>0.11894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4276725" y="193675"/>
          <a:ext cx="695325" cy="209550"/>
        </a:xfrm>
        <a:prstGeom xmlns:a="http://schemas.openxmlformats.org/drawingml/2006/main" prst="rect">
          <a:avLst/>
        </a:prstGeom>
      </cdr:spPr>
      <cdr:txBody xmlns:a="http://schemas.openxmlformats.org/drawingml/2006/main">
        <a:bodyPr vertOverflow="clip" horzOverflow="clip" wrap="square" rtlCol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zh-CN" altLang="en-US" sz="900"/>
            <a:t>边际贡献</a:t>
          </a:r>
          <a:endParaRPr lang="zh-CN" altLang="en-US" sz="9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0.35585</cdr:x>
      <cdr:y>0.18708</cdr:y>
    </cdr:from>
    <cdr:to>
      <cdr:x>0.42144</cdr:x>
      <cdr:y>0.24815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1498600" y="641985"/>
          <a:ext cx="276225" cy="209550"/>
        </a:xfrm>
        <a:prstGeom xmlns:a="http://schemas.openxmlformats.org/drawingml/2006/main" prst="rect">
          <a:avLst/>
        </a:prstGeom>
      </cdr:spPr>
      <cdr:txBody xmlns:a="http://schemas.openxmlformats.org/drawingml/2006/main">
        <a:bodyPr vertOverflow="clip" horzOverflow="clip" wrap="square" rtlCol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0.109\&#20849;&#20139;&#30424;\&#20849;&#20139;&#30424;\&#20849;&#20139;&#30424;\&#20849;&#20139;&#30424;\Users\Administrator\Desktop\&#9733;5&#26376;&#32463;&#33829;&#23454;&#38469;-&#36130;&#21153;&#3709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0.109\&#20849;&#20139;&#30424;\&#20849;&#20139;&#30424;\&#20849;&#20139;&#30424;\&#20849;&#20139;&#30424;\Users\Administrator\Desktop\2019.6&#23384;&#3613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0.109\&#20849;&#20139;&#30424;\&#20849;&#20139;&#30424;\&#20849;&#20139;&#30424;\&#20849;&#20139;&#30424;\&#39044;&#31639;\2019&#24180;&#39044;&#31639;\2019&#24180;&#27827;&#21271;&#39044;&#31639;&#65288;&#23450;&#31295;&#65289;\&#37096;&#38376;V0.1\&#39044;&#31639;A&#34920;&#27719;&#24635;V2.01&#65288;&#25253;&#26472;&#24635;&#65289;2-1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总表"/>
      <sheetName val="①销售成本分析"/>
      <sheetName val="②销售费用分析"/>
      <sheetName val="③管理费用分析"/>
      <sheetName val="④财务费用分析"/>
      <sheetName val="⑤税前利润分析"/>
      <sheetName val="⑥投入产出比分析"/>
      <sheetName val="⑦净资产收益率"/>
      <sheetName val="⑧存货账实相符率指标"/>
      <sheetName val="⑨人力成本分析"/>
      <sheetName val="⑩预算达成"/>
      <sheetName val="⑪运费占比分析"/>
      <sheetName val="⑫间接人员占比分析"/>
      <sheetName val="⑬应收账款明细"/>
      <sheetName val="⑭应付账款明细"/>
      <sheetName val="⑮边际贡献分析"/>
      <sheetName val="盈亏平衡点分析"/>
      <sheetName val="Sheet1"/>
      <sheetName val="Sheet2"/>
    </sheetNames>
    <sheetDataSet>
      <sheetData sheetId="0"/>
      <sheetData sheetId="1">
        <row r="21">
          <cell r="G21">
            <v>2256.32972890689</v>
          </cell>
          <cell r="H21">
            <v>925.793384773363</v>
          </cell>
          <cell r="I21">
            <v>2443.97824583814</v>
          </cell>
          <cell r="J21">
            <v>3202.29327096207</v>
          </cell>
        </row>
        <row r="32">
          <cell r="G32">
            <v>114.228638433504</v>
          </cell>
          <cell r="H32">
            <v>-180.83530603156</v>
          </cell>
          <cell r="I32">
            <v>180.006234133556</v>
          </cell>
          <cell r="J32">
            <v>363.54488848342</v>
          </cell>
        </row>
        <row r="32"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</row>
        <row r="102">
          <cell r="B102">
            <v>2256.32972890688</v>
          </cell>
          <cell r="C102">
            <v>925.793384773363</v>
          </cell>
          <cell r="D102">
            <v>2443.97824583814</v>
          </cell>
          <cell r="E102">
            <v>3202.29327096207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</sheetData>
      <sheetData sheetId="2"/>
      <sheetData sheetId="3"/>
      <sheetData sheetId="4"/>
      <sheetData sheetId="5"/>
      <sheetData sheetId="6"/>
      <sheetData sheetId="7">
        <row r="74">
          <cell r="K74">
            <v>2470.41958376978</v>
          </cell>
        </row>
        <row r="77">
          <cell r="K77">
            <v>3304.61248474028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即时库存"/>
      <sheetName val="厂外金额差异对比"/>
      <sheetName val="厂外金额"/>
      <sheetName val="厂内"/>
      <sheetName val="备品备件"/>
      <sheetName val="外协暂存"/>
      <sheetName val="存货汇总"/>
      <sheetName val="【损益表】"/>
      <sheetName val="1.损益表"/>
      <sheetName val="销售收入分析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【目录】"/>
      <sheetName val="【损益表】"/>
      <sheetName val="【主表A1】费用性支出（通用模板）"/>
      <sheetName val="【主表A2】资本性支出（通用模板）"/>
      <sheetName val="【主表A3】职工薪酬预算汇总"/>
      <sheetName val="【主表A4】定员定编"/>
      <sheetName val="【主表A5】主营业务收入"/>
      <sheetName val="【主表A5-1】销售数量"/>
      <sheetName val="【主表A6】其他业务收入"/>
      <sheetName val="【附表A1】业务招待费"/>
      <sheetName val="【附表A2】车辆相关费用"/>
      <sheetName val="【附表A3】办公费（汇总）"/>
      <sheetName val="【附表A3-1】办公费（办公用品）"/>
      <sheetName val="【附表A3-2】办公费（其他）"/>
      <sheetName val="【附表A4】差旅费"/>
      <sheetName val="【附表A5】通讯费"/>
      <sheetName val="【附表A6】会议费"/>
      <sheetName val="【附表7】广宣费"/>
      <sheetName val="【附表A8】三包费"/>
      <sheetName val="【附表A9】仓储费"/>
      <sheetName val="【附表10】运费"/>
      <sheetName val="【附表A11】租赁费"/>
      <sheetName val="【附表A12】物料消耗"/>
      <sheetName val="低值易耗"/>
      <sheetName val="【附表A13】能源消耗"/>
      <sheetName val="【附表A14】工装模具检具维修费"/>
      <sheetName val="【附表A15】修理费"/>
      <sheetName val="【附表A16】劳动保护费"/>
      <sheetName val="【附表A17】快递费"/>
      <sheetName val="【附表A18】财务费用"/>
      <sheetName val="Sheet1"/>
      <sheetName val="1.损益表"/>
      <sheetName val="3.营运能力指标"/>
      <sheetName val="3.盈利能力指标"/>
      <sheetName val="2.收入附加值分析-按工艺类别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6">
            <a:lumMod val="40000"/>
            <a:lumOff val="60000"/>
          </a:schemeClr>
        </a:solidFill>
        <a:ln>
          <a:solidFill>
            <a:schemeClr val="accent6">
              <a:lumMod val="75000"/>
            </a:schemeClr>
          </a:solidFill>
        </a:ln>
      </a:spPr>
      <a:bodyPr rtlCol="0" anchor="ctr"/>
      <a:lstStyle>
        <a:defPPr marL="0" marR="0" indent="0" algn="ctr" defTabSz="914400" eaLnBrk="1" fontAlgn="auto" latinLnBrk="0" hangingPunct="1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sz="1100" b="1">
            <a:solidFill>
              <a:schemeClr val="tx1"/>
            </a:solidFill>
            <a:latin typeface="+mn-lt"/>
            <a:ea typeface="+mn-ea"/>
            <a:cs typeface="+mn-cs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2" tint="-0.749992370372631"/>
  </sheetPr>
  <dimension ref="A1:BB120"/>
  <sheetViews>
    <sheetView workbookViewId="0">
      <selection activeCell="B24" sqref="B24:L24"/>
    </sheetView>
  </sheetViews>
  <sheetFormatPr defaultColWidth="9" defaultRowHeight="13.5"/>
  <cols>
    <col min="1" max="1" width="16" customWidth="1"/>
    <col min="2" max="2" width="10.1333333333333" customWidth="1"/>
    <col min="14" max="14" width="9.88333333333333"/>
    <col min="15" max="15" width="12.3833333333333" customWidth="1"/>
    <col min="16" max="16" width="11.3833333333333" customWidth="1"/>
    <col min="17" max="17" width="8.75" customWidth="1"/>
    <col min="22" max="22" width="11.8833333333333" customWidth="1"/>
    <col min="23" max="24" width="14.1333333333333"/>
    <col min="25" max="25" width="14.1333333333333" customWidth="1"/>
    <col min="26" max="26" width="14.1333333333333" style="176" hidden="1" customWidth="1"/>
    <col min="27" max="29" width="10.1333333333333" style="176" hidden="1" customWidth="1"/>
    <col min="30" max="30" width="9" style="176" hidden="1" customWidth="1"/>
    <col min="31" max="54" width="9" style="176"/>
  </cols>
  <sheetData>
    <row r="1" s="31" customFormat="1" ht="29.1" customHeight="1" spans="1:54">
      <c r="A1" s="177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205"/>
      <c r="O1" s="175"/>
      <c r="P1" s="206" t="s">
        <v>1</v>
      </c>
      <c r="Q1" s="206"/>
      <c r="R1" s="206"/>
      <c r="S1" s="206"/>
      <c r="T1" s="206"/>
      <c r="U1" s="206"/>
      <c r="V1" s="229"/>
      <c r="W1" s="175"/>
      <c r="X1" s="175"/>
      <c r="Y1" s="175"/>
      <c r="Z1" s="175"/>
      <c r="AA1" s="175"/>
      <c r="AB1" s="175"/>
      <c r="AC1" s="175"/>
      <c r="AD1" s="175"/>
      <c r="AE1" s="175"/>
      <c r="AF1" s="175"/>
      <c r="AG1" s="175"/>
      <c r="AH1" s="175"/>
      <c r="AI1" s="175"/>
      <c r="AJ1" s="175"/>
      <c r="AK1" s="175"/>
      <c r="AL1" s="175"/>
      <c r="AM1" s="175"/>
      <c r="AN1" s="175"/>
      <c r="AO1" s="175"/>
      <c r="AP1" s="175"/>
      <c r="AQ1" s="175"/>
      <c r="AR1" s="175"/>
      <c r="AS1" s="175"/>
      <c r="AT1" s="175"/>
      <c r="AU1" s="175"/>
      <c r="AV1" s="175"/>
      <c r="AW1" s="175"/>
      <c r="AX1" s="175"/>
      <c r="AY1" s="175"/>
      <c r="AZ1" s="175"/>
      <c r="BA1" s="175"/>
      <c r="BB1" s="175"/>
    </row>
    <row r="2" s="31" customFormat="1" ht="9" customHeight="1" spans="1:54">
      <c r="A2" s="179" t="s">
        <v>2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207"/>
      <c r="N2" s="208" t="s">
        <v>3</v>
      </c>
      <c r="O2" s="175"/>
      <c r="P2" s="209" t="s">
        <v>4</v>
      </c>
      <c r="Q2" s="230"/>
      <c r="R2" s="231" t="s">
        <v>5</v>
      </c>
      <c r="S2" s="232"/>
      <c r="T2" s="233" t="s">
        <v>6</v>
      </c>
      <c r="U2" s="234"/>
      <c r="V2" s="224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5"/>
      <c r="AQ2" s="175"/>
      <c r="AR2" s="175"/>
      <c r="AS2" s="175"/>
      <c r="AT2" s="175"/>
      <c r="AU2" s="175"/>
      <c r="AV2" s="175"/>
      <c r="AW2" s="175"/>
      <c r="AX2" s="175"/>
      <c r="AY2" s="175"/>
      <c r="AZ2" s="175"/>
      <c r="BA2" s="175"/>
      <c r="BB2" s="175"/>
    </row>
    <row r="3" s="31" customFormat="1" ht="9" customHeight="1" spans="1:54">
      <c r="A3" s="181"/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210"/>
      <c r="N3" s="208"/>
      <c r="O3" s="175"/>
      <c r="P3" s="211"/>
      <c r="Q3" s="235"/>
      <c r="R3" s="236"/>
      <c r="S3" s="237"/>
      <c r="T3" s="236"/>
      <c r="U3" s="238"/>
      <c r="V3" s="224"/>
      <c r="W3" s="239"/>
      <c r="X3" s="175"/>
      <c r="Z3" s="175"/>
      <c r="AA3" s="175"/>
      <c r="AB3" s="175"/>
      <c r="AC3" s="175"/>
      <c r="AD3" s="175"/>
      <c r="AE3" s="175"/>
      <c r="AF3" s="175"/>
      <c r="AG3" s="175"/>
      <c r="AH3" s="175"/>
      <c r="AI3" s="175"/>
      <c r="AJ3" s="175"/>
      <c r="AK3" s="175"/>
      <c r="AL3" s="175"/>
      <c r="AM3" s="175"/>
      <c r="AN3" s="175"/>
      <c r="AO3" s="175"/>
      <c r="AP3" s="175"/>
      <c r="AQ3" s="175"/>
      <c r="AR3" s="175"/>
      <c r="AS3" s="175"/>
      <c r="AT3" s="175"/>
      <c r="AU3" s="175"/>
      <c r="AV3" s="175"/>
      <c r="AW3" s="175"/>
      <c r="AX3" s="175"/>
      <c r="AY3" s="175"/>
      <c r="AZ3" s="175"/>
      <c r="BA3" s="175"/>
      <c r="BB3" s="175"/>
    </row>
    <row r="4" s="31" customFormat="1" ht="16.5" spans="1:54">
      <c r="A4" s="183" t="s">
        <v>7</v>
      </c>
      <c r="B4" s="184" t="s">
        <v>8</v>
      </c>
      <c r="C4" s="184" t="s">
        <v>9</v>
      </c>
      <c r="D4" s="184" t="s">
        <v>10</v>
      </c>
      <c r="E4" s="184" t="s">
        <v>11</v>
      </c>
      <c r="F4" s="184" t="s">
        <v>12</v>
      </c>
      <c r="G4" s="184" t="s">
        <v>13</v>
      </c>
      <c r="H4" s="184" t="s">
        <v>14</v>
      </c>
      <c r="I4" s="184" t="s">
        <v>15</v>
      </c>
      <c r="J4" s="184" t="s">
        <v>16</v>
      </c>
      <c r="K4" s="184" t="s">
        <v>17</v>
      </c>
      <c r="L4" s="184" t="s">
        <v>18</v>
      </c>
      <c r="M4" s="184" t="s">
        <v>19</v>
      </c>
      <c r="N4" s="212" t="s">
        <v>20</v>
      </c>
      <c r="O4" s="175"/>
      <c r="P4" s="211"/>
      <c r="Q4" s="235"/>
      <c r="R4" s="240"/>
      <c r="S4" s="241"/>
      <c r="T4" s="240"/>
      <c r="U4" s="242"/>
      <c r="V4" s="224"/>
      <c r="W4" s="239"/>
      <c r="X4" s="175"/>
      <c r="Y4" s="175"/>
      <c r="Z4" s="175"/>
      <c r="AA4" s="175"/>
      <c r="AB4" s="175"/>
      <c r="AC4" s="175"/>
      <c r="AD4" s="175"/>
      <c r="AE4" s="175"/>
      <c r="AF4" s="175"/>
      <c r="AG4" s="175"/>
      <c r="AH4" s="175"/>
      <c r="AI4" s="175"/>
      <c r="AJ4" s="175"/>
      <c r="AK4" s="175"/>
      <c r="AL4" s="175"/>
      <c r="AM4" s="175"/>
      <c r="AN4" s="175"/>
      <c r="AO4" s="175"/>
      <c r="AP4" s="175"/>
      <c r="AQ4" s="175"/>
      <c r="AR4" s="175"/>
      <c r="AS4" s="175"/>
      <c r="AT4" s="175"/>
      <c r="AU4" s="175"/>
      <c r="AV4" s="175"/>
      <c r="AW4" s="175"/>
      <c r="AX4" s="175"/>
      <c r="AY4" s="175"/>
      <c r="AZ4" s="175"/>
      <c r="BA4" s="175"/>
      <c r="BB4" s="175"/>
    </row>
    <row r="5" s="31" customFormat="1" ht="16.5" spans="1:54">
      <c r="A5" s="185" t="s">
        <v>21</v>
      </c>
      <c r="B5" s="186">
        <v>2825.86568998707</v>
      </c>
      <c r="C5" s="187">
        <v>1881.14954429622</v>
      </c>
      <c r="D5" s="187">
        <v>3110.68815188908</v>
      </c>
      <c r="E5" s="187">
        <v>2847.26780177151</v>
      </c>
      <c r="F5" s="187">
        <v>2675.44502956843</v>
      </c>
      <c r="G5" s="187">
        <v>2055.24065277627</v>
      </c>
      <c r="H5" s="187">
        <v>2012.75341306024</v>
      </c>
      <c r="I5" s="187">
        <v>2452.88292601386</v>
      </c>
      <c r="J5" s="187">
        <v>2526.09291961495</v>
      </c>
      <c r="K5" s="187">
        <v>2860.54154393783</v>
      </c>
      <c r="L5" s="187">
        <v>3351.04742399836</v>
      </c>
      <c r="M5" s="187">
        <v>3604.79728254796</v>
      </c>
      <c r="N5" s="213">
        <f t="shared" ref="N5:N11" si="0">SUM(B5:M5)</f>
        <v>32203.7723794618</v>
      </c>
      <c r="O5" s="175"/>
      <c r="P5" s="214" t="s">
        <v>22</v>
      </c>
      <c r="Q5" s="243"/>
      <c r="R5" s="244">
        <v>0.06</v>
      </c>
      <c r="S5" s="235"/>
      <c r="T5" s="235">
        <v>316.12</v>
      </c>
      <c r="U5" s="245"/>
      <c r="V5" s="246"/>
      <c r="W5" s="175"/>
      <c r="X5" s="175"/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75"/>
      <c r="AL5" s="175"/>
      <c r="AM5" s="175"/>
      <c r="AN5" s="175"/>
      <c r="AO5" s="175"/>
      <c r="AP5" s="175"/>
      <c r="AQ5" s="175"/>
      <c r="AR5" s="175"/>
      <c r="AS5" s="175"/>
      <c r="AT5" s="175"/>
      <c r="AU5" s="175"/>
      <c r="AV5" s="175"/>
      <c r="AW5" s="175"/>
      <c r="AX5" s="175"/>
      <c r="AY5" s="175"/>
      <c r="AZ5" s="175"/>
      <c r="BA5" s="175"/>
      <c r="BB5" s="175"/>
    </row>
    <row r="6" s="31" customFormat="1" ht="16.5" spans="1:54">
      <c r="A6" s="185" t="s">
        <v>23</v>
      </c>
      <c r="B6" s="186">
        <v>2529.92631280689</v>
      </c>
      <c r="C6" s="187">
        <v>2378.21334811656</v>
      </c>
      <c r="D6" s="187">
        <v>2378.09779726404</v>
      </c>
      <c r="E6" s="187">
        <v>2434.71233659228</v>
      </c>
      <c r="F6" s="187">
        <v>2434.45341700453</v>
      </c>
      <c r="G6" s="187">
        <v>3362.11820197145</v>
      </c>
      <c r="H6" s="187">
        <v>3470.12213282844</v>
      </c>
      <c r="I6" s="187">
        <v>3590.7876581637</v>
      </c>
      <c r="J6" s="187">
        <v>3682.50168783541</v>
      </c>
      <c r="K6" s="187">
        <v>3653.77127025248</v>
      </c>
      <c r="L6" s="187">
        <v>4397.89976725272</v>
      </c>
      <c r="M6" s="187">
        <v>4258.04873669028</v>
      </c>
      <c r="N6" s="213">
        <f t="shared" si="0"/>
        <v>38570.6526667788</v>
      </c>
      <c r="O6" s="175"/>
      <c r="P6" s="215"/>
      <c r="Q6" s="241"/>
      <c r="R6" s="235"/>
      <c r="S6" s="235"/>
      <c r="T6" s="235"/>
      <c r="U6" s="245"/>
      <c r="V6" s="246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  <c r="AL6" s="175"/>
      <c r="AM6" s="175"/>
      <c r="AN6" s="175"/>
      <c r="AO6" s="175"/>
      <c r="AP6" s="175"/>
      <c r="AQ6" s="175"/>
      <c r="AR6" s="175"/>
      <c r="AS6" s="175"/>
      <c r="AT6" s="175"/>
      <c r="AU6" s="175"/>
      <c r="AV6" s="175"/>
      <c r="AW6" s="175"/>
      <c r="AX6" s="175"/>
      <c r="AY6" s="175"/>
      <c r="AZ6" s="175"/>
      <c r="BA6" s="175"/>
      <c r="BB6" s="175"/>
    </row>
    <row r="7" s="31" customFormat="1" ht="16.5" spans="1:54">
      <c r="A7" s="185" t="s">
        <v>24</v>
      </c>
      <c r="B7" s="188">
        <f>[1]总表!B102</f>
        <v>2256.32972890688</v>
      </c>
      <c r="C7" s="188">
        <f>[1]总表!C102</f>
        <v>925.793384773363</v>
      </c>
      <c r="D7" s="188">
        <f>[1]总表!D102</f>
        <v>2443.97824583814</v>
      </c>
      <c r="E7" s="188">
        <f>[1]总表!E102</f>
        <v>3202.29327096207</v>
      </c>
      <c r="F7" s="188">
        <v>3363.15787885179</v>
      </c>
      <c r="G7" s="188">
        <f>[1]总表!G102</f>
        <v>0</v>
      </c>
      <c r="H7" s="188">
        <f>[1]总表!H102</f>
        <v>0</v>
      </c>
      <c r="I7" s="188">
        <f>[1]总表!I102</f>
        <v>0</v>
      </c>
      <c r="J7" s="188">
        <f>[1]总表!J102</f>
        <v>0</v>
      </c>
      <c r="K7" s="188">
        <f>[1]总表!K102</f>
        <v>0</v>
      </c>
      <c r="L7" s="188">
        <f>[1]总表!L102</f>
        <v>0</v>
      </c>
      <c r="M7" s="188">
        <f>[1]总表!M102</f>
        <v>0</v>
      </c>
      <c r="N7" s="213">
        <f t="shared" si="0"/>
        <v>12191.5525093322</v>
      </c>
      <c r="O7" s="175"/>
      <c r="P7" s="216" t="s">
        <v>25</v>
      </c>
      <c r="Q7" s="247"/>
      <c r="R7" s="244">
        <v>0.06</v>
      </c>
      <c r="S7" s="235"/>
      <c r="T7" s="248">
        <v>364.33</v>
      </c>
      <c r="U7" s="249"/>
      <c r="V7" s="246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  <c r="AJ7" s="175"/>
      <c r="AK7" s="175"/>
      <c r="AL7" s="175"/>
      <c r="AM7" s="175"/>
      <c r="AN7" s="175"/>
      <c r="AO7" s="175"/>
      <c r="AP7" s="175"/>
      <c r="AQ7" s="175"/>
      <c r="AR7" s="175"/>
      <c r="AS7" s="175"/>
      <c r="AT7" s="175"/>
      <c r="AU7" s="175"/>
      <c r="AV7" s="175"/>
      <c r="AW7" s="175"/>
      <c r="AX7" s="175"/>
      <c r="AY7" s="175"/>
      <c r="AZ7" s="175"/>
      <c r="BA7" s="175"/>
      <c r="BB7" s="175"/>
    </row>
    <row r="8" s="31" customFormat="1" ht="16.5" spans="1:54">
      <c r="A8" s="185" t="s">
        <v>26</v>
      </c>
      <c r="B8" s="188">
        <v>2455.39989258284</v>
      </c>
      <c r="C8" s="188">
        <v>1222.73926295326</v>
      </c>
      <c r="D8" s="188">
        <f>[1]⑥投入产出比分析!K74</f>
        <v>2470.41958376978</v>
      </c>
      <c r="E8" s="188">
        <f>[1]⑥投入产出比分析!K77</f>
        <v>3304.61248474028</v>
      </c>
      <c r="F8" s="188">
        <v>3354.40856821342</v>
      </c>
      <c r="G8" s="188"/>
      <c r="H8" s="188"/>
      <c r="I8" s="188"/>
      <c r="J8" s="188"/>
      <c r="K8" s="188"/>
      <c r="L8" s="188"/>
      <c r="M8" s="188"/>
      <c r="N8" s="213">
        <f t="shared" si="0"/>
        <v>12807.5797922596</v>
      </c>
      <c r="O8" s="175"/>
      <c r="P8" s="217"/>
      <c r="Q8" s="250"/>
      <c r="R8" s="244"/>
      <c r="S8" s="235"/>
      <c r="T8" s="251"/>
      <c r="U8" s="252"/>
      <c r="V8" s="246"/>
      <c r="W8" s="175"/>
      <c r="X8" s="175"/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175"/>
      <c r="AN8" s="175"/>
      <c r="AO8" s="175"/>
      <c r="AP8" s="175"/>
      <c r="AQ8" s="175"/>
      <c r="AR8" s="175"/>
      <c r="AS8" s="175"/>
      <c r="AT8" s="175"/>
      <c r="AU8" s="175"/>
      <c r="AV8" s="175"/>
      <c r="AW8" s="175"/>
      <c r="AX8" s="175"/>
      <c r="AY8" s="175"/>
      <c r="AZ8" s="175"/>
      <c r="BA8" s="175"/>
      <c r="BB8" s="175"/>
    </row>
    <row r="9" s="31" customFormat="1" ht="16.5" spans="1:54">
      <c r="A9" s="189" t="s">
        <v>27</v>
      </c>
      <c r="B9" s="188">
        <v>426.80505875472</v>
      </c>
      <c r="C9" s="188">
        <v>281.3175421517</v>
      </c>
      <c r="D9" s="188">
        <v>466.10989690947</v>
      </c>
      <c r="E9" s="188">
        <v>415.00531094467</v>
      </c>
      <c r="F9" s="188">
        <v>335.18824532843</v>
      </c>
      <c r="G9" s="188">
        <v>265.59601213866</v>
      </c>
      <c r="H9" s="188">
        <v>282.93538372583</v>
      </c>
      <c r="I9" s="188">
        <v>403.13490830576</v>
      </c>
      <c r="J9" s="188">
        <v>391.04498073087</v>
      </c>
      <c r="K9" s="188">
        <v>408.86001342475</v>
      </c>
      <c r="L9" s="188">
        <v>528.49605063936</v>
      </c>
      <c r="M9" s="188">
        <v>587.17177099384</v>
      </c>
      <c r="N9" s="213">
        <f t="shared" si="0"/>
        <v>4791.66517404806</v>
      </c>
      <c r="O9" s="175"/>
      <c r="P9" s="218"/>
      <c r="Q9" s="253"/>
      <c r="R9" s="235"/>
      <c r="S9" s="235"/>
      <c r="T9" s="254"/>
      <c r="U9" s="255"/>
      <c r="V9" s="246"/>
      <c r="W9" s="175"/>
      <c r="X9" s="175"/>
      <c r="Y9" s="175"/>
      <c r="Z9" s="175"/>
      <c r="AA9" s="175"/>
      <c r="AB9" s="175"/>
      <c r="AC9" s="175"/>
      <c r="AD9" s="175"/>
      <c r="AE9" s="175"/>
      <c r="AF9" s="175"/>
      <c r="AG9" s="175"/>
      <c r="AH9" s="175"/>
      <c r="AI9" s="175"/>
      <c r="AJ9" s="175"/>
      <c r="AK9" s="175"/>
      <c r="AL9" s="175"/>
      <c r="AM9" s="175"/>
      <c r="AN9" s="175"/>
      <c r="AO9" s="175"/>
      <c r="AP9" s="175"/>
      <c r="AQ9" s="175"/>
      <c r="AR9" s="175"/>
      <c r="AS9" s="175"/>
      <c r="AT9" s="175"/>
      <c r="AU9" s="175"/>
      <c r="AV9" s="175"/>
      <c r="AW9" s="175"/>
      <c r="AX9" s="175"/>
      <c r="AY9" s="175"/>
      <c r="AZ9" s="175"/>
      <c r="BA9" s="175"/>
      <c r="BB9" s="175"/>
    </row>
    <row r="10" s="31" customFormat="1" ht="16.5" spans="1:54">
      <c r="A10" s="189" t="s">
        <v>28</v>
      </c>
      <c r="B10" s="186">
        <v>483.08635926767</v>
      </c>
      <c r="C10" s="187">
        <v>511.559404417941</v>
      </c>
      <c r="D10" s="187">
        <v>436.753391912226</v>
      </c>
      <c r="E10" s="187">
        <v>470.066183977624</v>
      </c>
      <c r="F10" s="187">
        <v>478.987304873633</v>
      </c>
      <c r="G10" s="187">
        <v>704.534345864301</v>
      </c>
      <c r="H10" s="187">
        <v>747.437273306698</v>
      </c>
      <c r="I10" s="187">
        <v>806.205519778066</v>
      </c>
      <c r="J10" s="187">
        <v>798.388032332743</v>
      </c>
      <c r="K10" s="187">
        <v>799.378739995881</v>
      </c>
      <c r="L10" s="187">
        <v>894.242972870778</v>
      </c>
      <c r="M10" s="187">
        <v>937.36127901682</v>
      </c>
      <c r="N10" s="213">
        <f t="shared" si="0"/>
        <v>8068.00080761438</v>
      </c>
      <c r="O10" s="175"/>
      <c r="P10" s="214" t="s">
        <v>29</v>
      </c>
      <c r="Q10" s="243"/>
      <c r="R10" s="256">
        <v>0.06</v>
      </c>
      <c r="S10" s="257"/>
      <c r="T10" s="258">
        <v>423.78</v>
      </c>
      <c r="U10" s="259"/>
      <c r="V10" s="246"/>
      <c r="W10" s="175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5"/>
      <c r="AY10" s="175"/>
      <c r="AZ10" s="175"/>
      <c r="BA10" s="175"/>
      <c r="BB10" s="175"/>
    </row>
    <row r="11" s="31" customFormat="1" ht="16.5" spans="1:54">
      <c r="A11" s="189" t="s">
        <v>30</v>
      </c>
      <c r="B11" s="188">
        <v>389.85234197769</v>
      </c>
      <c r="C11" s="188">
        <v>91.544923762854</v>
      </c>
      <c r="D11" s="188">
        <v>460.49492906547</v>
      </c>
      <c r="E11" s="188">
        <v>636.40360275918</v>
      </c>
      <c r="F11" s="188">
        <v>756.081073749329</v>
      </c>
      <c r="G11" s="188"/>
      <c r="H11" s="188"/>
      <c r="I11" s="188"/>
      <c r="J11" s="188"/>
      <c r="K11" s="188"/>
      <c r="L11" s="188"/>
      <c r="M11" s="188"/>
      <c r="N11" s="213">
        <f t="shared" si="0"/>
        <v>2334.37687131452</v>
      </c>
      <c r="O11" s="175"/>
      <c r="P11" s="219"/>
      <c r="Q11" s="237"/>
      <c r="R11" s="260"/>
      <c r="S11" s="261"/>
      <c r="T11" s="236"/>
      <c r="U11" s="238"/>
      <c r="V11" s="246"/>
      <c r="W11" s="175"/>
      <c r="X11" s="175"/>
      <c r="Y11" s="175"/>
      <c r="Z11" s="175"/>
      <c r="AA11" s="175"/>
      <c r="AB11" s="175"/>
      <c r="AC11" s="175"/>
      <c r="AD11" s="175"/>
      <c r="AE11" s="175"/>
      <c r="AF11" s="175"/>
      <c r="AG11" s="175"/>
      <c r="AH11" s="175"/>
      <c r="AI11" s="175"/>
      <c r="AJ11" s="175"/>
      <c r="AK11" s="175"/>
      <c r="AL11" s="175"/>
      <c r="AM11" s="175"/>
      <c r="AN11" s="175"/>
      <c r="AO11" s="175"/>
      <c r="AP11" s="175"/>
      <c r="AQ11" s="175"/>
      <c r="AR11" s="175"/>
      <c r="AS11" s="175"/>
      <c r="AT11" s="175"/>
      <c r="AU11" s="175"/>
      <c r="AV11" s="175"/>
      <c r="AW11" s="175"/>
      <c r="AX11" s="175"/>
      <c r="AY11" s="175"/>
      <c r="AZ11" s="175"/>
      <c r="BA11" s="175"/>
      <c r="BB11" s="175"/>
    </row>
    <row r="12" s="31" customFormat="1" ht="16.5" spans="1:54">
      <c r="A12" s="189" t="s">
        <v>31</v>
      </c>
      <c r="B12" s="188">
        <v>367.374157392843</v>
      </c>
      <c r="C12" s="188">
        <v>185.314845833261</v>
      </c>
      <c r="D12" s="188">
        <v>383.157678861702</v>
      </c>
      <c r="E12" s="188">
        <v>973.83180274028</v>
      </c>
      <c r="F12" s="188">
        <v>402.333236213419</v>
      </c>
      <c r="G12" s="188"/>
      <c r="H12" s="188"/>
      <c r="I12" s="188"/>
      <c r="J12" s="188"/>
      <c r="K12" s="188"/>
      <c r="L12" s="188"/>
      <c r="M12" s="188"/>
      <c r="N12" s="213"/>
      <c r="O12" s="175"/>
      <c r="P12" s="219"/>
      <c r="Q12" s="237"/>
      <c r="R12" s="262"/>
      <c r="S12" s="263"/>
      <c r="T12" s="236"/>
      <c r="U12" s="238"/>
      <c r="V12" s="246"/>
      <c r="W12" s="175"/>
      <c r="X12" s="175"/>
      <c r="Y12" s="175"/>
      <c r="Z12" s="272"/>
      <c r="AA12" s="272" t="s">
        <v>32</v>
      </c>
      <c r="AB12" s="272" t="s">
        <v>33</v>
      </c>
      <c r="AC12" s="272" t="s">
        <v>34</v>
      </c>
      <c r="AD12" s="272" t="s">
        <v>33</v>
      </c>
      <c r="AE12" s="175"/>
      <c r="AF12" s="175"/>
      <c r="AG12" s="175"/>
      <c r="AH12" s="175"/>
      <c r="AI12" s="175"/>
      <c r="AJ12" s="175"/>
      <c r="AK12" s="175"/>
      <c r="AL12" s="175"/>
      <c r="AM12" s="175"/>
      <c r="AN12" s="175"/>
      <c r="AO12" s="175"/>
      <c r="AP12" s="175"/>
      <c r="AQ12" s="175"/>
      <c r="AR12" s="175"/>
      <c r="AS12" s="175"/>
      <c r="AT12" s="175"/>
      <c r="AU12" s="175"/>
      <c r="AV12" s="175"/>
      <c r="AW12" s="175"/>
      <c r="AX12" s="175"/>
      <c r="AY12" s="175"/>
      <c r="AZ12" s="175"/>
      <c r="BA12" s="175"/>
      <c r="BB12" s="175"/>
    </row>
    <row r="13" s="31" customFormat="1" ht="16.5" spans="1:54">
      <c r="A13" s="190" t="s">
        <v>35</v>
      </c>
      <c r="B13" s="191">
        <f t="shared" ref="B13:N13" si="1">B9/B5</f>
        <v>0.151035153675925</v>
      </c>
      <c r="C13" s="191">
        <f t="shared" si="1"/>
        <v>0.149545549424646</v>
      </c>
      <c r="D13" s="191">
        <f t="shared" si="1"/>
        <v>0.149841409408528</v>
      </c>
      <c r="E13" s="192">
        <f t="shared" si="1"/>
        <v>0.145755629550007</v>
      </c>
      <c r="F13" s="192">
        <f t="shared" si="1"/>
        <v>0.125283174060391</v>
      </c>
      <c r="G13" s="191">
        <f t="shared" si="1"/>
        <v>0.129228668078303</v>
      </c>
      <c r="H13" s="191">
        <f t="shared" si="1"/>
        <v>0.140571309873298</v>
      </c>
      <c r="I13" s="191">
        <f t="shared" si="1"/>
        <v>0.164351467422413</v>
      </c>
      <c r="J13" s="191">
        <f t="shared" si="1"/>
        <v>0.154802294759005</v>
      </c>
      <c r="K13" s="191">
        <f t="shared" si="1"/>
        <v>0.142930982523649</v>
      </c>
      <c r="L13" s="191">
        <f t="shared" si="1"/>
        <v>0.157710704675369</v>
      </c>
      <c r="M13" s="191">
        <f t="shared" si="1"/>
        <v>0.162886211060061</v>
      </c>
      <c r="N13" s="220">
        <f t="shared" si="1"/>
        <v>0.148792045776102</v>
      </c>
      <c r="O13" s="175"/>
      <c r="P13" s="216" t="s">
        <v>36</v>
      </c>
      <c r="Q13" s="247"/>
      <c r="R13" s="244">
        <v>0.06</v>
      </c>
      <c r="S13" s="235"/>
      <c r="T13" s="248">
        <v>488.9</v>
      </c>
      <c r="U13" s="249"/>
      <c r="V13" s="246"/>
      <c r="W13" s="175"/>
      <c r="X13" s="175"/>
      <c r="Y13" s="175"/>
      <c r="Z13" s="272" t="s">
        <v>37</v>
      </c>
      <c r="AA13" s="273">
        <v>1110.28600003407</v>
      </c>
      <c r="AB13" s="274">
        <v>430.810355905983</v>
      </c>
      <c r="AC13" s="273">
        <f>7611235.65/10000</f>
        <v>761.123565</v>
      </c>
      <c r="AD13" s="273">
        <f>3371417.82/10000</f>
        <v>337.141782</v>
      </c>
      <c r="AE13" s="175"/>
      <c r="AF13" s="175"/>
      <c r="AG13" s="175"/>
      <c r="AH13" s="175"/>
      <c r="AI13" s="175"/>
      <c r="AJ13" s="175"/>
      <c r="AK13" s="175"/>
      <c r="AL13" s="175"/>
      <c r="AM13" s="175"/>
      <c r="AN13" s="175"/>
      <c r="AO13" s="175"/>
      <c r="AP13" s="175"/>
      <c r="AQ13" s="175"/>
      <c r="AR13" s="175"/>
      <c r="AS13" s="175"/>
      <c r="AT13" s="175"/>
      <c r="AU13" s="175"/>
      <c r="AV13" s="175"/>
      <c r="AW13" s="175"/>
      <c r="AX13" s="175"/>
      <c r="AY13" s="175"/>
      <c r="AZ13" s="175"/>
      <c r="BA13" s="175"/>
      <c r="BB13" s="175"/>
    </row>
    <row r="14" s="31" customFormat="1" ht="16.5" spans="1:54">
      <c r="A14" s="190" t="s">
        <v>38</v>
      </c>
      <c r="B14" s="191">
        <v>0.19094878646157</v>
      </c>
      <c r="C14" s="191">
        <v>0.215102402323607</v>
      </c>
      <c r="D14" s="191">
        <v>0.183656615137823</v>
      </c>
      <c r="E14" s="192">
        <v>0.193068469286005</v>
      </c>
      <c r="F14" s="192">
        <v>0.196753530598668</v>
      </c>
      <c r="G14" s="191">
        <v>0.209550736631205</v>
      </c>
      <c r="H14" s="191">
        <v>0.215392209465975</v>
      </c>
      <c r="I14" s="191">
        <v>0.224520522104711</v>
      </c>
      <c r="J14" s="191">
        <v>0.216805883611703</v>
      </c>
      <c r="K14" s="191">
        <v>0.218781823182009</v>
      </c>
      <c r="L14" s="191">
        <v>0.203334095863079</v>
      </c>
      <c r="M14" s="191">
        <v>0.220138691917701</v>
      </c>
      <c r="N14" s="220">
        <f>N10/N6</f>
        <v>0.209174599074478</v>
      </c>
      <c r="O14" s="175"/>
      <c r="P14" s="218"/>
      <c r="Q14" s="253"/>
      <c r="R14" s="235"/>
      <c r="S14" s="235"/>
      <c r="T14" s="254"/>
      <c r="U14" s="255"/>
      <c r="V14" s="246"/>
      <c r="W14" s="175"/>
      <c r="X14" s="175"/>
      <c r="Y14" s="175"/>
      <c r="Z14" s="272" t="s">
        <v>39</v>
      </c>
      <c r="AA14" s="273">
        <v>289.307589</v>
      </c>
      <c r="AB14" s="273">
        <v>142.199613</v>
      </c>
      <c r="AC14" s="273">
        <f>2032113.61/10000</f>
        <v>203.211361</v>
      </c>
      <c r="AD14" s="273">
        <f>1010938.77/10000</f>
        <v>101.093877</v>
      </c>
      <c r="AE14" s="175"/>
      <c r="AF14" s="175"/>
      <c r="AG14" s="175"/>
      <c r="AH14" s="175"/>
      <c r="AI14" s="175"/>
      <c r="AJ14" s="175"/>
      <c r="AK14" s="175"/>
      <c r="AL14" s="175"/>
      <c r="AM14" s="175"/>
      <c r="AN14" s="175"/>
      <c r="AO14" s="175"/>
      <c r="AP14" s="175"/>
      <c r="AQ14" s="175"/>
      <c r="AR14" s="175"/>
      <c r="AS14" s="175"/>
      <c r="AT14" s="175"/>
      <c r="AU14" s="175"/>
      <c r="AV14" s="175"/>
      <c r="AW14" s="175"/>
      <c r="AX14" s="175"/>
      <c r="AY14" s="175"/>
      <c r="AZ14" s="175"/>
      <c r="BA14" s="175"/>
      <c r="BB14" s="175"/>
    </row>
    <row r="15" s="31" customFormat="1" ht="16.5" spans="1:54">
      <c r="A15" s="190" t="s">
        <v>40</v>
      </c>
      <c r="B15" s="191">
        <f t="shared" ref="B15:F15" si="2">B11/B7</f>
        <v>0.172781636027355</v>
      </c>
      <c r="C15" s="191">
        <f t="shared" si="2"/>
        <v>0.0988826721690871</v>
      </c>
      <c r="D15" s="191">
        <v>0.174127819205529</v>
      </c>
      <c r="E15" s="192">
        <v>0.198819409993608</v>
      </c>
      <c r="F15" s="192">
        <f t="shared" si="2"/>
        <v>0.224812839891852</v>
      </c>
      <c r="G15" s="191"/>
      <c r="H15" s="191"/>
      <c r="I15" s="191"/>
      <c r="J15" s="191"/>
      <c r="K15" s="191"/>
      <c r="L15" s="191"/>
      <c r="M15" s="191"/>
      <c r="N15" s="220">
        <f>N11/N7</f>
        <v>0.191474947060896</v>
      </c>
      <c r="O15" s="175"/>
      <c r="P15" s="214" t="s">
        <v>41</v>
      </c>
      <c r="Q15" s="243"/>
      <c r="R15" s="244">
        <v>0.06</v>
      </c>
      <c r="S15" s="235"/>
      <c r="T15" s="258">
        <v>538.88</v>
      </c>
      <c r="U15" s="259"/>
      <c r="V15" s="246"/>
      <c r="W15" s="175"/>
      <c r="X15" s="175"/>
      <c r="Y15" s="175"/>
      <c r="Z15" s="272" t="s">
        <v>42</v>
      </c>
      <c r="AA15" s="273">
        <v>56.2072880857143</v>
      </c>
      <c r="AB15" s="273">
        <v>50.0780374</v>
      </c>
      <c r="AC15" s="273">
        <f>838288.21/10000</f>
        <v>83.828821</v>
      </c>
      <c r="AD15" s="273">
        <f>503446.06/10000</f>
        <v>50.344606</v>
      </c>
      <c r="AE15" s="175"/>
      <c r="AF15" s="175"/>
      <c r="AG15" s="175"/>
      <c r="AH15" s="175"/>
      <c r="AI15" s="175"/>
      <c r="AJ15" s="175"/>
      <c r="AK15" s="175"/>
      <c r="AL15" s="175"/>
      <c r="AM15" s="175"/>
      <c r="AN15" s="175"/>
      <c r="AO15" s="175"/>
      <c r="AP15" s="175"/>
      <c r="AQ15" s="175"/>
      <c r="AR15" s="175"/>
      <c r="AS15" s="175"/>
      <c r="AT15" s="175"/>
      <c r="AU15" s="175"/>
      <c r="AV15" s="175"/>
      <c r="AW15" s="175"/>
      <c r="AX15" s="175"/>
      <c r="AY15" s="175"/>
      <c r="AZ15" s="175"/>
      <c r="BA15" s="175"/>
      <c r="BB15" s="175"/>
    </row>
    <row r="16" s="31" customFormat="1" ht="16.5" spans="1:54">
      <c r="A16" s="190" t="s">
        <v>43</v>
      </c>
      <c r="B16" s="191">
        <v>0.149618870027074</v>
      </c>
      <c r="C16" s="191">
        <v>0.151557123785878</v>
      </c>
      <c r="D16" s="191">
        <v>0.155098219500436</v>
      </c>
      <c r="E16" s="192">
        <v>0.294688653279967</v>
      </c>
      <c r="F16" s="192">
        <f>F12/F8</f>
        <v>0.119941631447628</v>
      </c>
      <c r="G16" s="191"/>
      <c r="H16" s="191"/>
      <c r="I16" s="191"/>
      <c r="J16" s="191"/>
      <c r="K16" s="191"/>
      <c r="L16" s="191"/>
      <c r="M16" s="191"/>
      <c r="N16" s="220"/>
      <c r="O16" s="175"/>
      <c r="P16" s="219"/>
      <c r="Q16" s="237"/>
      <c r="R16" s="244"/>
      <c r="S16" s="235"/>
      <c r="T16" s="236"/>
      <c r="U16" s="238"/>
      <c r="V16" s="246"/>
      <c r="W16" s="175"/>
      <c r="X16" s="175"/>
      <c r="Y16" s="175"/>
      <c r="Z16" s="272" t="s">
        <v>44</v>
      </c>
      <c r="AA16" s="273">
        <v>311.077675167767</v>
      </c>
      <c r="AB16" s="273">
        <v>165.776464921424</v>
      </c>
      <c r="AC16" s="273">
        <f>2203318.28/10000</f>
        <v>220.331828</v>
      </c>
      <c r="AD16" s="273">
        <f>939551.07/10000</f>
        <v>93.955107</v>
      </c>
      <c r="AE16" s="175"/>
      <c r="AF16" s="175"/>
      <c r="AG16" s="175"/>
      <c r="AH16" s="175"/>
      <c r="AI16" s="175"/>
      <c r="AJ16" s="175"/>
      <c r="AK16" s="175"/>
      <c r="AL16" s="175"/>
      <c r="AM16" s="175"/>
      <c r="AN16" s="175"/>
      <c r="AO16" s="175"/>
      <c r="AP16" s="175"/>
      <c r="AQ16" s="175"/>
      <c r="AR16" s="175"/>
      <c r="AS16" s="175"/>
      <c r="AT16" s="175"/>
      <c r="AU16" s="175"/>
      <c r="AV16" s="175"/>
      <c r="AW16" s="175"/>
      <c r="AX16" s="175"/>
      <c r="AY16" s="175"/>
      <c r="AZ16" s="175"/>
      <c r="BA16" s="175"/>
      <c r="BB16" s="175"/>
    </row>
    <row r="17" s="31" customFormat="1" ht="16.5" spans="1:54">
      <c r="A17" s="193" t="s">
        <v>45</v>
      </c>
      <c r="B17" s="191">
        <v>0.0337437732630372</v>
      </c>
      <c r="C17" s="191">
        <v>0.000177669049605068</v>
      </c>
      <c r="D17" s="191">
        <v>0.0561348458550649</v>
      </c>
      <c r="E17" s="192">
        <v>0.0264432056506331</v>
      </c>
      <c r="F17" s="192">
        <v>0.00676563943507737</v>
      </c>
      <c r="G17" s="191">
        <v>0.0222583700584478</v>
      </c>
      <c r="H17" s="191">
        <v>0.00335986995821211</v>
      </c>
      <c r="I17" s="191">
        <v>0.0424558144220094</v>
      </c>
      <c r="J17" s="191">
        <v>0.0445018660469566</v>
      </c>
      <c r="K17" s="191">
        <v>0.0353362586356994</v>
      </c>
      <c r="L17" s="191">
        <v>0.054077965098786</v>
      </c>
      <c r="M17" s="191">
        <v>0.0724302535007712</v>
      </c>
      <c r="N17" s="220">
        <v>0.0365223829643065</v>
      </c>
      <c r="O17" s="203"/>
      <c r="P17" s="215"/>
      <c r="Q17" s="241"/>
      <c r="R17" s="235"/>
      <c r="S17" s="235"/>
      <c r="T17" s="240"/>
      <c r="U17" s="242"/>
      <c r="V17" s="246"/>
      <c r="W17" s="175"/>
      <c r="X17" s="175"/>
      <c r="Y17" s="175"/>
      <c r="Z17" s="275" t="s">
        <v>46</v>
      </c>
      <c r="AA17" s="273">
        <v>83.51122092</v>
      </c>
      <c r="AB17" s="273">
        <v>82.54885168</v>
      </c>
      <c r="AC17" s="273">
        <f>536739.63/10000</f>
        <v>53.673963</v>
      </c>
      <c r="AD17" s="273">
        <f>349278.96/10000</f>
        <v>34.927896</v>
      </c>
      <c r="AE17" s="175"/>
      <c r="AF17" s="175"/>
      <c r="AG17" s="175"/>
      <c r="AH17" s="175"/>
      <c r="AI17" s="175"/>
      <c r="AJ17" s="175"/>
      <c r="AK17" s="175"/>
      <c r="AL17" s="175"/>
      <c r="AM17" s="175"/>
      <c r="AN17" s="175"/>
      <c r="AO17" s="175"/>
      <c r="AP17" s="175"/>
      <c r="AQ17" s="175"/>
      <c r="AR17" s="175"/>
      <c r="AS17" s="175"/>
      <c r="AT17" s="175"/>
      <c r="AU17" s="175"/>
      <c r="AV17" s="175"/>
      <c r="AW17" s="175"/>
      <c r="AX17" s="175"/>
      <c r="AY17" s="175"/>
      <c r="AZ17" s="175"/>
      <c r="BA17" s="175"/>
      <c r="BB17" s="175"/>
    </row>
    <row r="18" s="31" customFormat="1" ht="16.5" spans="1:54">
      <c r="A18" s="193" t="s">
        <v>47</v>
      </c>
      <c r="B18" s="191">
        <v>0.061580502106589</v>
      </c>
      <c r="C18" s="191">
        <v>0.0709575261658869</v>
      </c>
      <c r="D18" s="191">
        <v>0.0499218303158021</v>
      </c>
      <c r="E18" s="191">
        <v>0.0519380974622208</v>
      </c>
      <c r="F18" s="191">
        <v>0.0382056369295636</v>
      </c>
      <c r="G18" s="191">
        <v>0.0981189963203146</v>
      </c>
      <c r="H18" s="191">
        <v>0.0938241650082081</v>
      </c>
      <c r="I18" s="191">
        <v>0.100800692581224</v>
      </c>
      <c r="J18" s="191">
        <v>0.104896927925368</v>
      </c>
      <c r="K18" s="191">
        <v>0.0994889369339828</v>
      </c>
      <c r="L18" s="191">
        <v>0.102639613535336</v>
      </c>
      <c r="M18" s="191">
        <v>0.120139425737235</v>
      </c>
      <c r="N18" s="220">
        <v>0.088</v>
      </c>
      <c r="O18" s="203"/>
      <c r="P18" s="221" t="s">
        <v>48</v>
      </c>
      <c r="Q18" s="264"/>
      <c r="R18" s="244">
        <v>0.06</v>
      </c>
      <c r="S18" s="235"/>
      <c r="T18" s="265">
        <v>588.14</v>
      </c>
      <c r="U18" s="266"/>
      <c r="V18" s="246"/>
      <c r="W18" s="175"/>
      <c r="X18" s="175"/>
      <c r="Y18" s="175"/>
      <c r="Z18" s="275" t="s">
        <v>49</v>
      </c>
      <c r="AA18" s="273">
        <v>76.991226</v>
      </c>
      <c r="AB18" s="273">
        <v>52.19627</v>
      </c>
      <c r="AC18" s="273">
        <f>344736.45/10000</f>
        <v>34.473645</v>
      </c>
      <c r="AD18" s="273">
        <f>346007.58/10000</f>
        <v>34.600758</v>
      </c>
      <c r="AE18" s="175"/>
      <c r="AF18" s="175"/>
      <c r="AG18" s="175"/>
      <c r="AH18" s="175"/>
      <c r="AI18" s="175"/>
      <c r="AJ18" s="175"/>
      <c r="AK18" s="175"/>
      <c r="AL18" s="175"/>
      <c r="AM18" s="175"/>
      <c r="AN18" s="175"/>
      <c r="AO18" s="175"/>
      <c r="AP18" s="175"/>
      <c r="AQ18" s="175"/>
      <c r="AR18" s="175"/>
      <c r="AS18" s="175"/>
      <c r="AT18" s="175"/>
      <c r="AU18" s="175"/>
      <c r="AV18" s="175"/>
      <c r="AW18" s="175"/>
      <c r="AX18" s="175"/>
      <c r="AY18" s="175"/>
      <c r="AZ18" s="175"/>
      <c r="BA18" s="175"/>
      <c r="BB18" s="175"/>
    </row>
    <row r="19" s="31" customFormat="1" ht="17.25" spans="1:54">
      <c r="A19" s="193" t="s">
        <v>50</v>
      </c>
      <c r="B19" s="191">
        <f>[1]总表!G32/[1]总表!G21</f>
        <v>0.0506258624216433</v>
      </c>
      <c r="C19" s="191">
        <f>[1]总表!H32/[1]总表!H21</f>
        <v>-0.195330090931498</v>
      </c>
      <c r="D19" s="191">
        <f>IFERROR([1]总表!I32/[1]总表!I21,"")</f>
        <v>0.073652960880519</v>
      </c>
      <c r="E19" s="191">
        <f>IFERROR([1]总表!J32/[1]总表!J21,"")</f>
        <v>0.113526419263342</v>
      </c>
      <c r="F19" s="191">
        <v>0.130224907222867</v>
      </c>
      <c r="G19" s="191" t="str">
        <f>IFERROR([1]总表!L32/[1]总表!L21,"")</f>
        <v/>
      </c>
      <c r="H19" s="191" t="str">
        <f>IFERROR([1]总表!M32/[1]总表!M21,"")</f>
        <v/>
      </c>
      <c r="I19" s="191" t="str">
        <f>IFERROR([1]总表!N32/[1]总表!N21,"")</f>
        <v/>
      </c>
      <c r="J19" s="191" t="str">
        <f>IFERROR([1]总表!O32/[1]总表!O21,"")</f>
        <v/>
      </c>
      <c r="K19" s="191" t="str">
        <f>IFERROR([1]总表!P32/[1]总表!P21,"")</f>
        <v/>
      </c>
      <c r="L19" s="191" t="str">
        <f>IFERROR([1]总表!Q32/[1]总表!Q21,"")</f>
        <v/>
      </c>
      <c r="M19" s="191" t="str">
        <f>IFERROR([1]总表!R32/[1]总表!R21,"")</f>
        <v/>
      </c>
      <c r="N19" s="220"/>
      <c r="O19" s="203"/>
      <c r="P19" s="222"/>
      <c r="Q19" s="267"/>
      <c r="R19" s="268"/>
      <c r="S19" s="268"/>
      <c r="T19" s="269"/>
      <c r="U19" s="270"/>
      <c r="V19" s="246"/>
      <c r="W19" s="175"/>
      <c r="X19" s="175"/>
      <c r="Y19" s="175"/>
      <c r="Z19" s="275" t="s">
        <v>51</v>
      </c>
      <c r="AA19" s="273">
        <v>297.534063913753</v>
      </c>
      <c r="AB19" s="273">
        <v>134.35064886014</v>
      </c>
      <c r="AC19" s="273">
        <f>2137400.37/10000</f>
        <v>213.740037</v>
      </c>
      <c r="AD19" s="273">
        <f>1133320.81/10000</f>
        <v>113.332081</v>
      </c>
      <c r="AE19" s="175"/>
      <c r="AF19" s="175"/>
      <c r="AG19" s="175"/>
      <c r="AH19" s="175"/>
      <c r="AI19" s="175"/>
      <c r="AJ19" s="175"/>
      <c r="AK19" s="175"/>
      <c r="AL19" s="175"/>
      <c r="AM19" s="175"/>
      <c r="AN19" s="175"/>
      <c r="AO19" s="175"/>
      <c r="AP19" s="175"/>
      <c r="AQ19" s="175"/>
      <c r="AR19" s="175"/>
      <c r="AS19" s="175"/>
      <c r="AT19" s="175"/>
      <c r="AU19" s="175"/>
      <c r="AV19" s="175"/>
      <c r="AW19" s="175"/>
      <c r="AX19" s="175"/>
      <c r="AY19" s="175"/>
      <c r="AZ19" s="175"/>
      <c r="BA19" s="175"/>
      <c r="BB19" s="175"/>
    </row>
    <row r="20" s="31" customFormat="1" ht="16.5" spans="1:54">
      <c r="A20" s="193" t="s">
        <v>52</v>
      </c>
      <c r="B20" s="188">
        <v>86.0102633928429</v>
      </c>
      <c r="C20" s="188">
        <v>-89.0196371667391</v>
      </c>
      <c r="D20" s="191">
        <v>-0.00999102516527032</v>
      </c>
      <c r="E20" s="191">
        <v>0.2083251</v>
      </c>
      <c r="F20" s="191">
        <v>0.0251069848829637</v>
      </c>
      <c r="G20" s="191"/>
      <c r="H20" s="191"/>
      <c r="I20" s="191"/>
      <c r="J20" s="191"/>
      <c r="K20" s="191"/>
      <c r="L20" s="191"/>
      <c r="M20" s="191"/>
      <c r="N20" s="220"/>
      <c r="O20" s="203"/>
      <c r="P20" s="223"/>
      <c r="Q20" s="223"/>
      <c r="R20" s="224"/>
      <c r="S20" s="224"/>
      <c r="T20" s="271"/>
      <c r="U20" s="271"/>
      <c r="V20" s="175"/>
      <c r="W20" s="175"/>
      <c r="X20" s="175"/>
      <c r="Y20" s="175"/>
      <c r="Z20" s="275" t="s">
        <v>53</v>
      </c>
      <c r="AA20" s="274">
        <v>230.484829461538</v>
      </c>
      <c r="AB20" s="273">
        <v>164.779021185714</v>
      </c>
      <c r="AC20" s="273">
        <f>1741439.11/10000</f>
        <v>174.143911</v>
      </c>
      <c r="AD20" s="273">
        <f>720708.19/10000</f>
        <v>72.070819</v>
      </c>
      <c r="AE20" s="175"/>
      <c r="AF20" s="175"/>
      <c r="AG20" s="175"/>
      <c r="AH20" s="175"/>
      <c r="AI20" s="175"/>
      <c r="AJ20" s="175"/>
      <c r="AK20" s="175"/>
      <c r="AL20" s="175"/>
      <c r="AM20" s="175"/>
      <c r="AN20" s="175"/>
      <c r="AO20" s="175"/>
      <c r="AP20" s="175"/>
      <c r="AQ20" s="175"/>
      <c r="AR20" s="175"/>
      <c r="AS20" s="175"/>
      <c r="AT20" s="175"/>
      <c r="AU20" s="175"/>
      <c r="AV20" s="175"/>
      <c r="AW20" s="175"/>
      <c r="AX20" s="175"/>
      <c r="AY20" s="175"/>
      <c r="AZ20" s="175"/>
      <c r="BA20" s="175"/>
      <c r="BB20" s="175"/>
    </row>
    <row r="21" s="31" customFormat="1" ht="16.5" spans="1:54">
      <c r="A21" s="194" t="s">
        <v>54</v>
      </c>
      <c r="B21" s="191">
        <f t="shared" ref="B21:F21" si="3">B11/B9</f>
        <v>0.913420152786272</v>
      </c>
      <c r="C21" s="191">
        <f t="shared" si="3"/>
        <v>0.32541491391777</v>
      </c>
      <c r="D21" s="191">
        <f t="shared" si="3"/>
        <v>0.987953553697894</v>
      </c>
      <c r="E21" s="191">
        <f t="shared" si="3"/>
        <v>1.53348303256781</v>
      </c>
      <c r="F21" s="191">
        <f t="shared" si="3"/>
        <v>2.25569089694208</v>
      </c>
      <c r="G21" s="188"/>
      <c r="H21" s="188"/>
      <c r="I21" s="188"/>
      <c r="J21" s="188"/>
      <c r="K21" s="188"/>
      <c r="L21" s="188"/>
      <c r="M21" s="188"/>
      <c r="N21" s="213"/>
      <c r="O21" s="175"/>
      <c r="P21" s="175"/>
      <c r="Q21" s="175"/>
      <c r="R21" s="175"/>
      <c r="S21" s="175"/>
      <c r="T21" s="175"/>
      <c r="U21" s="175"/>
      <c r="V21" s="175"/>
      <c r="W21" s="175"/>
      <c r="X21" s="175"/>
      <c r="Y21" s="175"/>
      <c r="Z21" s="272"/>
      <c r="AA21" s="273">
        <f t="shared" ref="AA21:AD21" si="4">SUM(AA13:AA20)</f>
        <v>2455.39989258284</v>
      </c>
      <c r="AB21" s="273">
        <f t="shared" si="4"/>
        <v>1222.73926295326</v>
      </c>
      <c r="AC21" s="273">
        <f t="shared" si="4"/>
        <v>1744.527131</v>
      </c>
      <c r="AD21" s="273">
        <f t="shared" si="4"/>
        <v>837.466926</v>
      </c>
      <c r="AE21" s="175"/>
      <c r="AF21" s="175"/>
      <c r="AG21" s="175"/>
      <c r="AH21" s="175"/>
      <c r="AI21" s="175"/>
      <c r="AJ21" s="175"/>
      <c r="AK21" s="175"/>
      <c r="AL21" s="175"/>
      <c r="AM21" s="175"/>
      <c r="AN21" s="175"/>
      <c r="AO21" s="175"/>
      <c r="AP21" s="175"/>
      <c r="AQ21" s="175"/>
      <c r="AR21" s="175"/>
      <c r="AS21" s="175"/>
      <c r="AT21" s="175"/>
      <c r="AU21" s="175"/>
      <c r="AV21" s="175"/>
      <c r="AW21" s="175"/>
      <c r="AX21" s="175"/>
      <c r="AY21" s="175"/>
      <c r="AZ21" s="175"/>
      <c r="BA21" s="175"/>
      <c r="BB21" s="175"/>
    </row>
    <row r="22" s="31" customFormat="1" ht="21" customHeight="1" spans="1:54">
      <c r="A22" s="194" t="s">
        <v>55</v>
      </c>
      <c r="B22" s="191">
        <f t="shared" ref="B22:M22" si="5">B11/B6</f>
        <v>0.154096322886637</v>
      </c>
      <c r="C22" s="191">
        <f t="shared" si="5"/>
        <v>0.0384931502614572</v>
      </c>
      <c r="D22" s="191">
        <f t="shared" si="5"/>
        <v>0.193640030109469</v>
      </c>
      <c r="E22" s="191">
        <f t="shared" si="5"/>
        <v>0.261387595238424</v>
      </c>
      <c r="F22" s="191">
        <f t="shared" si="5"/>
        <v>0.310575289084664</v>
      </c>
      <c r="G22" s="191">
        <f t="shared" si="5"/>
        <v>0</v>
      </c>
      <c r="H22" s="191">
        <f t="shared" si="5"/>
        <v>0</v>
      </c>
      <c r="I22" s="191">
        <f t="shared" si="5"/>
        <v>0</v>
      </c>
      <c r="J22" s="191">
        <f t="shared" si="5"/>
        <v>0</v>
      </c>
      <c r="K22" s="191">
        <f t="shared" si="5"/>
        <v>0</v>
      </c>
      <c r="L22" s="191">
        <f t="shared" si="5"/>
        <v>0</v>
      </c>
      <c r="M22" s="191">
        <f t="shared" si="5"/>
        <v>0</v>
      </c>
      <c r="N22" s="213"/>
      <c r="O22" s="175"/>
      <c r="P22" s="224" t="s">
        <v>56</v>
      </c>
      <c r="Q22" s="224"/>
      <c r="R22" s="224"/>
      <c r="S22" s="224"/>
      <c r="T22" s="224"/>
      <c r="U22" s="224"/>
      <c r="V22" s="175"/>
      <c r="W22" s="175"/>
      <c r="X22" s="175"/>
      <c r="Y22" s="175"/>
      <c r="Z22" s="272"/>
      <c r="AA22" s="272"/>
      <c r="AB22" s="275">
        <f>1-AC21/AA21</f>
        <v>0.289514047683318</v>
      </c>
      <c r="AC22" s="272"/>
      <c r="AD22" s="275">
        <f>1-AD21/AB21</f>
        <v>0.315089527772846</v>
      </c>
      <c r="AE22" s="175"/>
      <c r="AF22" s="175"/>
      <c r="AG22" s="175"/>
      <c r="AH22" s="175"/>
      <c r="AI22" s="175"/>
      <c r="AJ22" s="175"/>
      <c r="AK22" s="175"/>
      <c r="AL22" s="175"/>
      <c r="AM22" s="175"/>
      <c r="AN22" s="175"/>
      <c r="AO22" s="175"/>
      <c r="AP22" s="175"/>
      <c r="AQ22" s="175"/>
      <c r="AR22" s="175"/>
      <c r="AS22" s="175"/>
      <c r="AT22" s="175"/>
      <c r="AU22" s="175"/>
      <c r="AV22" s="175"/>
      <c r="AW22" s="175"/>
      <c r="AX22" s="175"/>
      <c r="AY22" s="175"/>
      <c r="AZ22" s="175"/>
      <c r="BA22" s="175"/>
      <c r="BB22" s="175"/>
    </row>
    <row r="23" s="31" customFormat="1" ht="54" customHeight="1" spans="1:54">
      <c r="A23" s="195" t="s">
        <v>57</v>
      </c>
      <c r="B23" s="196" t="s">
        <v>58</v>
      </c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225"/>
      <c r="O23" s="175"/>
      <c r="P23" s="224" t="s">
        <v>59</v>
      </c>
      <c r="Q23" s="224"/>
      <c r="R23" s="224"/>
      <c r="S23" s="224"/>
      <c r="T23" s="224"/>
      <c r="U23" s="224"/>
      <c r="V23" s="175"/>
      <c r="W23" s="175"/>
      <c r="X23" s="175"/>
      <c r="Y23" s="175"/>
      <c r="Z23" s="175"/>
      <c r="AA23" s="175"/>
      <c r="AB23" s="175"/>
      <c r="AC23" s="175"/>
      <c r="AD23" s="175"/>
      <c r="AE23" s="175"/>
      <c r="AF23" s="175"/>
      <c r="AG23" s="175"/>
      <c r="AH23" s="175"/>
      <c r="AI23" s="175"/>
      <c r="AJ23" s="175"/>
      <c r="AK23" s="175"/>
      <c r="AL23" s="175"/>
      <c r="AM23" s="175"/>
      <c r="AN23" s="175"/>
      <c r="AO23" s="175"/>
      <c r="AP23" s="175"/>
      <c r="AQ23" s="175"/>
      <c r="AR23" s="175"/>
      <c r="AS23" s="175"/>
      <c r="AT23" s="175"/>
      <c r="AU23" s="175"/>
      <c r="AV23" s="175"/>
      <c r="AW23" s="175"/>
      <c r="AX23" s="175"/>
      <c r="AY23" s="175"/>
      <c r="AZ23" s="175"/>
      <c r="BA23" s="175"/>
      <c r="BB23" s="175"/>
    </row>
    <row r="24" s="31" customFormat="1" ht="27.95" customHeight="1" spans="1:54">
      <c r="A24" s="197" t="s">
        <v>60</v>
      </c>
      <c r="B24" s="198"/>
      <c r="C24" s="198"/>
      <c r="D24" s="198"/>
      <c r="E24" s="198"/>
      <c r="F24" s="198"/>
      <c r="G24" s="198"/>
      <c r="H24" s="198"/>
      <c r="I24" s="198"/>
      <c r="J24" s="198"/>
      <c r="K24" s="198"/>
      <c r="L24" s="198"/>
      <c r="M24" s="226"/>
      <c r="N24" s="227"/>
      <c r="O24" s="175"/>
      <c r="P24" s="224" t="s">
        <v>61</v>
      </c>
      <c r="Q24" s="224"/>
      <c r="R24" s="224"/>
      <c r="S24" s="224"/>
      <c r="T24" s="224"/>
      <c r="U24" s="224"/>
      <c r="V24" s="175"/>
      <c r="W24" s="175"/>
      <c r="X24" s="175"/>
      <c r="Y24" s="175"/>
      <c r="Z24" s="175"/>
      <c r="AA24" s="175"/>
      <c r="AB24" s="175"/>
      <c r="AC24" s="175"/>
      <c r="AD24" s="175"/>
      <c r="AE24" s="175"/>
      <c r="AF24" s="175"/>
      <c r="AG24" s="175"/>
      <c r="AH24" s="175"/>
      <c r="AI24" s="175"/>
      <c r="AJ24" s="175"/>
      <c r="AK24" s="175"/>
      <c r="AL24" s="175"/>
      <c r="AM24" s="175"/>
      <c r="AN24" s="175"/>
      <c r="AO24" s="175"/>
      <c r="AP24" s="175"/>
      <c r="AQ24" s="175"/>
      <c r="AR24" s="175"/>
      <c r="AS24" s="175"/>
      <c r="AT24" s="175"/>
      <c r="AU24" s="175"/>
      <c r="AV24" s="175"/>
      <c r="AW24" s="175"/>
      <c r="AX24" s="175"/>
      <c r="AY24" s="175"/>
      <c r="AZ24" s="175"/>
      <c r="BA24" s="175"/>
      <c r="BB24" s="175"/>
    </row>
    <row r="25" s="175" customFormat="1" ht="21" spans="1:21">
      <c r="A25" s="199"/>
      <c r="B25" s="199"/>
      <c r="C25" s="199"/>
      <c r="D25" s="199"/>
      <c r="E25" s="199"/>
      <c r="F25" s="199"/>
      <c r="G25" s="199"/>
      <c r="H25" s="199"/>
      <c r="I25" s="199"/>
      <c r="J25" s="199"/>
      <c r="K25" s="199"/>
      <c r="L25" s="199"/>
      <c r="M25" s="199"/>
      <c r="N25" s="199"/>
      <c r="P25" s="224" t="s">
        <v>62</v>
      </c>
      <c r="Q25" s="224"/>
      <c r="R25" s="224"/>
      <c r="S25" s="224"/>
      <c r="T25" s="224"/>
      <c r="U25" s="224"/>
    </row>
    <row r="26" s="175" customFormat="1" ht="12.95" customHeight="1" spans="1:26">
      <c r="A26" s="199" t="s">
        <v>63</v>
      </c>
      <c r="B26" s="199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199"/>
      <c r="Q26" s="199"/>
      <c r="R26" s="199"/>
      <c r="S26" s="199"/>
      <c r="T26" s="199"/>
      <c r="U26" s="199"/>
      <c r="V26" s="199"/>
      <c r="W26" s="199"/>
      <c r="X26" s="199"/>
      <c r="Y26" s="199"/>
      <c r="Z26" s="199"/>
    </row>
    <row r="27" s="175" customFormat="1" ht="12" customHeight="1" spans="1:26">
      <c r="A27" s="199"/>
      <c r="B27" s="199"/>
      <c r="C27" s="199"/>
      <c r="D27" s="199"/>
      <c r="E27" s="199"/>
      <c r="F27" s="199"/>
      <c r="G27" s="199"/>
      <c r="H27" s="199"/>
      <c r="I27" s="199"/>
      <c r="J27" s="199"/>
      <c r="K27" s="199"/>
      <c r="L27" s="199"/>
      <c r="M27" s="199"/>
      <c r="N27" s="199"/>
      <c r="O27" s="199"/>
      <c r="P27" s="199"/>
      <c r="Q27" s="199"/>
      <c r="R27" s="199"/>
      <c r="S27" s="199"/>
      <c r="T27" s="199"/>
      <c r="U27" s="199"/>
      <c r="V27" s="199"/>
      <c r="W27" s="199"/>
      <c r="X27" s="199"/>
      <c r="Y27" s="199"/>
      <c r="Z27" s="199"/>
    </row>
    <row r="28" s="175" customFormat="1" ht="16.5" spans="1:14">
      <c r="A28" s="200"/>
      <c r="B28" s="201"/>
      <c r="C28" s="201"/>
      <c r="D28" s="201"/>
      <c r="E28" s="201"/>
      <c r="F28" s="201"/>
      <c r="G28" s="201"/>
      <c r="H28" s="202"/>
      <c r="I28" s="202"/>
      <c r="J28" s="202"/>
      <c r="K28" s="202"/>
      <c r="L28" s="202"/>
      <c r="M28" s="202"/>
      <c r="N28" s="228"/>
    </row>
    <row r="29" s="175" customFormat="1" ht="16.5" spans="1:14">
      <c r="A29" s="200"/>
      <c r="B29" s="201"/>
      <c r="C29" s="201"/>
      <c r="D29" s="201"/>
      <c r="E29" s="201"/>
      <c r="F29" s="201"/>
      <c r="G29" s="201"/>
      <c r="H29" s="202"/>
      <c r="I29" s="202"/>
      <c r="J29" s="202"/>
      <c r="K29" s="202"/>
      <c r="L29" s="202"/>
      <c r="M29" s="202"/>
      <c r="N29" s="228"/>
    </row>
    <row r="30" s="175" customFormat="1" ht="16.5" spans="1:14">
      <c r="A30" s="200"/>
      <c r="B30" s="201"/>
      <c r="C30" s="201"/>
      <c r="D30" s="201"/>
      <c r="E30" s="201"/>
      <c r="F30" s="201"/>
      <c r="G30" s="201"/>
      <c r="H30" s="202"/>
      <c r="I30" s="202"/>
      <c r="J30" s="202"/>
      <c r="K30" s="202"/>
      <c r="L30" s="202"/>
      <c r="M30" s="202"/>
      <c r="N30" s="228"/>
    </row>
    <row r="31" s="175" customFormat="1" ht="16.5" spans="1:14">
      <c r="A31" s="200"/>
      <c r="B31" s="201"/>
      <c r="C31" s="201"/>
      <c r="D31" s="201"/>
      <c r="E31" s="201"/>
      <c r="F31" s="201"/>
      <c r="G31" s="201"/>
      <c r="H31" s="202"/>
      <c r="I31" s="202"/>
      <c r="J31" s="202"/>
      <c r="K31" s="202"/>
      <c r="L31" s="202"/>
      <c r="M31" s="202"/>
      <c r="N31" s="228"/>
    </row>
    <row r="32" s="175" customFormat="1" ht="16.5" spans="1:14">
      <c r="A32" s="200"/>
      <c r="B32" s="201"/>
      <c r="C32" s="201"/>
      <c r="D32" s="201"/>
      <c r="E32" s="201"/>
      <c r="F32" s="201"/>
      <c r="G32" s="201"/>
      <c r="H32" s="202"/>
      <c r="I32" s="202"/>
      <c r="J32" s="202"/>
      <c r="K32" s="202"/>
      <c r="L32" s="202"/>
      <c r="M32" s="202"/>
      <c r="N32" s="228"/>
    </row>
    <row r="33" s="175" customFormat="1" ht="16.5" spans="1:14">
      <c r="A33" s="200"/>
      <c r="B33" s="201"/>
      <c r="C33" s="201"/>
      <c r="D33" s="201"/>
      <c r="E33" s="201"/>
      <c r="F33" s="201"/>
      <c r="G33" s="201"/>
      <c r="H33" s="202"/>
      <c r="I33" s="202"/>
      <c r="J33" s="202"/>
      <c r="K33" s="202"/>
      <c r="L33" s="202"/>
      <c r="M33" s="202"/>
      <c r="N33" s="228"/>
    </row>
    <row r="34" s="175" customFormat="1" ht="16.5" spans="1:14">
      <c r="A34" s="200"/>
      <c r="B34" s="201"/>
      <c r="C34" s="201"/>
      <c r="D34" s="201"/>
      <c r="E34" s="201"/>
      <c r="F34" s="201"/>
      <c r="G34" s="201"/>
      <c r="H34" s="202"/>
      <c r="I34" s="202"/>
      <c r="J34" s="202"/>
      <c r="K34" s="202"/>
      <c r="L34" s="202"/>
      <c r="M34" s="202"/>
      <c r="N34" s="228"/>
    </row>
    <row r="35" s="175" customFormat="1" ht="16.5" spans="1:14">
      <c r="A35" s="200"/>
      <c r="B35" s="201"/>
      <c r="C35" s="201"/>
      <c r="D35" s="201"/>
      <c r="E35" s="201"/>
      <c r="F35" s="201"/>
      <c r="G35" s="201"/>
      <c r="H35" s="202"/>
      <c r="I35" s="202"/>
      <c r="J35" s="202"/>
      <c r="K35" s="202"/>
      <c r="L35" s="202"/>
      <c r="M35" s="202"/>
      <c r="N35" s="228"/>
    </row>
    <row r="36" s="175" customFormat="1" ht="16.5" spans="1:14">
      <c r="A36" s="200"/>
      <c r="B36" s="201"/>
      <c r="C36" s="201"/>
      <c r="D36" s="201"/>
      <c r="E36" s="201"/>
      <c r="F36" s="201"/>
      <c r="G36" s="201"/>
      <c r="H36" s="202"/>
      <c r="I36" s="202"/>
      <c r="J36" s="202"/>
      <c r="K36" s="202"/>
      <c r="L36" s="202"/>
      <c r="M36" s="202"/>
      <c r="N36" s="228"/>
    </row>
    <row r="37" s="175" customFormat="1" ht="16.5" spans="1:14">
      <c r="A37" s="200"/>
      <c r="B37" s="201"/>
      <c r="C37" s="201"/>
      <c r="D37" s="201"/>
      <c r="E37" s="201"/>
      <c r="F37" s="201"/>
      <c r="G37" s="201"/>
      <c r="H37" s="202"/>
      <c r="I37" s="202"/>
      <c r="J37" s="202"/>
      <c r="K37" s="202"/>
      <c r="L37" s="202"/>
      <c r="M37" s="202"/>
      <c r="N37" s="228"/>
    </row>
    <row r="38" s="175" customFormat="1" ht="16.5" spans="1:14">
      <c r="A38" s="200"/>
      <c r="B38" s="201"/>
      <c r="C38" s="201"/>
      <c r="D38" s="201"/>
      <c r="E38" s="201"/>
      <c r="F38" s="201"/>
      <c r="G38" s="201"/>
      <c r="H38" s="202"/>
      <c r="I38" s="202"/>
      <c r="J38" s="202"/>
      <c r="K38" s="202"/>
      <c r="L38" s="202"/>
      <c r="M38" s="202"/>
      <c r="N38" s="228"/>
    </row>
    <row r="39" s="175" customFormat="1" ht="16.5" spans="1:14">
      <c r="A39" s="200"/>
      <c r="B39" s="201"/>
      <c r="C39" s="201"/>
      <c r="D39" s="201"/>
      <c r="E39" s="201"/>
      <c r="F39" s="201"/>
      <c r="G39" s="201"/>
      <c r="H39" s="202"/>
      <c r="I39" s="202"/>
      <c r="J39" s="202"/>
      <c r="K39" s="202"/>
      <c r="L39" s="202"/>
      <c r="M39" s="202"/>
      <c r="N39" s="228"/>
    </row>
    <row r="40" s="175" customFormat="1" ht="18" customHeight="1" spans="1:14">
      <c r="A40" s="200"/>
      <c r="B40" s="201"/>
      <c r="C40" s="201"/>
      <c r="D40" s="201"/>
      <c r="E40" s="201"/>
      <c r="F40" s="201"/>
      <c r="G40" s="201"/>
      <c r="H40" s="202"/>
      <c r="I40" s="202"/>
      <c r="J40" s="202"/>
      <c r="K40" s="202"/>
      <c r="L40" s="202"/>
      <c r="M40" s="202"/>
      <c r="N40" s="228"/>
    </row>
    <row r="41" s="175" customFormat="1" ht="27.95" customHeight="1" spans="1:14">
      <c r="A41" s="200"/>
      <c r="B41" s="201"/>
      <c r="C41" s="201"/>
      <c r="D41" s="201"/>
      <c r="E41" s="201"/>
      <c r="F41" s="201"/>
      <c r="G41" s="201"/>
      <c r="H41" s="202"/>
      <c r="I41" s="202"/>
      <c r="J41" s="202"/>
      <c r="K41" s="202"/>
      <c r="L41" s="202"/>
      <c r="M41" s="202"/>
      <c r="N41" s="228"/>
    </row>
    <row r="42" s="175" customFormat="1" ht="24" customHeight="1" spans="8:8">
      <c r="H42" s="203"/>
    </row>
    <row r="43" s="175" customFormat="1" ht="24" customHeight="1" spans="8:8">
      <c r="H43" s="203"/>
    </row>
    <row r="44" s="175" customFormat="1" ht="24" customHeight="1" spans="8:8">
      <c r="H44" s="203"/>
    </row>
    <row r="45" s="176" customFormat="1" hidden="1" spans="2:2">
      <c r="B45" s="176" t="s">
        <v>64</v>
      </c>
    </row>
    <row r="46" s="176" customFormat="1" hidden="1" spans="2:3">
      <c r="B46" s="204" t="s">
        <v>65</v>
      </c>
      <c r="C46" s="176" t="s">
        <v>66</v>
      </c>
    </row>
    <row r="47" s="176" customFormat="1" hidden="1" spans="2:3">
      <c r="B47" s="176" t="s">
        <v>22</v>
      </c>
      <c r="C47" s="176">
        <v>256.12</v>
      </c>
    </row>
    <row r="48" s="176" customFormat="1" hidden="1" spans="2:3">
      <c r="B48" s="176" t="s">
        <v>67</v>
      </c>
      <c r="C48" s="176">
        <v>274.33</v>
      </c>
    </row>
    <row r="49" s="176" customFormat="1" hidden="1" spans="2:3">
      <c r="B49" s="176" t="s">
        <v>68</v>
      </c>
      <c r="C49" s="176">
        <v>288.78</v>
      </c>
    </row>
    <row r="50" s="176" customFormat="1" hidden="1" spans="2:3">
      <c r="B50" s="176" t="s">
        <v>69</v>
      </c>
      <c r="C50" s="176">
        <v>323.9</v>
      </c>
    </row>
    <row r="51" s="176" customFormat="1" hidden="1" spans="2:3">
      <c r="B51" s="176" t="s">
        <v>70</v>
      </c>
      <c r="C51" s="176">
        <v>343.88</v>
      </c>
    </row>
    <row r="52" s="176" customFormat="1" hidden="1" spans="2:3">
      <c r="B52" s="176" t="s">
        <v>71</v>
      </c>
      <c r="C52" s="176">
        <v>357.14</v>
      </c>
    </row>
    <row r="53" s="176" customFormat="1" hidden="1" spans="2:2">
      <c r="B53" s="176" t="s">
        <v>72</v>
      </c>
    </row>
    <row r="54" s="176" customFormat="1" hidden="1" spans="2:2">
      <c r="B54" s="176" t="s">
        <v>73</v>
      </c>
    </row>
    <row r="55" s="176" customFormat="1" hidden="1" spans="2:2">
      <c r="B55" s="176" t="s">
        <v>74</v>
      </c>
    </row>
    <row r="56" s="176" customFormat="1" hidden="1"/>
    <row r="57" s="176" customFormat="1" hidden="1" spans="1:1">
      <c r="A57" s="176">
        <f>1000*0.06+256.12</f>
        <v>316.12</v>
      </c>
    </row>
    <row r="58" s="176" customFormat="1" hidden="1" spans="1:1">
      <c r="A58" s="176">
        <f>1500*0.06+274.33</f>
        <v>364.33</v>
      </c>
    </row>
    <row r="59" s="176" customFormat="1" hidden="1" spans="1:1">
      <c r="A59" s="176">
        <f>2250*0.06+288.78</f>
        <v>423.78</v>
      </c>
    </row>
    <row r="60" s="176" customFormat="1" hidden="1" spans="1:1">
      <c r="A60" s="176">
        <f>2750*0.06+323.9</f>
        <v>488.9</v>
      </c>
    </row>
    <row r="61" s="176" customFormat="1" hidden="1" spans="1:1">
      <c r="A61" s="176">
        <f>3250*0.06+343.88</f>
        <v>538.88</v>
      </c>
    </row>
    <row r="62" s="176" customFormat="1" hidden="1" spans="1:1">
      <c r="A62" s="176">
        <f>3850*0.06+357.14</f>
        <v>588.14</v>
      </c>
    </row>
    <row r="63" s="176" customFormat="1"/>
    <row r="64" s="176" customFormat="1"/>
    <row r="65" s="176" customFormat="1"/>
    <row r="66" s="176" customFormat="1"/>
    <row r="67" s="176" customFormat="1"/>
    <row r="68" s="176" customFormat="1"/>
    <row r="69" s="176" customFormat="1"/>
    <row r="70" s="176" customFormat="1"/>
    <row r="71" s="176" customFormat="1"/>
    <row r="72" s="176" customFormat="1"/>
    <row r="73" s="176" customFormat="1"/>
    <row r="74" s="176" customFormat="1"/>
    <row r="75" s="176" customFormat="1"/>
    <row r="76" s="176" customFormat="1"/>
    <row r="77" s="176" customFormat="1"/>
    <row r="78" s="176" customFormat="1"/>
    <row r="79" s="176" customFormat="1"/>
    <row r="80" s="176" customFormat="1"/>
    <row r="81" s="176" customFormat="1"/>
    <row r="82" s="176" customFormat="1"/>
    <row r="83" s="176" customFormat="1"/>
    <row r="84" s="176" customFormat="1"/>
    <row r="85" s="176" customFormat="1"/>
    <row r="86" s="176" customFormat="1"/>
    <row r="87" s="176" customFormat="1"/>
    <row r="88" s="176" customFormat="1"/>
    <row r="89" s="176" customFormat="1"/>
    <row r="90" s="176" customFormat="1"/>
    <row r="91" s="176" customFormat="1"/>
    <row r="92" s="176" customFormat="1"/>
    <row r="93" s="176" customFormat="1"/>
    <row r="94" s="176" customFormat="1"/>
    <row r="95" s="176" customFormat="1"/>
    <row r="96" s="176" customFormat="1"/>
    <row r="97" s="176" customFormat="1"/>
    <row r="98" s="176" customFormat="1"/>
    <row r="99" s="176" customFormat="1"/>
    <row r="100" s="176" customFormat="1"/>
    <row r="101" s="176" customFormat="1"/>
    <row r="102" s="176" customFormat="1"/>
    <row r="103" s="176" customFormat="1"/>
    <row r="104" s="176" customFormat="1"/>
    <row r="105" s="176" customFormat="1"/>
    <row r="106" s="176" customFormat="1"/>
    <row r="107" s="176" customFormat="1"/>
    <row r="108" s="176" customFormat="1"/>
    <row r="109" s="176" customFormat="1"/>
    <row r="110" s="176" customFormat="1"/>
    <row r="111" s="176" customFormat="1"/>
    <row r="112" s="176" customFormat="1"/>
    <row r="113" s="176" customFormat="1"/>
    <row r="114" s="176" customFormat="1"/>
    <row r="115" s="176" customFormat="1"/>
    <row r="116" s="176" customFormat="1"/>
    <row r="117" s="176" customFormat="1"/>
    <row r="118" s="176" customFormat="1"/>
    <row r="119" s="176" customFormat="1"/>
    <row r="120" s="176" customFormat="1"/>
  </sheetData>
  <mergeCells count="42">
    <mergeCell ref="A1:N1"/>
    <mergeCell ref="P1:U1"/>
    <mergeCell ref="P22:U22"/>
    <mergeCell ref="B23:L23"/>
    <mergeCell ref="M23:N23"/>
    <mergeCell ref="P23:U23"/>
    <mergeCell ref="B24:L24"/>
    <mergeCell ref="M24:N24"/>
    <mergeCell ref="P24:U24"/>
    <mergeCell ref="P25:U25"/>
    <mergeCell ref="N2:N3"/>
    <mergeCell ref="V2:V4"/>
    <mergeCell ref="V5:V6"/>
    <mergeCell ref="V7:V9"/>
    <mergeCell ref="V10:V12"/>
    <mergeCell ref="V13:V14"/>
    <mergeCell ref="V15:V17"/>
    <mergeCell ref="V18:V19"/>
    <mergeCell ref="W3:W4"/>
    <mergeCell ref="A26:Z27"/>
    <mergeCell ref="A2:M3"/>
    <mergeCell ref="P2:Q4"/>
    <mergeCell ref="R2:S4"/>
    <mergeCell ref="T2:U4"/>
    <mergeCell ref="P5:Q6"/>
    <mergeCell ref="R5:S6"/>
    <mergeCell ref="T5:U6"/>
    <mergeCell ref="P7:Q9"/>
    <mergeCell ref="R7:S9"/>
    <mergeCell ref="T7:U9"/>
    <mergeCell ref="P10:Q12"/>
    <mergeCell ref="R10:S12"/>
    <mergeCell ref="T10:U12"/>
    <mergeCell ref="P18:Q19"/>
    <mergeCell ref="R18:S19"/>
    <mergeCell ref="T18:U19"/>
    <mergeCell ref="P13:Q14"/>
    <mergeCell ref="R13:S14"/>
    <mergeCell ref="T13:U14"/>
    <mergeCell ref="P15:Q17"/>
    <mergeCell ref="R15:S17"/>
    <mergeCell ref="T15:U17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8"/>
  <sheetViews>
    <sheetView tabSelected="1" workbookViewId="0">
      <selection activeCell="A30" sqref="A30:E30"/>
    </sheetView>
  </sheetViews>
  <sheetFormatPr defaultColWidth="9" defaultRowHeight="13.5"/>
  <cols>
    <col min="1" max="1" width="9.25" customWidth="1"/>
    <col min="2" max="2" width="7.5" customWidth="1"/>
    <col min="3" max="3" width="7.375" customWidth="1"/>
    <col min="5" max="5" width="16.625" customWidth="1"/>
    <col min="6" max="6" width="5.25" customWidth="1"/>
    <col min="11" max="11" width="18.25" customWidth="1"/>
    <col min="17" max="17" width="22.75" customWidth="1"/>
  </cols>
  <sheetData>
    <row r="1" ht="25" customHeight="1" spans="1:17">
      <c r="A1" s="103" t="s">
        <v>75</v>
      </c>
      <c r="B1" s="103"/>
      <c r="C1" s="103"/>
      <c r="D1" s="103"/>
      <c r="E1" s="103"/>
      <c r="G1" s="104" t="s">
        <v>76</v>
      </c>
      <c r="H1" s="104"/>
      <c r="I1" s="104"/>
      <c r="J1" s="104"/>
      <c r="K1" s="104"/>
      <c r="M1" s="104" t="s">
        <v>77</v>
      </c>
      <c r="N1" s="104"/>
      <c r="O1" s="104"/>
      <c r="P1" s="104"/>
      <c r="Q1" s="104"/>
    </row>
    <row r="2" ht="21" customHeight="1" spans="1:17">
      <c r="A2" s="105" t="s">
        <v>78</v>
      </c>
      <c r="B2" s="106" t="s">
        <v>79</v>
      </c>
      <c r="C2" s="107"/>
      <c r="D2" s="108" t="s">
        <v>80</v>
      </c>
      <c r="E2" s="109" t="s">
        <v>81</v>
      </c>
      <c r="G2" s="105" t="s">
        <v>78</v>
      </c>
      <c r="H2" s="106" t="s">
        <v>82</v>
      </c>
      <c r="I2" s="107"/>
      <c r="J2" s="108" t="s">
        <v>80</v>
      </c>
      <c r="K2" s="109" t="s">
        <v>81</v>
      </c>
      <c r="M2" s="105" t="s">
        <v>78</v>
      </c>
      <c r="N2" s="106" t="s">
        <v>83</v>
      </c>
      <c r="O2" s="107"/>
      <c r="P2" s="108" t="s">
        <v>80</v>
      </c>
      <c r="Q2" s="109" t="s">
        <v>81</v>
      </c>
    </row>
    <row r="3" ht="21" customHeight="1" spans="1:17">
      <c r="A3" s="110" t="s">
        <v>84</v>
      </c>
      <c r="B3" s="111" t="s">
        <v>85</v>
      </c>
      <c r="C3" s="112"/>
      <c r="D3" s="113" t="s">
        <v>86</v>
      </c>
      <c r="E3" s="114" t="s">
        <v>87</v>
      </c>
      <c r="G3" s="110" t="s">
        <v>84</v>
      </c>
      <c r="H3" s="115" t="s">
        <v>88</v>
      </c>
      <c r="I3" s="152"/>
      <c r="J3" s="113" t="s">
        <v>86</v>
      </c>
      <c r="K3" s="114" t="s">
        <v>89</v>
      </c>
      <c r="M3" s="110" t="s">
        <v>84</v>
      </c>
      <c r="N3" s="115" t="s">
        <v>85</v>
      </c>
      <c r="O3" s="152"/>
      <c r="P3" s="113" t="s">
        <v>86</v>
      </c>
      <c r="Q3" s="114" t="s">
        <v>90</v>
      </c>
    </row>
    <row r="4" ht="21" customHeight="1" spans="1:17">
      <c r="A4" s="110" t="s">
        <v>91</v>
      </c>
      <c r="B4" s="116" t="s">
        <v>92</v>
      </c>
      <c r="C4" s="117"/>
      <c r="D4" s="113" t="s">
        <v>93</v>
      </c>
      <c r="E4" s="114">
        <v>20230927</v>
      </c>
      <c r="G4" s="110" t="s">
        <v>91</v>
      </c>
      <c r="H4" s="116" t="s">
        <v>94</v>
      </c>
      <c r="I4" s="117"/>
      <c r="J4" s="113" t="s">
        <v>93</v>
      </c>
      <c r="K4" s="114">
        <v>20230829</v>
      </c>
      <c r="M4" s="110" t="s">
        <v>91</v>
      </c>
      <c r="N4" s="116" t="s">
        <v>95</v>
      </c>
      <c r="O4" s="117"/>
      <c r="P4" s="113" t="s">
        <v>93</v>
      </c>
      <c r="Q4" s="114">
        <v>20230713</v>
      </c>
    </row>
    <row r="5" ht="21" customHeight="1" spans="1:17">
      <c r="A5" s="118" t="s">
        <v>96</v>
      </c>
      <c r="B5" s="119"/>
      <c r="C5" s="119" t="s">
        <v>97</v>
      </c>
      <c r="D5" s="119"/>
      <c r="E5" s="120"/>
      <c r="G5" s="121" t="s">
        <v>98</v>
      </c>
      <c r="H5" s="122"/>
      <c r="I5" s="133" t="s">
        <v>97</v>
      </c>
      <c r="J5" s="134"/>
      <c r="K5" s="135"/>
      <c r="M5" s="121" t="s">
        <v>98</v>
      </c>
      <c r="N5" s="122"/>
      <c r="O5" s="133" t="s">
        <v>97</v>
      </c>
      <c r="P5" s="134"/>
      <c r="Q5" s="135"/>
    </row>
    <row r="6" ht="21" customHeight="1" spans="1:17">
      <c r="A6" s="123" t="s">
        <v>99</v>
      </c>
      <c r="B6" s="124"/>
      <c r="C6" s="124" t="s">
        <v>100</v>
      </c>
      <c r="D6" s="124"/>
      <c r="E6" s="125"/>
      <c r="G6" s="126" t="s">
        <v>101</v>
      </c>
      <c r="H6" s="127"/>
      <c r="I6" s="153" t="s">
        <v>102</v>
      </c>
      <c r="J6" s="154"/>
      <c r="K6" s="155"/>
      <c r="M6" s="126" t="s">
        <v>103</v>
      </c>
      <c r="N6" s="127"/>
      <c r="O6" s="153" t="s">
        <v>104</v>
      </c>
      <c r="P6" s="154"/>
      <c r="Q6" s="155"/>
    </row>
    <row r="7" ht="21" customHeight="1" spans="1:17">
      <c r="A7" s="123" t="s">
        <v>105</v>
      </c>
      <c r="B7" s="124"/>
      <c r="C7" s="124" t="s">
        <v>104</v>
      </c>
      <c r="D7" s="124"/>
      <c r="E7" s="125"/>
      <c r="G7" s="118" t="s">
        <v>96</v>
      </c>
      <c r="H7" s="119"/>
      <c r="I7" s="119" t="s">
        <v>97</v>
      </c>
      <c r="J7" s="119"/>
      <c r="K7" s="120"/>
      <c r="M7" s="118" t="s">
        <v>96</v>
      </c>
      <c r="N7" s="119"/>
      <c r="O7" s="119" t="s">
        <v>97</v>
      </c>
      <c r="P7" s="119"/>
      <c r="Q7" s="120"/>
    </row>
    <row r="8" ht="34" customHeight="1" spans="1:17">
      <c r="A8" s="128" t="s">
        <v>106</v>
      </c>
      <c r="B8" s="129"/>
      <c r="C8" s="129" t="s">
        <v>104</v>
      </c>
      <c r="D8" s="129"/>
      <c r="E8" s="130"/>
      <c r="G8" s="123" t="s">
        <v>107</v>
      </c>
      <c r="H8" s="124"/>
      <c r="I8" s="156" t="s">
        <v>108</v>
      </c>
      <c r="J8" s="156"/>
      <c r="K8" s="157"/>
      <c r="M8" s="139" t="s">
        <v>109</v>
      </c>
      <c r="N8" s="140"/>
      <c r="O8" s="156" t="s">
        <v>110</v>
      </c>
      <c r="P8" s="156"/>
      <c r="Q8" s="157"/>
    </row>
    <row r="9" ht="32" customHeight="1" spans="1:17">
      <c r="A9" s="131" t="s">
        <v>111</v>
      </c>
      <c r="B9" s="131"/>
      <c r="C9" s="131"/>
      <c r="D9" s="131"/>
      <c r="E9" s="131"/>
      <c r="G9" s="128" t="s">
        <v>112</v>
      </c>
      <c r="H9" s="129"/>
      <c r="I9" s="158" t="s">
        <v>108</v>
      </c>
      <c r="J9" s="158"/>
      <c r="K9" s="159"/>
      <c r="M9" s="139" t="s">
        <v>113</v>
      </c>
      <c r="N9" s="140"/>
      <c r="O9" s="156" t="s">
        <v>114</v>
      </c>
      <c r="P9" s="156"/>
      <c r="Q9" s="157"/>
    </row>
    <row r="10" ht="22" customHeight="1" spans="1:17">
      <c r="A10" s="105" t="s">
        <v>78</v>
      </c>
      <c r="B10" s="106" t="s">
        <v>79</v>
      </c>
      <c r="C10" s="107"/>
      <c r="D10" s="108" t="s">
        <v>80</v>
      </c>
      <c r="E10" s="109" t="s">
        <v>81</v>
      </c>
      <c r="G10" s="132" t="s">
        <v>115</v>
      </c>
      <c r="H10" s="132"/>
      <c r="I10" s="132"/>
      <c r="J10" s="132"/>
      <c r="K10" s="132"/>
      <c r="M10" s="139" t="s">
        <v>116</v>
      </c>
      <c r="N10" s="140"/>
      <c r="O10" s="156" t="s">
        <v>114</v>
      </c>
      <c r="P10" s="156"/>
      <c r="Q10" s="157"/>
    </row>
    <row r="11" ht="19" customHeight="1" spans="1:17">
      <c r="A11" s="110" t="s">
        <v>84</v>
      </c>
      <c r="B11" s="111" t="s">
        <v>88</v>
      </c>
      <c r="C11" s="112"/>
      <c r="D11" s="113" t="s">
        <v>86</v>
      </c>
      <c r="E11" s="114" t="s">
        <v>117</v>
      </c>
      <c r="G11" s="105" t="s">
        <v>78</v>
      </c>
      <c r="H11" s="106" t="s">
        <v>82</v>
      </c>
      <c r="I11" s="107"/>
      <c r="J11" s="108" t="s">
        <v>80</v>
      </c>
      <c r="K11" s="109" t="s">
        <v>81</v>
      </c>
      <c r="M11" s="124" t="s">
        <v>118</v>
      </c>
      <c r="N11" s="124"/>
      <c r="O11" s="156" t="s">
        <v>114</v>
      </c>
      <c r="P11" s="156"/>
      <c r="Q11" s="156"/>
    </row>
    <row r="12" ht="26" customHeight="1" spans="1:17">
      <c r="A12" s="110" t="s">
        <v>91</v>
      </c>
      <c r="B12" s="116" t="s">
        <v>119</v>
      </c>
      <c r="C12" s="117"/>
      <c r="D12" s="113" t="s">
        <v>93</v>
      </c>
      <c r="E12" s="114">
        <v>20230927</v>
      </c>
      <c r="G12" s="110" t="s">
        <v>84</v>
      </c>
      <c r="H12" s="111" t="s">
        <v>85</v>
      </c>
      <c r="I12" s="112"/>
      <c r="J12" s="113" t="s">
        <v>86</v>
      </c>
      <c r="K12" s="114" t="s">
        <v>120</v>
      </c>
      <c r="M12" s="124" t="s">
        <v>121</v>
      </c>
      <c r="N12" s="124"/>
      <c r="O12" s="156" t="s">
        <v>122</v>
      </c>
      <c r="P12" s="156"/>
      <c r="Q12" s="156"/>
    </row>
    <row r="13" ht="29" customHeight="1" spans="1:17">
      <c r="A13" s="121" t="s">
        <v>98</v>
      </c>
      <c r="B13" s="122"/>
      <c r="C13" s="133" t="s">
        <v>97</v>
      </c>
      <c r="D13" s="134"/>
      <c r="E13" s="135"/>
      <c r="G13" s="110" t="s">
        <v>91</v>
      </c>
      <c r="H13" s="116" t="s">
        <v>123</v>
      </c>
      <c r="I13" s="117"/>
      <c r="J13" s="113" t="s">
        <v>93</v>
      </c>
      <c r="K13" s="114">
        <v>20230829</v>
      </c>
      <c r="M13" s="124" t="s">
        <v>124</v>
      </c>
      <c r="N13" s="124"/>
      <c r="O13" s="156" t="s">
        <v>122</v>
      </c>
      <c r="P13" s="156"/>
      <c r="Q13" s="156"/>
    </row>
    <row r="14" ht="30" customHeight="1" spans="1:17">
      <c r="A14" s="126" t="s">
        <v>125</v>
      </c>
      <c r="B14" s="127"/>
      <c r="C14" s="136" t="s">
        <v>104</v>
      </c>
      <c r="D14" s="137"/>
      <c r="E14" s="138"/>
      <c r="G14" s="121" t="s">
        <v>98</v>
      </c>
      <c r="H14" s="122"/>
      <c r="I14" s="133" t="s">
        <v>97</v>
      </c>
      <c r="J14" s="134"/>
      <c r="K14" s="135"/>
      <c r="M14" s="132" t="s">
        <v>126</v>
      </c>
      <c r="N14" s="132"/>
      <c r="O14" s="132"/>
      <c r="P14" s="132"/>
      <c r="Q14" s="132"/>
    </row>
    <row r="15" ht="19" customHeight="1" spans="1:17">
      <c r="A15" s="118" t="s">
        <v>96</v>
      </c>
      <c r="B15" s="119"/>
      <c r="C15" s="119" t="s">
        <v>97</v>
      </c>
      <c r="D15" s="119"/>
      <c r="E15" s="120"/>
      <c r="G15" s="126" t="s">
        <v>127</v>
      </c>
      <c r="H15" s="127"/>
      <c r="I15" s="153" t="s">
        <v>104</v>
      </c>
      <c r="J15" s="154"/>
      <c r="K15" s="155"/>
      <c r="M15" s="105" t="s">
        <v>78</v>
      </c>
      <c r="N15" s="106" t="s">
        <v>83</v>
      </c>
      <c r="O15" s="107"/>
      <c r="P15" s="108" t="s">
        <v>80</v>
      </c>
      <c r="Q15" s="109" t="s">
        <v>81</v>
      </c>
    </row>
    <row r="16" ht="19" customHeight="1" spans="1:17">
      <c r="A16" s="123" t="s">
        <v>128</v>
      </c>
      <c r="B16" s="124"/>
      <c r="C16" s="124" t="s">
        <v>129</v>
      </c>
      <c r="D16" s="124"/>
      <c r="E16" s="125"/>
      <c r="G16" s="126" t="s">
        <v>130</v>
      </c>
      <c r="H16" s="127"/>
      <c r="I16" s="153" t="s">
        <v>104</v>
      </c>
      <c r="J16" s="154"/>
      <c r="K16" s="155"/>
      <c r="M16" s="110" t="s">
        <v>84</v>
      </c>
      <c r="N16" s="115" t="s">
        <v>131</v>
      </c>
      <c r="O16" s="152"/>
      <c r="P16" s="113" t="s">
        <v>86</v>
      </c>
      <c r="Q16" s="114" t="s">
        <v>132</v>
      </c>
    </row>
    <row r="17" ht="19" customHeight="1" spans="1:19">
      <c r="A17" s="123" t="s">
        <v>133</v>
      </c>
      <c r="B17" s="124"/>
      <c r="C17" s="124" t="s">
        <v>134</v>
      </c>
      <c r="D17" s="124"/>
      <c r="E17" s="125"/>
      <c r="G17" s="118" t="s">
        <v>96</v>
      </c>
      <c r="H17" s="119"/>
      <c r="I17" s="119" t="s">
        <v>97</v>
      </c>
      <c r="J17" s="119"/>
      <c r="K17" s="120"/>
      <c r="M17" s="110" t="s">
        <v>91</v>
      </c>
      <c r="N17" s="116" t="s">
        <v>132</v>
      </c>
      <c r="O17" s="117"/>
      <c r="P17" s="113" t="s">
        <v>93</v>
      </c>
      <c r="Q17" s="114">
        <v>20231110</v>
      </c>
      <c r="R17" s="169"/>
      <c r="S17" s="169"/>
    </row>
    <row r="18" ht="19" customHeight="1" spans="1:19">
      <c r="A18" s="123" t="s">
        <v>135</v>
      </c>
      <c r="B18" s="124"/>
      <c r="C18" s="124" t="s">
        <v>129</v>
      </c>
      <c r="D18" s="124"/>
      <c r="E18" s="125"/>
      <c r="G18" s="128" t="s">
        <v>136</v>
      </c>
      <c r="H18" s="129"/>
      <c r="I18" s="160" t="s">
        <v>104</v>
      </c>
      <c r="J18" s="160"/>
      <c r="K18" s="161"/>
      <c r="M18" s="121" t="s">
        <v>98</v>
      </c>
      <c r="N18" s="122"/>
      <c r="O18" s="133" t="s">
        <v>97</v>
      </c>
      <c r="P18" s="134"/>
      <c r="Q18" s="135"/>
      <c r="R18" s="169"/>
      <c r="S18" s="169"/>
    </row>
    <row r="19" ht="19" customHeight="1" spans="1:19">
      <c r="A19" s="123" t="s">
        <v>137</v>
      </c>
      <c r="B19" s="124"/>
      <c r="C19" s="124" t="s">
        <v>134</v>
      </c>
      <c r="D19" s="124"/>
      <c r="E19" s="125"/>
      <c r="G19" s="104" t="s">
        <v>138</v>
      </c>
      <c r="H19" s="104"/>
      <c r="I19" s="104"/>
      <c r="J19" s="104"/>
      <c r="K19" s="104"/>
      <c r="M19" s="126" t="s">
        <v>139</v>
      </c>
      <c r="N19" s="127"/>
      <c r="O19" s="153" t="s">
        <v>140</v>
      </c>
      <c r="P19" s="154"/>
      <c r="Q19" s="155"/>
      <c r="R19" s="169"/>
      <c r="S19" s="169"/>
    </row>
    <row r="20" ht="19" customHeight="1" spans="1:19">
      <c r="A20" s="139" t="s">
        <v>141</v>
      </c>
      <c r="B20" s="140"/>
      <c r="C20" s="124" t="s">
        <v>142</v>
      </c>
      <c r="D20" s="124"/>
      <c r="E20" s="125"/>
      <c r="G20" s="141" t="s">
        <v>78</v>
      </c>
      <c r="H20" s="142" t="s">
        <v>82</v>
      </c>
      <c r="I20" s="162"/>
      <c r="J20" s="113" t="s">
        <v>80</v>
      </c>
      <c r="K20" s="113" t="s">
        <v>81</v>
      </c>
      <c r="M20" s="126" t="s">
        <v>143</v>
      </c>
      <c r="N20" s="127"/>
      <c r="O20" s="153" t="s">
        <v>144</v>
      </c>
      <c r="P20" s="154"/>
      <c r="Q20" s="155"/>
      <c r="R20" s="169"/>
      <c r="S20" s="169"/>
    </row>
    <row r="21" ht="19" customHeight="1" spans="1:19">
      <c r="A21" s="139" t="s">
        <v>145</v>
      </c>
      <c r="B21" s="140"/>
      <c r="C21" s="124" t="s">
        <v>146</v>
      </c>
      <c r="D21" s="124"/>
      <c r="E21" s="125"/>
      <c r="G21" s="141" t="s">
        <v>84</v>
      </c>
      <c r="H21" s="115" t="s">
        <v>88</v>
      </c>
      <c r="I21" s="152"/>
      <c r="J21" s="113" t="s">
        <v>86</v>
      </c>
      <c r="K21" s="113" t="s">
        <v>147</v>
      </c>
      <c r="M21" s="126" t="s">
        <v>148</v>
      </c>
      <c r="N21" s="127"/>
      <c r="O21" s="153" t="s">
        <v>149</v>
      </c>
      <c r="P21" s="154"/>
      <c r="Q21" s="155"/>
      <c r="R21" s="169"/>
      <c r="S21" s="169"/>
    </row>
    <row r="22" ht="19" customHeight="1" spans="1:19">
      <c r="A22" s="143" t="s">
        <v>150</v>
      </c>
      <c r="B22" s="144"/>
      <c r="C22" s="129" t="s">
        <v>151</v>
      </c>
      <c r="D22" s="129"/>
      <c r="E22" s="130"/>
      <c r="G22" s="141" t="s">
        <v>91</v>
      </c>
      <c r="H22" s="116" t="s">
        <v>152</v>
      </c>
      <c r="I22" s="117"/>
      <c r="J22" s="113" t="s">
        <v>93</v>
      </c>
      <c r="K22" s="113">
        <v>20230829</v>
      </c>
      <c r="M22" s="119" t="s">
        <v>96</v>
      </c>
      <c r="N22" s="119"/>
      <c r="O22" s="119" t="s">
        <v>97</v>
      </c>
      <c r="P22" s="119"/>
      <c r="Q22" s="120"/>
      <c r="R22" s="169"/>
      <c r="S22" s="169"/>
    </row>
    <row r="23" ht="14.25" spans="1:19">
      <c r="A23" s="145"/>
      <c r="B23" s="145"/>
      <c r="C23" s="145"/>
      <c r="D23" s="145"/>
      <c r="E23" s="145"/>
      <c r="G23" s="146" t="s">
        <v>98</v>
      </c>
      <c r="H23" s="122"/>
      <c r="I23" s="133" t="s">
        <v>97</v>
      </c>
      <c r="J23" s="134"/>
      <c r="K23" s="163"/>
      <c r="M23" s="164" t="s">
        <v>153</v>
      </c>
      <c r="N23" s="164"/>
      <c r="O23" s="156" t="s">
        <v>154</v>
      </c>
      <c r="P23" s="156"/>
      <c r="Q23" s="157"/>
      <c r="R23" s="169"/>
      <c r="S23" s="169"/>
    </row>
    <row r="24" ht="20" customHeight="1" spans="7:19">
      <c r="G24" s="147" t="s">
        <v>155</v>
      </c>
      <c r="H24" s="127"/>
      <c r="I24" s="153" t="s">
        <v>156</v>
      </c>
      <c r="J24" s="154"/>
      <c r="K24" s="165"/>
      <c r="M24" s="164" t="s">
        <v>157</v>
      </c>
      <c r="N24" s="164"/>
      <c r="O24" s="156" t="s">
        <v>158</v>
      </c>
      <c r="P24" s="156"/>
      <c r="Q24" s="157"/>
      <c r="R24" s="169"/>
      <c r="S24" s="169"/>
    </row>
    <row r="25" ht="20" customHeight="1" spans="7:19">
      <c r="G25" s="147" t="s">
        <v>159</v>
      </c>
      <c r="H25" s="127"/>
      <c r="I25" s="153" t="s">
        <v>160</v>
      </c>
      <c r="J25" s="154"/>
      <c r="K25" s="165"/>
      <c r="M25" s="166"/>
      <c r="N25" s="166"/>
      <c r="O25" s="167"/>
      <c r="P25" s="168"/>
      <c r="Q25" s="168"/>
      <c r="R25" s="169"/>
      <c r="S25" s="169"/>
    </row>
    <row r="26" ht="33" customHeight="1" spans="1:19">
      <c r="A26" s="148" t="s">
        <v>161</v>
      </c>
      <c r="B26" s="148"/>
      <c r="C26" s="149" t="s">
        <v>162</v>
      </c>
      <c r="D26" s="150" t="s">
        <v>163</v>
      </c>
      <c r="E26" s="150"/>
      <c r="G26" s="147" t="s">
        <v>147</v>
      </c>
      <c r="H26" s="127"/>
      <c r="I26" s="153" t="s">
        <v>164</v>
      </c>
      <c r="J26" s="154"/>
      <c r="K26" s="165"/>
      <c r="P26" s="169"/>
      <c r="Q26" s="169"/>
      <c r="R26" s="169"/>
      <c r="S26" s="169"/>
    </row>
    <row r="27" ht="23" customHeight="1" spans="1:19">
      <c r="A27" s="148" t="s">
        <v>165</v>
      </c>
      <c r="B27" s="148"/>
      <c r="C27" s="149" t="s">
        <v>162</v>
      </c>
      <c r="D27" s="150" t="s">
        <v>166</v>
      </c>
      <c r="E27" s="150"/>
      <c r="G27" s="147" t="s">
        <v>167</v>
      </c>
      <c r="H27" s="127"/>
      <c r="I27" s="153" t="s">
        <v>168</v>
      </c>
      <c r="J27" s="154"/>
      <c r="K27" s="165"/>
      <c r="P27" s="169"/>
      <c r="Q27" s="169"/>
      <c r="R27" s="169"/>
      <c r="S27" s="169"/>
    </row>
    <row r="28" ht="27" customHeight="1" spans="1:19">
      <c r="A28" s="148" t="s">
        <v>169</v>
      </c>
      <c r="B28" s="148"/>
      <c r="C28" s="149" t="s">
        <v>162</v>
      </c>
      <c r="D28" s="150" t="s">
        <v>170</v>
      </c>
      <c r="E28" s="150"/>
      <c r="G28" s="147" t="s">
        <v>171</v>
      </c>
      <c r="H28" s="127"/>
      <c r="I28" s="153" t="s">
        <v>172</v>
      </c>
      <c r="J28" s="154"/>
      <c r="K28" s="165"/>
      <c r="M28" s="166"/>
      <c r="N28" s="166"/>
      <c r="O28" s="167"/>
      <c r="P28" s="168"/>
      <c r="Q28" s="168"/>
      <c r="R28" s="170"/>
      <c r="S28" s="169"/>
    </row>
    <row r="29" ht="30" customHeight="1" spans="1:19">
      <c r="A29" s="148" t="s">
        <v>173</v>
      </c>
      <c r="B29" s="148"/>
      <c r="C29" s="149" t="s">
        <v>162</v>
      </c>
      <c r="D29" s="150" t="s">
        <v>174</v>
      </c>
      <c r="E29" s="150"/>
      <c r="G29" s="147" t="s">
        <v>175</v>
      </c>
      <c r="H29" s="127"/>
      <c r="I29" s="153" t="s">
        <v>164</v>
      </c>
      <c r="J29" s="154"/>
      <c r="K29" s="165"/>
      <c r="M29" s="166"/>
      <c r="N29" s="166"/>
      <c r="O29" s="167"/>
      <c r="P29" s="168"/>
      <c r="Q29" s="168"/>
      <c r="R29" s="170"/>
      <c r="S29" s="169"/>
    </row>
    <row r="30" ht="31" customHeight="1" spans="1:18">
      <c r="A30" s="26" t="s">
        <v>176</v>
      </c>
      <c r="B30" s="26"/>
      <c r="C30" s="26"/>
      <c r="D30" s="26"/>
      <c r="E30" s="26"/>
      <c r="G30" s="147" t="s">
        <v>177</v>
      </c>
      <c r="H30" s="127"/>
      <c r="I30" s="153" t="s">
        <v>178</v>
      </c>
      <c r="J30" s="154"/>
      <c r="K30" s="165"/>
      <c r="M30" s="166"/>
      <c r="N30" s="166"/>
      <c r="O30" s="167"/>
      <c r="P30" s="170"/>
      <c r="Q30" s="170"/>
      <c r="R30" s="170"/>
    </row>
    <row r="31" ht="33" customHeight="1" spans="7:18">
      <c r="G31" s="147" t="s">
        <v>179</v>
      </c>
      <c r="H31" s="127"/>
      <c r="I31" s="153" t="s">
        <v>172</v>
      </c>
      <c r="J31" s="154"/>
      <c r="K31" s="165"/>
      <c r="M31" s="166"/>
      <c r="N31" s="166"/>
      <c r="O31" s="167"/>
      <c r="P31" s="170"/>
      <c r="Q31" s="170"/>
      <c r="R31" s="170"/>
    </row>
    <row r="32" ht="30" customHeight="1" spans="7:18">
      <c r="G32" s="119" t="s">
        <v>96</v>
      </c>
      <c r="H32" s="119"/>
      <c r="I32" s="119" t="s">
        <v>97</v>
      </c>
      <c r="J32" s="119"/>
      <c r="K32" s="119"/>
      <c r="M32" s="171"/>
      <c r="N32" s="171"/>
      <c r="O32" s="167"/>
      <c r="P32" s="168"/>
      <c r="Q32" s="168"/>
      <c r="R32" s="170"/>
    </row>
    <row r="33" ht="30" customHeight="1" spans="7:18">
      <c r="G33" s="124" t="s">
        <v>180</v>
      </c>
      <c r="H33" s="124"/>
      <c r="I33" s="156" t="s">
        <v>104</v>
      </c>
      <c r="J33" s="156"/>
      <c r="K33" s="156"/>
      <c r="M33" s="171"/>
      <c r="N33" s="171"/>
      <c r="O33" s="167"/>
      <c r="P33" s="168"/>
      <c r="Q33" s="168"/>
      <c r="R33" s="170"/>
    </row>
    <row r="34" ht="36" customHeight="1" spans="7:18">
      <c r="G34" s="151" t="s">
        <v>181</v>
      </c>
      <c r="H34" s="140"/>
      <c r="I34" s="172" t="s">
        <v>164</v>
      </c>
      <c r="J34" s="173"/>
      <c r="K34" s="174"/>
      <c r="M34" s="167"/>
      <c r="N34" s="167"/>
      <c r="O34" s="167"/>
      <c r="P34" s="167"/>
      <c r="Q34" s="167"/>
      <c r="R34" s="167"/>
    </row>
    <row r="35" ht="36" customHeight="1" spans="7:11">
      <c r="G35" s="151" t="s">
        <v>182</v>
      </c>
      <c r="H35" s="140"/>
      <c r="I35" s="172" t="s">
        <v>183</v>
      </c>
      <c r="J35" s="173"/>
      <c r="K35" s="174"/>
    </row>
    <row r="36" ht="34" customHeight="1" spans="7:11">
      <c r="G36" s="151" t="s">
        <v>184</v>
      </c>
      <c r="H36" s="140"/>
      <c r="I36" s="172" t="s">
        <v>185</v>
      </c>
      <c r="J36" s="173"/>
      <c r="K36" s="174"/>
    </row>
    <row r="37" ht="29" customHeight="1" spans="7:11">
      <c r="G37" s="151" t="s">
        <v>186</v>
      </c>
      <c r="H37" s="140"/>
      <c r="I37" s="172" t="s">
        <v>183</v>
      </c>
      <c r="J37" s="173"/>
      <c r="K37" s="174"/>
    </row>
    <row r="38" ht="29" customHeight="1" spans="7:11">
      <c r="G38" s="151" t="s">
        <v>187</v>
      </c>
      <c r="H38" s="140"/>
      <c r="I38" s="172" t="s">
        <v>185</v>
      </c>
      <c r="J38" s="173"/>
      <c r="K38" s="174"/>
    </row>
  </sheetData>
  <mergeCells count="164">
    <mergeCell ref="A1:E1"/>
    <mergeCell ref="G1:K1"/>
    <mergeCell ref="M1:Q1"/>
    <mergeCell ref="B2:C2"/>
    <mergeCell ref="H2:I2"/>
    <mergeCell ref="N2:O2"/>
    <mergeCell ref="B3:C3"/>
    <mergeCell ref="H3:I3"/>
    <mergeCell ref="N3:O3"/>
    <mergeCell ref="B4:C4"/>
    <mergeCell ref="H4:I4"/>
    <mergeCell ref="N4:O4"/>
    <mergeCell ref="A5:B5"/>
    <mergeCell ref="C5:E5"/>
    <mergeCell ref="G5:H5"/>
    <mergeCell ref="I5:K5"/>
    <mergeCell ref="M5:N5"/>
    <mergeCell ref="O5:Q5"/>
    <mergeCell ref="A6:B6"/>
    <mergeCell ref="C6:E6"/>
    <mergeCell ref="G6:H6"/>
    <mergeCell ref="I6:K6"/>
    <mergeCell ref="M6:N6"/>
    <mergeCell ref="O6:Q6"/>
    <mergeCell ref="A7:B7"/>
    <mergeCell ref="C7:E7"/>
    <mergeCell ref="G7:H7"/>
    <mergeCell ref="I7:K7"/>
    <mergeCell ref="M7:N7"/>
    <mergeCell ref="O7:Q7"/>
    <mergeCell ref="A8:B8"/>
    <mergeCell ref="C8:E8"/>
    <mergeCell ref="G8:H8"/>
    <mergeCell ref="I8:K8"/>
    <mergeCell ref="M8:N8"/>
    <mergeCell ref="O8:Q8"/>
    <mergeCell ref="A9:E9"/>
    <mergeCell ref="G9:H9"/>
    <mergeCell ref="I9:K9"/>
    <mergeCell ref="M9:N9"/>
    <mergeCell ref="O9:Q9"/>
    <mergeCell ref="B10:C10"/>
    <mergeCell ref="G10:K10"/>
    <mergeCell ref="M10:N10"/>
    <mergeCell ref="O10:Q10"/>
    <mergeCell ref="B11:C11"/>
    <mergeCell ref="H11:I11"/>
    <mergeCell ref="M11:N11"/>
    <mergeCell ref="O11:Q11"/>
    <mergeCell ref="B12:C12"/>
    <mergeCell ref="H12:I12"/>
    <mergeCell ref="M12:N12"/>
    <mergeCell ref="O12:Q12"/>
    <mergeCell ref="A13:B13"/>
    <mergeCell ref="C13:E13"/>
    <mergeCell ref="H13:I13"/>
    <mergeCell ref="M13:N13"/>
    <mergeCell ref="O13:Q13"/>
    <mergeCell ref="A14:B14"/>
    <mergeCell ref="C14:E14"/>
    <mergeCell ref="G14:H14"/>
    <mergeCell ref="I14:K14"/>
    <mergeCell ref="M14:Q14"/>
    <mergeCell ref="A15:B15"/>
    <mergeCell ref="C15:E15"/>
    <mergeCell ref="G15:H15"/>
    <mergeCell ref="I15:K15"/>
    <mergeCell ref="N15:O15"/>
    <mergeCell ref="A16:B16"/>
    <mergeCell ref="C16:E16"/>
    <mergeCell ref="G16:H16"/>
    <mergeCell ref="I16:K16"/>
    <mergeCell ref="N16:O16"/>
    <mergeCell ref="A17:B17"/>
    <mergeCell ref="C17:E17"/>
    <mergeCell ref="G17:H17"/>
    <mergeCell ref="I17:K17"/>
    <mergeCell ref="N17:O17"/>
    <mergeCell ref="A18:B18"/>
    <mergeCell ref="C18:E18"/>
    <mergeCell ref="G18:H18"/>
    <mergeCell ref="I18:K18"/>
    <mergeCell ref="M18:N18"/>
    <mergeCell ref="O18:Q18"/>
    <mergeCell ref="A19:B19"/>
    <mergeCell ref="C19:E19"/>
    <mergeCell ref="G19:K19"/>
    <mergeCell ref="M19:N19"/>
    <mergeCell ref="O19:Q19"/>
    <mergeCell ref="A20:B20"/>
    <mergeCell ref="C20:E20"/>
    <mergeCell ref="H20:I20"/>
    <mergeCell ref="M20:N20"/>
    <mergeCell ref="O20:Q20"/>
    <mergeCell ref="A21:B21"/>
    <mergeCell ref="C21:E21"/>
    <mergeCell ref="H21:I21"/>
    <mergeCell ref="M21:N21"/>
    <mergeCell ref="O21:Q21"/>
    <mergeCell ref="A22:B22"/>
    <mergeCell ref="C22:E22"/>
    <mergeCell ref="H22:I22"/>
    <mergeCell ref="M22:N22"/>
    <mergeCell ref="O22:Q22"/>
    <mergeCell ref="G23:H23"/>
    <mergeCell ref="I23:K23"/>
    <mergeCell ref="M23:N23"/>
    <mergeCell ref="O23:Q23"/>
    <mergeCell ref="G24:H24"/>
    <mergeCell ref="I24:K24"/>
    <mergeCell ref="M24:N24"/>
    <mergeCell ref="O24:Q24"/>
    <mergeCell ref="G25:H25"/>
    <mergeCell ref="I25:K25"/>
    <mergeCell ref="M25:N25"/>
    <mergeCell ref="P25:Q25"/>
    <mergeCell ref="A26:B26"/>
    <mergeCell ref="D26:E26"/>
    <mergeCell ref="G26:H26"/>
    <mergeCell ref="I26:K26"/>
    <mergeCell ref="A27:B27"/>
    <mergeCell ref="D27:E27"/>
    <mergeCell ref="G27:H27"/>
    <mergeCell ref="I27:K27"/>
    <mergeCell ref="A28:B28"/>
    <mergeCell ref="D28:E28"/>
    <mergeCell ref="G28:H28"/>
    <mergeCell ref="I28:K28"/>
    <mergeCell ref="M28:N28"/>
    <mergeCell ref="P28:Q28"/>
    <mergeCell ref="A29:B29"/>
    <mergeCell ref="D29:E29"/>
    <mergeCell ref="G29:H29"/>
    <mergeCell ref="I29:K29"/>
    <mergeCell ref="M29:N29"/>
    <mergeCell ref="P29:Q29"/>
    <mergeCell ref="A30:E30"/>
    <mergeCell ref="G30:H30"/>
    <mergeCell ref="I30:K30"/>
    <mergeCell ref="M30:N30"/>
    <mergeCell ref="P30:Q30"/>
    <mergeCell ref="G31:H31"/>
    <mergeCell ref="I31:K31"/>
    <mergeCell ref="M31:N31"/>
    <mergeCell ref="P31:Q31"/>
    <mergeCell ref="G32:H32"/>
    <mergeCell ref="I32:K32"/>
    <mergeCell ref="M32:N32"/>
    <mergeCell ref="P32:Q32"/>
    <mergeCell ref="G33:H33"/>
    <mergeCell ref="I33:K33"/>
    <mergeCell ref="M33:N33"/>
    <mergeCell ref="P33:Q33"/>
    <mergeCell ref="G34:H34"/>
    <mergeCell ref="I34:K34"/>
    <mergeCell ref="G35:H35"/>
    <mergeCell ref="I35:K35"/>
    <mergeCell ref="G36:H36"/>
    <mergeCell ref="I36:K36"/>
    <mergeCell ref="G37:H37"/>
    <mergeCell ref="I37:K37"/>
    <mergeCell ref="G38:H38"/>
    <mergeCell ref="I38:K38"/>
    <mergeCell ref="R28:R3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5:E13"/>
  <sheetViews>
    <sheetView workbookViewId="0">
      <selection activeCell="J15" sqref="J15"/>
    </sheetView>
  </sheetViews>
  <sheetFormatPr defaultColWidth="9" defaultRowHeight="13.5" outlineLevelCol="4"/>
  <cols>
    <col min="2" max="2" width="13" customWidth="1"/>
    <col min="3" max="3" width="16.25" customWidth="1"/>
    <col min="4" max="4" width="14.625" customWidth="1"/>
    <col min="5" max="5" width="14.75" customWidth="1"/>
  </cols>
  <sheetData>
    <row r="5" ht="33" customHeight="1" spans="2:5">
      <c r="B5" s="100" t="s">
        <v>188</v>
      </c>
      <c r="C5" s="100" t="s">
        <v>189</v>
      </c>
      <c r="D5" s="100" t="s">
        <v>190</v>
      </c>
      <c r="E5" s="100" t="s">
        <v>191</v>
      </c>
    </row>
    <row r="6" ht="30" customHeight="1" spans="2:5">
      <c r="B6" s="100" t="s">
        <v>192</v>
      </c>
      <c r="C6" s="100" t="s">
        <v>193</v>
      </c>
      <c r="D6" s="100" t="s">
        <v>194</v>
      </c>
      <c r="E6" s="100"/>
    </row>
    <row r="7" ht="41" customHeight="1" spans="2:5">
      <c r="B7" s="100" t="s">
        <v>195</v>
      </c>
      <c r="C7" s="100">
        <v>7.5</v>
      </c>
      <c r="D7" s="100">
        <v>4.5</v>
      </c>
      <c r="E7" s="101" t="s">
        <v>196</v>
      </c>
    </row>
    <row r="8" ht="28" customHeight="1" spans="2:5">
      <c r="B8" s="100" t="s">
        <v>197</v>
      </c>
      <c r="C8" s="100">
        <v>223125</v>
      </c>
      <c r="D8" s="100">
        <v>133875</v>
      </c>
      <c r="E8" s="102" t="s">
        <v>198</v>
      </c>
    </row>
    <row r="9" ht="28" customHeight="1" spans="2:5">
      <c r="B9" s="100" t="s">
        <v>199</v>
      </c>
      <c r="C9" s="100">
        <v>10500</v>
      </c>
      <c r="D9" s="100">
        <v>133875</v>
      </c>
      <c r="E9" s="102" t="s">
        <v>200</v>
      </c>
    </row>
    <row r="10" ht="28" customHeight="1" spans="2:5">
      <c r="B10" s="100" t="s">
        <v>201</v>
      </c>
      <c r="C10" s="100">
        <v>200</v>
      </c>
      <c r="D10" s="100">
        <v>5000</v>
      </c>
      <c r="E10" s="102" t="s">
        <v>202</v>
      </c>
    </row>
    <row r="11" ht="28" customHeight="1" spans="2:5">
      <c r="B11" s="100" t="s">
        <v>203</v>
      </c>
      <c r="C11" s="100">
        <v>15</v>
      </c>
      <c r="D11" s="100">
        <v>30</v>
      </c>
      <c r="E11" s="100"/>
    </row>
    <row r="12" ht="28" customHeight="1" spans="2:5">
      <c r="B12" s="100" t="s">
        <v>204</v>
      </c>
      <c r="C12" s="100">
        <v>233825</v>
      </c>
      <c r="D12" s="100">
        <v>272780</v>
      </c>
      <c r="E12" s="100" t="s">
        <v>205</v>
      </c>
    </row>
    <row r="13" ht="24" customHeight="1"/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zoomScale="85" zoomScaleNormal="85" workbookViewId="0">
      <pane ySplit="2" topLeftCell="A3" activePane="bottomLeft" state="frozen"/>
      <selection/>
      <selection pane="bottomLeft" activeCell="F10" sqref="F10"/>
    </sheetView>
  </sheetViews>
  <sheetFormatPr defaultColWidth="9" defaultRowHeight="13.5"/>
  <cols>
    <col min="1" max="5" width="14.75" customWidth="1"/>
    <col min="6" max="8" width="42.3833333333333" style="68" customWidth="1"/>
    <col min="9" max="10" width="11" customWidth="1"/>
  </cols>
  <sheetData>
    <row r="1" ht="36.95" customHeight="1" spans="1:10">
      <c r="A1" s="69" t="s">
        <v>206</v>
      </c>
      <c r="B1" s="69"/>
      <c r="C1" s="69"/>
      <c r="D1" s="69"/>
      <c r="E1" s="69"/>
      <c r="F1" s="69"/>
      <c r="G1" s="69"/>
      <c r="H1" s="69"/>
      <c r="I1" s="69"/>
      <c r="J1" s="69"/>
    </row>
    <row r="2" ht="32.25" customHeight="1" spans="1:10">
      <c r="A2" s="70" t="s">
        <v>207</v>
      </c>
      <c r="B2" s="71" t="s">
        <v>208</v>
      </c>
      <c r="C2" s="70" t="s">
        <v>209</v>
      </c>
      <c r="D2" s="70" t="s">
        <v>210</v>
      </c>
      <c r="E2" s="70" t="s">
        <v>211</v>
      </c>
      <c r="F2" s="70" t="s">
        <v>212</v>
      </c>
      <c r="G2" s="70" t="s">
        <v>213</v>
      </c>
      <c r="H2" s="70" t="s">
        <v>214</v>
      </c>
      <c r="I2" s="70" t="s">
        <v>215</v>
      </c>
      <c r="J2" s="70" t="s">
        <v>216</v>
      </c>
    </row>
    <row r="3" s="67" customFormat="1" ht="21" customHeight="1" spans="1:10">
      <c r="A3" s="72" t="s">
        <v>217</v>
      </c>
      <c r="B3" s="73" t="e">
        <f>#REF!</f>
        <v>#REF!</v>
      </c>
      <c r="C3" s="74" t="e">
        <f>#REF!</f>
        <v>#REF!</v>
      </c>
      <c r="D3" s="75">
        <v>1</v>
      </c>
      <c r="E3" s="76" t="e">
        <f>C3/B3</f>
        <v>#REF!</v>
      </c>
      <c r="F3" s="77"/>
      <c r="G3" s="77"/>
      <c r="H3" s="77"/>
      <c r="I3" s="95"/>
      <c r="J3" s="96"/>
    </row>
    <row r="4" s="67" customFormat="1" ht="21" customHeight="1" spans="1:10">
      <c r="A4" s="72" t="s">
        <v>218</v>
      </c>
      <c r="B4" s="73" t="e">
        <f>#REF!</f>
        <v>#REF!</v>
      </c>
      <c r="C4" s="73" t="e">
        <f>#REF!</f>
        <v>#REF!</v>
      </c>
      <c r="D4" s="75">
        <v>1</v>
      </c>
      <c r="E4" s="76" t="e">
        <f t="shared" ref="E4:E6" si="0">C4/B4</f>
        <v>#REF!</v>
      </c>
      <c r="F4" s="78"/>
      <c r="G4" s="78"/>
      <c r="H4" s="78"/>
      <c r="I4" s="97"/>
      <c r="J4" s="97"/>
    </row>
    <row r="5" s="67" customFormat="1" ht="21" customHeight="1" spans="1:10">
      <c r="A5" s="72" t="s">
        <v>219</v>
      </c>
      <c r="B5" s="73" t="e">
        <f>#REF!</f>
        <v>#REF!</v>
      </c>
      <c r="C5" s="74" t="e">
        <f>#REF!</f>
        <v>#REF!</v>
      </c>
      <c r="D5" s="75">
        <v>1</v>
      </c>
      <c r="E5" s="76" t="e">
        <f t="shared" si="0"/>
        <v>#REF!</v>
      </c>
      <c r="F5" s="79"/>
      <c r="G5" s="79"/>
      <c r="H5" s="79"/>
      <c r="I5" s="81"/>
      <c r="J5" s="81"/>
    </row>
    <row r="6" s="67" customFormat="1" ht="21" customHeight="1" spans="1:10">
      <c r="A6" s="72" t="s">
        <v>220</v>
      </c>
      <c r="B6" s="76" t="e">
        <f>#REF!</f>
        <v>#REF!</v>
      </c>
      <c r="C6" s="76" t="e">
        <f>#REF!</f>
        <v>#REF!</v>
      </c>
      <c r="D6" s="75">
        <v>1</v>
      </c>
      <c r="E6" s="76" t="e">
        <f t="shared" si="0"/>
        <v>#REF!</v>
      </c>
      <c r="F6" s="79"/>
      <c r="G6" s="79"/>
      <c r="H6" s="79"/>
      <c r="I6" s="81"/>
      <c r="J6" s="81"/>
    </row>
    <row r="7" s="67" customFormat="1" ht="21" customHeight="1" spans="1:10">
      <c r="A7" s="72" t="s">
        <v>221</v>
      </c>
      <c r="B7" s="76">
        <v>1</v>
      </c>
      <c r="C7" s="80">
        <v>1</v>
      </c>
      <c r="D7" s="75">
        <v>1</v>
      </c>
      <c r="E7" s="76">
        <v>1</v>
      </c>
      <c r="F7" s="77"/>
      <c r="G7" s="77"/>
      <c r="H7" s="77"/>
      <c r="I7" s="95"/>
      <c r="J7" s="96"/>
    </row>
    <row r="8" s="67" customFormat="1" ht="21" customHeight="1" spans="1:10">
      <c r="A8" s="72" t="s">
        <v>222</v>
      </c>
      <c r="B8" s="76">
        <v>1</v>
      </c>
      <c r="C8" s="80">
        <v>1</v>
      </c>
      <c r="D8" s="75">
        <v>1</v>
      </c>
      <c r="E8" s="76">
        <v>1</v>
      </c>
      <c r="F8" s="79" t="s">
        <v>223</v>
      </c>
      <c r="G8" s="79" t="s">
        <v>223</v>
      </c>
      <c r="H8" s="79" t="s">
        <v>223</v>
      </c>
      <c r="I8" s="81" t="s">
        <v>223</v>
      </c>
      <c r="J8" s="81" t="s">
        <v>223</v>
      </c>
    </row>
    <row r="9" s="67" customFormat="1" ht="21" customHeight="1" spans="1:10">
      <c r="A9" s="81" t="s">
        <v>224</v>
      </c>
      <c r="B9" s="76" t="e">
        <f>#REF!</f>
        <v>#REF!</v>
      </c>
      <c r="C9" s="76" t="e">
        <f>#REF!</f>
        <v>#REF!</v>
      </c>
      <c r="D9" s="75">
        <v>1</v>
      </c>
      <c r="E9" s="76">
        <v>1</v>
      </c>
      <c r="F9" s="79" t="s">
        <v>223</v>
      </c>
      <c r="G9" s="79" t="s">
        <v>223</v>
      </c>
      <c r="H9" s="79" t="s">
        <v>223</v>
      </c>
      <c r="I9" s="81" t="s">
        <v>223</v>
      </c>
      <c r="J9" s="81" t="s">
        <v>223</v>
      </c>
    </row>
    <row r="10" s="67" customFormat="1" ht="21" customHeight="1" spans="1:10">
      <c r="A10" s="82" t="s">
        <v>225</v>
      </c>
      <c r="B10" s="83" t="e">
        <f>#REF!</f>
        <v>#REF!</v>
      </c>
      <c r="C10" s="84" t="e">
        <f>#REF!</f>
        <v>#REF!</v>
      </c>
      <c r="D10" s="75">
        <v>1</v>
      </c>
      <c r="E10" s="85" t="e">
        <f>(C10+C11)/B10</f>
        <v>#REF!</v>
      </c>
      <c r="F10" s="79" t="s">
        <v>223</v>
      </c>
      <c r="G10" s="79" t="s">
        <v>223</v>
      </c>
      <c r="H10" s="79" t="s">
        <v>223</v>
      </c>
      <c r="I10" s="81" t="s">
        <v>223</v>
      </c>
      <c r="J10" s="81" t="s">
        <v>223</v>
      </c>
    </row>
    <row r="11" s="67" customFormat="1" ht="21" customHeight="1" spans="1:10">
      <c r="A11" s="82" t="s">
        <v>226</v>
      </c>
      <c r="B11" s="86"/>
      <c r="C11" s="84" t="e">
        <f>#REF!</f>
        <v>#REF!</v>
      </c>
      <c r="D11" s="75">
        <v>1</v>
      </c>
      <c r="E11" s="87"/>
      <c r="F11" s="79" t="s">
        <v>223</v>
      </c>
      <c r="G11" s="79" t="s">
        <v>223</v>
      </c>
      <c r="H11" s="79" t="s">
        <v>223</v>
      </c>
      <c r="I11" s="81" t="s">
        <v>223</v>
      </c>
      <c r="J11" s="81" t="s">
        <v>223</v>
      </c>
    </row>
    <row r="12" s="67" customFormat="1" ht="21" customHeight="1" spans="1:10">
      <c r="A12" s="82" t="s">
        <v>227</v>
      </c>
      <c r="B12" s="84" t="e">
        <f>#REF!</f>
        <v>#REF!</v>
      </c>
      <c r="C12" s="84" t="e">
        <f>#REF!</f>
        <v>#REF!</v>
      </c>
      <c r="D12" s="75">
        <v>1</v>
      </c>
      <c r="E12" s="76" t="e">
        <f>C12/B12</f>
        <v>#REF!</v>
      </c>
      <c r="F12" s="79" t="s">
        <v>223</v>
      </c>
      <c r="G12" s="79" t="s">
        <v>223</v>
      </c>
      <c r="H12" s="79" t="s">
        <v>223</v>
      </c>
      <c r="I12" s="81" t="s">
        <v>223</v>
      </c>
      <c r="J12" s="81" t="s">
        <v>223</v>
      </c>
    </row>
    <row r="13" s="67" customFormat="1" ht="21" customHeight="1" spans="1:10">
      <c r="A13" s="88" t="s">
        <v>228</v>
      </c>
      <c r="B13" s="84" t="e">
        <f>#REF!</f>
        <v>#REF!</v>
      </c>
      <c r="C13" s="84" t="e">
        <f>#REF!</f>
        <v>#REF!</v>
      </c>
      <c r="D13" s="75">
        <v>1</v>
      </c>
      <c r="E13" s="76" t="e">
        <f>C13/B13</f>
        <v>#REF!</v>
      </c>
      <c r="F13" s="79"/>
      <c r="G13" s="79"/>
      <c r="H13" s="89"/>
      <c r="I13" s="98"/>
      <c r="J13" s="99"/>
    </row>
    <row r="14" s="67" customFormat="1" ht="21" customHeight="1" spans="1:10">
      <c r="A14" s="90" t="s">
        <v>229</v>
      </c>
      <c r="B14" s="76">
        <v>0.025</v>
      </c>
      <c r="C14" s="84" t="e">
        <f>#REF!</f>
        <v>#REF!</v>
      </c>
      <c r="D14" s="75">
        <v>1</v>
      </c>
      <c r="E14" s="76" t="e">
        <f>C14/B14</f>
        <v>#REF!</v>
      </c>
      <c r="F14" s="79" t="s">
        <v>223</v>
      </c>
      <c r="G14" s="79" t="s">
        <v>223</v>
      </c>
      <c r="H14" s="79" t="s">
        <v>223</v>
      </c>
      <c r="I14" s="81" t="s">
        <v>223</v>
      </c>
      <c r="J14" s="81" t="s">
        <v>223</v>
      </c>
    </row>
    <row r="15" s="67" customFormat="1" ht="21" customHeight="1" spans="1:10">
      <c r="A15" s="82" t="s">
        <v>230</v>
      </c>
      <c r="B15" s="91" t="e">
        <f>#REF!</f>
        <v>#REF!</v>
      </c>
      <c r="C15" s="92" t="e">
        <f>#REF!</f>
        <v>#REF!</v>
      </c>
      <c r="D15" s="75">
        <v>1</v>
      </c>
      <c r="E15" s="93" t="e">
        <f>C15/B15</f>
        <v>#REF!</v>
      </c>
      <c r="F15" s="79" t="s">
        <v>223</v>
      </c>
      <c r="G15" s="79" t="s">
        <v>223</v>
      </c>
      <c r="H15" s="79" t="s">
        <v>223</v>
      </c>
      <c r="I15" s="81" t="s">
        <v>223</v>
      </c>
      <c r="J15" s="81" t="s">
        <v>223</v>
      </c>
    </row>
    <row r="16" s="67" customFormat="1" ht="21" customHeight="1" spans="1:10">
      <c r="A16" s="90" t="s">
        <v>231</v>
      </c>
      <c r="B16" s="76" t="e">
        <f>#REF!</f>
        <v>#REF!</v>
      </c>
      <c r="C16" s="94" t="e">
        <f>#REF!</f>
        <v>#REF!</v>
      </c>
      <c r="D16" s="75">
        <v>1</v>
      </c>
      <c r="E16" s="93" t="e">
        <f>C16/B16</f>
        <v>#REF!</v>
      </c>
      <c r="F16" s="79" t="s">
        <v>223</v>
      </c>
      <c r="G16" s="79" t="s">
        <v>223</v>
      </c>
      <c r="H16" s="79" t="s">
        <v>223</v>
      </c>
      <c r="I16" s="81" t="s">
        <v>223</v>
      </c>
      <c r="J16" s="81" t="s">
        <v>223</v>
      </c>
    </row>
    <row r="17" s="67" customFormat="1" ht="21" customHeight="1" spans="1:10">
      <c r="A17" s="88" t="s">
        <v>232</v>
      </c>
      <c r="B17" s="76">
        <v>1</v>
      </c>
      <c r="C17" s="75">
        <v>1</v>
      </c>
      <c r="D17" s="75">
        <v>1</v>
      </c>
      <c r="E17" s="76">
        <v>1</v>
      </c>
      <c r="F17" s="79" t="s">
        <v>223</v>
      </c>
      <c r="G17" s="79" t="s">
        <v>223</v>
      </c>
      <c r="H17" s="79" t="s">
        <v>223</v>
      </c>
      <c r="I17" s="81" t="s">
        <v>223</v>
      </c>
      <c r="J17" s="81" t="s">
        <v>223</v>
      </c>
    </row>
    <row r="18" s="67" customFormat="1" ht="21" customHeight="1" spans="1:10">
      <c r="A18" s="88" t="s">
        <v>233</v>
      </c>
      <c r="B18" s="76">
        <v>1</v>
      </c>
      <c r="C18" s="75">
        <v>1</v>
      </c>
      <c r="D18" s="75">
        <v>1</v>
      </c>
      <c r="E18" s="76">
        <v>1</v>
      </c>
      <c r="F18" s="79" t="s">
        <v>223</v>
      </c>
      <c r="G18" s="79" t="s">
        <v>223</v>
      </c>
      <c r="H18" s="79" t="s">
        <v>223</v>
      </c>
      <c r="I18" s="81" t="s">
        <v>223</v>
      </c>
      <c r="J18" s="81" t="s">
        <v>223</v>
      </c>
    </row>
    <row r="19" s="67" customFormat="1" ht="21" customHeight="1" spans="1:10">
      <c r="A19" s="88" t="s">
        <v>234</v>
      </c>
      <c r="B19" s="73" t="s">
        <v>235</v>
      </c>
      <c r="C19" s="76" t="e">
        <f>#REF!</f>
        <v>#REF!</v>
      </c>
      <c r="D19" s="75">
        <v>1</v>
      </c>
      <c r="E19" s="76">
        <v>1</v>
      </c>
      <c r="F19" s="79" t="s">
        <v>223</v>
      </c>
      <c r="G19" s="79" t="s">
        <v>223</v>
      </c>
      <c r="H19" s="79" t="s">
        <v>223</v>
      </c>
      <c r="I19" s="81" t="s">
        <v>223</v>
      </c>
      <c r="J19" s="81" t="s">
        <v>223</v>
      </c>
    </row>
  </sheetData>
  <mergeCells count="3">
    <mergeCell ref="A1:J1"/>
    <mergeCell ref="B10:B11"/>
    <mergeCell ref="E10:E11"/>
  </mergeCells>
  <printOptions horizontalCentered="1"/>
  <pageMargins left="0.109722222222222" right="0.109722222222222" top="0.554861111111111" bottom="0.161111111111111" header="0.298611111111111" footer="0.298611111111111"/>
  <pageSetup paperSize="9" scale="80" orientation="landscape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3"/>
  <sheetViews>
    <sheetView workbookViewId="0">
      <selection activeCell="S15" sqref="S15"/>
    </sheetView>
  </sheetViews>
  <sheetFormatPr defaultColWidth="12.25" defaultRowHeight="13.5"/>
  <cols>
    <col min="1" max="1" width="13.3833333333333" style="32" customWidth="1"/>
    <col min="2" max="2" width="7.88333333333333" style="32" customWidth="1"/>
    <col min="3" max="3" width="7.38333333333333" style="32" customWidth="1"/>
    <col min="4" max="4" width="6.88333333333333" style="32" customWidth="1"/>
    <col min="5" max="6" width="8.38333333333333" style="32" customWidth="1"/>
    <col min="7" max="7" width="10" style="32" customWidth="1"/>
    <col min="8" max="9" width="8.38333333333333" style="32" customWidth="1"/>
    <col min="10" max="10" width="8.38333333333333" style="33" customWidth="1"/>
    <col min="11" max="11" width="8" style="32" customWidth="1"/>
    <col min="12" max="13" width="12.25" style="29" hidden="1" customWidth="1"/>
    <col min="14" max="14" width="14" style="29" hidden="1" customWidth="1"/>
    <col min="15" max="16" width="12.25" style="29" hidden="1" customWidth="1"/>
    <col min="17" max="16375" width="12.25" style="29"/>
  </cols>
  <sheetData>
    <row r="1" s="28" customFormat="1" ht="22.35" customHeight="1" spans="1:11">
      <c r="A1" s="34" t="s">
        <v>236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="29" customFormat="1" ht="18" customHeight="1" spans="1:11">
      <c r="A2" s="35" t="s">
        <v>237</v>
      </c>
      <c r="B2" s="36" t="s">
        <v>238</v>
      </c>
      <c r="C2" s="36"/>
      <c r="D2" s="36"/>
      <c r="E2" s="37" t="s">
        <v>239</v>
      </c>
      <c r="F2" s="36"/>
      <c r="G2" s="36"/>
      <c r="H2" s="36"/>
      <c r="I2" s="37" t="s">
        <v>240</v>
      </c>
      <c r="J2" s="36"/>
      <c r="K2" s="58"/>
    </row>
    <row r="3" s="30" customFormat="1" ht="30" customHeight="1" spans="1:11">
      <c r="A3" s="38"/>
      <c r="B3" s="39" t="s">
        <v>241</v>
      </c>
      <c r="C3" s="39" t="s">
        <v>242</v>
      </c>
      <c r="D3" s="39" t="s">
        <v>243</v>
      </c>
      <c r="E3" s="39" t="s">
        <v>241</v>
      </c>
      <c r="F3" s="39" t="s">
        <v>242</v>
      </c>
      <c r="G3" s="39" t="s">
        <v>244</v>
      </c>
      <c r="H3" s="39" t="s">
        <v>243</v>
      </c>
      <c r="I3" s="39" t="s">
        <v>241</v>
      </c>
      <c r="J3" s="39" t="s">
        <v>242</v>
      </c>
      <c r="K3" s="59" t="s">
        <v>243</v>
      </c>
    </row>
    <row r="4" s="29" customFormat="1" ht="18" customHeight="1" spans="1:16">
      <c r="A4" s="40" t="s">
        <v>245</v>
      </c>
      <c r="B4" s="41"/>
      <c r="C4" s="41"/>
      <c r="D4" s="42">
        <v>0.56206227044021</v>
      </c>
      <c r="E4" s="43"/>
      <c r="F4" s="43"/>
      <c r="G4" s="43"/>
      <c r="H4" s="44">
        <v>0.8096032</v>
      </c>
      <c r="I4" s="60"/>
      <c r="J4" s="60"/>
      <c r="K4" s="61">
        <v>0.696116891676118</v>
      </c>
      <c r="L4" s="29">
        <v>2386.9292338289</v>
      </c>
      <c r="M4" s="29">
        <f t="shared" ref="M4:M8" si="0">J4-L4</f>
        <v>-2386.9292338289</v>
      </c>
      <c r="N4" s="29">
        <f>34289201.46/10000</f>
        <v>3428.920146</v>
      </c>
      <c r="O4" s="29">
        <v>0.214726061500236</v>
      </c>
      <c r="P4" s="29">
        <f>N4-I4</f>
        <v>3428.920146</v>
      </c>
    </row>
    <row r="5" s="29" customFormat="1" ht="18" customHeight="1" spans="1:16">
      <c r="A5" s="40" t="s">
        <v>246</v>
      </c>
      <c r="B5" s="41"/>
      <c r="C5" s="41"/>
      <c r="D5" s="42">
        <v>0.545195245656019</v>
      </c>
      <c r="E5" s="43"/>
      <c r="F5" s="43"/>
      <c r="G5" s="43"/>
      <c r="H5" s="44">
        <v>0.908822366578665</v>
      </c>
      <c r="I5" s="60"/>
      <c r="J5" s="60"/>
      <c r="K5" s="61">
        <v>0.743139626704325</v>
      </c>
      <c r="L5" s="29">
        <v>1773.33211073761</v>
      </c>
      <c r="M5" s="29">
        <f t="shared" si="0"/>
        <v>-1773.33211073761</v>
      </c>
      <c r="N5" s="29" t="e">
        <f>[2]【损益表】!$K$50/10000</f>
        <v>#REF!</v>
      </c>
      <c r="P5" s="29" t="e">
        <f>I5-N5</f>
        <v>#REF!</v>
      </c>
    </row>
    <row r="6" s="29" customFormat="1" ht="18" customHeight="1" spans="1:11">
      <c r="A6" s="40" t="s">
        <v>247</v>
      </c>
      <c r="B6" s="41"/>
      <c r="C6" s="41"/>
      <c r="D6" s="42">
        <v>0.599896296673119</v>
      </c>
      <c r="E6" s="41"/>
      <c r="F6" s="41"/>
      <c r="G6" s="41"/>
      <c r="H6" s="44">
        <v>0.578594834174792</v>
      </c>
      <c r="I6" s="41"/>
      <c r="J6" s="60"/>
      <c r="K6" s="61">
        <v>0.58849785222076</v>
      </c>
    </row>
    <row r="7" s="29" customFormat="1" ht="18" customHeight="1" spans="1:11">
      <c r="A7" s="40" t="s">
        <v>248</v>
      </c>
      <c r="B7" s="45"/>
      <c r="C7" s="45"/>
      <c r="D7" s="42">
        <v>0.0207558698821247</v>
      </c>
      <c r="E7" s="45"/>
      <c r="F7" s="45"/>
      <c r="G7" s="45"/>
      <c r="H7" s="42">
        <v>-0.0295615754635883</v>
      </c>
      <c r="I7" s="47"/>
      <c r="J7" s="45"/>
      <c r="K7" s="61">
        <v>0.845400907890295</v>
      </c>
    </row>
    <row r="8" s="29" customFormat="1" ht="18" customHeight="1" spans="1:16">
      <c r="A8" s="40" t="s">
        <v>249</v>
      </c>
      <c r="B8" s="41"/>
      <c r="C8" s="41"/>
      <c r="D8" s="42">
        <v>0.755210236410136</v>
      </c>
      <c r="E8" s="46"/>
      <c r="F8" s="46"/>
      <c r="G8" s="46"/>
      <c r="H8" s="42">
        <v>0.87157829798868</v>
      </c>
      <c r="I8" s="46"/>
      <c r="J8" s="60"/>
      <c r="K8" s="61">
        <v>0.813918982643699</v>
      </c>
      <c r="L8" s="29" t="e">
        <f>342.0962959-SUM('[3]1.损益表'!$K$55:$K$65)</f>
        <v>#REF!</v>
      </c>
      <c r="M8" s="29" t="e">
        <f t="shared" si="0"/>
        <v>#REF!</v>
      </c>
      <c r="N8" s="29" t="e">
        <f>SUM([2]【损益表】!$K$70:$K$79)/10000</f>
        <v>#REF!</v>
      </c>
      <c r="P8" s="29" t="e">
        <f t="shared" ref="P8:P14" si="1">I8-N8</f>
        <v>#REF!</v>
      </c>
    </row>
    <row r="9" s="29" customFormat="1" ht="18" customHeight="1" spans="1:11">
      <c r="A9" s="40" t="s">
        <v>250</v>
      </c>
      <c r="B9" s="41"/>
      <c r="C9" s="41"/>
      <c r="D9" s="42">
        <v>0.768872125427658</v>
      </c>
      <c r="E9" s="41"/>
      <c r="F9" s="41"/>
      <c r="G9" s="41"/>
      <c r="H9" s="42">
        <v>0.614620512332743</v>
      </c>
      <c r="I9" s="41"/>
      <c r="J9" s="60"/>
      <c r="K9" s="61">
        <v>0.680175786600115</v>
      </c>
    </row>
    <row r="10" s="29" customFormat="1" ht="18" customHeight="1" spans="1:11">
      <c r="A10" s="40" t="s">
        <v>251</v>
      </c>
      <c r="B10" s="47"/>
      <c r="C10" s="45"/>
      <c r="D10" s="42">
        <v>0.933566771696195</v>
      </c>
      <c r="E10" s="45"/>
      <c r="F10" s="45"/>
      <c r="G10" s="45"/>
      <c r="H10" s="42">
        <v>0.73397358338253</v>
      </c>
      <c r="I10" s="62"/>
      <c r="J10" s="45"/>
      <c r="K10" s="61">
        <v>0.818105896010374</v>
      </c>
    </row>
    <row r="11" s="29" customFormat="1" ht="18" customHeight="1" spans="1:16">
      <c r="A11" s="40" t="s">
        <v>252</v>
      </c>
      <c r="B11" s="41"/>
      <c r="C11" s="41"/>
      <c r="D11" s="42">
        <v>0.980173980655937</v>
      </c>
      <c r="E11" s="48"/>
      <c r="F11" s="48"/>
      <c r="G11" s="48"/>
      <c r="H11" s="42">
        <v>1.36430203658314</v>
      </c>
      <c r="I11" s="46"/>
      <c r="J11" s="46"/>
      <c r="K11" s="61">
        <v>1.17239742561769</v>
      </c>
      <c r="L11" s="29">
        <v>191.596054</v>
      </c>
      <c r="M11" s="29">
        <f t="shared" ref="M11:M16" si="2">J11-L11</f>
        <v>-191.596054</v>
      </c>
      <c r="N11" s="29" t="e">
        <f>SUM([2]【损益表】!$K$59:$K$69)/10000</f>
        <v>#REF!</v>
      </c>
      <c r="P11" s="29" t="e">
        <f t="shared" si="1"/>
        <v>#REF!</v>
      </c>
    </row>
    <row r="12" s="29" customFormat="1" ht="18" customHeight="1" spans="1:11">
      <c r="A12" s="40" t="s">
        <v>253</v>
      </c>
      <c r="B12" s="45"/>
      <c r="C12" s="45"/>
      <c r="D12" s="42">
        <v>1.19013009908846</v>
      </c>
      <c r="E12" s="45"/>
      <c r="F12" s="45"/>
      <c r="G12" s="49"/>
      <c r="H12" s="42">
        <v>1.629235657636</v>
      </c>
      <c r="I12" s="45"/>
      <c r="J12" s="45"/>
      <c r="K12" s="61">
        <v>1.41014317954413</v>
      </c>
    </row>
    <row r="13" s="29" customFormat="1" ht="18" customHeight="1" spans="1:16">
      <c r="A13" s="40" t="s">
        <v>254</v>
      </c>
      <c r="B13" s="41"/>
      <c r="C13" s="41"/>
      <c r="D13" s="42">
        <v>0.37640605221547</v>
      </c>
      <c r="E13" s="46"/>
      <c r="F13" s="41"/>
      <c r="G13" s="46"/>
      <c r="H13" s="42">
        <v>0.726010883616014</v>
      </c>
      <c r="I13" s="46"/>
      <c r="J13" s="46"/>
      <c r="K13" s="61">
        <v>0.507002000566251</v>
      </c>
      <c r="L13" s="29" t="e">
        <f>'[3]1.损益表'!$K$36-L11</f>
        <v>#REF!</v>
      </c>
      <c r="M13" s="29" t="e">
        <f t="shared" si="2"/>
        <v>#REF!</v>
      </c>
      <c r="N13" s="29" t="e">
        <f>[2]【损益表】!$K$40/10000-N11</f>
        <v>#REF!</v>
      </c>
      <c r="P13" s="29" t="e">
        <f t="shared" si="1"/>
        <v>#REF!</v>
      </c>
    </row>
    <row r="14" s="29" customFormat="1" ht="18" customHeight="1" spans="1:16">
      <c r="A14" s="40" t="s">
        <v>255</v>
      </c>
      <c r="B14" s="41"/>
      <c r="C14" s="41"/>
      <c r="D14" s="42">
        <v>1.09099782320394</v>
      </c>
      <c r="E14" s="46"/>
      <c r="F14" s="46"/>
      <c r="G14" s="46"/>
      <c r="H14" s="42">
        <v>0.205487821172026</v>
      </c>
      <c r="I14" s="46"/>
      <c r="J14" s="46"/>
      <c r="K14" s="61">
        <v>0.357634104082771</v>
      </c>
      <c r="L14" s="29">
        <v>134.888877</v>
      </c>
      <c r="M14" s="29">
        <f t="shared" si="2"/>
        <v>-134.888877</v>
      </c>
      <c r="N14" s="29">
        <f>1269042.58298405/10000</f>
        <v>126.904258298405</v>
      </c>
      <c r="P14" s="29">
        <f t="shared" si="1"/>
        <v>-126.904258298405</v>
      </c>
    </row>
    <row r="15" s="29" customFormat="1" ht="18" customHeight="1" spans="1:13">
      <c r="A15" s="40" t="s">
        <v>256</v>
      </c>
      <c r="B15" s="46"/>
      <c r="C15" s="41"/>
      <c r="D15" s="42">
        <v>0.587411178217085</v>
      </c>
      <c r="E15" s="46"/>
      <c r="F15" s="46"/>
      <c r="G15" s="46"/>
      <c r="H15" s="42">
        <v>0.777239806300962</v>
      </c>
      <c r="I15" s="46"/>
      <c r="J15" s="46"/>
      <c r="K15" s="61">
        <v>0.693817718614115</v>
      </c>
      <c r="L15" s="29" t="e">
        <f>219.75294213-'[3]1.损益表'!$K$42-J13-J19</f>
        <v>#REF!</v>
      </c>
      <c r="M15" s="29" t="e">
        <f t="shared" si="2"/>
        <v>#REF!</v>
      </c>
    </row>
    <row r="16" s="29" customFormat="1" ht="18" customHeight="1" spans="1:13">
      <c r="A16" s="40" t="s">
        <v>257</v>
      </c>
      <c r="B16" s="41"/>
      <c r="C16" s="41"/>
      <c r="D16" s="42">
        <v>0.779784836843466</v>
      </c>
      <c r="E16" s="41"/>
      <c r="F16" s="41"/>
      <c r="G16" s="41"/>
      <c r="H16" s="42">
        <v>1.05132957112976</v>
      </c>
      <c r="I16" s="46"/>
      <c r="J16" s="46"/>
      <c r="K16" s="61">
        <v>0.909248099762554</v>
      </c>
      <c r="L16" s="29">
        <v>411.34899613</v>
      </c>
      <c r="M16" s="29">
        <f t="shared" si="2"/>
        <v>-411.34899613</v>
      </c>
    </row>
    <row r="17" s="29" customFormat="1" ht="18" customHeight="1" spans="1:11">
      <c r="A17" s="40" t="s">
        <v>258</v>
      </c>
      <c r="B17" s="41"/>
      <c r="C17" s="41"/>
      <c r="D17" s="42">
        <v>0.73394455671652</v>
      </c>
      <c r="E17" s="41"/>
      <c r="F17" s="41"/>
      <c r="G17" s="41"/>
      <c r="H17" s="42">
        <v>0.169626917140948</v>
      </c>
      <c r="I17" s="41"/>
      <c r="J17" s="60"/>
      <c r="K17" s="61">
        <v>0.317546580602096</v>
      </c>
    </row>
    <row r="18" s="29" customFormat="1" ht="18" customHeight="1" spans="1:11">
      <c r="A18" s="40" t="s">
        <v>259</v>
      </c>
      <c r="B18" s="45"/>
      <c r="C18" s="45"/>
      <c r="D18" s="42">
        <v>0.8911576161468</v>
      </c>
      <c r="E18" s="45"/>
      <c r="F18" s="45"/>
      <c r="G18" s="45"/>
      <c r="H18" s="42">
        <v>0.202566744379449</v>
      </c>
      <c r="I18" s="45"/>
      <c r="J18" s="45"/>
      <c r="K18" s="61">
        <v>0.381940573255427</v>
      </c>
    </row>
    <row r="19" s="29" customFormat="1" ht="18" customHeight="1" spans="1:16">
      <c r="A19" s="40" t="s">
        <v>260</v>
      </c>
      <c r="B19" s="41"/>
      <c r="C19" s="41"/>
      <c r="D19" s="42">
        <v>1.78912401186987</v>
      </c>
      <c r="E19" s="41"/>
      <c r="F19" s="48"/>
      <c r="G19" s="48"/>
      <c r="H19" s="42">
        <v>1.8191073747413</v>
      </c>
      <c r="I19" s="46"/>
      <c r="J19" s="46"/>
      <c r="K19" s="61">
        <v>1.80610651226868</v>
      </c>
      <c r="L19" s="29">
        <v>-16.695019</v>
      </c>
      <c r="M19" s="29">
        <f>J19-L19</f>
        <v>16.695019</v>
      </c>
      <c r="N19" s="29">
        <f>424847.246666667/10000</f>
        <v>42.4847246666667</v>
      </c>
      <c r="P19" s="29">
        <f>I19-N19</f>
        <v>-42.4847246666667</v>
      </c>
    </row>
    <row r="20" s="29" customFormat="1" ht="18" customHeight="1" spans="1:11">
      <c r="A20" s="40" t="s">
        <v>261</v>
      </c>
      <c r="B20" s="41"/>
      <c r="C20" s="41"/>
      <c r="D20" s="42">
        <v>0.408634281794201</v>
      </c>
      <c r="E20" s="41"/>
      <c r="F20" s="41"/>
      <c r="G20" s="41"/>
      <c r="H20" s="42">
        <v>-0.0328849890407366</v>
      </c>
      <c r="I20" s="41"/>
      <c r="J20" s="60"/>
      <c r="K20" s="61">
        <v>0.070269406323205</v>
      </c>
    </row>
    <row r="21" s="29" customFormat="1" ht="18" customHeight="1" spans="1:11">
      <c r="A21" s="40" t="s">
        <v>262</v>
      </c>
      <c r="B21" s="45"/>
      <c r="C21" s="45"/>
      <c r="D21" s="42">
        <v>0.49616493385921</v>
      </c>
      <c r="E21" s="45"/>
      <c r="F21" s="45"/>
      <c r="G21" s="45"/>
      <c r="H21" s="42">
        <v>-0.0392709204483199</v>
      </c>
      <c r="I21" s="45"/>
      <c r="J21" s="45"/>
      <c r="K21" s="61">
        <v>0.0845190563303021</v>
      </c>
    </row>
    <row r="22" s="29" customFormat="1" ht="18" customHeight="1" spans="1:16">
      <c r="A22" s="40" t="s">
        <v>263</v>
      </c>
      <c r="B22" s="41"/>
      <c r="C22" s="41"/>
      <c r="D22" s="42">
        <v>0</v>
      </c>
      <c r="E22" s="41"/>
      <c r="F22" s="46"/>
      <c r="G22" s="46"/>
      <c r="H22" s="42">
        <v>0</v>
      </c>
      <c r="I22" s="46"/>
      <c r="J22" s="46"/>
      <c r="K22" s="61">
        <v>0</v>
      </c>
      <c r="L22" s="29">
        <v>20.817984</v>
      </c>
      <c r="M22" s="29">
        <f>J22-L22</f>
        <v>-20.817984</v>
      </c>
      <c r="N22" s="29">
        <f>374641.977940825/10000</f>
        <v>37.4641977940825</v>
      </c>
      <c r="P22" s="29">
        <f>I22-N22</f>
        <v>-37.4641977940825</v>
      </c>
    </row>
    <row r="23" s="29" customFormat="1" ht="18" customHeight="1" spans="1:11">
      <c r="A23" s="40" t="s">
        <v>264</v>
      </c>
      <c r="B23" s="41"/>
      <c r="C23" s="41"/>
      <c r="D23" s="42">
        <v>0.54703879726528</v>
      </c>
      <c r="E23" s="41"/>
      <c r="F23" s="41"/>
      <c r="G23" s="41"/>
      <c r="H23" s="42">
        <v>-0.0365695305065409</v>
      </c>
      <c r="I23" s="41"/>
      <c r="J23" s="60"/>
      <c r="K23" s="61">
        <v>0.0813610209236607</v>
      </c>
    </row>
    <row r="24" s="29" customFormat="1" ht="18" customHeight="1" spans="1:11">
      <c r="A24" s="50" t="s">
        <v>265</v>
      </c>
      <c r="B24" s="51"/>
      <c r="C24" s="51"/>
      <c r="D24" s="52">
        <v>0.664216099226459</v>
      </c>
      <c r="E24" s="51"/>
      <c r="F24" s="51"/>
      <c r="G24" s="51"/>
      <c r="H24" s="52">
        <v>-0.0436709625043745</v>
      </c>
      <c r="I24" s="63"/>
      <c r="J24" s="64"/>
      <c r="K24" s="65"/>
    </row>
    <row r="25" s="31" customFormat="1" ht="105" customHeight="1" spans="1:11">
      <c r="A25" s="53" t="s">
        <v>266</v>
      </c>
      <c r="B25" s="54" t="s">
        <v>267</v>
      </c>
      <c r="C25" s="55"/>
      <c r="D25" s="55"/>
      <c r="E25" s="55"/>
      <c r="F25" s="55"/>
      <c r="G25" s="56" t="s">
        <v>268</v>
      </c>
      <c r="H25" s="55"/>
      <c r="I25" s="55"/>
      <c r="J25" s="55"/>
      <c r="K25" s="66"/>
    </row>
    <row r="26" s="29" customFormat="1" ht="12" spans="1:11">
      <c r="A26" s="32"/>
      <c r="B26" s="57"/>
      <c r="C26" s="32"/>
      <c r="D26" s="32"/>
      <c r="E26" s="32"/>
      <c r="F26" s="32"/>
      <c r="G26" s="32"/>
      <c r="H26" s="32"/>
      <c r="I26" s="32"/>
      <c r="J26" s="33"/>
      <c r="K26" s="32"/>
    </row>
    <row r="27" s="29" customFormat="1" ht="12" spans="1:11">
      <c r="A27" s="32"/>
      <c r="B27" s="32"/>
      <c r="C27" s="32"/>
      <c r="D27" s="32"/>
      <c r="E27" s="32"/>
      <c r="F27" s="32"/>
      <c r="G27" s="32"/>
      <c r="H27" s="32"/>
      <c r="I27" s="32"/>
      <c r="J27" s="33"/>
      <c r="K27" s="32"/>
    </row>
    <row r="28" s="29" customFormat="1" ht="12" spans="1:11">
      <c r="A28" s="32"/>
      <c r="B28" s="32"/>
      <c r="C28" s="32"/>
      <c r="D28" s="32"/>
      <c r="E28" s="32"/>
      <c r="F28" s="32"/>
      <c r="G28" s="32"/>
      <c r="H28" s="32"/>
      <c r="I28" s="32"/>
      <c r="J28" s="33"/>
      <c r="K28" s="32"/>
    </row>
    <row r="29" s="29" customFormat="1" ht="12" spans="1:11">
      <c r="A29" s="32"/>
      <c r="B29" s="32"/>
      <c r="C29" s="32"/>
      <c r="D29" s="32"/>
      <c r="E29" s="32"/>
      <c r="F29" s="32"/>
      <c r="G29" s="32"/>
      <c r="H29" s="32"/>
      <c r="I29" s="32"/>
      <c r="J29" s="33"/>
      <c r="K29" s="32"/>
    </row>
    <row r="30" s="29" customFormat="1" ht="12" spans="1:11">
      <c r="A30" s="32"/>
      <c r="B30" s="32"/>
      <c r="C30" s="32"/>
      <c r="D30" s="32"/>
      <c r="E30" s="32"/>
      <c r="F30" s="32"/>
      <c r="G30" s="32"/>
      <c r="H30" s="32"/>
      <c r="I30" s="32"/>
      <c r="J30" s="33"/>
      <c r="K30" s="32"/>
    </row>
    <row r="31" s="29" customFormat="1" ht="12" spans="1:11">
      <c r="A31" s="32"/>
      <c r="B31" s="32"/>
      <c r="C31" s="32"/>
      <c r="D31" s="32"/>
      <c r="E31" s="32"/>
      <c r="F31" s="32"/>
      <c r="G31" s="32"/>
      <c r="H31" s="32"/>
      <c r="I31" s="32"/>
      <c r="J31" s="33"/>
      <c r="K31" s="32"/>
    </row>
    <row r="32" s="29" customFormat="1" ht="12" spans="1:11">
      <c r="A32" s="32"/>
      <c r="B32" s="32"/>
      <c r="C32" s="32"/>
      <c r="D32" s="32"/>
      <c r="E32" s="32"/>
      <c r="F32" s="32"/>
      <c r="G32" s="32"/>
      <c r="H32" s="32"/>
      <c r="I32" s="32"/>
      <c r="J32" s="33"/>
      <c r="K32" s="32"/>
    </row>
    <row r="33" s="29" customFormat="1" ht="12" spans="1:11">
      <c r="A33" s="32"/>
      <c r="B33" s="32"/>
      <c r="C33" s="32"/>
      <c r="D33" s="32"/>
      <c r="E33" s="32"/>
      <c r="F33" s="32"/>
      <c r="G33" s="32"/>
      <c r="H33" s="32"/>
      <c r="I33" s="32"/>
      <c r="J33" s="33"/>
      <c r="K33" s="32"/>
    </row>
  </sheetData>
  <mergeCells count="7">
    <mergeCell ref="A1:K1"/>
    <mergeCell ref="B2:D2"/>
    <mergeCell ref="E2:H2"/>
    <mergeCell ref="I2:K2"/>
    <mergeCell ref="B25:F25"/>
    <mergeCell ref="G25:K25"/>
    <mergeCell ref="A2:A3"/>
  </mergeCells>
  <conditionalFormatting sqref="B4:C24">
    <cfRule type="cellIs" dxfId="0" priority="18" operator="lessThan">
      <formula>0</formula>
    </cfRule>
  </conditionalFormatting>
  <conditionalFormatting sqref="E4:G24">
    <cfRule type="cellIs" dxfId="0" priority="10" operator="lessThan">
      <formula>0</formula>
    </cfRule>
  </conditionalFormatting>
  <conditionalFormatting sqref="I4:J24">
    <cfRule type="cellIs" dxfId="0" priority="2" operator="lessThan">
      <formula>0</formula>
    </cfRule>
  </conditionalFormatting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T28"/>
  <sheetViews>
    <sheetView workbookViewId="0">
      <selection activeCell="P18" sqref="P18"/>
    </sheetView>
  </sheetViews>
  <sheetFormatPr defaultColWidth="9" defaultRowHeight="13.5"/>
  <cols>
    <col min="15" max="15" width="11.5" customWidth="1"/>
    <col min="16" max="16" width="12" customWidth="1"/>
    <col min="17" max="17" width="9.38333333333333"/>
    <col min="18" max="18" width="13.75"/>
    <col min="20" max="20" width="12.6333333333333"/>
  </cols>
  <sheetData>
    <row r="1" customHeight="1"/>
    <row r="3" ht="23.1" customHeight="1" spans="2:16">
      <c r="B3" s="1" t="s">
        <v>269</v>
      </c>
      <c r="C3" s="1" t="s">
        <v>8</v>
      </c>
      <c r="D3" s="1"/>
      <c r="E3" s="1" t="s">
        <v>9</v>
      </c>
      <c r="F3" s="1"/>
      <c r="G3" s="1" t="s">
        <v>10</v>
      </c>
      <c r="H3" s="1"/>
      <c r="I3" s="1" t="s">
        <v>11</v>
      </c>
      <c r="J3" s="1"/>
      <c r="K3" s="1" t="s">
        <v>12</v>
      </c>
      <c r="L3" s="1"/>
      <c r="M3" s="1" t="s">
        <v>13</v>
      </c>
      <c r="N3" s="1"/>
      <c r="O3" s="1" t="s">
        <v>270</v>
      </c>
      <c r="P3" s="1"/>
    </row>
    <row r="4" ht="23.1" customHeight="1" spans="2:17"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26">
        <v>2018</v>
      </c>
    </row>
    <row r="5" ht="23.1" customHeight="1" spans="2:17">
      <c r="B5" s="1" t="s">
        <v>271</v>
      </c>
      <c r="C5" s="1" t="s">
        <v>272</v>
      </c>
      <c r="D5" s="1" t="s">
        <v>273</v>
      </c>
      <c r="E5" s="1" t="s">
        <v>272</v>
      </c>
      <c r="F5" s="1" t="s">
        <v>273</v>
      </c>
      <c r="G5" s="1" t="s">
        <v>272</v>
      </c>
      <c r="H5" s="1" t="s">
        <v>273</v>
      </c>
      <c r="I5" s="1" t="s">
        <v>272</v>
      </c>
      <c r="J5" s="1" t="s">
        <v>273</v>
      </c>
      <c r="K5" s="1" t="s">
        <v>272</v>
      </c>
      <c r="L5" s="1" t="s">
        <v>273</v>
      </c>
      <c r="M5" s="1" t="s">
        <v>272</v>
      </c>
      <c r="N5" s="1" t="s">
        <v>273</v>
      </c>
      <c r="O5" s="1" t="s">
        <v>274</v>
      </c>
      <c r="P5" s="1" t="s">
        <v>275</v>
      </c>
      <c r="Q5" s="26"/>
    </row>
    <row r="6" ht="23.1" customHeight="1" spans="2:18">
      <c r="B6" s="3" t="s">
        <v>276</v>
      </c>
      <c r="C6" s="4">
        <v>2642.6</v>
      </c>
      <c r="D6" s="5">
        <v>2116.2</v>
      </c>
      <c r="E6" s="6">
        <v>2251</v>
      </c>
      <c r="F6" s="7">
        <v>1679.5</v>
      </c>
      <c r="G6" s="6">
        <v>2433.3</v>
      </c>
      <c r="H6" s="5">
        <v>2240.9</v>
      </c>
      <c r="I6" s="6">
        <v>2491.1</v>
      </c>
      <c r="J6" s="5">
        <v>2585.3</v>
      </c>
      <c r="K6" s="6">
        <v>2877.4</v>
      </c>
      <c r="L6" s="16">
        <v>2675.45</v>
      </c>
      <c r="M6" s="6">
        <v>3085.9</v>
      </c>
      <c r="N6" s="16">
        <v>2386.93</v>
      </c>
      <c r="O6" s="17">
        <f>C6+E6+G6+I6+K6+M6</f>
        <v>15781.3</v>
      </c>
      <c r="P6" s="17">
        <f>D6+F6+H6+J6+L6+N6</f>
        <v>13684.28</v>
      </c>
      <c r="Q6">
        <v>16236.58</v>
      </c>
      <c r="R6" s="27">
        <f>(P6-Q6)/P6</f>
        <v>-0.186513283855636</v>
      </c>
    </row>
    <row r="7" ht="23.1" customHeight="1" spans="2:18">
      <c r="B7" s="3" t="s">
        <v>277</v>
      </c>
      <c r="C7" s="8">
        <v>1</v>
      </c>
      <c r="D7" s="9">
        <v>0.915</v>
      </c>
      <c r="E7" s="8">
        <v>1</v>
      </c>
      <c r="F7" s="10">
        <v>0.04</v>
      </c>
      <c r="G7" s="8">
        <v>1</v>
      </c>
      <c r="H7" s="9">
        <v>0.131</v>
      </c>
      <c r="I7" s="8">
        <v>1</v>
      </c>
      <c r="J7" s="18">
        <v>0.141</v>
      </c>
      <c r="K7" s="8">
        <v>1</v>
      </c>
      <c r="L7" s="19">
        <v>0.229</v>
      </c>
      <c r="M7" s="8">
        <v>1</v>
      </c>
      <c r="N7" s="18">
        <v>0.147</v>
      </c>
      <c r="O7" s="20">
        <f t="shared" ref="O7:O22" si="0">(C7+E7+G7+I7+K7+M7)/6</f>
        <v>1</v>
      </c>
      <c r="P7" s="20">
        <f t="shared" ref="P7:P22" si="1">(D7+F7+H7+J7+L7+N7)/6</f>
        <v>0.267166666666667</v>
      </c>
      <c r="Q7" s="27">
        <v>0.831</v>
      </c>
      <c r="R7" s="27">
        <f t="shared" ref="R7:R22" si="2">(P7-Q7)/P7</f>
        <v>-2.11041796631316</v>
      </c>
    </row>
    <row r="8" ht="23.1" customHeight="1" spans="2:18">
      <c r="B8" s="3" t="s">
        <v>278</v>
      </c>
      <c r="C8" s="8">
        <v>1</v>
      </c>
      <c r="D8" s="9">
        <v>0.954</v>
      </c>
      <c r="E8" s="8">
        <v>1</v>
      </c>
      <c r="F8" s="9">
        <v>0.875</v>
      </c>
      <c r="G8" s="8">
        <v>1</v>
      </c>
      <c r="H8" s="9">
        <v>0.9078</v>
      </c>
      <c r="I8" s="8">
        <v>1</v>
      </c>
      <c r="J8" s="12">
        <v>0.85</v>
      </c>
      <c r="K8" s="8">
        <v>1</v>
      </c>
      <c r="L8" s="12">
        <v>0.84</v>
      </c>
      <c r="M8" s="8">
        <v>1</v>
      </c>
      <c r="N8" s="12">
        <v>0.84</v>
      </c>
      <c r="O8" s="20">
        <f t="shared" si="0"/>
        <v>1</v>
      </c>
      <c r="P8" s="20">
        <f t="shared" si="1"/>
        <v>0.8778</v>
      </c>
      <c r="Q8" s="27">
        <v>0.882</v>
      </c>
      <c r="R8" s="27">
        <f t="shared" si="2"/>
        <v>-0.00478468899521529</v>
      </c>
    </row>
    <row r="9" ht="23.1" customHeight="1" spans="2:18">
      <c r="B9" s="3" t="s">
        <v>279</v>
      </c>
      <c r="C9" s="4">
        <v>500</v>
      </c>
      <c r="D9" s="5">
        <v>2766.5</v>
      </c>
      <c r="E9" s="4">
        <v>500</v>
      </c>
      <c r="F9" s="5">
        <v>2205.8</v>
      </c>
      <c r="G9" s="4">
        <v>500</v>
      </c>
      <c r="H9" s="5">
        <v>2758.1</v>
      </c>
      <c r="I9" s="4">
        <v>500</v>
      </c>
      <c r="J9" s="5">
        <v>1385.5</v>
      </c>
      <c r="K9" s="4">
        <v>500</v>
      </c>
      <c r="L9" s="16">
        <v>1880.43</v>
      </c>
      <c r="M9" s="4">
        <v>500</v>
      </c>
      <c r="N9" s="16">
        <v>2241.05</v>
      </c>
      <c r="O9" s="17">
        <f t="shared" ref="O9:O14" si="3">C9+E9+G9+I9+K9+M9</f>
        <v>3000</v>
      </c>
      <c r="P9" s="17">
        <f t="shared" ref="P9:P14" si="4">D9+F9+H9+J9+L9+N9</f>
        <v>13237.38</v>
      </c>
      <c r="Q9">
        <v>28507.97</v>
      </c>
      <c r="R9" s="27">
        <f t="shared" si="2"/>
        <v>-1.15359610436506</v>
      </c>
    </row>
    <row r="10" ht="23.1" customHeight="1" spans="2:18">
      <c r="B10" s="11" t="s">
        <v>280</v>
      </c>
      <c r="C10" s="8">
        <v>1</v>
      </c>
      <c r="D10" s="12">
        <v>1</v>
      </c>
      <c r="E10" s="8">
        <v>1</v>
      </c>
      <c r="F10" s="9">
        <v>0.9891</v>
      </c>
      <c r="G10" s="8">
        <v>1</v>
      </c>
      <c r="H10" s="9">
        <v>0.9693</v>
      </c>
      <c r="I10" s="8">
        <v>1</v>
      </c>
      <c r="J10" s="9">
        <v>0.8962</v>
      </c>
      <c r="K10" s="8">
        <v>1</v>
      </c>
      <c r="L10" s="9">
        <v>0.9809</v>
      </c>
      <c r="M10" s="8">
        <v>1</v>
      </c>
      <c r="N10" s="9">
        <v>0.9809</v>
      </c>
      <c r="O10" s="20">
        <f t="shared" si="0"/>
        <v>1</v>
      </c>
      <c r="P10" s="20">
        <f t="shared" si="1"/>
        <v>0.9694</v>
      </c>
      <c r="Q10" s="27">
        <v>0.9814</v>
      </c>
      <c r="R10" s="27">
        <f t="shared" si="2"/>
        <v>-0.0123787910047453</v>
      </c>
    </row>
    <row r="11" ht="23.1" customHeight="1" spans="2:18">
      <c r="B11" s="11" t="s">
        <v>281</v>
      </c>
      <c r="C11" s="8">
        <v>1</v>
      </c>
      <c r="D11" s="9">
        <v>0.998</v>
      </c>
      <c r="E11" s="8">
        <v>1</v>
      </c>
      <c r="F11" s="9">
        <v>0.9953</v>
      </c>
      <c r="G11" s="8">
        <v>1</v>
      </c>
      <c r="H11" s="12">
        <v>0.99</v>
      </c>
      <c r="I11" s="8">
        <v>1</v>
      </c>
      <c r="J11" s="12">
        <v>0.99</v>
      </c>
      <c r="K11" s="8">
        <v>1</v>
      </c>
      <c r="L11" s="9">
        <v>0.986</v>
      </c>
      <c r="M11" s="8">
        <v>1</v>
      </c>
      <c r="N11" s="9">
        <v>0.997</v>
      </c>
      <c r="O11" s="20">
        <f t="shared" si="0"/>
        <v>1</v>
      </c>
      <c r="P11" s="20">
        <f t="shared" si="1"/>
        <v>0.992716666666667</v>
      </c>
      <c r="Q11" s="27">
        <v>0.815</v>
      </c>
      <c r="R11" s="27">
        <f t="shared" si="2"/>
        <v>0.179020532881151</v>
      </c>
    </row>
    <row r="12" ht="23.1" customHeight="1" spans="2:18">
      <c r="B12" s="3" t="s">
        <v>282</v>
      </c>
      <c r="C12" s="8">
        <v>1</v>
      </c>
      <c r="D12" s="9">
        <v>0.9988</v>
      </c>
      <c r="E12" s="8">
        <v>1</v>
      </c>
      <c r="F12" s="9">
        <v>0.9981</v>
      </c>
      <c r="G12" s="8">
        <v>1</v>
      </c>
      <c r="H12" s="9">
        <v>0.9981</v>
      </c>
      <c r="I12" s="8">
        <v>1</v>
      </c>
      <c r="J12" s="9">
        <v>0.9606</v>
      </c>
      <c r="K12" s="8">
        <v>1</v>
      </c>
      <c r="L12" s="9">
        <v>0.999</v>
      </c>
      <c r="M12" s="8">
        <v>1</v>
      </c>
      <c r="N12" s="9">
        <v>0.9831</v>
      </c>
      <c r="O12" s="20">
        <f t="shared" si="0"/>
        <v>1</v>
      </c>
      <c r="P12" s="20">
        <f t="shared" si="1"/>
        <v>0.989616666666667</v>
      </c>
      <c r="Q12" s="27">
        <v>0.9388</v>
      </c>
      <c r="R12" s="27">
        <f t="shared" si="2"/>
        <v>0.0513498492682352</v>
      </c>
    </row>
    <row r="13" ht="23.1" customHeight="1" spans="2:18">
      <c r="B13" s="3" t="s">
        <v>283</v>
      </c>
      <c r="C13" s="4">
        <v>1100</v>
      </c>
      <c r="D13" s="7">
        <v>1934.92</v>
      </c>
      <c r="E13" s="4">
        <v>1100</v>
      </c>
      <c r="F13" s="5">
        <v>1869.57</v>
      </c>
      <c r="G13" s="4">
        <v>1100</v>
      </c>
      <c r="H13" s="5">
        <v>1826.81</v>
      </c>
      <c r="I13" s="4">
        <v>1100</v>
      </c>
      <c r="J13" s="21">
        <v>1381.14</v>
      </c>
      <c r="K13" s="4">
        <v>1100</v>
      </c>
      <c r="L13" s="5">
        <v>1471.56</v>
      </c>
      <c r="M13" s="4">
        <v>1100</v>
      </c>
      <c r="N13" s="5">
        <v>1479.33</v>
      </c>
      <c r="O13" s="17">
        <f t="shared" si="3"/>
        <v>6600</v>
      </c>
      <c r="P13" s="17">
        <f t="shared" si="4"/>
        <v>9963.33</v>
      </c>
      <c r="Q13">
        <v>10387.72</v>
      </c>
      <c r="R13" s="27">
        <f t="shared" si="2"/>
        <v>-0.0425951965858804</v>
      </c>
    </row>
    <row r="14" ht="23.1" customHeight="1" spans="2:20">
      <c r="B14" s="3" t="s">
        <v>228</v>
      </c>
      <c r="C14" s="4">
        <v>8.3</v>
      </c>
      <c r="D14" s="5">
        <v>5.6</v>
      </c>
      <c r="E14" s="4">
        <v>8.3</v>
      </c>
      <c r="F14" s="5">
        <v>3.87</v>
      </c>
      <c r="G14" s="4">
        <v>8.3</v>
      </c>
      <c r="H14" s="5">
        <v>7.96</v>
      </c>
      <c r="I14" s="4">
        <v>8.3</v>
      </c>
      <c r="J14" s="5">
        <v>7.97</v>
      </c>
      <c r="K14" s="4">
        <v>8.3</v>
      </c>
      <c r="L14" s="5">
        <v>6.83</v>
      </c>
      <c r="M14" s="4">
        <v>8.3</v>
      </c>
      <c r="N14" s="5">
        <v>6.54</v>
      </c>
      <c r="O14" s="17">
        <f t="shared" si="3"/>
        <v>49.8</v>
      </c>
      <c r="P14" s="17">
        <f t="shared" si="4"/>
        <v>38.77</v>
      </c>
      <c r="Q14">
        <v>26.8</v>
      </c>
      <c r="R14" s="27">
        <f t="shared" si="2"/>
        <v>0.308743874129481</v>
      </c>
      <c r="T14">
        <f>P14/6</f>
        <v>6.46166666666667</v>
      </c>
    </row>
    <row r="15" ht="23.1" customHeight="1" spans="2:18">
      <c r="B15" s="3" t="s">
        <v>284</v>
      </c>
      <c r="C15" s="13">
        <v>0.0083</v>
      </c>
      <c r="D15" s="12">
        <v>0</v>
      </c>
      <c r="E15" s="13">
        <v>0.0083</v>
      </c>
      <c r="F15" s="12">
        <v>0</v>
      </c>
      <c r="G15" s="13">
        <v>0.0083</v>
      </c>
      <c r="H15" s="12">
        <v>0</v>
      </c>
      <c r="I15" s="13">
        <v>0.0083</v>
      </c>
      <c r="J15" s="12">
        <v>0</v>
      </c>
      <c r="K15" s="13">
        <v>0.0083</v>
      </c>
      <c r="L15" s="12">
        <v>0</v>
      </c>
      <c r="M15" s="13">
        <v>0.0083</v>
      </c>
      <c r="N15" s="9">
        <v>0.0278</v>
      </c>
      <c r="O15" s="22">
        <f t="shared" si="0"/>
        <v>0.0083</v>
      </c>
      <c r="P15" s="22">
        <f t="shared" si="1"/>
        <v>0.00463333333333333</v>
      </c>
      <c r="Q15" s="27">
        <v>0.0098</v>
      </c>
      <c r="R15" s="27">
        <f t="shared" si="2"/>
        <v>-1.11510791366906</v>
      </c>
    </row>
    <row r="16" ht="23.1" customHeight="1" spans="2:18">
      <c r="B16" s="3" t="s">
        <v>219</v>
      </c>
      <c r="C16" s="4">
        <v>1000</v>
      </c>
      <c r="D16" s="5">
        <v>1674</v>
      </c>
      <c r="E16" s="4">
        <v>1000</v>
      </c>
      <c r="F16" s="5">
        <v>909</v>
      </c>
      <c r="G16" s="4">
        <v>1000</v>
      </c>
      <c r="H16" s="5">
        <v>539</v>
      </c>
      <c r="I16" s="4">
        <v>1000</v>
      </c>
      <c r="J16" s="5">
        <v>1751</v>
      </c>
      <c r="K16" s="4">
        <v>1000</v>
      </c>
      <c r="L16" s="5">
        <v>3904</v>
      </c>
      <c r="M16" s="4">
        <v>1000</v>
      </c>
      <c r="N16" s="5">
        <v>1278</v>
      </c>
      <c r="O16" s="17">
        <f t="shared" si="0"/>
        <v>1000</v>
      </c>
      <c r="P16" s="23">
        <f t="shared" si="1"/>
        <v>1675.83333333333</v>
      </c>
      <c r="Q16">
        <v>1977.51</v>
      </c>
      <c r="R16" s="27">
        <f t="shared" si="2"/>
        <v>-0.180015912481353</v>
      </c>
    </row>
    <row r="17" ht="23.1" customHeight="1" spans="2:18">
      <c r="B17" s="3" t="s">
        <v>285</v>
      </c>
      <c r="C17" s="4">
        <v>1000</v>
      </c>
      <c r="D17" s="5">
        <v>477</v>
      </c>
      <c r="E17" s="4">
        <v>1000</v>
      </c>
      <c r="F17" s="5">
        <v>292</v>
      </c>
      <c r="G17" s="4">
        <v>1000</v>
      </c>
      <c r="H17" s="5">
        <v>198</v>
      </c>
      <c r="I17" s="4">
        <v>1000</v>
      </c>
      <c r="J17" s="5">
        <v>62</v>
      </c>
      <c r="K17" s="4">
        <v>1000</v>
      </c>
      <c r="L17" s="5">
        <v>220</v>
      </c>
      <c r="M17" s="4">
        <v>1000</v>
      </c>
      <c r="N17" s="5">
        <v>208</v>
      </c>
      <c r="O17" s="17">
        <f t="shared" si="0"/>
        <v>1000</v>
      </c>
      <c r="P17" s="23">
        <f t="shared" si="1"/>
        <v>242.833333333333</v>
      </c>
      <c r="Q17">
        <v>2711.7</v>
      </c>
      <c r="R17" s="27">
        <f t="shared" si="2"/>
        <v>-10.166918325326</v>
      </c>
    </row>
    <row r="18" ht="23.1" customHeight="1" spans="2:18">
      <c r="B18" s="3" t="s">
        <v>217</v>
      </c>
      <c r="C18" s="4">
        <v>1000</v>
      </c>
      <c r="D18" s="5">
        <v>167</v>
      </c>
      <c r="E18" s="4">
        <v>1000</v>
      </c>
      <c r="F18" s="5">
        <v>1437</v>
      </c>
      <c r="G18" s="4">
        <v>1000</v>
      </c>
      <c r="H18" s="5">
        <v>711</v>
      </c>
      <c r="I18" s="4">
        <v>1000</v>
      </c>
      <c r="J18" s="5">
        <v>616</v>
      </c>
      <c r="K18" s="4">
        <v>1000</v>
      </c>
      <c r="L18" s="5">
        <v>2486</v>
      </c>
      <c r="M18" s="4">
        <v>1000</v>
      </c>
      <c r="N18" s="5">
        <v>972</v>
      </c>
      <c r="O18" s="17">
        <f t="shared" si="0"/>
        <v>1000</v>
      </c>
      <c r="P18" s="23">
        <f t="shared" si="1"/>
        <v>1064.83333333333</v>
      </c>
      <c r="Q18">
        <v>2020.81</v>
      </c>
      <c r="R18" s="27">
        <f t="shared" si="2"/>
        <v>-0.897771169197058</v>
      </c>
    </row>
    <row r="19" ht="23.1" customHeight="1" spans="2:18">
      <c r="B19" s="3" t="s">
        <v>286</v>
      </c>
      <c r="C19" s="8">
        <v>0.01</v>
      </c>
      <c r="D19" s="9">
        <v>0.0015</v>
      </c>
      <c r="E19" s="8">
        <v>0.01</v>
      </c>
      <c r="F19" s="12">
        <v>0</v>
      </c>
      <c r="G19" s="8">
        <v>0.01</v>
      </c>
      <c r="H19" s="9">
        <v>0.0078</v>
      </c>
      <c r="I19" s="8">
        <v>0.01</v>
      </c>
      <c r="J19" s="9">
        <v>0.0086</v>
      </c>
      <c r="K19" s="8">
        <v>0.01</v>
      </c>
      <c r="L19" s="9">
        <v>0.0053</v>
      </c>
      <c r="M19" s="8">
        <v>0.01</v>
      </c>
      <c r="N19" s="9">
        <v>0.0078</v>
      </c>
      <c r="O19" s="22">
        <f t="shared" si="0"/>
        <v>0.01</v>
      </c>
      <c r="P19" s="22">
        <f t="shared" si="1"/>
        <v>0.00516666666666667</v>
      </c>
      <c r="Q19" s="27">
        <v>0.012</v>
      </c>
      <c r="R19" s="27">
        <f t="shared" si="2"/>
        <v>-1.32258064516129</v>
      </c>
    </row>
    <row r="20" ht="23.1" customHeight="1" spans="2:18">
      <c r="B20" s="3" t="s">
        <v>287</v>
      </c>
      <c r="C20" s="8">
        <v>1</v>
      </c>
      <c r="D20" s="9">
        <v>0.973</v>
      </c>
      <c r="E20" s="8">
        <v>1</v>
      </c>
      <c r="F20" s="12">
        <v>1</v>
      </c>
      <c r="G20" s="8">
        <v>1</v>
      </c>
      <c r="H20" s="9">
        <v>0.995</v>
      </c>
      <c r="I20" s="8">
        <v>1</v>
      </c>
      <c r="J20" s="12">
        <v>0.99</v>
      </c>
      <c r="K20" s="8">
        <v>1</v>
      </c>
      <c r="L20" s="12">
        <v>0.99</v>
      </c>
      <c r="M20" s="8">
        <v>1</v>
      </c>
      <c r="N20" s="12">
        <v>0.99</v>
      </c>
      <c r="O20" s="20">
        <f t="shared" si="0"/>
        <v>1</v>
      </c>
      <c r="P20" s="20">
        <f t="shared" si="1"/>
        <v>0.989666666666667</v>
      </c>
      <c r="Q20" s="27">
        <v>0.924</v>
      </c>
      <c r="R20" s="27">
        <f t="shared" si="2"/>
        <v>0.0663523071741328</v>
      </c>
    </row>
    <row r="21" ht="23.1" customHeight="1" spans="2:18">
      <c r="B21" s="3" t="s">
        <v>288</v>
      </c>
      <c r="C21" s="8">
        <v>1</v>
      </c>
      <c r="D21" s="12">
        <v>1</v>
      </c>
      <c r="E21" s="8">
        <v>1</v>
      </c>
      <c r="F21" s="12">
        <v>1</v>
      </c>
      <c r="G21" s="8">
        <v>1</v>
      </c>
      <c r="H21" s="12">
        <v>1</v>
      </c>
      <c r="I21" s="8">
        <v>1</v>
      </c>
      <c r="J21" s="12">
        <v>1</v>
      </c>
      <c r="K21" s="8">
        <v>1</v>
      </c>
      <c r="L21" s="12">
        <v>1</v>
      </c>
      <c r="M21" s="8">
        <v>1</v>
      </c>
      <c r="N21" s="12">
        <v>1</v>
      </c>
      <c r="O21" s="20">
        <f t="shared" si="0"/>
        <v>1</v>
      </c>
      <c r="P21" s="20">
        <f t="shared" si="1"/>
        <v>1</v>
      </c>
      <c r="R21" s="27">
        <f t="shared" si="2"/>
        <v>1</v>
      </c>
    </row>
    <row r="22" ht="23.1" customHeight="1" spans="2:18">
      <c r="B22" s="3" t="s">
        <v>289</v>
      </c>
      <c r="C22" s="14">
        <v>0.02</v>
      </c>
      <c r="D22" s="15">
        <v>0.0041</v>
      </c>
      <c r="E22" s="14">
        <v>0.02</v>
      </c>
      <c r="F22" s="15">
        <v>0.019</v>
      </c>
      <c r="G22" s="14">
        <v>0.02</v>
      </c>
      <c r="H22" s="15">
        <v>0.0175</v>
      </c>
      <c r="I22" s="14">
        <v>0.02</v>
      </c>
      <c r="J22" s="24">
        <v>0.02</v>
      </c>
      <c r="K22" s="14">
        <v>0.02</v>
      </c>
      <c r="L22" s="15">
        <v>0.0216</v>
      </c>
      <c r="M22" s="14">
        <v>0.02</v>
      </c>
      <c r="N22" s="15">
        <v>0.0324</v>
      </c>
      <c r="O22" s="20">
        <f t="shared" si="0"/>
        <v>0.02</v>
      </c>
      <c r="P22" s="22">
        <f t="shared" si="1"/>
        <v>0.0191</v>
      </c>
      <c r="Q22" s="27">
        <v>0.0038</v>
      </c>
      <c r="R22" s="27">
        <f t="shared" si="2"/>
        <v>0.801047120418848</v>
      </c>
    </row>
    <row r="28" spans="10:16">
      <c r="J28" s="25">
        <v>3502.05</v>
      </c>
      <c r="K28" s="25">
        <v>2396.22</v>
      </c>
      <c r="L28" s="25">
        <v>2522.44</v>
      </c>
      <c r="M28" s="25">
        <v>1820.29</v>
      </c>
      <c r="N28" s="25">
        <v>3297</v>
      </c>
      <c r="O28" s="25">
        <v>2698.58</v>
      </c>
      <c r="P28">
        <f>SUM(J28:O28)</f>
        <v>16236.58</v>
      </c>
    </row>
  </sheetData>
  <mergeCells count="8">
    <mergeCell ref="Q4:Q5"/>
    <mergeCell ref="C3:D4"/>
    <mergeCell ref="E3:F4"/>
    <mergeCell ref="G3:H4"/>
    <mergeCell ref="I3:J4"/>
    <mergeCell ref="K3:L4"/>
    <mergeCell ref="M3:N4"/>
    <mergeCell ref="O3:P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⑮边际贡献分析</vt:lpstr>
      <vt:lpstr>强检明细</vt:lpstr>
      <vt:lpstr>Sheet3</vt:lpstr>
      <vt:lpstr>KPI达成率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刘青云</dc:creator>
  <cp:lastModifiedBy>Arjun℡¹⁸⁰⁰⁴⁴²⁵¹²²</cp:lastModifiedBy>
  <dcterms:created xsi:type="dcterms:W3CDTF">2006-09-13T11:21:00Z</dcterms:created>
  <cp:lastPrinted>2022-12-08T01:27:00Z</cp:lastPrinted>
  <dcterms:modified xsi:type="dcterms:W3CDTF">2024-04-01T06:44:32Z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KSOReadingLayout">
    <vt:bool>true</vt:bool>
  </property>
  <property fmtid="{D5CDD505-2E9C-101B-9397-08002B2CF9AE}" pid="4" name="ICV">
    <vt:lpwstr>E224FC1AF28F488FB9F8FA5D6FD1568D_13</vt:lpwstr>
  </property>
</Properties>
</file>