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4\新建文件夹 (2)\新建文件夹 (2)1\新建文件夹 (2)\新建文件夹 (2)\再兴\"/>
    </mc:Choice>
  </mc:AlternateContent>
  <bookViews>
    <workbookView xWindow="0" yWindow="0" windowWidth="19635" windowHeight="7695" activeTab="1"/>
  </bookViews>
  <sheets>
    <sheet name="孙沛霖核算" sheetId="2" r:id="rId1"/>
    <sheet name="再兴价格" sheetId="7" r:id="rId2"/>
  </sheets>
  <definedNames>
    <definedName name="_xlnm._FilterDatabase" localSheetId="1" hidden="1">再兴价格!$A$1:$K$62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7" l="1"/>
  <c r="J9" i="7"/>
  <c r="J14" i="7"/>
  <c r="J15" i="7"/>
  <c r="J17" i="7"/>
  <c r="J18" i="7"/>
  <c r="J19" i="7"/>
  <c r="J20" i="7"/>
  <c r="J25" i="7"/>
  <c r="J26" i="7"/>
  <c r="J3" i="7"/>
  <c r="J4" i="7"/>
  <c r="J5" i="7"/>
  <c r="J10" i="7"/>
  <c r="J21" i="7"/>
  <c r="J22" i="7"/>
  <c r="J23" i="7"/>
  <c r="J24" i="7"/>
  <c r="J27" i="7"/>
  <c r="J28" i="7"/>
  <c r="J30" i="7"/>
  <c r="J33" i="7"/>
  <c r="J45" i="7"/>
  <c r="J48" i="7"/>
  <c r="J49" i="7"/>
  <c r="J56" i="7"/>
  <c r="J57" i="7"/>
  <c r="J59" i="7"/>
  <c r="J60" i="7"/>
  <c r="J62" i="7"/>
  <c r="J2" i="7"/>
  <c r="J16" i="7" l="1"/>
  <c r="J13" i="7"/>
  <c r="J12" i="7"/>
  <c r="J11" i="7"/>
  <c r="J8" i="7"/>
  <c r="J6" i="7" l="1"/>
  <c r="J61" i="7"/>
  <c r="J58" i="7"/>
  <c r="J55" i="7"/>
  <c r="J54" i="7"/>
  <c r="J53" i="7"/>
  <c r="J52" i="7"/>
  <c r="J51" i="7"/>
  <c r="J50" i="7"/>
  <c r="J47" i="7"/>
  <c r="J46" i="7"/>
  <c r="G45" i="7"/>
  <c r="J44" i="7"/>
  <c r="J43" i="7"/>
  <c r="J42" i="7"/>
  <c r="J40" i="7"/>
  <c r="J39" i="7"/>
  <c r="J38" i="7"/>
  <c r="J37" i="7"/>
  <c r="J36" i="7"/>
  <c r="J35" i="7"/>
  <c r="J34" i="7"/>
  <c r="J32" i="7"/>
  <c r="J31" i="7"/>
  <c r="J29" i="7"/>
  <c r="G22" i="7"/>
  <c r="G12" i="7"/>
  <c r="G11" i="7"/>
  <c r="G10" i="7"/>
  <c r="G7" i="7"/>
  <c r="G41" i="7" l="1"/>
  <c r="J41" i="7"/>
  <c r="G60" i="7"/>
  <c r="G27" i="7"/>
  <c r="G32" i="7"/>
  <c r="G56" i="7"/>
  <c r="G16" i="7"/>
  <c r="G37" i="7"/>
  <c r="G52" i="7"/>
  <c r="G3" i="7"/>
  <c r="G23" i="7"/>
  <c r="G51" i="7"/>
  <c r="G21" i="7"/>
  <c r="G19" i="7"/>
  <c r="G57" i="7"/>
  <c r="G17" i="7"/>
  <c r="G2" i="7"/>
  <c r="G13" i="7"/>
  <c r="G24" i="7"/>
  <c r="G18" i="7"/>
  <c r="G26" i="7"/>
  <c r="G43" i="7"/>
  <c r="G59" i="7"/>
  <c r="G61" i="7"/>
  <c r="G47" i="7"/>
  <c r="G30" i="7"/>
  <c r="G36" i="7"/>
  <c r="G62" i="7"/>
  <c r="G39" i="7"/>
  <c r="G15" i="7"/>
  <c r="G31" i="7"/>
  <c r="G46" i="7"/>
  <c r="G14" i="7"/>
  <c r="G53" i="7"/>
  <c r="G6" i="7"/>
  <c r="G28" i="7"/>
  <c r="G33" i="7"/>
  <c r="G49" i="7"/>
  <c r="G58" i="7"/>
  <c r="G8" i="7"/>
  <c r="G4" i="7"/>
  <c r="G29" i="7"/>
  <c r="G48" i="7"/>
  <c r="G20" i="7"/>
  <c r="G5" i="7"/>
  <c r="G9" i="7"/>
  <c r="G34" i="7"/>
  <c r="G38" i="7"/>
  <c r="G40" i="7"/>
  <c r="G42" i="7"/>
  <c r="G50" i="7"/>
  <c r="G54" i="7"/>
  <c r="G25" i="7"/>
  <c r="G35" i="7"/>
  <c r="G55" i="7"/>
  <c r="W269" i="2"/>
  <c r="O269" i="2"/>
  <c r="U268" i="2"/>
  <c r="U267" i="2"/>
  <c r="U266" i="2"/>
  <c r="W265" i="2"/>
  <c r="U265" i="2"/>
  <c r="O265" i="2"/>
  <c r="U264" i="2"/>
  <c r="W263" i="2"/>
  <c r="U263" i="2"/>
  <c r="O263" i="2"/>
  <c r="N263" i="2"/>
  <c r="L263" i="2"/>
  <c r="U262" i="2"/>
  <c r="W261" i="2"/>
  <c r="U261" i="2"/>
  <c r="O261" i="2"/>
  <c r="N261" i="2"/>
  <c r="L261" i="2"/>
  <c r="U260" i="2"/>
  <c r="U259" i="2"/>
  <c r="W258" i="2"/>
  <c r="U258" i="2"/>
  <c r="O258" i="2"/>
  <c r="N258" i="2"/>
  <c r="L258" i="2"/>
  <c r="U257" i="2"/>
  <c r="U256" i="2"/>
  <c r="W255" i="2"/>
  <c r="U255" i="2"/>
  <c r="O255" i="2"/>
  <c r="N255" i="2"/>
  <c r="U254" i="2"/>
  <c r="U253" i="2"/>
  <c r="U252" i="2"/>
  <c r="W251" i="2"/>
  <c r="U251" i="2"/>
  <c r="O251" i="2"/>
  <c r="U250" i="2"/>
  <c r="U249" i="2"/>
  <c r="U248" i="2"/>
  <c r="W247" i="2"/>
  <c r="U247" i="2"/>
  <c r="O247" i="2"/>
  <c r="U246" i="2"/>
  <c r="U245" i="2"/>
  <c r="U244" i="2"/>
  <c r="W243" i="2"/>
  <c r="U243" i="2"/>
  <c r="O243" i="2"/>
  <c r="U242" i="2"/>
  <c r="U241" i="2"/>
  <c r="U240" i="2"/>
  <c r="W239" i="2"/>
  <c r="U239" i="2"/>
  <c r="O239" i="2"/>
  <c r="U238" i="2"/>
  <c r="U237" i="2"/>
  <c r="U236" i="2"/>
  <c r="O236" i="2"/>
  <c r="U235" i="2"/>
  <c r="W234" i="2"/>
  <c r="U234" i="2"/>
  <c r="O234" i="2"/>
  <c r="N234" i="2"/>
  <c r="U233" i="2"/>
  <c r="U232" i="2"/>
  <c r="W231" i="2"/>
  <c r="U231" i="2"/>
  <c r="O231" i="2"/>
  <c r="N231" i="2"/>
  <c r="U230" i="2"/>
  <c r="U229" i="2"/>
  <c r="W228" i="2"/>
  <c r="U228" i="2"/>
  <c r="O228" i="2"/>
  <c r="N228" i="2"/>
  <c r="U227" i="2"/>
  <c r="U226" i="2"/>
  <c r="W225" i="2"/>
  <c r="U225" i="2"/>
  <c r="O225" i="2"/>
  <c r="N225" i="2"/>
  <c r="U224" i="2"/>
  <c r="U223" i="2"/>
  <c r="W222" i="2"/>
  <c r="U222" i="2"/>
  <c r="O222" i="2"/>
  <c r="N222" i="2"/>
  <c r="U221" i="2"/>
  <c r="W220" i="2"/>
  <c r="U220" i="2"/>
  <c r="O220" i="2"/>
  <c r="N220" i="2"/>
  <c r="U219" i="2"/>
  <c r="W218" i="2"/>
  <c r="U218" i="2"/>
  <c r="O218" i="2"/>
  <c r="N218" i="2"/>
  <c r="U217" i="2"/>
  <c r="U216" i="2"/>
  <c r="U215" i="2"/>
  <c r="W214" i="2"/>
  <c r="U214" i="2"/>
  <c r="O214" i="2"/>
  <c r="N214" i="2"/>
  <c r="U213" i="2"/>
  <c r="U212" i="2"/>
  <c r="W211" i="2"/>
  <c r="U211" i="2"/>
  <c r="O211" i="2"/>
  <c r="N211" i="2"/>
  <c r="U210" i="2"/>
  <c r="U209" i="2"/>
  <c r="W208" i="2"/>
  <c r="U208" i="2"/>
  <c r="O208" i="2"/>
  <c r="N208" i="2"/>
  <c r="U207" i="2"/>
  <c r="W206" i="2"/>
  <c r="U206" i="2"/>
  <c r="O206" i="2"/>
  <c r="N206" i="2"/>
  <c r="U205" i="2"/>
  <c r="U204" i="2"/>
  <c r="W203" i="2"/>
  <c r="U203" i="2"/>
  <c r="O203" i="2"/>
  <c r="N203" i="2"/>
  <c r="U202" i="2"/>
  <c r="U201" i="2"/>
  <c r="W200" i="2"/>
  <c r="U200" i="2"/>
  <c r="O200" i="2"/>
  <c r="N200" i="2"/>
  <c r="U199" i="2"/>
  <c r="U198" i="2"/>
  <c r="U197" i="2"/>
  <c r="W196" i="2"/>
  <c r="U196" i="2"/>
  <c r="O196" i="2"/>
  <c r="N196" i="2"/>
  <c r="U195" i="2"/>
  <c r="W194" i="2"/>
  <c r="U194" i="2"/>
  <c r="O194" i="2"/>
  <c r="N194" i="2"/>
  <c r="U193" i="2"/>
  <c r="U192" i="2"/>
  <c r="W191" i="2"/>
  <c r="U191" i="2"/>
  <c r="O191" i="2"/>
  <c r="N191" i="2"/>
  <c r="U190" i="2"/>
  <c r="U189" i="2"/>
  <c r="W188" i="2"/>
  <c r="U188" i="2"/>
  <c r="O188" i="2"/>
  <c r="N188" i="2"/>
  <c r="U187" i="2"/>
  <c r="W186" i="2"/>
  <c r="U186" i="2"/>
  <c r="O186" i="2"/>
  <c r="N186" i="2"/>
  <c r="U185" i="2"/>
  <c r="U184" i="2"/>
  <c r="W183" i="2"/>
  <c r="U183" i="2"/>
  <c r="O183" i="2"/>
  <c r="N183" i="2"/>
  <c r="U182" i="2"/>
  <c r="U181" i="2"/>
  <c r="W180" i="2"/>
  <c r="U180" i="2"/>
  <c r="O180" i="2"/>
  <c r="N180" i="2"/>
  <c r="W179" i="2"/>
  <c r="U179" i="2"/>
  <c r="O179" i="2"/>
  <c r="N179" i="2"/>
  <c r="U178" i="2"/>
  <c r="W177" i="2"/>
  <c r="U177" i="2"/>
  <c r="O177" i="2"/>
  <c r="N177" i="2"/>
  <c r="U176" i="2"/>
  <c r="W175" i="2"/>
  <c r="U175" i="2"/>
  <c r="O175" i="2"/>
  <c r="N175" i="2"/>
  <c r="U174" i="2"/>
  <c r="W173" i="2"/>
  <c r="U173" i="2"/>
  <c r="O173" i="2"/>
  <c r="N173" i="2"/>
  <c r="U172" i="2"/>
  <c r="U171" i="2"/>
  <c r="W170" i="2"/>
  <c r="U170" i="2"/>
  <c r="O170" i="2"/>
  <c r="N170" i="2"/>
  <c r="U169" i="2"/>
  <c r="U168" i="2"/>
  <c r="W167" i="2"/>
  <c r="U167" i="2"/>
  <c r="O167" i="2"/>
  <c r="N167" i="2"/>
  <c r="D167" i="2"/>
  <c r="U166" i="2"/>
  <c r="W165" i="2"/>
  <c r="U165" i="2"/>
  <c r="O165" i="2"/>
  <c r="N165" i="2"/>
  <c r="U164" i="2"/>
  <c r="U163" i="2"/>
  <c r="W162" i="2"/>
  <c r="U162" i="2"/>
  <c r="O162" i="2"/>
  <c r="N162" i="2"/>
  <c r="U161" i="2"/>
  <c r="U160" i="2"/>
  <c r="U159" i="2"/>
  <c r="W158" i="2"/>
  <c r="U158" i="2"/>
  <c r="O158" i="2"/>
  <c r="N158" i="2"/>
  <c r="U157" i="2"/>
  <c r="U156" i="2"/>
  <c r="W155" i="2"/>
  <c r="U155" i="2"/>
  <c r="O155" i="2"/>
  <c r="N155" i="2"/>
  <c r="U154" i="2"/>
  <c r="U153" i="2"/>
  <c r="W152" i="2"/>
  <c r="U152" i="2"/>
  <c r="O152" i="2"/>
  <c r="N152" i="2"/>
  <c r="U151" i="2"/>
  <c r="W150" i="2"/>
  <c r="U150" i="2"/>
  <c r="O150" i="2"/>
  <c r="N150" i="2"/>
  <c r="U149" i="2"/>
  <c r="W148" i="2"/>
  <c r="U148" i="2"/>
  <c r="O148" i="2"/>
  <c r="N148" i="2"/>
  <c r="U147" i="2"/>
  <c r="U146" i="2"/>
  <c r="W145" i="2"/>
  <c r="U145" i="2"/>
  <c r="O145" i="2"/>
  <c r="N145" i="2"/>
  <c r="U144" i="2"/>
  <c r="W143" i="2"/>
  <c r="U143" i="2"/>
  <c r="O143" i="2"/>
  <c r="N143" i="2"/>
  <c r="U142" i="2"/>
  <c r="W141" i="2"/>
  <c r="U141" i="2"/>
  <c r="O141" i="2"/>
  <c r="U140" i="2"/>
  <c r="W139" i="2"/>
  <c r="U139" i="2"/>
  <c r="O139" i="2"/>
  <c r="N139" i="2"/>
  <c r="U138" i="2"/>
  <c r="W137" i="2"/>
  <c r="U137" i="2"/>
  <c r="O137" i="2"/>
  <c r="N137" i="2"/>
  <c r="U136" i="2"/>
  <c r="U135" i="2"/>
  <c r="W134" i="2"/>
  <c r="U134" i="2"/>
  <c r="O134" i="2"/>
  <c r="N134" i="2"/>
  <c r="U133" i="2"/>
  <c r="U132" i="2"/>
  <c r="W131" i="2"/>
  <c r="U131" i="2"/>
  <c r="O131" i="2"/>
  <c r="U130" i="2"/>
  <c r="U129" i="2"/>
  <c r="U128" i="2"/>
  <c r="O128" i="2"/>
  <c r="U127" i="2"/>
  <c r="W126" i="2"/>
  <c r="U126" i="2"/>
  <c r="O126" i="2"/>
  <c r="O125" i="2"/>
  <c r="W124" i="2"/>
  <c r="U124" i="2"/>
  <c r="O124" i="2"/>
  <c r="J124" i="2"/>
  <c r="U123" i="2"/>
  <c r="U122" i="2"/>
  <c r="W121" i="2"/>
  <c r="U121" i="2"/>
  <c r="O121" i="2"/>
  <c r="U120" i="2"/>
  <c r="W119" i="2"/>
  <c r="U119" i="2"/>
  <c r="O119" i="2"/>
  <c r="U118" i="2"/>
  <c r="W117" i="2"/>
  <c r="U117" i="2"/>
  <c r="O117" i="2"/>
  <c r="U116" i="2"/>
  <c r="U115" i="2"/>
  <c r="O115" i="2"/>
  <c r="U114" i="2"/>
  <c r="O114" i="2"/>
  <c r="U113" i="2"/>
  <c r="O113" i="2"/>
  <c r="W112" i="2"/>
  <c r="U112" i="2"/>
  <c r="O112" i="2"/>
  <c r="U111" i="2"/>
  <c r="U110" i="2"/>
  <c r="W109" i="2"/>
  <c r="U109" i="2"/>
  <c r="O109" i="2"/>
  <c r="U108" i="2"/>
  <c r="U107" i="2"/>
  <c r="W106" i="2"/>
  <c r="U106" i="2"/>
  <c r="O106" i="2"/>
  <c r="U105" i="2"/>
  <c r="U104" i="2"/>
  <c r="U103" i="2"/>
  <c r="W102" i="2"/>
  <c r="U102" i="2"/>
  <c r="O102" i="2"/>
  <c r="U101" i="2"/>
  <c r="U100" i="2"/>
  <c r="U99" i="2"/>
  <c r="W98" i="2"/>
  <c r="U98" i="2"/>
  <c r="O98" i="2"/>
  <c r="U97" i="2"/>
  <c r="U96" i="2"/>
  <c r="W95" i="2"/>
  <c r="U95" i="2"/>
  <c r="O95" i="2"/>
  <c r="U94" i="2"/>
  <c r="U93" i="2"/>
  <c r="O93" i="2"/>
  <c r="U92" i="2"/>
  <c r="W91" i="2"/>
  <c r="U91" i="2"/>
  <c r="O91" i="2"/>
  <c r="N91" i="2"/>
  <c r="M91" i="2"/>
  <c r="L91" i="2"/>
  <c r="G91" i="2"/>
  <c r="U90" i="2"/>
  <c r="U89" i="2"/>
  <c r="O89" i="2"/>
  <c r="U88" i="2"/>
  <c r="W87" i="2"/>
  <c r="U87" i="2"/>
  <c r="O87" i="2"/>
  <c r="N87" i="2"/>
  <c r="M87" i="2"/>
  <c r="L87" i="2"/>
  <c r="G87" i="2"/>
  <c r="U86" i="2"/>
  <c r="U85" i="2"/>
  <c r="W84" i="2"/>
  <c r="U84" i="2"/>
  <c r="O84" i="2"/>
  <c r="N84" i="2"/>
  <c r="L84" i="2"/>
  <c r="H84" i="2"/>
  <c r="U83" i="2"/>
  <c r="U82" i="2"/>
  <c r="W81" i="2"/>
  <c r="U81" i="2"/>
  <c r="O81" i="2"/>
  <c r="N81" i="2"/>
  <c r="L81" i="2"/>
  <c r="U80" i="2"/>
  <c r="U79" i="2"/>
  <c r="W78" i="2"/>
  <c r="U78" i="2"/>
  <c r="O78" i="2"/>
  <c r="N78" i="2"/>
  <c r="L78" i="2"/>
  <c r="U77" i="2"/>
  <c r="U76" i="2"/>
  <c r="W75" i="2"/>
  <c r="U75" i="2"/>
  <c r="O75" i="2"/>
  <c r="N75" i="2"/>
  <c r="W74" i="2"/>
  <c r="U74" i="2"/>
  <c r="O74" i="2"/>
  <c r="N74" i="2"/>
  <c r="U73" i="2"/>
  <c r="W72" i="2"/>
  <c r="U72" i="2"/>
  <c r="O72" i="2"/>
  <c r="N72" i="2"/>
  <c r="L72" i="2"/>
  <c r="U71" i="2"/>
  <c r="U70" i="2"/>
  <c r="W69" i="2"/>
  <c r="U69" i="2"/>
  <c r="O69" i="2"/>
  <c r="N69" i="2"/>
  <c r="L69" i="2"/>
  <c r="H69" i="2"/>
  <c r="G69" i="2"/>
  <c r="U68" i="2"/>
  <c r="U67" i="2"/>
  <c r="W66" i="2"/>
  <c r="U66" i="2"/>
  <c r="O66" i="2"/>
  <c r="N66" i="2"/>
  <c r="L66" i="2"/>
  <c r="H66" i="2"/>
  <c r="G66" i="2"/>
  <c r="U65" i="2"/>
  <c r="U64" i="2"/>
  <c r="W63" i="2"/>
  <c r="U63" i="2"/>
  <c r="O63" i="2"/>
  <c r="N63" i="2"/>
  <c r="L63" i="2"/>
  <c r="G63" i="2"/>
  <c r="U62" i="2"/>
  <c r="U61" i="2"/>
  <c r="W60" i="2"/>
  <c r="U60" i="2"/>
  <c r="O60" i="2"/>
  <c r="N60" i="2"/>
  <c r="L60" i="2"/>
  <c r="U59" i="2"/>
  <c r="U58" i="2"/>
  <c r="U57" i="2"/>
  <c r="W56" i="2"/>
  <c r="U56" i="2"/>
  <c r="O56" i="2"/>
  <c r="N56" i="2"/>
  <c r="U55" i="2"/>
  <c r="W54" i="2"/>
  <c r="U54" i="2"/>
  <c r="O54" i="2"/>
  <c r="N54" i="2"/>
  <c r="L54" i="2"/>
  <c r="U53" i="2"/>
  <c r="W52" i="2"/>
  <c r="U52" i="2"/>
  <c r="O52" i="2"/>
  <c r="N52" i="2"/>
  <c r="L52" i="2"/>
  <c r="U51" i="2"/>
  <c r="W50" i="2"/>
  <c r="U50" i="2"/>
  <c r="O50" i="2"/>
  <c r="N50" i="2"/>
  <c r="L50" i="2"/>
  <c r="U49" i="2"/>
  <c r="W48" i="2"/>
  <c r="U48" i="2"/>
  <c r="O48" i="2"/>
  <c r="N48" i="2"/>
  <c r="L48" i="2"/>
  <c r="U47" i="2"/>
  <c r="U46" i="2"/>
  <c r="U45" i="2"/>
  <c r="W44" i="2"/>
  <c r="U44" i="2"/>
  <c r="O44" i="2"/>
  <c r="N44" i="2"/>
  <c r="L44" i="2"/>
  <c r="R43" i="2"/>
  <c r="U42" i="2"/>
  <c r="U41" i="2"/>
  <c r="U40" i="2"/>
  <c r="O40" i="2"/>
  <c r="N40" i="2"/>
  <c r="L40" i="2"/>
  <c r="H40" i="2"/>
  <c r="U39" i="2"/>
  <c r="U38" i="2"/>
  <c r="O38" i="2"/>
  <c r="N38" i="2"/>
  <c r="L38" i="2"/>
  <c r="H38" i="2"/>
  <c r="G38" i="2"/>
  <c r="U37" i="2"/>
  <c r="U36" i="2"/>
  <c r="U35" i="2"/>
  <c r="W34" i="2"/>
  <c r="U34" i="2"/>
  <c r="O34" i="2"/>
  <c r="N34" i="2"/>
  <c r="L34" i="2"/>
  <c r="U33" i="2"/>
  <c r="U32" i="2"/>
  <c r="W31" i="2"/>
  <c r="U31" i="2"/>
  <c r="O31" i="2"/>
  <c r="N31" i="2"/>
  <c r="L31" i="2"/>
  <c r="H31" i="2"/>
  <c r="U30" i="2"/>
  <c r="U29" i="2"/>
  <c r="W28" i="2"/>
  <c r="U28" i="2"/>
  <c r="O28" i="2"/>
  <c r="N28" i="2"/>
  <c r="L28" i="2"/>
  <c r="H28" i="2"/>
  <c r="U27" i="2"/>
  <c r="U26" i="2"/>
  <c r="W25" i="2"/>
  <c r="U25" i="2"/>
  <c r="O25" i="2"/>
  <c r="N25" i="2"/>
  <c r="L25" i="2"/>
  <c r="H25" i="2"/>
  <c r="G25" i="2"/>
  <c r="U24" i="2"/>
  <c r="U23" i="2"/>
  <c r="W22" i="2"/>
  <c r="U22" i="2"/>
  <c r="O22" i="2"/>
  <c r="N22" i="2"/>
  <c r="L22" i="2"/>
  <c r="H22" i="2"/>
  <c r="G22" i="2"/>
  <c r="U21" i="2"/>
  <c r="U20" i="2"/>
  <c r="U19" i="2"/>
  <c r="O19" i="2"/>
  <c r="U18" i="2"/>
  <c r="U17" i="2"/>
  <c r="W16" i="2"/>
  <c r="U16" i="2"/>
  <c r="O16" i="2"/>
  <c r="N16" i="2"/>
  <c r="L16" i="2"/>
  <c r="H16" i="2"/>
  <c r="G16" i="2"/>
  <c r="U15" i="2"/>
  <c r="U14" i="2"/>
  <c r="W13" i="2"/>
  <c r="U13" i="2"/>
  <c r="O13" i="2"/>
  <c r="N13" i="2"/>
  <c r="L13" i="2"/>
  <c r="G13" i="2"/>
  <c r="U12" i="2"/>
  <c r="W11" i="2"/>
  <c r="U11" i="2"/>
  <c r="O11" i="2"/>
  <c r="N11" i="2"/>
  <c r="L11" i="2"/>
  <c r="G11" i="2"/>
  <c r="U10" i="2"/>
  <c r="U9" i="2"/>
  <c r="W8" i="2"/>
  <c r="U8" i="2"/>
  <c r="O8" i="2"/>
  <c r="N8" i="2"/>
  <c r="L8" i="2"/>
  <c r="U7" i="2"/>
  <c r="W6" i="2"/>
  <c r="U6" i="2"/>
  <c r="O6" i="2"/>
  <c r="N6" i="2"/>
  <c r="L6" i="2"/>
  <c r="U5" i="2"/>
  <c r="W4" i="2"/>
  <c r="U4" i="2"/>
  <c r="O4" i="2"/>
  <c r="N4" i="2"/>
  <c r="L4" i="2"/>
</calcChain>
</file>

<file path=xl/sharedStrings.xml><?xml version="1.0" encoding="utf-8"?>
<sst xmlns="http://schemas.openxmlformats.org/spreadsheetml/2006/main" count="1038" uniqueCount="300">
  <si>
    <t>再兴供货产品采购目标价格核算明细</t>
  </si>
  <si>
    <t>序</t>
  </si>
  <si>
    <t>QAD号</t>
  </si>
  <si>
    <t>名称</t>
  </si>
  <si>
    <t>零件信息</t>
  </si>
  <si>
    <t>材质</t>
  </si>
  <si>
    <t>下料尺寸</t>
  </si>
  <si>
    <t>未税单价</t>
  </si>
  <si>
    <t>重量</t>
  </si>
  <si>
    <t>材料费</t>
  </si>
  <si>
    <t>加工成本</t>
  </si>
  <si>
    <t>系数</t>
  </si>
  <si>
    <t>不含税</t>
  </si>
  <si>
    <t>号</t>
  </si>
  <si>
    <t>数量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</si>
  <si>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</si>
  <si>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</si>
  <si>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</si>
  <si>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</si>
  <si>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</si>
  <si>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</si>
  <si>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</si>
  <si>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</si>
  <si>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</si>
  <si>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工序数</t>
  </si>
  <si>
    <t>工序费</t>
  </si>
  <si>
    <t>出件数</t>
  </si>
  <si>
    <t>合计</t>
  </si>
  <si>
    <t>目标价</t>
  </si>
  <si>
    <t>开票价</t>
  </si>
  <si>
    <t>SHT0010786</t>
  </si>
  <si>
    <t>H6罩壳固定钣金片</t>
  </si>
  <si>
    <t>SAPH440</t>
  </si>
  <si>
    <t>落料</t>
  </si>
  <si>
    <t>40T</t>
  </si>
  <si>
    <t>成型</t>
  </si>
  <si>
    <t>SHT0010699</t>
  </si>
  <si>
    <t>H6橡胶垫安装支架</t>
  </si>
  <si>
    <t>80T</t>
  </si>
  <si>
    <t>SHT0010240</t>
  </si>
  <si>
    <t>H6防尘罩支撑钣金</t>
  </si>
  <si>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0T</t>
    </r>
  </si>
  <si>
    <t>起突台</t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</si>
  <si>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5T</t>
    </r>
  </si>
  <si>
    <t>SHT0010261</t>
  </si>
  <si>
    <t>H6罩壳固定钣金</t>
  </si>
  <si>
    <t>SHT0010134</t>
  </si>
  <si>
    <t>H6坐盆延伸固定钣金</t>
  </si>
  <si>
    <t>折弯</t>
  </si>
  <si>
    <t>25T</t>
  </si>
  <si>
    <t>SHT0012971</t>
  </si>
  <si>
    <t>安全带上悬置固定板总成</t>
  </si>
  <si>
    <t>固定板</t>
  </si>
  <si>
    <t>160T</t>
  </si>
  <si>
    <t>125T</t>
  </si>
  <si>
    <t>冲孔</t>
  </si>
  <si>
    <t>7/16焊接螺母</t>
  </si>
  <si>
    <t>焊接-委外</t>
  </si>
  <si>
    <t>SHT0012843</t>
  </si>
  <si>
    <t>升降左前固定钣金</t>
  </si>
  <si>
    <t>SPFH590</t>
  </si>
  <si>
    <t>100T</t>
  </si>
  <si>
    <t>SHT0013700</t>
  </si>
  <si>
    <t>升降右前固定钣金</t>
  </si>
  <si>
    <t>SHT0012844</t>
  </si>
  <si>
    <t>升降左后固定钣金</t>
  </si>
  <si>
    <t>SHT0013699</t>
  </si>
  <si>
    <t>升降右后固定钣金</t>
  </si>
  <si>
    <t>SHT0012212</t>
  </si>
  <si>
    <t>1.0座框前横梁总成</t>
  </si>
  <si>
    <t>1.0座框前横梁</t>
  </si>
  <si>
    <t>翻铆</t>
  </si>
  <si>
    <t>前罩壳固定片</t>
  </si>
  <si>
    <t>左右罩壳中间固定片</t>
  </si>
  <si>
    <t>成型1</t>
  </si>
  <si>
    <t>成型2</t>
  </si>
  <si>
    <t>SHT0011999</t>
  </si>
  <si>
    <t>SHT0012003</t>
  </si>
  <si>
    <t>升降拉线固定钣金</t>
  </si>
  <si>
    <t>SHT0012052</t>
  </si>
  <si>
    <t>主侧罩壳固定片1</t>
  </si>
  <si>
    <t>SHT0012054</t>
  </si>
  <si>
    <t>主侧罩壳固定片2</t>
  </si>
  <si>
    <t>SHT0012111</t>
  </si>
  <si>
    <t>M4主边罩壳后固定板</t>
  </si>
  <si>
    <t>SHT0001859</t>
  </si>
  <si>
    <t>下框横梁（新状态）</t>
  </si>
  <si>
    <t>SHT0011723</t>
  </si>
  <si>
    <t>稳定钣金</t>
  </si>
  <si>
    <t>SHT0011778</t>
  </si>
  <si>
    <t>座框前梁</t>
  </si>
  <si>
    <t>Q235</t>
  </si>
  <si>
    <t>SHT0011804</t>
  </si>
  <si>
    <t>仰角调节机构钣金件1左</t>
  </si>
  <si>
    <t>SHT0011805</t>
  </si>
  <si>
    <t>仰角调节机构钣金件1右</t>
  </si>
  <si>
    <t>SHT0011806</t>
  </si>
  <si>
    <t>仰角调节机构钣金件2</t>
  </si>
  <si>
    <t>SHT0001058</t>
  </si>
  <si>
    <t>仰角调节机构手柄钣金件</t>
  </si>
  <si>
    <t>SPHC</t>
  </si>
  <si>
    <t>SHT0002071</t>
  </si>
  <si>
    <t>D04导向板固定片</t>
  </si>
  <si>
    <t>16T</t>
  </si>
  <si>
    <t>SHT0012113</t>
  </si>
  <si>
    <t>M3000副边罩壳固定钣金</t>
  </si>
  <si>
    <t>压筋</t>
  </si>
  <si>
    <t>SHT0013786</t>
  </si>
  <si>
    <t>X5000副边罩壳固定钣金</t>
  </si>
  <si>
    <t>SHT0012053</t>
  </si>
  <si>
    <t>副边罩壳固定钣金</t>
  </si>
  <si>
    <t>SHT0012497</t>
  </si>
  <si>
    <t>底座左连接板焊接总成</t>
  </si>
  <si>
    <t>底座左连接板</t>
  </si>
  <si>
    <r>
      <rPr>
        <sz val="11"/>
        <color theme="1"/>
        <rFont val="宋体"/>
        <family val="3"/>
        <charset val="134"/>
        <scheme val="minor"/>
      </rPr>
      <t>80</t>
    </r>
    <r>
      <rPr>
        <sz val="11"/>
        <color theme="1"/>
        <rFont val="宋体"/>
        <family val="3"/>
        <charset val="134"/>
        <scheme val="minor"/>
      </rPr>
      <t>T</t>
    </r>
  </si>
  <si>
    <t>M10螺母</t>
  </si>
  <si>
    <r>
      <rPr>
        <sz val="11"/>
        <color theme="1"/>
        <rFont val="宋体"/>
        <family val="3"/>
        <charset val="134"/>
        <scheme val="minor"/>
      </rPr>
      <t>40</t>
    </r>
    <r>
      <rPr>
        <sz val="11"/>
        <color theme="1"/>
        <rFont val="宋体"/>
        <family val="3"/>
        <charset val="134"/>
        <scheme val="minor"/>
      </rPr>
      <t>T</t>
    </r>
  </si>
  <si>
    <t>SHT0012498</t>
  </si>
  <si>
    <t>底座右连接板焊接总成</t>
  </si>
  <si>
    <t>底座右连接板</t>
  </si>
  <si>
    <t>SHT0001930</t>
  </si>
  <si>
    <t>H5安全带上悬置安装板</t>
  </si>
  <si>
    <t>SCS0005506</t>
  </si>
  <si>
    <t>P203调角器手柄钣金左</t>
  </si>
  <si>
    <t>起鼓</t>
  </si>
  <si>
    <t>SCS0005512</t>
  </si>
  <si>
    <t>P203调角器手柄钣金右</t>
  </si>
  <si>
    <t>SHT0002313</t>
  </si>
  <si>
    <t>陕汽L型连接板左</t>
  </si>
  <si>
    <t>SHT0002314</t>
  </si>
  <si>
    <t>陕汽L型连接板右</t>
  </si>
  <si>
    <t>SHT0010453</t>
  </si>
  <si>
    <t>M3000下框前横梁组件</t>
  </si>
  <si>
    <t>前横梁</t>
  </si>
  <si>
    <t>焊接件</t>
  </si>
  <si>
    <t>挂簧轴</t>
  </si>
  <si>
    <t>螺母</t>
  </si>
  <si>
    <t>SLT0002212</t>
  </si>
  <si>
    <t>J6F驾驶员旁侧板固定支架</t>
  </si>
  <si>
    <r>
      <rPr>
        <sz val="11"/>
        <color theme="1"/>
        <rFont val="宋体"/>
        <family val="3"/>
        <charset val="134"/>
        <scheme val="minor"/>
      </rPr>
      <t>SP</t>
    </r>
    <r>
      <rPr>
        <sz val="11"/>
        <color theme="1"/>
        <rFont val="宋体"/>
        <family val="3"/>
        <charset val="134"/>
        <scheme val="minor"/>
      </rPr>
      <t>H</t>
    </r>
    <r>
      <rPr>
        <sz val="11"/>
        <color theme="1"/>
        <rFont val="宋体"/>
        <family val="3"/>
        <charset val="134"/>
        <scheme val="minor"/>
      </rPr>
      <t>C</t>
    </r>
  </si>
  <si>
    <t>SLT0002207</t>
  </si>
  <si>
    <t>J6F靠背风扇安装板</t>
  </si>
  <si>
    <t>SHT0001920</t>
  </si>
  <si>
    <t>X3000上框后横梁</t>
  </si>
  <si>
    <t>SHT0001857</t>
  </si>
  <si>
    <t>X3000上框后横梁总成</t>
  </si>
  <si>
    <t>后横梁</t>
  </si>
  <si>
    <t>焊接</t>
  </si>
  <si>
    <t>8*25螺栓</t>
  </si>
  <si>
    <t>SHT0001865</t>
  </si>
  <si>
    <t>X3000下框后横梁总成</t>
  </si>
  <si>
    <t>SHT0001917</t>
  </si>
  <si>
    <t>X3000支架横梁</t>
  </si>
  <si>
    <t>SHT0002096</t>
  </si>
  <si>
    <t>电控模块固定钣金</t>
  </si>
  <si>
    <t>SCS0004845</t>
  </si>
  <si>
    <t>H4A前倾角挡位固定板左</t>
  </si>
  <si>
    <t>SCS0004846</t>
  </si>
  <si>
    <t>H4A前倾角挡位固定板右</t>
  </si>
  <si>
    <t>SHT0001174</t>
  </si>
  <si>
    <t>液压减震器绞架上滑槽</t>
  </si>
  <si>
    <t>SHT0001160</t>
  </si>
  <si>
    <t>机械内绞架下支架</t>
  </si>
  <si>
    <t>REM0002965</t>
  </si>
  <si>
    <t>H3镜杆堵头</t>
  </si>
  <si>
    <t>拉伸</t>
  </si>
  <si>
    <t>63T</t>
  </si>
  <si>
    <t>RSM0000308</t>
  </si>
  <si>
    <t>奥铃镜杆18堵头</t>
  </si>
  <si>
    <t>REM0001636</t>
  </si>
  <si>
    <t>1475小铁片</t>
  </si>
  <si>
    <t>BCL0000030</t>
  </si>
  <si>
    <t>奥驰镜头卡子</t>
  </si>
  <si>
    <t>铆母</t>
  </si>
  <si>
    <t>镀锌</t>
  </si>
  <si>
    <t>BCL0000031</t>
  </si>
  <si>
    <t>奥驰镜头限位卡子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</si>
  <si>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6T</t>
    </r>
  </si>
  <si>
    <t>REM0001623</t>
  </si>
  <si>
    <t>H3镜头固定片</t>
  </si>
  <si>
    <t>固定片</t>
  </si>
  <si>
    <t>SPCC</t>
  </si>
  <si>
    <t>M8螺母</t>
  </si>
  <si>
    <t>REM0001732</t>
  </si>
  <si>
    <t>奥驰小碗</t>
  </si>
  <si>
    <t>REM0001650</t>
  </si>
  <si>
    <t>仿丰田小碗</t>
  </si>
  <si>
    <t>REM0001806</t>
  </si>
  <si>
    <t>豪泺小碗</t>
  </si>
  <si>
    <t>REM0001978</t>
  </si>
  <si>
    <t>欧马可小碗</t>
  </si>
  <si>
    <t>RIM0000072</t>
  </si>
  <si>
    <t>1028室铁件</t>
  </si>
  <si>
    <t>切边</t>
  </si>
  <si>
    <t>RIM0000073</t>
  </si>
  <si>
    <t>1029打铁片</t>
  </si>
  <si>
    <t>RIM0000074</t>
  </si>
  <si>
    <t>1029打铁片（新）</t>
  </si>
  <si>
    <t>BFA0000441</t>
  </si>
  <si>
    <t>仿丰田销子</t>
  </si>
  <si>
    <t>45#</t>
  </si>
  <si>
    <t>φ3.5</t>
  </si>
  <si>
    <t>时代销子</t>
  </si>
  <si>
    <t>φ4.0</t>
  </si>
  <si>
    <t>BCL0000032</t>
  </si>
  <si>
    <t>1780镜头卡子</t>
  </si>
  <si>
    <t>6个法兰母</t>
  </si>
  <si>
    <t>SHT0002036</t>
  </si>
  <si>
    <t>夹簧片</t>
  </si>
  <si>
    <t>SHT0001191</t>
  </si>
  <si>
    <t>连杆板3</t>
  </si>
  <si>
    <t>落冲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</si>
  <si>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60T</t>
    </r>
  </si>
  <si>
    <t>压弯</t>
  </si>
  <si>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0T</t>
    </r>
  </si>
  <si>
    <t>SCS0004800</t>
  </si>
  <si>
    <t>头枕管φ16.2</t>
  </si>
  <si>
    <r>
      <rPr>
        <sz val="11"/>
        <color theme="1"/>
        <rFont val="宋体"/>
        <family val="3"/>
        <charset val="134"/>
        <scheme val="minor"/>
      </rPr>
      <t>Q</t>
    </r>
    <r>
      <rPr>
        <sz val="11"/>
        <color theme="1"/>
        <rFont val="宋体"/>
        <family val="3"/>
        <charset val="134"/>
        <scheme val="minor"/>
      </rPr>
      <t>235</t>
    </r>
  </si>
  <si>
    <t>切管</t>
  </si>
  <si>
    <t>冲口</t>
  </si>
  <si>
    <t>SHT0001123</t>
  </si>
  <si>
    <t>塑料罩壳支架</t>
  </si>
  <si>
    <t>SHT0001117</t>
  </si>
  <si>
    <t>绞架连接轴</t>
  </si>
  <si>
    <t>Q195</t>
  </si>
  <si>
    <t>下料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</si>
  <si>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25T</t>
    </r>
  </si>
  <si>
    <t>SHT0001103</t>
  </si>
  <si>
    <t>H4定位片</t>
  </si>
  <si>
    <t>SHT0001082</t>
  </si>
  <si>
    <t>罩壳固定片</t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</si>
  <si>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T</t>
    </r>
  </si>
  <si>
    <r>
      <rPr>
        <sz val="11"/>
        <color theme="1"/>
        <rFont val="宋体"/>
        <family val="3"/>
        <charset val="134"/>
        <scheme val="minor"/>
      </rPr>
      <t>25T</t>
    </r>
  </si>
  <si>
    <t>SHT0001059</t>
  </si>
  <si>
    <t>仰角调角机构钣金件2</t>
  </si>
  <si>
    <t>SHT0001057</t>
  </si>
  <si>
    <t>前倾角锁舌上固定片</t>
  </si>
  <si>
    <t>前倾角锁舌下固定片</t>
  </si>
  <si>
    <t>SHT0001043</t>
  </si>
  <si>
    <t>H4A下限位支架</t>
  </si>
  <si>
    <t>SHT0001009</t>
  </si>
  <si>
    <t>左右罩壳前固定片</t>
  </si>
  <si>
    <t>SHT0001008</t>
  </si>
  <si>
    <t>SHT0002059</t>
  </si>
  <si>
    <t>左右罩壳上固定片</t>
  </si>
  <si>
    <t>SHT0001006</t>
  </si>
  <si>
    <t>一汽前罩壳固定片</t>
  </si>
  <si>
    <t>SCS0004535</t>
  </si>
  <si>
    <t>C32B左侧调角器下连接板总成</t>
  </si>
  <si>
    <r>
      <rPr>
        <sz val="11"/>
        <color theme="1"/>
        <rFont val="宋体"/>
        <family val="3"/>
        <charset val="134"/>
        <scheme val="minor"/>
      </rPr>
      <t>SCS000453</t>
    </r>
    <r>
      <rPr>
        <sz val="11"/>
        <color theme="1"/>
        <rFont val="宋体"/>
        <family val="3"/>
        <charset val="134"/>
        <scheme val="minor"/>
      </rPr>
      <t>4</t>
    </r>
  </si>
  <si>
    <t>C32B右侧调角器下连接板总成</t>
  </si>
  <si>
    <t>SCS0004459</t>
  </si>
  <si>
    <t>B40L头枕中间保护钣金</t>
  </si>
  <si>
    <t>SCS0004441</t>
  </si>
  <si>
    <t>B40L四分地锁拉线固定片</t>
  </si>
  <si>
    <t>SCS0004440</t>
  </si>
  <si>
    <t>B40L六分地锁拉线固定片</t>
  </si>
  <si>
    <t>SCS0004375</t>
  </si>
  <si>
    <t>B40L靠背拉线支架（中期改款）</t>
  </si>
  <si>
    <t>冲孔2</t>
  </si>
  <si>
    <t>SCS0004374</t>
  </si>
  <si>
    <t>B40L座垫弹簧安装支架（中期改款）</t>
  </si>
  <si>
    <t>SCS0004373</t>
  </si>
  <si>
    <t>B40L地锁拉线固定支架（中期改款）</t>
  </si>
  <si>
    <t>SCS0004372</t>
  </si>
  <si>
    <t>B40L扶手外侧固定支架（中期改款）</t>
  </si>
  <si>
    <t>SHT0000988</t>
  </si>
  <si>
    <t>拉簧回位固定片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</si>
  <si>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HT0010438</t>
    </r>
  </si>
  <si>
    <t>M3000阻尼器上支撑板</t>
  </si>
  <si>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3T</t>
    </r>
  </si>
  <si>
    <t>SCS0005608</t>
  </si>
  <si>
    <t>C50六分背锁支架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</si>
  <si>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00T</t>
    </r>
  </si>
  <si>
    <t>SHT0010671</t>
  </si>
  <si>
    <t>D03扶手支架焊接组件</t>
  </si>
  <si>
    <t>扶手支架</t>
  </si>
  <si>
    <r>
      <rPr>
        <sz val="11"/>
        <color theme="1"/>
        <rFont val="宋体"/>
        <family val="3"/>
        <charset val="134"/>
        <scheme val="minor"/>
      </rPr>
      <t>M</t>
    </r>
    <r>
      <rPr>
        <sz val="11"/>
        <color theme="1"/>
        <rFont val="宋体"/>
        <family val="3"/>
        <charset val="134"/>
        <scheme val="minor"/>
      </rPr>
      <t>8焊母</t>
    </r>
  </si>
  <si>
    <t>花眼</t>
  </si>
  <si>
    <t>序号</t>
  </si>
  <si>
    <t>物料号</t>
  </si>
  <si>
    <t>供货价格</t>
  </si>
  <si>
    <t>差额</t>
  </si>
  <si>
    <t>确认价格</t>
  </si>
  <si>
    <t>使用量</t>
  </si>
  <si>
    <t>备注</t>
  </si>
  <si>
    <t>已确认</t>
  </si>
  <si>
    <t>待聊</t>
  </si>
  <si>
    <t>头枕管φ16.2，再兴核算0.53，我司核算0.28，再兴反馈无法按照目标价执行，计划回收</t>
    <phoneticPr fontId="5" type="noConversion"/>
  </si>
  <si>
    <t>不含电泳</t>
    <phoneticPr fontId="5" type="noConversion"/>
  </si>
  <si>
    <t>金额合计</t>
    <phoneticPr fontId="5" type="noConversion"/>
  </si>
  <si>
    <t>目标价</t>
    <phoneticPr fontId="5" type="noConversion"/>
  </si>
  <si>
    <t>涨价5个点抵冲赔钱的物料</t>
    <phoneticPr fontId="5" type="noConversion"/>
  </si>
  <si>
    <t>涨价5个点抵冲赔钱的物料</t>
    <phoneticPr fontId="5" type="noConversion"/>
  </si>
  <si>
    <t>不含电泳，涨价5个点抵冲赔钱的物料</t>
    <phoneticPr fontId="5" type="noConversion"/>
  </si>
  <si>
    <t>不含电泳，涨价5个点抵冲赔钱的物料</t>
    <phoneticPr fontId="5" type="noConversion"/>
  </si>
  <si>
    <t>负值物料</t>
    <phoneticPr fontId="5" type="noConversion"/>
  </si>
  <si>
    <t>负值物料</t>
    <phoneticPr fontId="5" type="noConversion"/>
  </si>
  <si>
    <t>负值物料，需现场核算</t>
    <phoneticPr fontId="5" type="noConversion"/>
  </si>
  <si>
    <t>2024定价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</si>
</sst>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_ "/>
    <numFmt numFmtId="177" formatCode="0.00_ "/>
    <numFmt numFmtId="178" formatCode="0_);[Red]\(0\)"/>
    <numFmt numFmtId="180" formatCode="0.00_);[Red]\(0.00\)"/>
    <numFmt numFmtId="181" formatCode="0.0000_ "/>
    <numFmt numFmtId="182" formatCode="0.00000_ "/>
    <numFmt numFmtId="183" formatCode="0.000_);[Red]\(0.000\)"/>
  </numFmts>
  <fonts count="8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.05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39">
    <xf numFmtId="0" fontId="0" fillId="0" borderId="0" xfId="0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178" fontId="0" fillId="0" borderId="2" xfId="0" applyNumberFormat="1" applyBorder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9" fontId="0" fillId="0" borderId="2" xfId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178" fontId="1" fillId="0" borderId="2" xfId="1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1" fillId="0" borderId="2" xfId="1" applyFont="1" applyBorder="1">
      <alignment vertical="center"/>
    </xf>
    <xf numFmtId="180" fontId="0" fillId="0" borderId="2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78" fontId="0" fillId="0" borderId="0" xfId="0" applyNumberFormat="1">
      <alignment vertical="center"/>
    </xf>
    <xf numFmtId="180" fontId="2" fillId="0" borderId="2" xfId="0" applyNumberFormat="1" applyFont="1" applyFill="1" applyBorder="1" applyAlignment="1">
      <alignment vertical="center"/>
    </xf>
    <xf numFmtId="177" fontId="0" fillId="0" borderId="0" xfId="0" applyNumberFormat="1">
      <alignment vertical="center"/>
    </xf>
    <xf numFmtId="0" fontId="0" fillId="0" borderId="2" xfId="0" applyFill="1" applyBorder="1" applyAlignment="1"/>
    <xf numFmtId="180" fontId="0" fillId="0" borderId="2" xfId="0" applyNumberForma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3" borderId="0" xfId="0" applyFont="1" applyFill="1" applyAlignment="1"/>
    <xf numFmtId="0" fontId="2" fillId="0" borderId="0" xfId="0" applyFont="1" applyFill="1" applyAlignment="1"/>
    <xf numFmtId="0" fontId="0" fillId="5" borderId="0" xfId="0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180" fontId="0" fillId="0" borderId="0" xfId="0" applyNumberFormat="1" applyFont="1" applyFill="1" applyAlignment="1"/>
    <xf numFmtId="0" fontId="0" fillId="0" borderId="3" xfId="2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center" vertical="center" wrapText="1" shrinkToFit="1"/>
    </xf>
    <xf numFmtId="0" fontId="0" fillId="0" borderId="1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80" fontId="0" fillId="0" borderId="2" xfId="2" applyNumberFormat="1" applyFont="1" applyFill="1" applyBorder="1" applyAlignment="1">
      <alignment horizontal="center" vertical="center"/>
    </xf>
    <xf numFmtId="183" fontId="0" fillId="0" borderId="2" xfId="2" applyNumberFormat="1" applyFont="1" applyFill="1" applyBorder="1" applyAlignment="1">
      <alignment horizontal="center" vertical="center" shrinkToFit="1"/>
    </xf>
    <xf numFmtId="180" fontId="0" fillId="0" borderId="2" xfId="0" applyNumberFormat="1" applyFont="1" applyFill="1" applyBorder="1" applyAlignment="1">
      <alignment horizontal="center" vertical="center"/>
    </xf>
    <xf numFmtId="180" fontId="0" fillId="0" borderId="2" xfId="2" applyNumberFormat="1" applyFont="1" applyFill="1" applyBorder="1" applyAlignment="1">
      <alignment horizontal="center" vertical="center" wrapText="1"/>
    </xf>
    <xf numFmtId="180" fontId="0" fillId="0" borderId="2" xfId="2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2" applyFont="1" applyFill="1" applyBorder="1" applyAlignment="1">
      <alignment vertical="center" wrapText="1"/>
    </xf>
    <xf numFmtId="0" fontId="0" fillId="0" borderId="2" xfId="2" applyFont="1" applyFill="1" applyBorder="1" applyAlignment="1">
      <alignment vertical="center"/>
    </xf>
    <xf numFmtId="0" fontId="0" fillId="0" borderId="2" xfId="2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vertical="center" shrinkToFit="1"/>
    </xf>
    <xf numFmtId="176" fontId="0" fillId="0" borderId="2" xfId="0" applyNumberFormat="1" applyFont="1" applyFill="1" applyBorder="1" applyAlignment="1">
      <alignment vertical="center" shrinkToFit="1"/>
    </xf>
    <xf numFmtId="180" fontId="0" fillId="0" borderId="3" xfId="2" applyNumberFormat="1" applyFont="1" applyFill="1" applyBorder="1" applyAlignment="1">
      <alignment vertical="center" wrapText="1"/>
    </xf>
    <xf numFmtId="180" fontId="0" fillId="0" borderId="3" xfId="2" applyNumberFormat="1" applyFont="1" applyFill="1" applyBorder="1" applyAlignment="1">
      <alignment vertical="center"/>
    </xf>
    <xf numFmtId="180" fontId="0" fillId="0" borderId="2" xfId="2" applyNumberFormat="1" applyFont="1" applyFill="1" applyBorder="1" applyAlignment="1">
      <alignment vertical="center"/>
    </xf>
    <xf numFmtId="0" fontId="2" fillId="0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180" fontId="0" fillId="3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/>
    <xf numFmtId="183" fontId="0" fillId="0" borderId="2" xfId="0" applyNumberFormat="1" applyFont="1" applyFill="1" applyBorder="1" applyAlignment="1">
      <alignment vertical="center"/>
    </xf>
    <xf numFmtId="180" fontId="0" fillId="3" borderId="2" xfId="0" applyNumberFormat="1" applyFont="1" applyFill="1" applyBorder="1" applyAlignment="1">
      <alignment vertical="center"/>
    </xf>
    <xf numFmtId="180" fontId="0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5" borderId="3" xfId="0" applyFill="1" applyBorder="1" applyAlignment="1"/>
    <xf numFmtId="0" fontId="0" fillId="5" borderId="5" xfId="0" applyFill="1" applyBorder="1" applyAlignment="1"/>
    <xf numFmtId="0" fontId="0" fillId="5" borderId="1" xfId="0" applyFill="1" applyBorder="1" applyAlignment="1"/>
    <xf numFmtId="180" fontId="2" fillId="0" borderId="2" xfId="0" applyNumberFormat="1" applyFont="1" applyFill="1" applyBorder="1" applyAlignment="1">
      <alignment horizontal="center" vertical="center"/>
    </xf>
    <xf numFmtId="180" fontId="0" fillId="5" borderId="5" xfId="0" applyNumberFormat="1" applyFill="1" applyBorder="1" applyAlignment="1"/>
    <xf numFmtId="180" fontId="0" fillId="5" borderId="3" xfId="0" applyNumberFormat="1" applyFill="1" applyBorder="1" applyAlignment="1"/>
    <xf numFmtId="180" fontId="0" fillId="5" borderId="2" xfId="0" applyNumberFormat="1" applyFill="1" applyBorder="1" applyAlignment="1">
      <alignment horizontal="center" vertical="center"/>
    </xf>
    <xf numFmtId="180" fontId="0" fillId="5" borderId="1" xfId="0" applyNumberFormat="1" applyFill="1" applyBorder="1" applyAlignment="1"/>
    <xf numFmtId="180" fontId="0" fillId="5" borderId="2" xfId="0" applyNumberFormat="1" applyFill="1" applyBorder="1" applyAlignment="1">
      <alignment vertical="center"/>
    </xf>
    <xf numFmtId="177" fontId="0" fillId="5" borderId="5" xfId="0" applyNumberFormat="1" applyFill="1" applyBorder="1" applyAlignment="1"/>
    <xf numFmtId="0" fontId="0" fillId="5" borderId="2" xfId="0" applyFill="1" applyBorder="1" applyAlignment="1"/>
    <xf numFmtId="0" fontId="2" fillId="5" borderId="5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5" borderId="5" xfId="0" applyNumberFormat="1" applyFill="1" applyBorder="1" applyAlignment="1"/>
    <xf numFmtId="180" fontId="0" fillId="5" borderId="5" xfId="0" applyNumberFormat="1" applyFill="1" applyBorder="1" applyAlignment="1">
      <alignment vertical="center"/>
    </xf>
    <xf numFmtId="183" fontId="0" fillId="5" borderId="0" xfId="0" applyNumberFormat="1" applyFill="1" applyAlignment="1">
      <alignment horizontal="center" vertical="center"/>
    </xf>
    <xf numFmtId="183" fontId="0" fillId="5" borderId="5" xfId="0" applyNumberFormat="1" applyFill="1" applyBorder="1" applyAlignment="1">
      <alignment horizontal="center" vertical="center"/>
    </xf>
    <xf numFmtId="180" fontId="0" fillId="5" borderId="3" xfId="0" applyNumberFormat="1" applyFill="1" applyBorder="1" applyAlignment="1">
      <alignment vertical="center"/>
    </xf>
    <xf numFmtId="183" fontId="0" fillId="5" borderId="3" xfId="0" applyNumberFormat="1" applyFill="1" applyBorder="1" applyAlignment="1">
      <alignment horizontal="center" vertical="center"/>
    </xf>
    <xf numFmtId="180" fontId="0" fillId="0" borderId="2" xfId="0" applyNumberFormat="1" applyFill="1" applyBorder="1" applyAlignment="1">
      <alignment horizontal="center" vertical="center"/>
    </xf>
    <xf numFmtId="183" fontId="0" fillId="0" borderId="2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/>
    <xf numFmtId="0" fontId="0" fillId="0" borderId="0" xfId="0" applyAlignment="1">
      <alignment horizontal="center" vertical="center"/>
    </xf>
    <xf numFmtId="180" fontId="0" fillId="2" borderId="2" xfId="0" applyNumberFormat="1" applyFont="1" applyFill="1" applyBorder="1" applyAlignment="1">
      <alignment horizontal="center" vertical="center"/>
    </xf>
    <xf numFmtId="180" fontId="0" fillId="2" borderId="2" xfId="0" applyNumberFormat="1" applyFont="1" applyFill="1" applyBorder="1" applyAlignment="1">
      <alignment vertical="center"/>
    </xf>
    <xf numFmtId="0" fontId="0" fillId="2" borderId="0" xfId="0" applyFont="1" applyFill="1" applyAlignment="1"/>
    <xf numFmtId="0" fontId="0" fillId="2" borderId="2" xfId="2" applyFont="1" applyFill="1" applyBorder="1" applyAlignment="1">
      <alignment horizontal="center" vertical="center"/>
    </xf>
    <xf numFmtId="180" fontId="0" fillId="2" borderId="2" xfId="2" applyNumberFormat="1" applyFont="1" applyFill="1" applyBorder="1" applyAlignment="1">
      <alignment vertical="center"/>
    </xf>
    <xf numFmtId="180" fontId="0" fillId="2" borderId="2" xfId="2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vertical="center"/>
    </xf>
    <xf numFmtId="180" fontId="2" fillId="0" borderId="3" xfId="0" applyNumberFormat="1" applyFont="1" applyFill="1" applyBorder="1" applyAlignment="1">
      <alignment vertical="center"/>
    </xf>
    <xf numFmtId="180" fontId="2" fillId="0" borderId="5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>
      <alignment vertical="center"/>
    </xf>
    <xf numFmtId="183" fontId="0" fillId="0" borderId="3" xfId="0" applyNumberFormat="1" applyFont="1" applyFill="1" applyBorder="1" applyAlignment="1">
      <alignment horizontal="center" vertical="center"/>
    </xf>
    <xf numFmtId="183" fontId="0" fillId="0" borderId="1" xfId="0" applyNumberFormat="1" applyFont="1" applyFill="1" applyBorder="1" applyAlignment="1">
      <alignment horizontal="center" vertical="center"/>
    </xf>
    <xf numFmtId="183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3" fontId="2" fillId="0" borderId="3" xfId="0" applyNumberFormat="1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/>
    </xf>
    <xf numFmtId="180" fontId="2" fillId="0" borderId="5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2" borderId="3" xfId="2" applyFont="1" applyFill="1" applyBorder="1" applyAlignment="1">
      <alignment horizontal="center" vertical="center"/>
    </xf>
    <xf numFmtId="0" fontId="0" fillId="2" borderId="1" xfId="2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/>
    </xf>
    <xf numFmtId="177" fontId="0" fillId="0" borderId="2" xfId="2" applyNumberFormat="1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80" fontId="0" fillId="3" borderId="2" xfId="0" applyNumberFormat="1" applyFont="1" applyFill="1" applyBorder="1" applyAlignment="1">
      <alignment horizontal="center" vertical="center"/>
    </xf>
    <xf numFmtId="180" fontId="0" fillId="2" borderId="2" xfId="0" applyNumberFormat="1" applyFont="1" applyFill="1" applyBorder="1" applyAlignment="1">
      <alignment horizontal="center" vertical="center"/>
    </xf>
    <xf numFmtId="177" fontId="0" fillId="0" borderId="3" xfId="2" applyNumberFormat="1" applyFont="1" applyFill="1" applyBorder="1" applyAlignment="1">
      <alignment horizontal="center" vertical="center"/>
    </xf>
    <xf numFmtId="177" fontId="0" fillId="0" borderId="5" xfId="2" applyNumberFormat="1" applyFont="1" applyFill="1" applyBorder="1" applyAlignment="1">
      <alignment horizontal="center" vertical="center"/>
    </xf>
    <xf numFmtId="177" fontId="0" fillId="0" borderId="1" xfId="2" applyNumberFormat="1" applyFont="1" applyFill="1" applyBorder="1" applyAlignment="1">
      <alignment horizontal="center" vertical="center"/>
    </xf>
    <xf numFmtId="180" fontId="0" fillId="3" borderId="3" xfId="0" applyNumberFormat="1" applyFont="1" applyFill="1" applyBorder="1" applyAlignment="1">
      <alignment horizontal="center" vertical="center"/>
    </xf>
    <xf numFmtId="180" fontId="0" fillId="3" borderId="5" xfId="0" applyNumberFormat="1" applyFont="1" applyFill="1" applyBorder="1" applyAlignment="1">
      <alignment horizontal="center" vertical="center"/>
    </xf>
    <xf numFmtId="180" fontId="0" fillId="3" borderId="1" xfId="0" applyNumberFormat="1" applyFont="1" applyFill="1" applyBorder="1" applyAlignment="1">
      <alignment horizontal="center" vertical="center"/>
    </xf>
    <xf numFmtId="180" fontId="0" fillId="2" borderId="3" xfId="0" applyNumberFormat="1" applyFont="1" applyFill="1" applyBorder="1" applyAlignment="1">
      <alignment horizontal="center" vertical="center"/>
    </xf>
    <xf numFmtId="180" fontId="0" fillId="2" borderId="5" xfId="0" applyNumberFormat="1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 vertical="center"/>
    </xf>
    <xf numFmtId="180" fontId="0" fillId="0" borderId="3" xfId="2" applyNumberFormat="1" applyFont="1" applyFill="1" applyBorder="1" applyAlignment="1">
      <alignment horizontal="center" vertical="center"/>
    </xf>
    <xf numFmtId="180" fontId="0" fillId="0" borderId="1" xfId="2" applyNumberFormat="1" applyFont="1" applyFill="1" applyBorder="1" applyAlignment="1">
      <alignment horizontal="center" vertical="center"/>
    </xf>
    <xf numFmtId="180" fontId="0" fillId="0" borderId="2" xfId="2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vertical="center"/>
    </xf>
    <xf numFmtId="180" fontId="0" fillId="0" borderId="5" xfId="0" applyNumberFormat="1" applyFont="1" applyFill="1" applyBorder="1" applyAlignment="1">
      <alignment vertical="center"/>
    </xf>
    <xf numFmtId="180" fontId="0" fillId="3" borderId="2" xfId="0" applyNumberFormat="1" applyFont="1" applyFill="1" applyBorder="1" applyAlignment="1">
      <alignment vertical="center"/>
    </xf>
    <xf numFmtId="180" fontId="0" fillId="2" borderId="2" xfId="0" applyNumberFormat="1" applyFont="1" applyFill="1" applyBorder="1" applyAlignment="1">
      <alignment vertical="center"/>
    </xf>
    <xf numFmtId="180" fontId="0" fillId="0" borderId="2" xfId="2" applyNumberFormat="1" applyFont="1" applyFill="1" applyBorder="1" applyAlignment="1">
      <alignment vertical="center"/>
    </xf>
    <xf numFmtId="180" fontId="0" fillId="2" borderId="3" xfId="0" applyNumberFormat="1" applyFont="1" applyFill="1" applyBorder="1" applyAlignment="1">
      <alignment vertical="center"/>
    </xf>
    <xf numFmtId="180" fontId="0" fillId="2" borderId="5" xfId="0" applyNumberFormat="1" applyFont="1" applyFill="1" applyBorder="1" applyAlignment="1">
      <alignment vertical="center"/>
    </xf>
    <xf numFmtId="180" fontId="0" fillId="2" borderId="1" xfId="0" applyNumberFormat="1" applyFont="1" applyFill="1" applyBorder="1" applyAlignment="1">
      <alignment vertical="center"/>
    </xf>
    <xf numFmtId="180" fontId="0" fillId="2" borderId="3" xfId="2" applyNumberFormat="1" applyFont="1" applyFill="1" applyBorder="1" applyAlignment="1">
      <alignment vertical="center"/>
    </xf>
    <xf numFmtId="180" fontId="0" fillId="2" borderId="5" xfId="2" applyNumberFormat="1" applyFont="1" applyFill="1" applyBorder="1" applyAlignment="1">
      <alignment vertical="center"/>
    </xf>
    <xf numFmtId="180" fontId="0" fillId="2" borderId="1" xfId="2" applyNumberFormat="1" applyFont="1" applyFill="1" applyBorder="1" applyAlignment="1">
      <alignment vertical="center"/>
    </xf>
    <xf numFmtId="183" fontId="2" fillId="0" borderId="5" xfId="0" applyNumberFormat="1" applyFont="1" applyFill="1" applyBorder="1" applyAlignment="1">
      <alignment horizontal="center" vertical="center"/>
    </xf>
    <xf numFmtId="183" fontId="0" fillId="0" borderId="5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shrinkToFit="1"/>
    </xf>
    <xf numFmtId="183" fontId="0" fillId="3" borderId="2" xfId="0" applyNumberFormat="1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0" fillId="2" borderId="3" xfId="2" applyFont="1" applyFill="1" applyBorder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center" vertical="center" wrapText="1"/>
    </xf>
    <xf numFmtId="183" fontId="0" fillId="2" borderId="3" xfId="0" applyNumberFormat="1" applyFont="1" applyFill="1" applyBorder="1" applyAlignment="1">
      <alignment horizontal="center" vertical="center"/>
    </xf>
    <xf numFmtId="183" fontId="0" fillId="2" borderId="5" xfId="0" applyNumberFormat="1" applyFont="1" applyFill="1" applyBorder="1" applyAlignment="1">
      <alignment horizontal="center" vertical="center"/>
    </xf>
    <xf numFmtId="183" fontId="0" fillId="2" borderId="1" xfId="0" applyNumberFormat="1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wrapText="1"/>
    </xf>
    <xf numFmtId="180" fontId="0" fillId="0" borderId="3" xfId="2" applyNumberFormat="1" applyFont="1" applyFill="1" applyBorder="1" applyAlignment="1">
      <alignment vertical="center" wrapText="1"/>
    </xf>
    <xf numFmtId="180" fontId="0" fillId="0" borderId="5" xfId="2" applyNumberFormat="1" applyFont="1" applyFill="1" applyBorder="1" applyAlignment="1">
      <alignment vertical="center" wrapText="1"/>
    </xf>
    <xf numFmtId="180" fontId="0" fillId="0" borderId="1" xfId="2" applyNumberFormat="1" applyFont="1" applyFill="1" applyBorder="1" applyAlignment="1">
      <alignment vertical="center" wrapText="1"/>
    </xf>
    <xf numFmtId="180" fontId="0" fillId="2" borderId="3" xfId="2" applyNumberFormat="1" applyFont="1" applyFill="1" applyBorder="1" applyAlignment="1">
      <alignment vertical="center" wrapText="1"/>
    </xf>
    <xf numFmtId="180" fontId="0" fillId="2" borderId="5" xfId="2" applyNumberFormat="1" applyFont="1" applyFill="1" applyBorder="1" applyAlignment="1">
      <alignment vertical="center" wrapText="1"/>
    </xf>
    <xf numFmtId="180" fontId="0" fillId="2" borderId="1" xfId="2" applyNumberFormat="1" applyFont="1" applyFill="1" applyBorder="1" applyAlignment="1">
      <alignment vertical="center" wrapText="1"/>
    </xf>
    <xf numFmtId="180" fontId="0" fillId="0" borderId="2" xfId="2" applyNumberFormat="1" applyFont="1" applyFill="1" applyBorder="1" applyAlignment="1">
      <alignment vertical="center" wrapText="1"/>
    </xf>
    <xf numFmtId="180" fontId="0" fillId="0" borderId="3" xfId="0" applyNumberFormat="1" applyFont="1" applyFill="1" applyBorder="1" applyAlignment="1">
      <alignment vertical="center" wrapText="1"/>
    </xf>
    <xf numFmtId="180" fontId="0" fillId="0" borderId="5" xfId="0" applyNumberFormat="1" applyFont="1" applyFill="1" applyBorder="1" applyAlignment="1">
      <alignment vertical="center" wrapText="1"/>
    </xf>
    <xf numFmtId="180" fontId="0" fillId="0" borderId="1" xfId="0" applyNumberFormat="1" applyFont="1" applyFill="1" applyBorder="1" applyAlignment="1">
      <alignment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0" fontId="0" fillId="0" borderId="3" xfId="2" applyFont="1" applyFill="1" applyBorder="1" applyAlignment="1">
      <alignment horizontal="center" vertical="center" shrinkToFit="1"/>
    </xf>
    <xf numFmtId="0" fontId="0" fillId="0" borderId="1" xfId="2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80" fontId="0" fillId="3" borderId="2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80" fontId="0" fillId="0" borderId="4" xfId="0" applyNumberFormat="1" applyFont="1" applyFill="1" applyBorder="1" applyAlignment="1">
      <alignment vertical="center"/>
    </xf>
    <xf numFmtId="180" fontId="0" fillId="0" borderId="4" xfId="0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 wrapText="1" shrinkToFit="1"/>
    </xf>
    <xf numFmtId="183" fontId="0" fillId="0" borderId="2" xfId="2" applyNumberFormat="1" applyFont="1" applyFill="1" applyBorder="1" applyAlignment="1">
      <alignment horizontal="center" vertical="center" shrinkToFit="1"/>
    </xf>
    <xf numFmtId="180" fontId="0" fillId="0" borderId="2" xfId="2" applyNumberFormat="1" applyFont="1" applyFill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0" fontId="0" fillId="4" borderId="2" xfId="0" applyFont="1" applyFill="1" applyBorder="1" applyAlignment="1">
      <alignment vertical="center"/>
    </xf>
    <xf numFmtId="0" fontId="0" fillId="4" borderId="2" xfId="0" applyFont="1" applyFill="1" applyBorder="1" applyAlignment="1">
      <alignment vertical="center" wrapText="1"/>
    </xf>
    <xf numFmtId="9" fontId="0" fillId="4" borderId="2" xfId="1" applyFont="1" applyFill="1" applyBorder="1" applyAlignment="1">
      <alignment horizontal="center" vertical="center"/>
    </xf>
    <xf numFmtId="9" fontId="1" fillId="4" borderId="2" xfId="1" applyFont="1" applyFill="1" applyBorder="1">
      <alignment vertical="center"/>
    </xf>
    <xf numFmtId="178" fontId="1" fillId="4" borderId="2" xfId="1" applyNumberFormat="1" applyFont="1" applyFill="1" applyBorder="1">
      <alignment vertical="center"/>
    </xf>
    <xf numFmtId="177" fontId="0" fillId="4" borderId="0" xfId="0" applyNumberFormat="1" applyFill="1">
      <alignment vertical="center"/>
    </xf>
    <xf numFmtId="0" fontId="0" fillId="4" borderId="0" xfId="0" applyFill="1">
      <alignment vertical="center"/>
    </xf>
    <xf numFmtId="0" fontId="6" fillId="4" borderId="2" xfId="0" applyFont="1" applyFill="1" applyBorder="1">
      <alignment vertical="center"/>
    </xf>
    <xf numFmtId="0" fontId="6" fillId="4" borderId="2" xfId="2" applyFont="1" applyFill="1" applyBorder="1" applyAlignment="1">
      <alignment vertical="center" wrapText="1"/>
    </xf>
    <xf numFmtId="177" fontId="6" fillId="4" borderId="2" xfId="0" applyNumberFormat="1" applyFont="1" applyFill="1" applyBorder="1" applyAlignment="1">
      <alignment horizontal="center" vertical="center"/>
    </xf>
    <xf numFmtId="9" fontId="6" fillId="4" borderId="2" xfId="1" applyFont="1" applyFill="1" applyBorder="1" applyAlignment="1">
      <alignment horizontal="center" vertical="center"/>
    </xf>
    <xf numFmtId="9" fontId="5" fillId="4" borderId="2" xfId="1" applyFont="1" applyFill="1" applyBorder="1">
      <alignment vertical="center"/>
    </xf>
    <xf numFmtId="178" fontId="5" fillId="4" borderId="2" xfId="1" applyNumberFormat="1" applyFont="1" applyFill="1" applyBorder="1">
      <alignment vertical="center"/>
    </xf>
    <xf numFmtId="177" fontId="6" fillId="4" borderId="0" xfId="0" applyNumberFormat="1" applyFont="1" applyFill="1">
      <alignment vertical="center"/>
    </xf>
    <xf numFmtId="0" fontId="6" fillId="4" borderId="0" xfId="0" applyFont="1" applyFill="1">
      <alignment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6" fillId="4" borderId="2" xfId="2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/>
    <xf numFmtId="181" fontId="6" fillId="4" borderId="2" xfId="0" applyNumberFormat="1" applyFont="1" applyFill="1" applyBorder="1" applyAlignment="1">
      <alignment horizontal="center" vertical="center"/>
    </xf>
    <xf numFmtId="182" fontId="6" fillId="4" borderId="2" xfId="0" applyNumberFormat="1" applyFont="1" applyFill="1" applyBorder="1" applyAlignment="1">
      <alignment horizontal="center" vertical="center"/>
    </xf>
    <xf numFmtId="180" fontId="6" fillId="4" borderId="2" xfId="0" applyNumberFormat="1" applyFont="1" applyFill="1" applyBorder="1" applyAlignment="1">
      <alignment vertical="center"/>
    </xf>
    <xf numFmtId="180" fontId="6" fillId="4" borderId="2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2" fontId="0" fillId="0" borderId="2" xfId="0" applyNumberFormat="1" applyFont="1" applyFill="1" applyBorder="1" applyAlignment="1">
      <alignment vertical="center" wrapText="1"/>
    </xf>
    <xf numFmtId="2" fontId="0" fillId="4" borderId="2" xfId="0" applyNumberFormat="1" applyFont="1" applyFill="1" applyBorder="1" applyAlignment="1">
      <alignment vertical="center" wrapText="1"/>
    </xf>
  </cellXfs>
  <cellStyles count="3">
    <cellStyle name="百分比" xfId="1" builtinId="5"/>
    <cellStyle name="常规" xfId="0" builtinId="0"/>
    <cellStyle name="常规 2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9"/>
  <sheetViews>
    <sheetView workbookViewId="0">
      <pane xSplit="15" ySplit="3" topLeftCell="P123" activePane="bottomRight" state="frozenSplit"/>
      <selection pane="topRight"/>
      <selection pane="bottomLeft"/>
      <selection pane="bottomRight" activeCell="H155" sqref="H155:H157"/>
    </sheetView>
  </sheetViews>
  <sheetFormatPr defaultColWidth="9" defaultRowHeight="13.5" x14ac:dyDescent="0.15"/>
  <cols>
    <col min="1" max="1" width="3.5" style="24" customWidth="1"/>
    <col min="2" max="2" width="11.875" style="19" customWidth="1"/>
    <col min="3" max="3" width="17.25" style="25" customWidth="1"/>
    <col min="4" max="4" width="13.125" style="19" customWidth="1"/>
    <col min="5" max="5" width="5.25" style="24" customWidth="1"/>
    <col min="6" max="6" width="5.875" style="24" customWidth="1"/>
    <col min="7" max="7" width="4.5" style="19" customWidth="1"/>
    <col min="8" max="8" width="6.25" style="19" customWidth="1"/>
    <col min="9" max="9" width="6.625" style="19" customWidth="1"/>
    <col min="10" max="11" width="7.875" style="26" customWidth="1"/>
    <col min="12" max="12" width="7.875" style="19" customWidth="1"/>
    <col min="13" max="13" width="7.875" style="24" customWidth="1"/>
    <col min="14" max="14" width="7.875" style="19" customWidth="1"/>
    <col min="15" max="15" width="7.125" style="26" customWidth="1"/>
    <col min="16" max="16" width="7.125" style="24" customWidth="1"/>
    <col min="17" max="17" width="6.5" style="24" customWidth="1"/>
    <col min="18" max="18" width="7.125" style="24" customWidth="1"/>
    <col min="19" max="19" width="7.125" style="26" customWidth="1"/>
    <col min="20" max="20" width="7.125" style="24" customWidth="1"/>
    <col min="21" max="21" width="6.375" style="19" customWidth="1"/>
    <col min="22" max="22" width="7.625" style="24" customWidth="1"/>
    <col min="23" max="23" width="8.875" style="19" customWidth="1"/>
    <col min="24" max="16384" width="9" style="19"/>
  </cols>
  <sheetData>
    <row r="1" spans="1:24" ht="22.5" customHeight="1" x14ac:dyDescent="0.1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204"/>
      <c r="K1" s="204"/>
      <c r="L1" s="123"/>
      <c r="M1" s="123"/>
      <c r="N1" s="123"/>
      <c r="O1" s="205"/>
      <c r="P1" s="123"/>
      <c r="Q1" s="123"/>
      <c r="R1" s="123"/>
      <c r="S1" s="123"/>
      <c r="T1" s="123"/>
      <c r="U1" s="123"/>
      <c r="V1" s="123"/>
      <c r="W1" s="123"/>
      <c r="X1" s="123"/>
    </row>
    <row r="2" spans="1:24" ht="14.25" customHeight="1" x14ac:dyDescent="0.15">
      <c r="A2" s="27" t="s">
        <v>1</v>
      </c>
      <c r="B2" s="132" t="s">
        <v>2</v>
      </c>
      <c r="C2" s="171" t="s">
        <v>3</v>
      </c>
      <c r="D2" s="176" t="s">
        <v>4</v>
      </c>
      <c r="E2" s="176"/>
      <c r="F2" s="192" t="s">
        <v>5</v>
      </c>
      <c r="G2" s="206" t="s">
        <v>6</v>
      </c>
      <c r="H2" s="206"/>
      <c r="I2" s="206"/>
      <c r="J2" s="152" t="s">
        <v>7</v>
      </c>
      <c r="K2" s="152"/>
      <c r="L2" s="207" t="s">
        <v>8</v>
      </c>
      <c r="M2" s="207"/>
      <c r="N2" s="207"/>
      <c r="O2" s="152" t="s">
        <v>9</v>
      </c>
      <c r="P2" s="152" t="s">
        <v>10</v>
      </c>
      <c r="Q2" s="152"/>
      <c r="R2" s="152"/>
      <c r="S2" s="152"/>
      <c r="T2" s="152"/>
      <c r="U2" s="152"/>
      <c r="V2" s="152" t="s">
        <v>11</v>
      </c>
      <c r="W2" s="208" t="s">
        <v>12</v>
      </c>
      <c r="X2" s="208"/>
    </row>
    <row r="3" spans="1:24" x14ac:dyDescent="0.15">
      <c r="A3" s="31" t="s">
        <v>13</v>
      </c>
      <c r="B3" s="134"/>
      <c r="C3" s="173"/>
      <c r="D3" s="29" t="s">
        <v>3</v>
      </c>
      <c r="E3" s="29" t="s">
        <v>14</v>
      </c>
      <c r="F3" s="193"/>
      <c r="G3" s="30" t="s">
        <v>15</v>
      </c>
      <c r="H3" s="30" t="s">
        <v>16</v>
      </c>
      <c r="I3" s="30" t="s">
        <v>17</v>
      </c>
      <c r="J3" s="34" t="s">
        <v>18</v>
      </c>
      <c r="K3" s="34" t="s">
        <v>19</v>
      </c>
      <c r="L3" s="35" t="s">
        <v>20</v>
      </c>
      <c r="M3" s="35" t="s">
        <v>21</v>
      </c>
      <c r="N3" s="35" t="s">
        <v>19</v>
      </c>
      <c r="O3" s="152"/>
      <c r="P3" s="34" t="s">
        <v>22</v>
      </c>
      <c r="Q3" s="34" t="s">
        <v>23</v>
      </c>
      <c r="R3" s="34" t="s">
        <v>24</v>
      </c>
      <c r="S3" s="34" t="s">
        <v>25</v>
      </c>
      <c r="T3" s="37" t="s">
        <v>26</v>
      </c>
      <c r="U3" s="38" t="s">
        <v>27</v>
      </c>
      <c r="V3" s="152"/>
      <c r="W3" s="37" t="s">
        <v>28</v>
      </c>
      <c r="X3" s="39" t="s">
        <v>29</v>
      </c>
    </row>
    <row r="4" spans="1:24" x14ac:dyDescent="0.15">
      <c r="A4" s="106">
        <v>1</v>
      </c>
      <c r="B4" s="106" t="s">
        <v>30</v>
      </c>
      <c r="C4" s="106" t="s">
        <v>31</v>
      </c>
      <c r="D4" s="106"/>
      <c r="E4" s="106"/>
      <c r="F4" s="106" t="s">
        <v>32</v>
      </c>
      <c r="G4" s="116">
        <v>52</v>
      </c>
      <c r="H4" s="116">
        <v>23</v>
      </c>
      <c r="I4" s="116">
        <v>2</v>
      </c>
      <c r="J4" s="98">
        <v>4.8</v>
      </c>
      <c r="K4" s="98">
        <v>2.5</v>
      </c>
      <c r="L4" s="103">
        <f t="shared" ref="L4:L8" si="0">G4*H4*I4*0.00000785</f>
        <v>1.8777200000000001E-2</v>
      </c>
      <c r="M4" s="103">
        <v>6.0000000000000001E-3</v>
      </c>
      <c r="N4" s="103">
        <f t="shared" ref="N4:N8" si="1">L4-M4</f>
        <v>1.2777200000000001E-2</v>
      </c>
      <c r="O4" s="98">
        <f t="shared" ref="O4:O8" si="2">J4*L4-K4*N4</f>
        <v>5.8187559999999999E-2</v>
      </c>
      <c r="P4" s="36" t="s">
        <v>33</v>
      </c>
      <c r="Q4" s="36" t="s">
        <v>34</v>
      </c>
      <c r="R4" s="36">
        <v>1</v>
      </c>
      <c r="S4" s="12">
        <v>0.03</v>
      </c>
      <c r="T4" s="36">
        <v>1</v>
      </c>
      <c r="U4" s="12">
        <f t="shared" ref="U4:U42" si="3">R4*S4/T4</f>
        <v>0.03</v>
      </c>
      <c r="V4" s="111">
        <v>1.18</v>
      </c>
      <c r="W4" s="97">
        <f>(O4+SUM(U4:U5))*V4</f>
        <v>0.13946132080000001</v>
      </c>
      <c r="X4" s="95">
        <v>0.14219999999999999</v>
      </c>
    </row>
    <row r="5" spans="1:24" x14ac:dyDescent="0.15">
      <c r="A5" s="108"/>
      <c r="B5" s="108"/>
      <c r="C5" s="108"/>
      <c r="D5" s="108"/>
      <c r="E5" s="108"/>
      <c r="F5" s="108"/>
      <c r="G5" s="117"/>
      <c r="H5" s="117"/>
      <c r="I5" s="117"/>
      <c r="J5" s="99"/>
      <c r="K5" s="99"/>
      <c r="L5" s="104"/>
      <c r="M5" s="104"/>
      <c r="N5" s="104"/>
      <c r="O5" s="99"/>
      <c r="P5" s="36" t="s">
        <v>35</v>
      </c>
      <c r="Q5" s="36" t="s">
        <v>34</v>
      </c>
      <c r="R5" s="36">
        <v>1</v>
      </c>
      <c r="S5" s="12">
        <v>0.03</v>
      </c>
      <c r="T5" s="36">
        <v>1</v>
      </c>
      <c r="U5" s="12">
        <f t="shared" si="3"/>
        <v>0.03</v>
      </c>
      <c r="V5" s="112"/>
      <c r="W5" s="97"/>
      <c r="X5" s="95"/>
    </row>
    <row r="6" spans="1:24" x14ac:dyDescent="0.15">
      <c r="A6" s="106">
        <v>2</v>
      </c>
      <c r="B6" s="106" t="s">
        <v>36</v>
      </c>
      <c r="C6" s="106" t="s">
        <v>37</v>
      </c>
      <c r="D6" s="106"/>
      <c r="E6" s="106"/>
      <c r="F6" s="106" t="s">
        <v>32</v>
      </c>
      <c r="G6" s="116">
        <v>86</v>
      </c>
      <c r="H6" s="116">
        <v>48</v>
      </c>
      <c r="I6" s="116">
        <v>2</v>
      </c>
      <c r="J6" s="98">
        <v>4.8</v>
      </c>
      <c r="K6" s="98">
        <v>2.5</v>
      </c>
      <c r="L6" s="103">
        <f t="shared" si="0"/>
        <v>6.4809599999999995E-2</v>
      </c>
      <c r="M6" s="103">
        <v>3.7999999999999999E-2</v>
      </c>
      <c r="N6" s="103">
        <f t="shared" si="1"/>
        <v>2.6809599999999999E-2</v>
      </c>
      <c r="O6" s="98">
        <f t="shared" si="2"/>
        <v>0.24406207999999999</v>
      </c>
      <c r="P6" s="36" t="s">
        <v>33</v>
      </c>
      <c r="Q6" s="36" t="s">
        <v>38</v>
      </c>
      <c r="R6" s="36">
        <v>1</v>
      </c>
      <c r="S6" s="12">
        <v>0.05</v>
      </c>
      <c r="T6" s="36">
        <v>1</v>
      </c>
      <c r="U6" s="12">
        <f t="shared" si="3"/>
        <v>0.05</v>
      </c>
      <c r="V6" s="111">
        <v>1.18</v>
      </c>
      <c r="W6" s="97">
        <f>(O6+SUM(U6:U7))*V6</f>
        <v>0.38239325439999999</v>
      </c>
      <c r="X6" s="95">
        <v>0.41830000000000001</v>
      </c>
    </row>
    <row r="7" spans="1:24" x14ac:dyDescent="0.15">
      <c r="A7" s="108"/>
      <c r="B7" s="108"/>
      <c r="C7" s="108"/>
      <c r="D7" s="108"/>
      <c r="E7" s="108"/>
      <c r="F7" s="108"/>
      <c r="G7" s="117"/>
      <c r="H7" s="117"/>
      <c r="I7" s="117"/>
      <c r="J7" s="99"/>
      <c r="K7" s="99"/>
      <c r="L7" s="104"/>
      <c r="M7" s="104"/>
      <c r="N7" s="104"/>
      <c r="O7" s="99"/>
      <c r="P7" s="36" t="s">
        <v>35</v>
      </c>
      <c r="Q7" s="36" t="s">
        <v>34</v>
      </c>
      <c r="R7" s="36">
        <v>1</v>
      </c>
      <c r="S7" s="12">
        <v>0.03</v>
      </c>
      <c r="T7" s="36">
        <v>1</v>
      </c>
      <c r="U7" s="12">
        <f t="shared" si="3"/>
        <v>0.03</v>
      </c>
      <c r="V7" s="112"/>
      <c r="W7" s="97"/>
      <c r="X7" s="95"/>
    </row>
    <row r="8" spans="1:24" x14ac:dyDescent="0.15">
      <c r="A8" s="116">
        <v>3</v>
      </c>
      <c r="B8" s="116" t="s">
        <v>39</v>
      </c>
      <c r="C8" s="106" t="s">
        <v>40</v>
      </c>
      <c r="D8" s="106"/>
      <c r="E8" s="106"/>
      <c r="F8" s="106" t="s">
        <v>32</v>
      </c>
      <c r="G8" s="116">
        <v>57</v>
      </c>
      <c r="H8" s="116">
        <v>24</v>
      </c>
      <c r="I8" s="116">
        <v>2</v>
      </c>
      <c r="J8" s="98">
        <v>4.8</v>
      </c>
      <c r="K8" s="98">
        <v>2.5</v>
      </c>
      <c r="L8" s="103">
        <f t="shared" si="0"/>
        <v>2.1477599999999999E-2</v>
      </c>
      <c r="M8" s="103">
        <v>1.0999999999999999E-2</v>
      </c>
      <c r="N8" s="103">
        <f t="shared" si="1"/>
        <v>1.04776E-2</v>
      </c>
      <c r="O8" s="98">
        <f t="shared" si="2"/>
        <v>7.6898480000000005E-2</v>
      </c>
      <c r="P8" s="36" t="s">
        <v>33</v>
      </c>
      <c r="Q8" s="36" t="s">
        <v>41</v>
      </c>
      <c r="R8" s="36">
        <v>1</v>
      </c>
      <c r="S8" s="12">
        <v>0.03</v>
      </c>
      <c r="T8" s="36">
        <v>1</v>
      </c>
      <c r="U8" s="12">
        <f t="shared" si="3"/>
        <v>0.03</v>
      </c>
      <c r="V8" s="111">
        <v>1.18</v>
      </c>
      <c r="W8" s="97">
        <f>(O8+SUM(U8:U10))*V8</f>
        <v>0.19694020640000001</v>
      </c>
      <c r="X8" s="116">
        <v>0.20030000000000001</v>
      </c>
    </row>
    <row r="9" spans="1:24" x14ac:dyDescent="0.15">
      <c r="A9" s="124"/>
      <c r="B9" s="124"/>
      <c r="C9" s="107"/>
      <c r="D9" s="107"/>
      <c r="E9" s="107"/>
      <c r="F9" s="107"/>
      <c r="G9" s="124"/>
      <c r="H9" s="124"/>
      <c r="I9" s="124"/>
      <c r="J9" s="157"/>
      <c r="K9" s="157"/>
      <c r="L9" s="168"/>
      <c r="M9" s="168"/>
      <c r="N9" s="168"/>
      <c r="O9" s="157"/>
      <c r="P9" s="36" t="s">
        <v>35</v>
      </c>
      <c r="Q9" s="36" t="s">
        <v>41</v>
      </c>
      <c r="R9" s="36">
        <v>1</v>
      </c>
      <c r="S9" s="12">
        <v>0.03</v>
      </c>
      <c r="T9" s="36">
        <v>1</v>
      </c>
      <c r="U9" s="12">
        <f t="shared" si="3"/>
        <v>0.03</v>
      </c>
      <c r="V9" s="135"/>
      <c r="W9" s="97"/>
      <c r="X9" s="124"/>
    </row>
    <row r="10" spans="1:24" x14ac:dyDescent="0.15">
      <c r="A10" s="117"/>
      <c r="B10" s="117"/>
      <c r="C10" s="108"/>
      <c r="D10" s="108"/>
      <c r="E10" s="108"/>
      <c r="F10" s="108"/>
      <c r="G10" s="117"/>
      <c r="H10" s="117"/>
      <c r="I10" s="117"/>
      <c r="J10" s="99"/>
      <c r="K10" s="99"/>
      <c r="L10" s="104"/>
      <c r="M10" s="104"/>
      <c r="N10" s="104"/>
      <c r="O10" s="99"/>
      <c r="P10" s="36" t="s">
        <v>42</v>
      </c>
      <c r="Q10" s="36" t="s">
        <v>43</v>
      </c>
      <c r="R10" s="36">
        <v>1</v>
      </c>
      <c r="S10" s="12">
        <v>0.03</v>
      </c>
      <c r="T10" s="36">
        <v>1</v>
      </c>
      <c r="U10" s="12">
        <f t="shared" si="3"/>
        <v>0.03</v>
      </c>
      <c r="V10" s="112"/>
      <c r="W10" s="97"/>
      <c r="X10" s="117"/>
    </row>
    <row r="11" spans="1:24" x14ac:dyDescent="0.15">
      <c r="A11" s="106">
        <v>4</v>
      </c>
      <c r="B11" s="106" t="s">
        <v>44</v>
      </c>
      <c r="C11" s="106" t="s">
        <v>45</v>
      </c>
      <c r="D11" s="106"/>
      <c r="E11" s="106"/>
      <c r="F11" s="106" t="s">
        <v>32</v>
      </c>
      <c r="G11" s="116">
        <f>51+4</f>
        <v>55</v>
      </c>
      <c r="H11" s="116">
        <v>23</v>
      </c>
      <c r="I11" s="116">
        <v>2</v>
      </c>
      <c r="J11" s="98">
        <v>4.8</v>
      </c>
      <c r="K11" s="98">
        <v>2.5</v>
      </c>
      <c r="L11" s="103">
        <f t="shared" ref="L11:L16" si="4">G11*H11*I11*0.00000785</f>
        <v>1.98605E-2</v>
      </c>
      <c r="M11" s="103">
        <v>8.9999999999999993E-3</v>
      </c>
      <c r="N11" s="103">
        <f t="shared" ref="N11:N16" si="5">L11-M11</f>
        <v>1.08605E-2</v>
      </c>
      <c r="O11" s="98">
        <f>J11*L11-K11*N11</f>
        <v>6.8179149999999994E-2</v>
      </c>
      <c r="P11" s="36" t="s">
        <v>33</v>
      </c>
      <c r="Q11" s="36" t="s">
        <v>41</v>
      </c>
      <c r="R11" s="36">
        <v>1</v>
      </c>
      <c r="S11" s="12">
        <v>0.03</v>
      </c>
      <c r="T11" s="36">
        <v>1</v>
      </c>
      <c r="U11" s="12">
        <f t="shared" si="3"/>
        <v>0.03</v>
      </c>
      <c r="V11" s="111">
        <v>1.18</v>
      </c>
      <c r="W11" s="97">
        <f>(O11+SUM(U11:U12))*V11</f>
        <v>0.15125139700000001</v>
      </c>
      <c r="X11" s="95">
        <v>0.15629999999999999</v>
      </c>
    </row>
    <row r="12" spans="1:24" x14ac:dyDescent="0.15">
      <c r="A12" s="108"/>
      <c r="B12" s="108"/>
      <c r="C12" s="108"/>
      <c r="D12" s="108"/>
      <c r="E12" s="108"/>
      <c r="F12" s="108"/>
      <c r="G12" s="117"/>
      <c r="H12" s="117"/>
      <c r="I12" s="117"/>
      <c r="J12" s="99"/>
      <c r="K12" s="99"/>
      <c r="L12" s="104"/>
      <c r="M12" s="104"/>
      <c r="N12" s="104"/>
      <c r="O12" s="99"/>
      <c r="P12" s="36" t="s">
        <v>35</v>
      </c>
      <c r="Q12" s="36" t="s">
        <v>43</v>
      </c>
      <c r="R12" s="36">
        <v>1</v>
      </c>
      <c r="S12" s="12">
        <v>0.03</v>
      </c>
      <c r="T12" s="36">
        <v>1</v>
      </c>
      <c r="U12" s="12">
        <f t="shared" si="3"/>
        <v>0.03</v>
      </c>
      <c r="V12" s="112"/>
      <c r="W12" s="97"/>
      <c r="X12" s="95"/>
    </row>
    <row r="13" spans="1:24" x14ac:dyDescent="0.15">
      <c r="A13" s="116">
        <v>5</v>
      </c>
      <c r="B13" s="116" t="s">
        <v>46</v>
      </c>
      <c r="C13" s="106" t="s">
        <v>47</v>
      </c>
      <c r="D13" s="106"/>
      <c r="E13" s="106"/>
      <c r="F13" s="106" t="s">
        <v>32</v>
      </c>
      <c r="G13" s="116">
        <f>72+4</f>
        <v>76</v>
      </c>
      <c r="H13" s="116">
        <v>43</v>
      </c>
      <c r="I13" s="116">
        <v>2</v>
      </c>
      <c r="J13" s="98">
        <v>4.8</v>
      </c>
      <c r="K13" s="98">
        <v>2.5</v>
      </c>
      <c r="L13" s="103">
        <f t="shared" si="4"/>
        <v>5.1307600000000002E-2</v>
      </c>
      <c r="M13" s="103">
        <v>2.7E-2</v>
      </c>
      <c r="N13" s="103">
        <f t="shared" si="5"/>
        <v>2.4307599999999999E-2</v>
      </c>
      <c r="O13" s="98">
        <f>J13*L13-K13*N13</f>
        <v>0.18550748</v>
      </c>
      <c r="P13" s="36" t="s">
        <v>33</v>
      </c>
      <c r="Q13" s="36" t="s">
        <v>34</v>
      </c>
      <c r="R13" s="36">
        <v>1</v>
      </c>
      <c r="S13" s="12">
        <v>0.03</v>
      </c>
      <c r="T13" s="36">
        <v>1</v>
      </c>
      <c r="U13" s="12">
        <f t="shared" si="3"/>
        <v>0.03</v>
      </c>
      <c r="V13" s="111">
        <v>1.18</v>
      </c>
      <c r="W13" s="97">
        <f>(O13+SUM(U13:U15))*V13</f>
        <v>0.32509882639999998</v>
      </c>
      <c r="X13" s="116">
        <v>0.3483</v>
      </c>
    </row>
    <row r="14" spans="1:24" x14ac:dyDescent="0.15">
      <c r="A14" s="124"/>
      <c r="B14" s="124"/>
      <c r="C14" s="107"/>
      <c r="D14" s="107"/>
      <c r="E14" s="107"/>
      <c r="F14" s="107"/>
      <c r="G14" s="124"/>
      <c r="H14" s="124"/>
      <c r="I14" s="124"/>
      <c r="J14" s="157"/>
      <c r="K14" s="157"/>
      <c r="L14" s="168"/>
      <c r="M14" s="168"/>
      <c r="N14" s="168"/>
      <c r="O14" s="157"/>
      <c r="P14" s="36" t="s">
        <v>48</v>
      </c>
      <c r="Q14" s="36" t="s">
        <v>49</v>
      </c>
      <c r="R14" s="36">
        <v>1</v>
      </c>
      <c r="S14" s="12">
        <v>0.03</v>
      </c>
      <c r="T14" s="36">
        <v>1</v>
      </c>
      <c r="U14" s="12">
        <f t="shared" si="3"/>
        <v>0.03</v>
      </c>
      <c r="V14" s="135"/>
      <c r="W14" s="97"/>
      <c r="X14" s="124"/>
    </row>
    <row r="15" spans="1:24" x14ac:dyDescent="0.15">
      <c r="A15" s="117"/>
      <c r="B15" s="117"/>
      <c r="C15" s="108"/>
      <c r="D15" s="108"/>
      <c r="E15" s="108"/>
      <c r="F15" s="108"/>
      <c r="G15" s="117"/>
      <c r="H15" s="117"/>
      <c r="I15" s="117"/>
      <c r="J15" s="99"/>
      <c r="K15" s="99"/>
      <c r="L15" s="104"/>
      <c r="M15" s="104"/>
      <c r="N15" s="104"/>
      <c r="O15" s="99"/>
      <c r="P15" s="36" t="s">
        <v>35</v>
      </c>
      <c r="Q15" s="36" t="s">
        <v>49</v>
      </c>
      <c r="R15" s="36">
        <v>1</v>
      </c>
      <c r="S15" s="12">
        <v>0.03</v>
      </c>
      <c r="T15" s="36">
        <v>1</v>
      </c>
      <c r="U15" s="12">
        <f t="shared" si="3"/>
        <v>0.03</v>
      </c>
      <c r="V15" s="112"/>
      <c r="W15" s="97"/>
      <c r="X15" s="117"/>
    </row>
    <row r="16" spans="1:24" x14ac:dyDescent="0.15">
      <c r="A16" s="95">
        <v>6</v>
      </c>
      <c r="B16" s="95" t="s">
        <v>50</v>
      </c>
      <c r="C16" s="121" t="s">
        <v>51</v>
      </c>
      <c r="D16" s="121" t="s">
        <v>52</v>
      </c>
      <c r="E16" s="121">
        <v>1</v>
      </c>
      <c r="F16" s="121" t="s">
        <v>32</v>
      </c>
      <c r="G16" s="95">
        <f>139+12</f>
        <v>151</v>
      </c>
      <c r="H16" s="95">
        <f>197+12</f>
        <v>209</v>
      </c>
      <c r="I16" s="95">
        <v>3</v>
      </c>
      <c r="J16" s="98">
        <v>4.5999999999999996</v>
      </c>
      <c r="K16" s="98">
        <v>2.5</v>
      </c>
      <c r="L16" s="105">
        <f t="shared" si="4"/>
        <v>0.74321444999999997</v>
      </c>
      <c r="M16" s="105">
        <v>0.40200000000000002</v>
      </c>
      <c r="N16" s="105">
        <f t="shared" si="5"/>
        <v>0.34121445</v>
      </c>
      <c r="O16" s="156">
        <f>(J16*L16-K16*N16)*E16</f>
        <v>2.5657503450000001</v>
      </c>
      <c r="P16" s="36" t="s">
        <v>33</v>
      </c>
      <c r="Q16" s="36" t="s">
        <v>53</v>
      </c>
      <c r="R16" s="36">
        <v>1</v>
      </c>
      <c r="S16" s="12">
        <v>0.1</v>
      </c>
      <c r="T16" s="36">
        <v>1</v>
      </c>
      <c r="U16" s="12">
        <f t="shared" si="3"/>
        <v>0.1</v>
      </c>
      <c r="V16" s="116">
        <v>1.1200000000000001</v>
      </c>
      <c r="W16" s="111">
        <f>(O16+SUM(U16:U20))*V16+(O19+U21)*1.03</f>
        <v>3.7649403864000002</v>
      </c>
      <c r="X16" s="116">
        <v>4.4241999999999999</v>
      </c>
    </row>
    <row r="17" spans="1:24" x14ac:dyDescent="0.15">
      <c r="A17" s="95"/>
      <c r="B17" s="95"/>
      <c r="C17" s="121"/>
      <c r="D17" s="121"/>
      <c r="E17" s="121"/>
      <c r="F17" s="121"/>
      <c r="G17" s="95"/>
      <c r="H17" s="95"/>
      <c r="I17" s="95"/>
      <c r="J17" s="157"/>
      <c r="K17" s="157"/>
      <c r="L17" s="105"/>
      <c r="M17" s="105"/>
      <c r="N17" s="105"/>
      <c r="O17" s="156"/>
      <c r="P17" s="36" t="s">
        <v>35</v>
      </c>
      <c r="Q17" s="36" t="s">
        <v>54</v>
      </c>
      <c r="R17" s="36">
        <v>1</v>
      </c>
      <c r="S17" s="12">
        <v>0.08</v>
      </c>
      <c r="T17" s="36">
        <v>1</v>
      </c>
      <c r="U17" s="12">
        <f t="shared" si="3"/>
        <v>0.08</v>
      </c>
      <c r="V17" s="124"/>
      <c r="W17" s="135"/>
      <c r="X17" s="124"/>
    </row>
    <row r="18" spans="1:24" x14ac:dyDescent="0.15">
      <c r="A18" s="95"/>
      <c r="B18" s="95"/>
      <c r="C18" s="121"/>
      <c r="D18" s="121"/>
      <c r="E18" s="121"/>
      <c r="F18" s="121"/>
      <c r="G18" s="95"/>
      <c r="H18" s="95"/>
      <c r="I18" s="95"/>
      <c r="J18" s="99"/>
      <c r="K18" s="99"/>
      <c r="L18" s="105"/>
      <c r="M18" s="105"/>
      <c r="N18" s="105"/>
      <c r="O18" s="156"/>
      <c r="P18" s="36" t="s">
        <v>55</v>
      </c>
      <c r="Q18" s="36" t="s">
        <v>38</v>
      </c>
      <c r="R18" s="36">
        <v>1</v>
      </c>
      <c r="S18" s="12">
        <v>0.05</v>
      </c>
      <c r="T18" s="36">
        <v>1</v>
      </c>
      <c r="U18" s="12">
        <f t="shared" si="3"/>
        <v>0.05</v>
      </c>
      <c r="V18" s="124"/>
      <c r="W18" s="135"/>
      <c r="X18" s="124"/>
    </row>
    <row r="19" spans="1:24" x14ac:dyDescent="0.15">
      <c r="A19" s="95"/>
      <c r="B19" s="95"/>
      <c r="C19" s="121"/>
      <c r="D19" s="121" t="s">
        <v>56</v>
      </c>
      <c r="E19" s="121">
        <v>1</v>
      </c>
      <c r="F19" s="121"/>
      <c r="G19" s="95"/>
      <c r="H19" s="95"/>
      <c r="I19" s="95"/>
      <c r="J19" s="156">
        <v>0.4</v>
      </c>
      <c r="K19" s="156"/>
      <c r="L19" s="105"/>
      <c r="M19" s="105"/>
      <c r="N19" s="105"/>
      <c r="O19" s="156">
        <f>E19*J19</f>
        <v>0.4</v>
      </c>
      <c r="P19" s="36" t="s">
        <v>55</v>
      </c>
      <c r="Q19" s="36" t="s">
        <v>34</v>
      </c>
      <c r="R19" s="36">
        <v>1</v>
      </c>
      <c r="S19" s="12">
        <v>0.03</v>
      </c>
      <c r="T19" s="36">
        <v>1</v>
      </c>
      <c r="U19" s="12">
        <f t="shared" si="3"/>
        <v>0.03</v>
      </c>
      <c r="V19" s="124"/>
      <c r="W19" s="135"/>
      <c r="X19" s="124"/>
    </row>
    <row r="20" spans="1:24" x14ac:dyDescent="0.15">
      <c r="A20" s="95"/>
      <c r="B20" s="95"/>
      <c r="C20" s="121"/>
      <c r="D20" s="121"/>
      <c r="E20" s="121"/>
      <c r="F20" s="121"/>
      <c r="G20" s="95"/>
      <c r="H20" s="95"/>
      <c r="I20" s="95"/>
      <c r="J20" s="156"/>
      <c r="K20" s="156"/>
      <c r="L20" s="105"/>
      <c r="M20" s="105"/>
      <c r="N20" s="105"/>
      <c r="O20" s="156"/>
      <c r="P20" s="36" t="s">
        <v>55</v>
      </c>
      <c r="Q20" s="36" t="s">
        <v>49</v>
      </c>
      <c r="R20" s="36">
        <v>1</v>
      </c>
      <c r="S20" s="12">
        <v>0.03</v>
      </c>
      <c r="T20" s="36">
        <v>1</v>
      </c>
      <c r="U20" s="12">
        <f t="shared" si="3"/>
        <v>0.03</v>
      </c>
      <c r="V20" s="124"/>
      <c r="W20" s="135"/>
      <c r="X20" s="124"/>
    </row>
    <row r="21" spans="1:24" x14ac:dyDescent="0.15">
      <c r="A21" s="95"/>
      <c r="B21" s="95"/>
      <c r="C21" s="121"/>
      <c r="D21" s="121"/>
      <c r="E21" s="121"/>
      <c r="F21" s="121"/>
      <c r="G21" s="95"/>
      <c r="H21" s="95"/>
      <c r="I21" s="95"/>
      <c r="J21" s="156"/>
      <c r="K21" s="156"/>
      <c r="L21" s="105"/>
      <c r="M21" s="105"/>
      <c r="N21" s="105"/>
      <c r="O21" s="156"/>
      <c r="P21" s="36" t="s">
        <v>57</v>
      </c>
      <c r="Q21" s="36"/>
      <c r="R21" s="36">
        <v>1</v>
      </c>
      <c r="S21" s="12">
        <v>0.15</v>
      </c>
      <c r="T21" s="36">
        <v>1</v>
      </c>
      <c r="U21" s="12">
        <f t="shared" si="3"/>
        <v>0.15</v>
      </c>
      <c r="V21" s="117"/>
      <c r="W21" s="112"/>
      <c r="X21" s="117"/>
    </row>
    <row r="22" spans="1:24" x14ac:dyDescent="0.15">
      <c r="A22" s="116">
        <v>7</v>
      </c>
      <c r="B22" s="116" t="s">
        <v>58</v>
      </c>
      <c r="C22" s="106" t="s">
        <v>59</v>
      </c>
      <c r="D22" s="106"/>
      <c r="E22" s="106"/>
      <c r="F22" s="106" t="s">
        <v>60</v>
      </c>
      <c r="G22" s="116">
        <f>125+5</f>
        <v>130</v>
      </c>
      <c r="H22" s="116">
        <f>65+5</f>
        <v>70</v>
      </c>
      <c r="I22" s="116">
        <v>2.5</v>
      </c>
      <c r="J22" s="98">
        <v>5.13</v>
      </c>
      <c r="K22" s="98">
        <v>2.5</v>
      </c>
      <c r="L22" s="103">
        <f>G22*H22*I22*0.00000785</f>
        <v>0.17858750000000001</v>
      </c>
      <c r="M22" s="103">
        <v>8.6999999999999994E-2</v>
      </c>
      <c r="N22" s="103">
        <f>L22-M22</f>
        <v>9.1587500000000002E-2</v>
      </c>
      <c r="O22" s="98">
        <f>J22*L22-K22*N22</f>
        <v>0.68718512499999995</v>
      </c>
      <c r="P22" s="36" t="s">
        <v>33</v>
      </c>
      <c r="Q22" s="36" t="s">
        <v>61</v>
      </c>
      <c r="R22" s="36">
        <v>1</v>
      </c>
      <c r="S22" s="12">
        <v>7.0000000000000007E-2</v>
      </c>
      <c r="T22" s="36">
        <v>1</v>
      </c>
      <c r="U22" s="12">
        <f t="shared" si="3"/>
        <v>7.0000000000000007E-2</v>
      </c>
      <c r="V22" s="111">
        <v>1.1200000000000001</v>
      </c>
      <c r="W22" s="97">
        <f>(O22+SUM(U22:U24))*V22</f>
        <v>0.96004734000000003</v>
      </c>
      <c r="X22" s="116">
        <v>1.0730999999999999</v>
      </c>
    </row>
    <row r="23" spans="1:24" x14ac:dyDescent="0.15">
      <c r="A23" s="124"/>
      <c r="B23" s="124"/>
      <c r="C23" s="107"/>
      <c r="D23" s="107"/>
      <c r="E23" s="107"/>
      <c r="F23" s="107"/>
      <c r="G23" s="124"/>
      <c r="H23" s="124"/>
      <c r="I23" s="124"/>
      <c r="J23" s="157"/>
      <c r="K23" s="157"/>
      <c r="L23" s="168"/>
      <c r="M23" s="168"/>
      <c r="N23" s="168"/>
      <c r="O23" s="157"/>
      <c r="P23" s="36" t="s">
        <v>35</v>
      </c>
      <c r="Q23" s="36" t="s">
        <v>38</v>
      </c>
      <c r="R23" s="36">
        <v>1</v>
      </c>
      <c r="S23" s="12">
        <v>0.05</v>
      </c>
      <c r="T23" s="36">
        <v>1</v>
      </c>
      <c r="U23" s="12">
        <f t="shared" si="3"/>
        <v>0.05</v>
      </c>
      <c r="V23" s="135"/>
      <c r="W23" s="97"/>
      <c r="X23" s="124"/>
    </row>
    <row r="24" spans="1:24" x14ac:dyDescent="0.15">
      <c r="A24" s="117"/>
      <c r="B24" s="117"/>
      <c r="C24" s="108"/>
      <c r="D24" s="108"/>
      <c r="E24" s="108"/>
      <c r="F24" s="108"/>
      <c r="G24" s="117"/>
      <c r="H24" s="117"/>
      <c r="I24" s="117"/>
      <c r="J24" s="99"/>
      <c r="K24" s="99"/>
      <c r="L24" s="104"/>
      <c r="M24" s="104"/>
      <c r="N24" s="104"/>
      <c r="O24" s="99"/>
      <c r="P24" s="36" t="s">
        <v>55</v>
      </c>
      <c r="Q24" s="36" t="s">
        <v>38</v>
      </c>
      <c r="R24" s="36">
        <v>1</v>
      </c>
      <c r="S24" s="12">
        <v>0.05</v>
      </c>
      <c r="T24" s="36">
        <v>1</v>
      </c>
      <c r="U24" s="12">
        <f t="shared" si="3"/>
        <v>0.05</v>
      </c>
      <c r="V24" s="112"/>
      <c r="W24" s="97"/>
      <c r="X24" s="117"/>
    </row>
    <row r="25" spans="1:24" x14ac:dyDescent="0.15">
      <c r="A25" s="116">
        <v>8</v>
      </c>
      <c r="B25" s="116" t="s">
        <v>62</v>
      </c>
      <c r="C25" s="106" t="s">
        <v>63</v>
      </c>
      <c r="D25" s="106"/>
      <c r="E25" s="106"/>
      <c r="F25" s="106" t="s">
        <v>60</v>
      </c>
      <c r="G25" s="116">
        <f>125+5</f>
        <v>130</v>
      </c>
      <c r="H25" s="116">
        <f>65+5</f>
        <v>70</v>
      </c>
      <c r="I25" s="116">
        <v>2.5</v>
      </c>
      <c r="J25" s="98">
        <v>5.13</v>
      </c>
      <c r="K25" s="98">
        <v>2.5</v>
      </c>
      <c r="L25" s="103">
        <f>G25*H25*I25*0.00000785</f>
        <v>0.17858750000000001</v>
      </c>
      <c r="M25" s="103">
        <v>8.6999999999999994E-2</v>
      </c>
      <c r="N25" s="103">
        <f>L25-M25</f>
        <v>9.1587500000000002E-2</v>
      </c>
      <c r="O25" s="98">
        <f>J25*L25-K25*N25</f>
        <v>0.68718512499999995</v>
      </c>
      <c r="P25" s="36" t="s">
        <v>33</v>
      </c>
      <c r="Q25" s="36" t="s">
        <v>61</v>
      </c>
      <c r="R25" s="36">
        <v>1</v>
      </c>
      <c r="S25" s="12">
        <v>7.0000000000000007E-2</v>
      </c>
      <c r="T25" s="36">
        <v>1</v>
      </c>
      <c r="U25" s="12">
        <f t="shared" si="3"/>
        <v>7.0000000000000007E-2</v>
      </c>
      <c r="V25" s="111">
        <v>1.1200000000000001</v>
      </c>
      <c r="W25" s="97">
        <f>(O25+SUM(U25:U27))*V25</f>
        <v>0.96004734000000003</v>
      </c>
      <c r="X25" s="116">
        <v>1.0730999999999999</v>
      </c>
    </row>
    <row r="26" spans="1:24" x14ac:dyDescent="0.15">
      <c r="A26" s="124"/>
      <c r="B26" s="124"/>
      <c r="C26" s="107"/>
      <c r="D26" s="107"/>
      <c r="E26" s="107"/>
      <c r="F26" s="107"/>
      <c r="G26" s="124"/>
      <c r="H26" s="124"/>
      <c r="I26" s="124"/>
      <c r="J26" s="157"/>
      <c r="K26" s="157"/>
      <c r="L26" s="168"/>
      <c r="M26" s="168"/>
      <c r="N26" s="168"/>
      <c r="O26" s="157"/>
      <c r="P26" s="36" t="s">
        <v>35</v>
      </c>
      <c r="Q26" s="36" t="s">
        <v>38</v>
      </c>
      <c r="R26" s="36">
        <v>1</v>
      </c>
      <c r="S26" s="12">
        <v>0.05</v>
      </c>
      <c r="T26" s="36">
        <v>1</v>
      </c>
      <c r="U26" s="12">
        <f t="shared" si="3"/>
        <v>0.05</v>
      </c>
      <c r="V26" s="135"/>
      <c r="W26" s="97"/>
      <c r="X26" s="124"/>
    </row>
    <row r="27" spans="1:24" x14ac:dyDescent="0.15">
      <c r="A27" s="117"/>
      <c r="B27" s="117"/>
      <c r="C27" s="108"/>
      <c r="D27" s="108"/>
      <c r="E27" s="108"/>
      <c r="F27" s="108"/>
      <c r="G27" s="117"/>
      <c r="H27" s="117"/>
      <c r="I27" s="117"/>
      <c r="J27" s="99"/>
      <c r="K27" s="99"/>
      <c r="L27" s="104"/>
      <c r="M27" s="104"/>
      <c r="N27" s="104"/>
      <c r="O27" s="99"/>
      <c r="P27" s="36" t="s">
        <v>55</v>
      </c>
      <c r="Q27" s="36" t="s">
        <v>38</v>
      </c>
      <c r="R27" s="36">
        <v>1</v>
      </c>
      <c r="S27" s="12">
        <v>0.05</v>
      </c>
      <c r="T27" s="36">
        <v>1</v>
      </c>
      <c r="U27" s="12">
        <f t="shared" si="3"/>
        <v>0.05</v>
      </c>
      <c r="V27" s="112"/>
      <c r="W27" s="97"/>
      <c r="X27" s="117"/>
    </row>
    <row r="28" spans="1:24" x14ac:dyDescent="0.15">
      <c r="A28" s="116">
        <v>9</v>
      </c>
      <c r="B28" s="116" t="s">
        <v>64</v>
      </c>
      <c r="C28" s="106" t="s">
        <v>65</v>
      </c>
      <c r="D28" s="106"/>
      <c r="E28" s="106"/>
      <c r="F28" s="106" t="s">
        <v>60</v>
      </c>
      <c r="G28" s="116">
        <v>89</v>
      </c>
      <c r="H28" s="116">
        <f>125+2.5*2</f>
        <v>130</v>
      </c>
      <c r="I28" s="116">
        <v>2.5</v>
      </c>
      <c r="J28" s="98">
        <v>5.13</v>
      </c>
      <c r="K28" s="98">
        <v>2.5</v>
      </c>
      <c r="L28" s="103">
        <f>G28*H28*I28*0.00000785</f>
        <v>0.22706124999999999</v>
      </c>
      <c r="M28" s="103">
        <v>8.6999999999999994E-2</v>
      </c>
      <c r="N28" s="103">
        <f>L28-M28</f>
        <v>0.14006125</v>
      </c>
      <c r="O28" s="98">
        <f>J28*L28-K28*N28</f>
        <v>0.81467108749999995</v>
      </c>
      <c r="P28" s="36" t="s">
        <v>33</v>
      </c>
      <c r="Q28" s="36" t="s">
        <v>61</v>
      </c>
      <c r="R28" s="36">
        <v>1</v>
      </c>
      <c r="S28" s="12">
        <v>7.0000000000000007E-2</v>
      </c>
      <c r="T28" s="36">
        <v>1</v>
      </c>
      <c r="U28" s="12">
        <f t="shared" si="3"/>
        <v>7.0000000000000007E-2</v>
      </c>
      <c r="V28" s="111">
        <v>1.1200000000000001</v>
      </c>
      <c r="W28" s="97">
        <f>(O28+SUM(U28:U30))*V28</f>
        <v>1.080431618</v>
      </c>
      <c r="X28" s="116">
        <v>1.2089000000000001</v>
      </c>
    </row>
    <row r="29" spans="1:24" x14ac:dyDescent="0.15">
      <c r="A29" s="124"/>
      <c r="B29" s="124"/>
      <c r="C29" s="107"/>
      <c r="D29" s="107"/>
      <c r="E29" s="107"/>
      <c r="F29" s="107"/>
      <c r="G29" s="124"/>
      <c r="H29" s="124"/>
      <c r="I29" s="124"/>
      <c r="J29" s="157"/>
      <c r="K29" s="157"/>
      <c r="L29" s="168"/>
      <c r="M29" s="168"/>
      <c r="N29" s="168"/>
      <c r="O29" s="157"/>
      <c r="P29" s="36" t="s">
        <v>35</v>
      </c>
      <c r="Q29" s="36" t="s">
        <v>38</v>
      </c>
      <c r="R29" s="36">
        <v>1</v>
      </c>
      <c r="S29" s="12">
        <v>0.05</v>
      </c>
      <c r="T29" s="36">
        <v>1</v>
      </c>
      <c r="U29" s="12">
        <f t="shared" si="3"/>
        <v>0.05</v>
      </c>
      <c r="V29" s="135"/>
      <c r="W29" s="97"/>
      <c r="X29" s="124"/>
    </row>
    <row r="30" spans="1:24" x14ac:dyDescent="0.15">
      <c r="A30" s="117"/>
      <c r="B30" s="117"/>
      <c r="C30" s="108"/>
      <c r="D30" s="108"/>
      <c r="E30" s="108"/>
      <c r="F30" s="108"/>
      <c r="G30" s="117"/>
      <c r="H30" s="117"/>
      <c r="I30" s="117"/>
      <c r="J30" s="99"/>
      <c r="K30" s="99"/>
      <c r="L30" s="104"/>
      <c r="M30" s="104"/>
      <c r="N30" s="104"/>
      <c r="O30" s="99"/>
      <c r="P30" s="36" t="s">
        <v>55</v>
      </c>
      <c r="Q30" s="36" t="s">
        <v>34</v>
      </c>
      <c r="R30" s="36">
        <v>1</v>
      </c>
      <c r="S30" s="12">
        <v>0.03</v>
      </c>
      <c r="T30" s="36">
        <v>1</v>
      </c>
      <c r="U30" s="12">
        <f t="shared" si="3"/>
        <v>0.03</v>
      </c>
      <c r="V30" s="112"/>
      <c r="W30" s="97"/>
      <c r="X30" s="117"/>
    </row>
    <row r="31" spans="1:24" x14ac:dyDescent="0.15">
      <c r="A31" s="116">
        <v>10</v>
      </c>
      <c r="B31" s="116" t="s">
        <v>66</v>
      </c>
      <c r="C31" s="106" t="s">
        <v>67</v>
      </c>
      <c r="D31" s="106"/>
      <c r="E31" s="106"/>
      <c r="F31" s="106" t="s">
        <v>60</v>
      </c>
      <c r="G31" s="116">
        <v>89</v>
      </c>
      <c r="H31" s="116">
        <f>125+2.5*2</f>
        <v>130</v>
      </c>
      <c r="I31" s="116">
        <v>2.5</v>
      </c>
      <c r="J31" s="98">
        <v>5.13</v>
      </c>
      <c r="K31" s="98">
        <v>2.5</v>
      </c>
      <c r="L31" s="103">
        <f>G31*H31*I31*0.00000785</f>
        <v>0.22706124999999999</v>
      </c>
      <c r="M31" s="103">
        <v>8.6999999999999994E-2</v>
      </c>
      <c r="N31" s="103">
        <f>L31-M31</f>
        <v>0.14006125</v>
      </c>
      <c r="O31" s="98">
        <f>J31*L31-K31*N31</f>
        <v>0.81467108749999995</v>
      </c>
      <c r="P31" s="36" t="s">
        <v>33</v>
      </c>
      <c r="Q31" s="36" t="s">
        <v>61</v>
      </c>
      <c r="R31" s="36">
        <v>1</v>
      </c>
      <c r="S31" s="12">
        <v>7.0000000000000007E-2</v>
      </c>
      <c r="T31" s="36">
        <v>1</v>
      </c>
      <c r="U31" s="12">
        <f t="shared" si="3"/>
        <v>7.0000000000000007E-2</v>
      </c>
      <c r="V31" s="111">
        <v>1.1200000000000001</v>
      </c>
      <c r="W31" s="97">
        <f>(O31+SUM(U31:U33))*V31</f>
        <v>1.080431618</v>
      </c>
      <c r="X31" s="116">
        <v>1.2089000000000001</v>
      </c>
    </row>
    <row r="32" spans="1:24" x14ac:dyDescent="0.15">
      <c r="A32" s="124"/>
      <c r="B32" s="124"/>
      <c r="C32" s="107"/>
      <c r="D32" s="107"/>
      <c r="E32" s="107"/>
      <c r="F32" s="107"/>
      <c r="G32" s="124"/>
      <c r="H32" s="124"/>
      <c r="I32" s="124"/>
      <c r="J32" s="157"/>
      <c r="K32" s="157"/>
      <c r="L32" s="168"/>
      <c r="M32" s="168"/>
      <c r="N32" s="168"/>
      <c r="O32" s="157"/>
      <c r="P32" s="36" t="s">
        <v>35</v>
      </c>
      <c r="Q32" s="36" t="s">
        <v>38</v>
      </c>
      <c r="R32" s="36">
        <v>1</v>
      </c>
      <c r="S32" s="12">
        <v>0.05</v>
      </c>
      <c r="T32" s="36">
        <v>1</v>
      </c>
      <c r="U32" s="12">
        <f t="shared" si="3"/>
        <v>0.05</v>
      </c>
      <c r="V32" s="135"/>
      <c r="W32" s="97"/>
      <c r="X32" s="124"/>
    </row>
    <row r="33" spans="1:24" x14ac:dyDescent="0.15">
      <c r="A33" s="117"/>
      <c r="B33" s="117"/>
      <c r="C33" s="108"/>
      <c r="D33" s="108"/>
      <c r="E33" s="108"/>
      <c r="F33" s="108"/>
      <c r="G33" s="117"/>
      <c r="H33" s="117"/>
      <c r="I33" s="117"/>
      <c r="J33" s="99"/>
      <c r="K33" s="99"/>
      <c r="L33" s="104"/>
      <c r="M33" s="104"/>
      <c r="N33" s="104"/>
      <c r="O33" s="99"/>
      <c r="P33" s="36" t="s">
        <v>55</v>
      </c>
      <c r="Q33" s="36" t="s">
        <v>34</v>
      </c>
      <c r="R33" s="36">
        <v>1</v>
      </c>
      <c r="S33" s="12">
        <v>0.03</v>
      </c>
      <c r="T33" s="36">
        <v>1</v>
      </c>
      <c r="U33" s="12">
        <f t="shared" si="3"/>
        <v>0.03</v>
      </c>
      <c r="V33" s="112"/>
      <c r="W33" s="97"/>
      <c r="X33" s="117"/>
    </row>
    <row r="34" spans="1:24" x14ac:dyDescent="0.15">
      <c r="A34" s="116">
        <v>11</v>
      </c>
      <c r="B34" s="116" t="s">
        <v>68</v>
      </c>
      <c r="C34" s="106" t="s">
        <v>69</v>
      </c>
      <c r="D34" s="121" t="s">
        <v>70</v>
      </c>
      <c r="E34" s="121">
        <v>1</v>
      </c>
      <c r="F34" s="121" t="s">
        <v>60</v>
      </c>
      <c r="G34" s="95">
        <v>370</v>
      </c>
      <c r="H34" s="95">
        <v>92</v>
      </c>
      <c r="I34" s="95">
        <v>1.6</v>
      </c>
      <c r="J34" s="156">
        <v>5.13</v>
      </c>
      <c r="K34" s="156">
        <v>2.5</v>
      </c>
      <c r="L34" s="105">
        <f>G34*H34*I34*0.00000785</f>
        <v>0.42754239999999999</v>
      </c>
      <c r="M34" s="105">
        <v>0.307</v>
      </c>
      <c r="N34" s="105">
        <f>L34-M34</f>
        <v>0.12054239999999999</v>
      </c>
      <c r="O34" s="156">
        <f>(J34*L34-K34*N34)*E34</f>
        <v>1.891936512</v>
      </c>
      <c r="P34" s="36" t="s">
        <v>33</v>
      </c>
      <c r="Q34" s="36" t="s">
        <v>54</v>
      </c>
      <c r="R34" s="36">
        <v>1</v>
      </c>
      <c r="S34" s="12">
        <v>0.08</v>
      </c>
      <c r="T34" s="36">
        <v>1</v>
      </c>
      <c r="U34" s="12">
        <f t="shared" si="3"/>
        <v>0.08</v>
      </c>
      <c r="V34" s="116">
        <v>1.1200000000000001</v>
      </c>
      <c r="W34" s="111">
        <f>(O34+SUM(U34:U43))*1.12+O38*1.18+O40*1.18</f>
        <v>4.3410060586399997</v>
      </c>
      <c r="X34" s="116">
        <v>4.7282999999999999</v>
      </c>
    </row>
    <row r="35" spans="1:24" x14ac:dyDescent="0.15">
      <c r="A35" s="124"/>
      <c r="B35" s="124"/>
      <c r="C35" s="107"/>
      <c r="D35" s="121"/>
      <c r="E35" s="121"/>
      <c r="F35" s="121"/>
      <c r="G35" s="95"/>
      <c r="H35" s="95"/>
      <c r="I35" s="95"/>
      <c r="J35" s="156"/>
      <c r="K35" s="156"/>
      <c r="L35" s="105"/>
      <c r="M35" s="105"/>
      <c r="N35" s="105"/>
      <c r="O35" s="156"/>
      <c r="P35" s="36" t="s">
        <v>35</v>
      </c>
      <c r="Q35" s="36" t="s">
        <v>61</v>
      </c>
      <c r="R35" s="36">
        <v>1</v>
      </c>
      <c r="S35" s="12">
        <v>7.0000000000000007E-2</v>
      </c>
      <c r="T35" s="36">
        <v>1</v>
      </c>
      <c r="U35" s="12">
        <f t="shared" si="3"/>
        <v>7.0000000000000007E-2</v>
      </c>
      <c r="V35" s="124"/>
      <c r="W35" s="135"/>
      <c r="X35" s="124"/>
    </row>
    <row r="36" spans="1:24" x14ac:dyDescent="0.15">
      <c r="A36" s="124"/>
      <c r="B36" s="124"/>
      <c r="C36" s="107"/>
      <c r="D36" s="121"/>
      <c r="E36" s="121"/>
      <c r="F36" s="121"/>
      <c r="G36" s="95"/>
      <c r="H36" s="95"/>
      <c r="I36" s="95"/>
      <c r="J36" s="156"/>
      <c r="K36" s="156"/>
      <c r="L36" s="105"/>
      <c r="M36" s="105"/>
      <c r="N36" s="105"/>
      <c r="O36" s="156"/>
      <c r="P36" s="36" t="s">
        <v>55</v>
      </c>
      <c r="Q36" s="36" t="s">
        <v>61</v>
      </c>
      <c r="R36" s="36">
        <v>1</v>
      </c>
      <c r="S36" s="12">
        <v>7.0000000000000007E-2</v>
      </c>
      <c r="T36" s="36">
        <v>1</v>
      </c>
      <c r="U36" s="12">
        <f t="shared" si="3"/>
        <v>7.0000000000000007E-2</v>
      </c>
      <c r="V36" s="124"/>
      <c r="W36" s="135"/>
      <c r="X36" s="124"/>
    </row>
    <row r="37" spans="1:24" x14ac:dyDescent="0.15">
      <c r="A37" s="124"/>
      <c r="B37" s="124"/>
      <c r="C37" s="107"/>
      <c r="D37" s="121"/>
      <c r="E37" s="121"/>
      <c r="F37" s="121"/>
      <c r="G37" s="95"/>
      <c r="H37" s="95"/>
      <c r="I37" s="95"/>
      <c r="J37" s="156"/>
      <c r="K37" s="156"/>
      <c r="L37" s="105"/>
      <c r="M37" s="105"/>
      <c r="N37" s="105"/>
      <c r="O37" s="156"/>
      <c r="P37" s="36" t="s">
        <v>71</v>
      </c>
      <c r="Q37" s="36" t="s">
        <v>38</v>
      </c>
      <c r="R37" s="36">
        <v>1</v>
      </c>
      <c r="S37" s="12">
        <v>0.05</v>
      </c>
      <c r="T37" s="36">
        <v>1</v>
      </c>
      <c r="U37" s="12">
        <f t="shared" si="3"/>
        <v>0.05</v>
      </c>
      <c r="V37" s="124"/>
      <c r="W37" s="135"/>
      <c r="X37" s="124"/>
    </row>
    <row r="38" spans="1:24" x14ac:dyDescent="0.15">
      <c r="A38" s="124"/>
      <c r="B38" s="124"/>
      <c r="C38" s="107"/>
      <c r="D38" s="121" t="s">
        <v>72</v>
      </c>
      <c r="E38" s="121">
        <v>2</v>
      </c>
      <c r="F38" s="121" t="s">
        <v>32</v>
      </c>
      <c r="G38" s="95">
        <f>20+4</f>
        <v>24</v>
      </c>
      <c r="H38" s="95">
        <f>45+4</f>
        <v>49</v>
      </c>
      <c r="I38" s="95">
        <v>2</v>
      </c>
      <c r="J38" s="156">
        <v>4.8</v>
      </c>
      <c r="K38" s="156">
        <v>2.5</v>
      </c>
      <c r="L38" s="105">
        <f>G38*H38*I38*0.00000785</f>
        <v>1.8463199999999999E-2</v>
      </c>
      <c r="M38" s="105">
        <v>1.2E-2</v>
      </c>
      <c r="N38" s="105">
        <f>L38-M38</f>
        <v>6.4631999999999997E-3</v>
      </c>
      <c r="O38" s="156">
        <f>(J38*L38-K38*N38)*E38</f>
        <v>0.14493072000000001</v>
      </c>
      <c r="P38" s="36" t="s">
        <v>33</v>
      </c>
      <c r="Q38" s="36" t="s">
        <v>34</v>
      </c>
      <c r="R38" s="36">
        <v>1</v>
      </c>
      <c r="S38" s="12">
        <v>0.03</v>
      </c>
      <c r="T38" s="36">
        <v>1</v>
      </c>
      <c r="U38" s="12">
        <f t="shared" si="3"/>
        <v>0.03</v>
      </c>
      <c r="V38" s="124"/>
      <c r="W38" s="135"/>
      <c r="X38" s="124"/>
    </row>
    <row r="39" spans="1:24" x14ac:dyDescent="0.15">
      <c r="A39" s="124"/>
      <c r="B39" s="124"/>
      <c r="C39" s="107"/>
      <c r="D39" s="121"/>
      <c r="E39" s="121"/>
      <c r="F39" s="121"/>
      <c r="G39" s="95"/>
      <c r="H39" s="95"/>
      <c r="I39" s="95"/>
      <c r="J39" s="156"/>
      <c r="K39" s="156"/>
      <c r="L39" s="105"/>
      <c r="M39" s="105"/>
      <c r="N39" s="105"/>
      <c r="O39" s="156"/>
      <c r="P39" s="36" t="s">
        <v>35</v>
      </c>
      <c r="Q39" s="36" t="s">
        <v>49</v>
      </c>
      <c r="R39" s="36">
        <v>1</v>
      </c>
      <c r="S39" s="12">
        <v>0.03</v>
      </c>
      <c r="T39" s="36">
        <v>1</v>
      </c>
      <c r="U39" s="12">
        <f t="shared" si="3"/>
        <v>0.03</v>
      </c>
      <c r="V39" s="124"/>
      <c r="W39" s="135"/>
      <c r="X39" s="124"/>
    </row>
    <row r="40" spans="1:24" x14ac:dyDescent="0.15">
      <c r="A40" s="124"/>
      <c r="B40" s="124"/>
      <c r="C40" s="107"/>
      <c r="D40" s="121" t="s">
        <v>73</v>
      </c>
      <c r="E40" s="121">
        <v>2</v>
      </c>
      <c r="F40" s="121" t="s">
        <v>60</v>
      </c>
      <c r="G40" s="95">
        <v>65</v>
      </c>
      <c r="H40" s="95">
        <f>20+30+20+4</f>
        <v>74</v>
      </c>
      <c r="I40" s="95">
        <v>2</v>
      </c>
      <c r="J40" s="156">
        <v>5.13</v>
      </c>
      <c r="K40" s="156">
        <v>2.5</v>
      </c>
      <c r="L40" s="105">
        <f>G40*H40*I40*0.00000785</f>
        <v>7.5517000000000001E-2</v>
      </c>
      <c r="M40" s="105">
        <v>2.9000000000000001E-2</v>
      </c>
      <c r="N40" s="105">
        <f>L40-M40</f>
        <v>4.6517000000000003E-2</v>
      </c>
      <c r="O40" s="156">
        <f>(J40*L40-K40*N40)*E40</f>
        <v>0.54221942000000001</v>
      </c>
      <c r="P40" s="36" t="s">
        <v>33</v>
      </c>
      <c r="Q40" s="36" t="s">
        <v>38</v>
      </c>
      <c r="R40" s="36">
        <v>1</v>
      </c>
      <c r="S40" s="12">
        <v>0.05</v>
      </c>
      <c r="T40" s="36">
        <v>1</v>
      </c>
      <c r="U40" s="12">
        <f t="shared" si="3"/>
        <v>0.05</v>
      </c>
      <c r="V40" s="124"/>
      <c r="W40" s="135"/>
      <c r="X40" s="124"/>
    </row>
    <row r="41" spans="1:24" x14ac:dyDescent="0.15">
      <c r="A41" s="124"/>
      <c r="B41" s="124"/>
      <c r="C41" s="107"/>
      <c r="D41" s="121"/>
      <c r="E41" s="121"/>
      <c r="F41" s="121"/>
      <c r="G41" s="95"/>
      <c r="H41" s="95"/>
      <c r="I41" s="95"/>
      <c r="J41" s="156"/>
      <c r="K41" s="156"/>
      <c r="L41" s="105"/>
      <c r="M41" s="105"/>
      <c r="N41" s="105"/>
      <c r="O41" s="156"/>
      <c r="P41" s="36" t="s">
        <v>74</v>
      </c>
      <c r="Q41" s="36" t="s">
        <v>34</v>
      </c>
      <c r="R41" s="36">
        <v>1</v>
      </c>
      <c r="S41" s="12">
        <v>0.03</v>
      </c>
      <c r="T41" s="36">
        <v>1</v>
      </c>
      <c r="U41" s="12">
        <f t="shared" si="3"/>
        <v>0.03</v>
      </c>
      <c r="V41" s="124"/>
      <c r="W41" s="135"/>
      <c r="X41" s="124"/>
    </row>
    <row r="42" spans="1:24" x14ac:dyDescent="0.15">
      <c r="A42" s="124"/>
      <c r="B42" s="124"/>
      <c r="C42" s="107"/>
      <c r="D42" s="121"/>
      <c r="E42" s="121"/>
      <c r="F42" s="121"/>
      <c r="G42" s="95"/>
      <c r="H42" s="95"/>
      <c r="I42" s="95"/>
      <c r="J42" s="156"/>
      <c r="K42" s="156"/>
      <c r="L42" s="105"/>
      <c r="M42" s="105"/>
      <c r="N42" s="105"/>
      <c r="O42" s="156"/>
      <c r="P42" s="36" t="s">
        <v>75</v>
      </c>
      <c r="Q42" s="36" t="s">
        <v>49</v>
      </c>
      <c r="R42" s="36">
        <v>1</v>
      </c>
      <c r="S42" s="12">
        <v>0.03</v>
      </c>
      <c r="T42" s="36">
        <v>1</v>
      </c>
      <c r="U42" s="12">
        <f t="shared" si="3"/>
        <v>0.03</v>
      </c>
      <c r="V42" s="124"/>
      <c r="W42" s="135"/>
      <c r="X42" s="124"/>
    </row>
    <row r="43" spans="1:24" x14ac:dyDescent="0.15">
      <c r="A43" s="117"/>
      <c r="B43" s="117"/>
      <c r="C43" s="108"/>
      <c r="D43" s="121"/>
      <c r="E43" s="121"/>
      <c r="F43" s="121"/>
      <c r="G43" s="95"/>
      <c r="H43" s="95"/>
      <c r="I43" s="95"/>
      <c r="J43" s="156"/>
      <c r="K43" s="156"/>
      <c r="L43" s="105"/>
      <c r="M43" s="105"/>
      <c r="N43" s="105"/>
      <c r="O43" s="156"/>
      <c r="P43" s="36" t="s">
        <v>57</v>
      </c>
      <c r="Q43" s="36"/>
      <c r="R43" s="36">
        <f>4*2+4*1.5</f>
        <v>14</v>
      </c>
      <c r="S43" s="12">
        <v>0.05</v>
      </c>
      <c r="T43" s="36">
        <v>1</v>
      </c>
      <c r="U43" s="12">
        <v>0.82</v>
      </c>
      <c r="V43" s="117"/>
      <c r="W43" s="112"/>
      <c r="X43" s="117"/>
    </row>
    <row r="44" spans="1:24" ht="14.25" customHeight="1" x14ac:dyDescent="0.15">
      <c r="A44" s="116">
        <v>12</v>
      </c>
      <c r="B44" s="116" t="s">
        <v>76</v>
      </c>
      <c r="C44" s="106" t="s">
        <v>70</v>
      </c>
      <c r="D44" s="106"/>
      <c r="E44" s="106"/>
      <c r="F44" s="106" t="s">
        <v>60</v>
      </c>
      <c r="G44" s="116">
        <v>370</v>
      </c>
      <c r="H44" s="116">
        <v>92</v>
      </c>
      <c r="I44" s="116">
        <v>1.6</v>
      </c>
      <c r="J44" s="98">
        <v>5.13</v>
      </c>
      <c r="K44" s="98">
        <v>2.5</v>
      </c>
      <c r="L44" s="103">
        <f>G44*H44*I44*0.00000785</f>
        <v>0.42754239999999999</v>
      </c>
      <c r="M44" s="103">
        <v>0.307</v>
      </c>
      <c r="N44" s="103">
        <f>L44-M44</f>
        <v>0.12054239999999999</v>
      </c>
      <c r="O44" s="98">
        <f>J44*L44-K44*N44</f>
        <v>1.891936512</v>
      </c>
      <c r="P44" s="36" t="s">
        <v>33</v>
      </c>
      <c r="Q44" s="36" t="s">
        <v>54</v>
      </c>
      <c r="R44" s="36">
        <v>1</v>
      </c>
      <c r="S44" s="12">
        <v>0.08</v>
      </c>
      <c r="T44" s="36">
        <v>1</v>
      </c>
      <c r="U44" s="12">
        <f t="shared" ref="U44:U71" si="6">R44*S44/T44</f>
        <v>0.08</v>
      </c>
      <c r="V44" s="111">
        <v>1.1200000000000001</v>
      </c>
      <c r="W44" s="97">
        <f>(O44+SUM(U44:U47))*V44</f>
        <v>2.4213688934399999</v>
      </c>
      <c r="X44" s="95">
        <v>2.9605000000000001</v>
      </c>
    </row>
    <row r="45" spans="1:24" x14ac:dyDescent="0.15">
      <c r="A45" s="124"/>
      <c r="B45" s="124"/>
      <c r="C45" s="107"/>
      <c r="D45" s="107"/>
      <c r="E45" s="107"/>
      <c r="F45" s="107"/>
      <c r="G45" s="124"/>
      <c r="H45" s="124"/>
      <c r="I45" s="124"/>
      <c r="J45" s="157"/>
      <c r="K45" s="157"/>
      <c r="L45" s="168"/>
      <c r="M45" s="168"/>
      <c r="N45" s="168"/>
      <c r="O45" s="157"/>
      <c r="P45" s="36" t="s">
        <v>35</v>
      </c>
      <c r="Q45" s="36" t="s">
        <v>61</v>
      </c>
      <c r="R45" s="36">
        <v>1</v>
      </c>
      <c r="S45" s="12">
        <v>7.0000000000000007E-2</v>
      </c>
      <c r="T45" s="36">
        <v>1</v>
      </c>
      <c r="U45" s="12">
        <f t="shared" si="6"/>
        <v>7.0000000000000007E-2</v>
      </c>
      <c r="V45" s="135"/>
      <c r="W45" s="97"/>
      <c r="X45" s="95"/>
    </row>
    <row r="46" spans="1:24" x14ac:dyDescent="0.15">
      <c r="A46" s="124"/>
      <c r="B46" s="124"/>
      <c r="C46" s="107"/>
      <c r="D46" s="107"/>
      <c r="E46" s="107"/>
      <c r="F46" s="107"/>
      <c r="G46" s="124"/>
      <c r="H46" s="124"/>
      <c r="I46" s="124"/>
      <c r="J46" s="157"/>
      <c r="K46" s="157"/>
      <c r="L46" s="168"/>
      <c r="M46" s="168"/>
      <c r="N46" s="168"/>
      <c r="O46" s="157"/>
      <c r="P46" s="36" t="s">
        <v>55</v>
      </c>
      <c r="Q46" s="36" t="s">
        <v>61</v>
      </c>
      <c r="R46" s="36">
        <v>1</v>
      </c>
      <c r="S46" s="12">
        <v>7.0000000000000007E-2</v>
      </c>
      <c r="T46" s="36">
        <v>1</v>
      </c>
      <c r="U46" s="12">
        <f t="shared" si="6"/>
        <v>7.0000000000000007E-2</v>
      </c>
      <c r="V46" s="135"/>
      <c r="W46" s="97"/>
      <c r="X46" s="95"/>
    </row>
    <row r="47" spans="1:24" x14ac:dyDescent="0.15">
      <c r="A47" s="117"/>
      <c r="B47" s="117"/>
      <c r="C47" s="108"/>
      <c r="D47" s="108"/>
      <c r="E47" s="108"/>
      <c r="F47" s="108"/>
      <c r="G47" s="117"/>
      <c r="H47" s="117"/>
      <c r="I47" s="117"/>
      <c r="J47" s="99"/>
      <c r="K47" s="99"/>
      <c r="L47" s="104"/>
      <c r="M47" s="104"/>
      <c r="N47" s="104"/>
      <c r="O47" s="99"/>
      <c r="P47" s="36" t="s">
        <v>71</v>
      </c>
      <c r="Q47" s="36" t="s">
        <v>38</v>
      </c>
      <c r="R47" s="36">
        <v>1</v>
      </c>
      <c r="S47" s="12">
        <v>0.05</v>
      </c>
      <c r="T47" s="36">
        <v>1</v>
      </c>
      <c r="U47" s="12">
        <f t="shared" si="6"/>
        <v>0.05</v>
      </c>
      <c r="V47" s="112"/>
      <c r="W47" s="97"/>
      <c r="X47" s="95"/>
    </row>
    <row r="48" spans="1:24" x14ac:dyDescent="0.15">
      <c r="A48" s="106">
        <v>13</v>
      </c>
      <c r="B48" s="106" t="s">
        <v>77</v>
      </c>
      <c r="C48" s="106" t="s">
        <v>78</v>
      </c>
      <c r="D48" s="106"/>
      <c r="E48" s="106"/>
      <c r="F48" s="106" t="s">
        <v>60</v>
      </c>
      <c r="G48" s="116">
        <v>38</v>
      </c>
      <c r="H48" s="116">
        <v>33</v>
      </c>
      <c r="I48" s="116">
        <v>2.5</v>
      </c>
      <c r="J48" s="98">
        <v>5.13</v>
      </c>
      <c r="K48" s="98">
        <v>2.5</v>
      </c>
      <c r="L48" s="103">
        <f t="shared" ref="L48:L52" si="7">G48*H48*I48*0.00000785</f>
        <v>2.460975E-2</v>
      </c>
      <c r="M48" s="103">
        <v>1.0999999999999999E-2</v>
      </c>
      <c r="N48" s="103">
        <f t="shared" ref="N48:N52" si="8">L48-M48</f>
        <v>1.360975E-2</v>
      </c>
      <c r="O48" s="98">
        <f t="shared" ref="O48:O52" si="9">J48*L48-K48*N48</f>
        <v>9.2223642499999994E-2</v>
      </c>
      <c r="P48" s="36" t="s">
        <v>33</v>
      </c>
      <c r="Q48" s="36" t="s">
        <v>34</v>
      </c>
      <c r="R48" s="36">
        <v>1</v>
      </c>
      <c r="S48" s="12">
        <v>0.03</v>
      </c>
      <c r="T48" s="36">
        <v>1</v>
      </c>
      <c r="U48" s="12">
        <f t="shared" si="6"/>
        <v>0.03</v>
      </c>
      <c r="V48" s="111">
        <v>1.18</v>
      </c>
      <c r="W48" s="97">
        <f t="shared" ref="W48:W52" si="10">(O48+SUM(U48:U49))*V48</f>
        <v>0.17962389814999999</v>
      </c>
      <c r="X48" s="95">
        <v>0.18310000000000001</v>
      </c>
    </row>
    <row r="49" spans="1:24" x14ac:dyDescent="0.15">
      <c r="A49" s="108"/>
      <c r="B49" s="108"/>
      <c r="C49" s="108"/>
      <c r="D49" s="108"/>
      <c r="E49" s="108"/>
      <c r="F49" s="108"/>
      <c r="G49" s="117"/>
      <c r="H49" s="117"/>
      <c r="I49" s="117"/>
      <c r="J49" s="99"/>
      <c r="K49" s="99"/>
      <c r="L49" s="104"/>
      <c r="M49" s="104"/>
      <c r="N49" s="104"/>
      <c r="O49" s="99"/>
      <c r="P49" s="36" t="s">
        <v>35</v>
      </c>
      <c r="Q49" s="36" t="s">
        <v>49</v>
      </c>
      <c r="R49" s="36">
        <v>1</v>
      </c>
      <c r="S49" s="12">
        <v>0.03</v>
      </c>
      <c r="T49" s="36">
        <v>1</v>
      </c>
      <c r="U49" s="12">
        <f t="shared" si="6"/>
        <v>0.03</v>
      </c>
      <c r="V49" s="112"/>
      <c r="W49" s="97"/>
      <c r="X49" s="95"/>
    </row>
    <row r="50" spans="1:24" x14ac:dyDescent="0.15">
      <c r="A50" s="106">
        <v>14</v>
      </c>
      <c r="B50" s="106" t="s">
        <v>79</v>
      </c>
      <c r="C50" s="106" t="s">
        <v>80</v>
      </c>
      <c r="D50" s="106"/>
      <c r="E50" s="106"/>
      <c r="F50" s="106" t="s">
        <v>32</v>
      </c>
      <c r="G50" s="116">
        <v>55</v>
      </c>
      <c r="H50" s="116">
        <v>24</v>
      </c>
      <c r="I50" s="116">
        <v>2</v>
      </c>
      <c r="J50" s="98">
        <v>4.8</v>
      </c>
      <c r="K50" s="98">
        <v>2.5</v>
      </c>
      <c r="L50" s="103">
        <f t="shared" si="7"/>
        <v>2.0723999999999999E-2</v>
      </c>
      <c r="M50" s="103">
        <v>1.2E-2</v>
      </c>
      <c r="N50" s="103">
        <f t="shared" si="8"/>
        <v>8.7240000000000009E-3</v>
      </c>
      <c r="O50" s="98">
        <f t="shared" si="9"/>
        <v>7.7665200000000004E-2</v>
      </c>
      <c r="P50" s="36" t="s">
        <v>33</v>
      </c>
      <c r="Q50" s="36" t="s">
        <v>34</v>
      </c>
      <c r="R50" s="36">
        <v>1</v>
      </c>
      <c r="S50" s="12">
        <v>0.03</v>
      </c>
      <c r="T50" s="36">
        <v>1</v>
      </c>
      <c r="U50" s="12">
        <f t="shared" si="6"/>
        <v>0.03</v>
      </c>
      <c r="V50" s="111">
        <v>1.18</v>
      </c>
      <c r="W50" s="97">
        <f t="shared" si="10"/>
        <v>0.16244493600000001</v>
      </c>
      <c r="X50" s="95">
        <v>0.16980000000000001</v>
      </c>
    </row>
    <row r="51" spans="1:24" x14ac:dyDescent="0.15">
      <c r="A51" s="108"/>
      <c r="B51" s="108"/>
      <c r="C51" s="108"/>
      <c r="D51" s="108"/>
      <c r="E51" s="108"/>
      <c r="F51" s="108"/>
      <c r="G51" s="117"/>
      <c r="H51" s="117"/>
      <c r="I51" s="117"/>
      <c r="J51" s="99"/>
      <c r="K51" s="99"/>
      <c r="L51" s="104"/>
      <c r="M51" s="104"/>
      <c r="N51" s="104"/>
      <c r="O51" s="99"/>
      <c r="P51" s="36" t="s">
        <v>35</v>
      </c>
      <c r="Q51" s="36" t="s">
        <v>34</v>
      </c>
      <c r="R51" s="36">
        <v>1</v>
      </c>
      <c r="S51" s="12">
        <v>0.03</v>
      </c>
      <c r="T51" s="36">
        <v>1</v>
      </c>
      <c r="U51" s="12">
        <f t="shared" si="6"/>
        <v>0.03</v>
      </c>
      <c r="V51" s="112"/>
      <c r="W51" s="97"/>
      <c r="X51" s="95"/>
    </row>
    <row r="52" spans="1:24" x14ac:dyDescent="0.15">
      <c r="A52" s="106">
        <v>15</v>
      </c>
      <c r="B52" s="106" t="s">
        <v>81</v>
      </c>
      <c r="C52" s="106" t="s">
        <v>82</v>
      </c>
      <c r="D52" s="106"/>
      <c r="E52" s="106"/>
      <c r="F52" s="106" t="s">
        <v>32</v>
      </c>
      <c r="G52" s="116">
        <v>71</v>
      </c>
      <c r="H52" s="116">
        <v>23</v>
      </c>
      <c r="I52" s="116">
        <v>2</v>
      </c>
      <c r="J52" s="98">
        <v>4.8</v>
      </c>
      <c r="K52" s="98">
        <v>2.5</v>
      </c>
      <c r="L52" s="103">
        <f t="shared" si="7"/>
        <v>2.56381E-2</v>
      </c>
      <c r="M52" s="103">
        <v>1.4E-2</v>
      </c>
      <c r="N52" s="103">
        <f t="shared" si="8"/>
        <v>1.16381E-2</v>
      </c>
      <c r="O52" s="98">
        <f t="shared" si="9"/>
        <v>9.3967629999999996E-2</v>
      </c>
      <c r="P52" s="36" t="s">
        <v>33</v>
      </c>
      <c r="Q52" s="36" t="s">
        <v>34</v>
      </c>
      <c r="R52" s="36">
        <v>1</v>
      </c>
      <c r="S52" s="12">
        <v>0.03</v>
      </c>
      <c r="T52" s="36">
        <v>1</v>
      </c>
      <c r="U52" s="12">
        <f t="shared" si="6"/>
        <v>0.03</v>
      </c>
      <c r="V52" s="111">
        <v>1.18</v>
      </c>
      <c r="W52" s="97">
        <f t="shared" si="10"/>
        <v>0.18168180340000001</v>
      </c>
      <c r="X52" s="95">
        <v>0.19189999999999999</v>
      </c>
    </row>
    <row r="53" spans="1:24" x14ac:dyDescent="0.15">
      <c r="A53" s="108"/>
      <c r="B53" s="108"/>
      <c r="C53" s="108"/>
      <c r="D53" s="108"/>
      <c r="E53" s="108"/>
      <c r="F53" s="108"/>
      <c r="G53" s="117"/>
      <c r="H53" s="117"/>
      <c r="I53" s="117"/>
      <c r="J53" s="99"/>
      <c r="K53" s="99"/>
      <c r="L53" s="104"/>
      <c r="M53" s="104"/>
      <c r="N53" s="104"/>
      <c r="O53" s="99"/>
      <c r="P53" s="36" t="s">
        <v>35</v>
      </c>
      <c r="Q53" s="36" t="s">
        <v>34</v>
      </c>
      <c r="R53" s="36">
        <v>1</v>
      </c>
      <c r="S53" s="12">
        <v>0.03</v>
      </c>
      <c r="T53" s="36">
        <v>1</v>
      </c>
      <c r="U53" s="12">
        <f t="shared" si="6"/>
        <v>0.03</v>
      </c>
      <c r="V53" s="112"/>
      <c r="W53" s="97"/>
      <c r="X53" s="95"/>
    </row>
    <row r="54" spans="1:24" x14ac:dyDescent="0.15">
      <c r="A54" s="106">
        <v>16</v>
      </c>
      <c r="B54" s="106" t="s">
        <v>83</v>
      </c>
      <c r="C54" s="106" t="s">
        <v>84</v>
      </c>
      <c r="D54" s="106"/>
      <c r="E54" s="106"/>
      <c r="F54" s="106" t="s">
        <v>32</v>
      </c>
      <c r="G54" s="116">
        <v>66</v>
      </c>
      <c r="H54" s="116">
        <v>31</v>
      </c>
      <c r="I54" s="116">
        <v>2</v>
      </c>
      <c r="J54" s="98">
        <v>4.8</v>
      </c>
      <c r="K54" s="98">
        <v>2.5</v>
      </c>
      <c r="L54" s="103">
        <f>G54*H54*I54*0.00000785</f>
        <v>3.2122199999999997E-2</v>
      </c>
      <c r="M54" s="103">
        <v>1.9E-2</v>
      </c>
      <c r="N54" s="103">
        <f>L54-M54</f>
        <v>1.3122200000000001E-2</v>
      </c>
      <c r="O54" s="98">
        <f>J54*L54-K54*N54</f>
        <v>0.12138106</v>
      </c>
      <c r="P54" s="36" t="s">
        <v>33</v>
      </c>
      <c r="Q54" s="36" t="s">
        <v>34</v>
      </c>
      <c r="R54" s="36">
        <v>1</v>
      </c>
      <c r="S54" s="12">
        <v>0.03</v>
      </c>
      <c r="T54" s="36">
        <v>1</v>
      </c>
      <c r="U54" s="12">
        <f t="shared" si="6"/>
        <v>0.03</v>
      </c>
      <c r="V54" s="111">
        <v>1.18</v>
      </c>
      <c r="W54" s="97">
        <f>(O54+SUM(U54:U55))*V54</f>
        <v>0.2140296508</v>
      </c>
      <c r="X54" s="95">
        <v>0.22950000000000001</v>
      </c>
    </row>
    <row r="55" spans="1:24" x14ac:dyDescent="0.15">
      <c r="A55" s="108"/>
      <c r="B55" s="108"/>
      <c r="C55" s="108"/>
      <c r="D55" s="108"/>
      <c r="E55" s="108"/>
      <c r="F55" s="108"/>
      <c r="G55" s="117"/>
      <c r="H55" s="117"/>
      <c r="I55" s="117"/>
      <c r="J55" s="99"/>
      <c r="K55" s="99"/>
      <c r="L55" s="104"/>
      <c r="M55" s="104"/>
      <c r="N55" s="104"/>
      <c r="O55" s="99"/>
      <c r="P55" s="36" t="s">
        <v>35</v>
      </c>
      <c r="Q55" s="36" t="s">
        <v>34</v>
      </c>
      <c r="R55" s="36">
        <v>1</v>
      </c>
      <c r="S55" s="12">
        <v>0.03</v>
      </c>
      <c r="T55" s="36">
        <v>1</v>
      </c>
      <c r="U55" s="12">
        <f t="shared" si="6"/>
        <v>0.03</v>
      </c>
      <c r="V55" s="112"/>
      <c r="W55" s="97"/>
      <c r="X55" s="95"/>
    </row>
    <row r="56" spans="1:24" ht="14.25" customHeight="1" x14ac:dyDescent="0.15">
      <c r="A56" s="106">
        <v>18</v>
      </c>
      <c r="B56" s="106" t="s">
        <v>85</v>
      </c>
      <c r="C56" s="106" t="s">
        <v>86</v>
      </c>
      <c r="D56" s="106"/>
      <c r="E56" s="106"/>
      <c r="F56" s="106">
        <v>440</v>
      </c>
      <c r="G56" s="106">
        <v>247</v>
      </c>
      <c r="H56" s="106">
        <v>70</v>
      </c>
      <c r="I56" s="106">
        <v>3</v>
      </c>
      <c r="J56" s="188">
        <v>4.5999999999999996</v>
      </c>
      <c r="K56" s="188">
        <v>2.5</v>
      </c>
      <c r="L56" s="106">
        <v>0.40699999999999997</v>
      </c>
      <c r="M56" s="106">
        <v>0.311</v>
      </c>
      <c r="N56" s="106">
        <f>L56-M56</f>
        <v>9.6000000000000002E-2</v>
      </c>
      <c r="O56" s="98">
        <f>J56*L56-K56*N56</f>
        <v>1.6322000000000001</v>
      </c>
      <c r="P56" s="32" t="s">
        <v>33</v>
      </c>
      <c r="Q56" s="40" t="s">
        <v>53</v>
      </c>
      <c r="R56" s="36">
        <v>1</v>
      </c>
      <c r="S56" s="12">
        <v>0.1</v>
      </c>
      <c r="T56" s="36">
        <v>1</v>
      </c>
      <c r="U56" s="12">
        <f t="shared" si="6"/>
        <v>0.1</v>
      </c>
      <c r="V56" s="153">
        <v>1.1200000000000001</v>
      </c>
      <c r="W56" s="97">
        <f>(O56+SUM(U56:U59))*V56</f>
        <v>2.085664</v>
      </c>
      <c r="X56" s="95">
        <v>2.5644999999999998</v>
      </c>
    </row>
    <row r="57" spans="1:24" x14ac:dyDescent="0.15">
      <c r="A57" s="107"/>
      <c r="B57" s="107"/>
      <c r="C57" s="107"/>
      <c r="D57" s="107"/>
      <c r="E57" s="107"/>
      <c r="F57" s="107"/>
      <c r="G57" s="107"/>
      <c r="H57" s="107"/>
      <c r="I57" s="107"/>
      <c r="J57" s="189"/>
      <c r="K57" s="189"/>
      <c r="L57" s="107"/>
      <c r="M57" s="107"/>
      <c r="N57" s="107"/>
      <c r="O57" s="157"/>
      <c r="P57" s="32" t="s">
        <v>55</v>
      </c>
      <c r="Q57" s="32" t="s">
        <v>38</v>
      </c>
      <c r="R57" s="36">
        <v>1</v>
      </c>
      <c r="S57" s="12">
        <v>0.05</v>
      </c>
      <c r="T57" s="36">
        <v>1</v>
      </c>
      <c r="U57" s="12">
        <f t="shared" si="6"/>
        <v>0.05</v>
      </c>
      <c r="V57" s="154"/>
      <c r="W57" s="97"/>
      <c r="X57" s="95"/>
    </row>
    <row r="58" spans="1:24" x14ac:dyDescent="0.15">
      <c r="A58" s="107"/>
      <c r="B58" s="107"/>
      <c r="C58" s="107"/>
      <c r="D58" s="107"/>
      <c r="E58" s="107"/>
      <c r="F58" s="107"/>
      <c r="G58" s="107"/>
      <c r="H58" s="107"/>
      <c r="I58" s="107"/>
      <c r="J58" s="189"/>
      <c r="K58" s="189"/>
      <c r="L58" s="107"/>
      <c r="M58" s="107"/>
      <c r="N58" s="107"/>
      <c r="O58" s="157"/>
      <c r="P58" s="32" t="s">
        <v>35</v>
      </c>
      <c r="Q58" s="32" t="s">
        <v>38</v>
      </c>
      <c r="R58" s="36">
        <v>1</v>
      </c>
      <c r="S58" s="12">
        <v>0.05</v>
      </c>
      <c r="T58" s="36">
        <v>1</v>
      </c>
      <c r="U58" s="12">
        <f t="shared" si="6"/>
        <v>0.05</v>
      </c>
      <c r="V58" s="154"/>
      <c r="W58" s="97"/>
      <c r="X58" s="95"/>
    </row>
    <row r="59" spans="1:24" x14ac:dyDescent="0.15">
      <c r="A59" s="108"/>
      <c r="B59" s="108"/>
      <c r="C59" s="108"/>
      <c r="D59" s="108"/>
      <c r="E59" s="108"/>
      <c r="F59" s="108"/>
      <c r="G59" s="108"/>
      <c r="H59" s="108"/>
      <c r="I59" s="108"/>
      <c r="J59" s="190"/>
      <c r="K59" s="190"/>
      <c r="L59" s="108"/>
      <c r="M59" s="108"/>
      <c r="N59" s="108"/>
      <c r="O59" s="99"/>
      <c r="P59" s="32" t="s">
        <v>55</v>
      </c>
      <c r="Q59" s="32" t="s">
        <v>49</v>
      </c>
      <c r="R59" s="36">
        <v>1</v>
      </c>
      <c r="S59" s="12">
        <v>0.03</v>
      </c>
      <c r="T59" s="36">
        <v>1</v>
      </c>
      <c r="U59" s="12">
        <f t="shared" si="6"/>
        <v>0.03</v>
      </c>
      <c r="V59" s="155"/>
      <c r="W59" s="97"/>
      <c r="X59" s="95"/>
    </row>
    <row r="60" spans="1:24" x14ac:dyDescent="0.15">
      <c r="A60" s="116">
        <v>19</v>
      </c>
      <c r="B60" s="116" t="s">
        <v>87</v>
      </c>
      <c r="C60" s="106" t="s">
        <v>88</v>
      </c>
      <c r="D60" s="106"/>
      <c r="E60" s="106"/>
      <c r="F60" s="106" t="s">
        <v>32</v>
      </c>
      <c r="G60" s="116">
        <v>60</v>
      </c>
      <c r="H60" s="116">
        <v>262</v>
      </c>
      <c r="I60" s="116">
        <v>3</v>
      </c>
      <c r="J60" s="98">
        <v>4.5999999999999996</v>
      </c>
      <c r="K60" s="98">
        <v>2.5</v>
      </c>
      <c r="L60" s="103">
        <f>G60*H60*I60*0.00000785</f>
        <v>0.37020599999999998</v>
      </c>
      <c r="M60" s="103">
        <v>0.23400000000000001</v>
      </c>
      <c r="N60" s="103">
        <f>L60-M60</f>
        <v>0.13620599999999999</v>
      </c>
      <c r="O60" s="98">
        <f>J60*L60-K60*N60</f>
        <v>1.3624326</v>
      </c>
      <c r="P60" s="36" t="s">
        <v>33</v>
      </c>
      <c r="Q60" s="36" t="s">
        <v>61</v>
      </c>
      <c r="R60" s="36">
        <v>1</v>
      </c>
      <c r="S60" s="12">
        <v>7.0000000000000007E-2</v>
      </c>
      <c r="T60" s="36">
        <v>1</v>
      </c>
      <c r="U60" s="12">
        <f t="shared" si="6"/>
        <v>7.0000000000000007E-2</v>
      </c>
      <c r="V60" s="111">
        <v>1.1200000000000001</v>
      </c>
      <c r="W60" s="97">
        <f>(O60+SUM(U60:U62))*V60</f>
        <v>1.6939245119999999</v>
      </c>
      <c r="X60" s="116">
        <v>2.0657000000000001</v>
      </c>
    </row>
    <row r="61" spans="1:24" x14ac:dyDescent="0.15">
      <c r="A61" s="124"/>
      <c r="B61" s="124"/>
      <c r="C61" s="107"/>
      <c r="D61" s="107"/>
      <c r="E61" s="107"/>
      <c r="F61" s="107"/>
      <c r="G61" s="124"/>
      <c r="H61" s="124"/>
      <c r="I61" s="124"/>
      <c r="J61" s="157"/>
      <c r="K61" s="157"/>
      <c r="L61" s="168"/>
      <c r="M61" s="168"/>
      <c r="N61" s="168"/>
      <c r="O61" s="157"/>
      <c r="P61" s="36" t="s">
        <v>35</v>
      </c>
      <c r="Q61" s="36" t="s">
        <v>38</v>
      </c>
      <c r="R61" s="36">
        <v>1</v>
      </c>
      <c r="S61" s="12">
        <v>0.05</v>
      </c>
      <c r="T61" s="36">
        <v>1</v>
      </c>
      <c r="U61" s="12">
        <f t="shared" si="6"/>
        <v>0.05</v>
      </c>
      <c r="V61" s="135"/>
      <c r="W61" s="97"/>
      <c r="X61" s="124"/>
    </row>
    <row r="62" spans="1:24" x14ac:dyDescent="0.15">
      <c r="A62" s="117"/>
      <c r="B62" s="117"/>
      <c r="C62" s="108"/>
      <c r="D62" s="108"/>
      <c r="E62" s="108"/>
      <c r="F62" s="108"/>
      <c r="G62" s="117"/>
      <c r="H62" s="117"/>
      <c r="I62" s="117"/>
      <c r="J62" s="99"/>
      <c r="K62" s="99"/>
      <c r="L62" s="104"/>
      <c r="M62" s="104"/>
      <c r="N62" s="104"/>
      <c r="O62" s="99"/>
      <c r="P62" s="36" t="s">
        <v>55</v>
      </c>
      <c r="Q62" s="36" t="s">
        <v>34</v>
      </c>
      <c r="R62" s="36">
        <v>1</v>
      </c>
      <c r="S62" s="12">
        <v>0.03</v>
      </c>
      <c r="T62" s="36">
        <v>1</v>
      </c>
      <c r="U62" s="12">
        <f t="shared" si="6"/>
        <v>0.03</v>
      </c>
      <c r="V62" s="112"/>
      <c r="W62" s="97"/>
      <c r="X62" s="117"/>
    </row>
    <row r="63" spans="1:24" x14ac:dyDescent="0.15">
      <c r="A63" s="116">
        <v>20</v>
      </c>
      <c r="B63" s="116" t="s">
        <v>89</v>
      </c>
      <c r="C63" s="106" t="s">
        <v>90</v>
      </c>
      <c r="D63" s="106"/>
      <c r="E63" s="106"/>
      <c r="F63" s="106" t="s">
        <v>91</v>
      </c>
      <c r="G63" s="116">
        <f>324+4</f>
        <v>328</v>
      </c>
      <c r="H63" s="116">
        <v>47</v>
      </c>
      <c r="I63" s="116">
        <v>2</v>
      </c>
      <c r="J63" s="98">
        <v>4.3499999999999996</v>
      </c>
      <c r="K63" s="98">
        <v>2.5</v>
      </c>
      <c r="L63" s="103">
        <f>G63*H63*I63*0.00000785</f>
        <v>0.2420312</v>
      </c>
      <c r="M63" s="103">
        <v>0.17399999999999999</v>
      </c>
      <c r="N63" s="103">
        <f>L63-M63</f>
        <v>6.80312E-2</v>
      </c>
      <c r="O63" s="98">
        <f>J63*L63-K63*N63</f>
        <v>0.88275771999999997</v>
      </c>
      <c r="P63" s="36" t="s">
        <v>33</v>
      </c>
      <c r="Q63" s="36" t="s">
        <v>61</v>
      </c>
      <c r="R63" s="36">
        <v>1</v>
      </c>
      <c r="S63" s="12">
        <v>7.0000000000000007E-2</v>
      </c>
      <c r="T63" s="36">
        <v>1</v>
      </c>
      <c r="U63" s="12">
        <f t="shared" si="6"/>
        <v>7.0000000000000007E-2</v>
      </c>
      <c r="V63" s="111">
        <v>1.1200000000000001</v>
      </c>
      <c r="W63" s="97">
        <f>(O63+SUM(U63:U65))*V63</f>
        <v>1.1566886463999999</v>
      </c>
      <c r="X63" s="116">
        <v>1.3272999999999999</v>
      </c>
    </row>
    <row r="64" spans="1:24" x14ac:dyDescent="0.15">
      <c r="A64" s="124"/>
      <c r="B64" s="124"/>
      <c r="C64" s="107"/>
      <c r="D64" s="107"/>
      <c r="E64" s="107"/>
      <c r="F64" s="107"/>
      <c r="G64" s="124"/>
      <c r="H64" s="124"/>
      <c r="I64" s="124"/>
      <c r="J64" s="157"/>
      <c r="K64" s="157"/>
      <c r="L64" s="168"/>
      <c r="M64" s="168"/>
      <c r="N64" s="168"/>
      <c r="O64" s="157"/>
      <c r="P64" s="36" t="s">
        <v>35</v>
      </c>
      <c r="Q64" s="36" t="s">
        <v>38</v>
      </c>
      <c r="R64" s="36">
        <v>1</v>
      </c>
      <c r="S64" s="12">
        <v>0.05</v>
      </c>
      <c r="T64" s="36">
        <v>1</v>
      </c>
      <c r="U64" s="12">
        <f t="shared" si="6"/>
        <v>0.05</v>
      </c>
      <c r="V64" s="135"/>
      <c r="W64" s="97"/>
      <c r="X64" s="124"/>
    </row>
    <row r="65" spans="1:24" x14ac:dyDescent="0.15">
      <c r="A65" s="117"/>
      <c r="B65" s="117"/>
      <c r="C65" s="108"/>
      <c r="D65" s="108"/>
      <c r="E65" s="108"/>
      <c r="F65" s="108"/>
      <c r="G65" s="117"/>
      <c r="H65" s="117"/>
      <c r="I65" s="117"/>
      <c r="J65" s="99"/>
      <c r="K65" s="99"/>
      <c r="L65" s="104"/>
      <c r="M65" s="104"/>
      <c r="N65" s="104"/>
      <c r="O65" s="99"/>
      <c r="P65" s="36" t="s">
        <v>55</v>
      </c>
      <c r="Q65" s="36" t="s">
        <v>34</v>
      </c>
      <c r="R65" s="36">
        <v>1</v>
      </c>
      <c r="S65" s="12">
        <v>0.03</v>
      </c>
      <c r="T65" s="36">
        <v>1</v>
      </c>
      <c r="U65" s="12">
        <f t="shared" si="6"/>
        <v>0.03</v>
      </c>
      <c r="V65" s="112"/>
      <c r="W65" s="97"/>
      <c r="X65" s="117"/>
    </row>
    <row r="66" spans="1:24" s="90" customFormat="1" x14ac:dyDescent="0.15">
      <c r="A66" s="136">
        <v>21</v>
      </c>
      <c r="B66" s="136" t="s">
        <v>92</v>
      </c>
      <c r="C66" s="194" t="s">
        <v>93</v>
      </c>
      <c r="D66" s="194"/>
      <c r="E66" s="194"/>
      <c r="F66" s="194" t="s">
        <v>32</v>
      </c>
      <c r="G66" s="136">
        <f>67+5</f>
        <v>72</v>
      </c>
      <c r="H66" s="136">
        <f>95+5</f>
        <v>100</v>
      </c>
      <c r="I66" s="136">
        <v>2.5</v>
      </c>
      <c r="J66" s="161">
        <v>4.6500000000000004</v>
      </c>
      <c r="K66" s="161">
        <v>2.5</v>
      </c>
      <c r="L66" s="177">
        <f>G66*H66*I66*0.00000785</f>
        <v>0.14130000000000001</v>
      </c>
      <c r="M66" s="177">
        <v>6.7000000000000004E-2</v>
      </c>
      <c r="N66" s="177">
        <f>L66-M66</f>
        <v>7.4300000000000005E-2</v>
      </c>
      <c r="O66" s="161">
        <f>J66*L66-K66*N66</f>
        <v>0.47129500000000002</v>
      </c>
      <c r="P66" s="88" t="s">
        <v>33</v>
      </c>
      <c r="Q66" s="88" t="s">
        <v>61</v>
      </c>
      <c r="R66" s="88">
        <v>1</v>
      </c>
      <c r="S66" s="89">
        <v>7.0000000000000007E-2</v>
      </c>
      <c r="T66" s="88">
        <v>1</v>
      </c>
      <c r="U66" s="89">
        <f t="shared" si="6"/>
        <v>7.0000000000000007E-2</v>
      </c>
      <c r="V66" s="147">
        <v>1.18</v>
      </c>
      <c r="W66" s="140">
        <f>(O66+SUM(U66:U68))*V66</f>
        <v>0.70952809999999999</v>
      </c>
      <c r="X66" s="136">
        <v>0.79259999999999997</v>
      </c>
    </row>
    <row r="67" spans="1:24" s="90" customFormat="1" x14ac:dyDescent="0.15">
      <c r="A67" s="137"/>
      <c r="B67" s="137"/>
      <c r="C67" s="195"/>
      <c r="D67" s="195"/>
      <c r="E67" s="195"/>
      <c r="F67" s="195"/>
      <c r="G67" s="137"/>
      <c r="H67" s="137"/>
      <c r="I67" s="137"/>
      <c r="J67" s="162"/>
      <c r="K67" s="162"/>
      <c r="L67" s="178"/>
      <c r="M67" s="178"/>
      <c r="N67" s="178"/>
      <c r="O67" s="162"/>
      <c r="P67" s="88" t="s">
        <v>35</v>
      </c>
      <c r="Q67" s="88" t="s">
        <v>34</v>
      </c>
      <c r="R67" s="88">
        <v>1</v>
      </c>
      <c r="S67" s="89">
        <v>0.03</v>
      </c>
      <c r="T67" s="88">
        <v>1</v>
      </c>
      <c r="U67" s="89">
        <f t="shared" si="6"/>
        <v>0.03</v>
      </c>
      <c r="V67" s="148"/>
      <c r="W67" s="140"/>
      <c r="X67" s="137"/>
    </row>
    <row r="68" spans="1:24" s="90" customFormat="1" x14ac:dyDescent="0.15">
      <c r="A68" s="138"/>
      <c r="B68" s="138"/>
      <c r="C68" s="196"/>
      <c r="D68" s="196"/>
      <c r="E68" s="196"/>
      <c r="F68" s="196"/>
      <c r="G68" s="138"/>
      <c r="H68" s="138"/>
      <c r="I68" s="138"/>
      <c r="J68" s="163"/>
      <c r="K68" s="163"/>
      <c r="L68" s="179"/>
      <c r="M68" s="179"/>
      <c r="N68" s="179"/>
      <c r="O68" s="163"/>
      <c r="P68" s="88" t="s">
        <v>55</v>
      </c>
      <c r="Q68" s="88" t="s">
        <v>49</v>
      </c>
      <c r="R68" s="88">
        <v>1</v>
      </c>
      <c r="S68" s="89">
        <v>0.03</v>
      </c>
      <c r="T68" s="88">
        <v>1</v>
      </c>
      <c r="U68" s="89">
        <f t="shared" si="6"/>
        <v>0.03</v>
      </c>
      <c r="V68" s="149"/>
      <c r="W68" s="140"/>
      <c r="X68" s="138"/>
    </row>
    <row r="69" spans="1:24" s="90" customFormat="1" x14ac:dyDescent="0.15">
      <c r="A69" s="136">
        <v>22</v>
      </c>
      <c r="B69" s="136" t="s">
        <v>94</v>
      </c>
      <c r="C69" s="194" t="s">
        <v>95</v>
      </c>
      <c r="D69" s="194"/>
      <c r="E69" s="194"/>
      <c r="F69" s="194" t="s">
        <v>32</v>
      </c>
      <c r="G69" s="136">
        <f>67+5</f>
        <v>72</v>
      </c>
      <c r="H69" s="136">
        <f>95+5</f>
        <v>100</v>
      </c>
      <c r="I69" s="136">
        <v>2.5</v>
      </c>
      <c r="J69" s="161">
        <v>4.6500000000000004</v>
      </c>
      <c r="K69" s="161">
        <v>2.5</v>
      </c>
      <c r="L69" s="177">
        <f>G69*H69*I69*0.00000785</f>
        <v>0.14130000000000001</v>
      </c>
      <c r="M69" s="177">
        <v>6.7000000000000004E-2</v>
      </c>
      <c r="N69" s="177">
        <f t="shared" ref="N69:N75" si="11">L69-M69</f>
        <v>7.4300000000000005E-2</v>
      </c>
      <c r="O69" s="161">
        <f>J69*L69-K69*N69</f>
        <v>0.47129500000000002</v>
      </c>
      <c r="P69" s="88" t="s">
        <v>33</v>
      </c>
      <c r="Q69" s="88" t="s">
        <v>61</v>
      </c>
      <c r="R69" s="88">
        <v>1</v>
      </c>
      <c r="S69" s="89">
        <v>7.0000000000000007E-2</v>
      </c>
      <c r="T69" s="88">
        <v>1</v>
      </c>
      <c r="U69" s="89">
        <f t="shared" si="6"/>
        <v>7.0000000000000007E-2</v>
      </c>
      <c r="V69" s="147">
        <v>1.18</v>
      </c>
      <c r="W69" s="140">
        <f>(O69+SUM(U69:U71))*V69</f>
        <v>0.70952809999999999</v>
      </c>
      <c r="X69" s="136">
        <v>0.79259999999999997</v>
      </c>
    </row>
    <row r="70" spans="1:24" s="90" customFormat="1" x14ac:dyDescent="0.15">
      <c r="A70" s="137"/>
      <c r="B70" s="137"/>
      <c r="C70" s="195"/>
      <c r="D70" s="195"/>
      <c r="E70" s="195"/>
      <c r="F70" s="195"/>
      <c r="G70" s="137"/>
      <c r="H70" s="137"/>
      <c r="I70" s="137"/>
      <c r="J70" s="162"/>
      <c r="K70" s="162"/>
      <c r="L70" s="178"/>
      <c r="M70" s="178"/>
      <c r="N70" s="178"/>
      <c r="O70" s="162"/>
      <c r="P70" s="88" t="s">
        <v>35</v>
      </c>
      <c r="Q70" s="88" t="s">
        <v>34</v>
      </c>
      <c r="R70" s="88">
        <v>1</v>
      </c>
      <c r="S70" s="89">
        <v>0.03</v>
      </c>
      <c r="T70" s="88">
        <v>1</v>
      </c>
      <c r="U70" s="89">
        <f t="shared" si="6"/>
        <v>0.03</v>
      </c>
      <c r="V70" s="148"/>
      <c r="W70" s="140"/>
      <c r="X70" s="137"/>
    </row>
    <row r="71" spans="1:24" s="90" customFormat="1" x14ac:dyDescent="0.15">
      <c r="A71" s="138"/>
      <c r="B71" s="138"/>
      <c r="C71" s="196"/>
      <c r="D71" s="196"/>
      <c r="E71" s="196"/>
      <c r="F71" s="196"/>
      <c r="G71" s="138"/>
      <c r="H71" s="138"/>
      <c r="I71" s="138"/>
      <c r="J71" s="163"/>
      <c r="K71" s="163"/>
      <c r="L71" s="179"/>
      <c r="M71" s="179"/>
      <c r="N71" s="179"/>
      <c r="O71" s="163"/>
      <c r="P71" s="88" t="s">
        <v>55</v>
      </c>
      <c r="Q71" s="88" t="s">
        <v>49</v>
      </c>
      <c r="R71" s="88">
        <v>1</v>
      </c>
      <c r="S71" s="89">
        <v>0.03</v>
      </c>
      <c r="T71" s="88">
        <v>1</v>
      </c>
      <c r="U71" s="89">
        <f t="shared" si="6"/>
        <v>0.03</v>
      </c>
      <c r="V71" s="149"/>
      <c r="W71" s="140"/>
      <c r="X71" s="138"/>
    </row>
    <row r="72" spans="1:24" ht="14.25" customHeight="1" x14ac:dyDescent="0.15">
      <c r="A72" s="106">
        <v>23</v>
      </c>
      <c r="B72" s="106" t="s">
        <v>96</v>
      </c>
      <c r="C72" s="106" t="s">
        <v>97</v>
      </c>
      <c r="D72" s="106"/>
      <c r="E72" s="106"/>
      <c r="F72" s="106" t="s">
        <v>32</v>
      </c>
      <c r="G72" s="116">
        <v>106</v>
      </c>
      <c r="H72" s="116">
        <v>19</v>
      </c>
      <c r="I72" s="116">
        <v>3</v>
      </c>
      <c r="J72" s="98">
        <v>4.8</v>
      </c>
      <c r="K72" s="98">
        <v>2.5</v>
      </c>
      <c r="L72" s="103">
        <f>G72*H72*I72*0.00000785</f>
        <v>4.7429699999999998E-2</v>
      </c>
      <c r="M72" s="103">
        <v>9.7000000000000003E-3</v>
      </c>
      <c r="N72" s="103">
        <f t="shared" si="11"/>
        <v>3.7729699999999998E-2</v>
      </c>
      <c r="O72" s="98">
        <f>J72*L72-K72*N72</f>
        <v>0.13333830999999999</v>
      </c>
      <c r="P72" s="36" t="s">
        <v>33</v>
      </c>
      <c r="Q72" s="36" t="s">
        <v>49</v>
      </c>
      <c r="R72" s="36">
        <v>1</v>
      </c>
      <c r="S72" s="12">
        <v>0.03</v>
      </c>
      <c r="T72" s="36">
        <v>1</v>
      </c>
      <c r="U72" s="12">
        <f>S72*T72</f>
        <v>0.03</v>
      </c>
      <c r="V72" s="111">
        <v>1.18</v>
      </c>
      <c r="W72" s="97">
        <f>(O72+SUM(U72:U73))*V72</f>
        <v>0.22813920579999999</v>
      </c>
      <c r="X72" s="120">
        <v>0.28070000000000001</v>
      </c>
    </row>
    <row r="73" spans="1:24" x14ac:dyDescent="0.15">
      <c r="A73" s="108"/>
      <c r="B73" s="108"/>
      <c r="C73" s="108"/>
      <c r="D73" s="108"/>
      <c r="E73" s="108"/>
      <c r="F73" s="108"/>
      <c r="G73" s="117"/>
      <c r="H73" s="117"/>
      <c r="I73" s="117"/>
      <c r="J73" s="99"/>
      <c r="K73" s="99"/>
      <c r="L73" s="104"/>
      <c r="M73" s="104"/>
      <c r="N73" s="104"/>
      <c r="O73" s="99"/>
      <c r="P73" s="36" t="s">
        <v>55</v>
      </c>
      <c r="Q73" s="36" t="s">
        <v>49</v>
      </c>
      <c r="R73" s="36">
        <v>1</v>
      </c>
      <c r="S73" s="12">
        <v>0.03</v>
      </c>
      <c r="T73" s="36">
        <v>1</v>
      </c>
      <c r="U73" s="12">
        <f>S73*T73</f>
        <v>0.03</v>
      </c>
      <c r="V73" s="112"/>
      <c r="W73" s="97"/>
      <c r="X73" s="120"/>
    </row>
    <row r="74" spans="1:24" s="20" customFormat="1" ht="27" x14ac:dyDescent="0.15">
      <c r="A74" s="32">
        <v>24</v>
      </c>
      <c r="B74" s="7" t="s">
        <v>98</v>
      </c>
      <c r="C74" s="8" t="s">
        <v>99</v>
      </c>
      <c r="D74" s="7"/>
      <c r="E74" s="32"/>
      <c r="F74" s="41" t="s">
        <v>100</v>
      </c>
      <c r="G74" s="41">
        <v>53</v>
      </c>
      <c r="H74" s="41">
        <v>30</v>
      </c>
      <c r="I74" s="41">
        <v>2.5</v>
      </c>
      <c r="J74" s="45">
        <v>4.3499999999999996</v>
      </c>
      <c r="K74" s="45">
        <v>2.5</v>
      </c>
      <c r="L74" s="46">
        <v>2.8000000000000001E-2</v>
      </c>
      <c r="M74" s="46">
        <v>2.1000000000000001E-2</v>
      </c>
      <c r="N74" s="46">
        <f t="shared" si="11"/>
        <v>7.0000000000000001E-3</v>
      </c>
      <c r="O74" s="12">
        <f>L74*J74-N74*K74</f>
        <v>0.1043</v>
      </c>
      <c r="P74" s="36" t="s">
        <v>33</v>
      </c>
      <c r="Q74" s="36" t="s">
        <v>41</v>
      </c>
      <c r="R74" s="36">
        <v>1</v>
      </c>
      <c r="S74" s="12">
        <v>0.03</v>
      </c>
      <c r="T74" s="36">
        <v>1</v>
      </c>
      <c r="U74" s="12">
        <f t="shared" ref="U74:U124" si="12">R74*S74/T74</f>
        <v>0.03</v>
      </c>
      <c r="V74" s="32">
        <v>1.18</v>
      </c>
      <c r="W74" s="36">
        <f>(O74+U74)*V74</f>
        <v>0.158474</v>
      </c>
      <c r="X74" s="32">
        <v>0.2089</v>
      </c>
    </row>
    <row r="75" spans="1:24" x14ac:dyDescent="0.15">
      <c r="A75" s="116">
        <v>25</v>
      </c>
      <c r="B75" s="116" t="s">
        <v>101</v>
      </c>
      <c r="C75" s="106" t="s">
        <v>102</v>
      </c>
      <c r="D75" s="116"/>
      <c r="E75" s="116"/>
      <c r="F75" s="97" t="s">
        <v>100</v>
      </c>
      <c r="G75" s="95">
        <v>47</v>
      </c>
      <c r="H75" s="95">
        <v>20</v>
      </c>
      <c r="I75" s="95">
        <v>2</v>
      </c>
      <c r="J75" s="156">
        <v>4.3499999999999996</v>
      </c>
      <c r="K75" s="156">
        <v>2.5</v>
      </c>
      <c r="L75" s="105">
        <v>1.4999999999999999E-2</v>
      </c>
      <c r="M75" s="105">
        <v>8.9999999999999993E-3</v>
      </c>
      <c r="N75" s="105">
        <f t="shared" si="11"/>
        <v>6.0000000000000001E-3</v>
      </c>
      <c r="O75" s="156">
        <f>J75*L75-K75*N75</f>
        <v>5.0250000000000003E-2</v>
      </c>
      <c r="P75" s="36" t="s">
        <v>33</v>
      </c>
      <c r="Q75" s="36" t="s">
        <v>34</v>
      </c>
      <c r="R75" s="36">
        <v>1</v>
      </c>
      <c r="S75" s="12">
        <v>0.03</v>
      </c>
      <c r="T75" s="36">
        <v>1</v>
      </c>
      <c r="U75" s="12">
        <f t="shared" si="12"/>
        <v>0.03</v>
      </c>
      <c r="V75" s="111">
        <v>1.18</v>
      </c>
      <c r="W75" s="97">
        <f>(O75+SUM(U75:U77))*V75</f>
        <v>0.14189499999999999</v>
      </c>
      <c r="X75" s="95">
        <v>0.1522</v>
      </c>
    </row>
    <row r="76" spans="1:24" x14ac:dyDescent="0.15">
      <c r="A76" s="124"/>
      <c r="B76" s="124"/>
      <c r="C76" s="107"/>
      <c r="D76" s="124"/>
      <c r="E76" s="124"/>
      <c r="F76" s="97"/>
      <c r="G76" s="95"/>
      <c r="H76" s="95"/>
      <c r="I76" s="95"/>
      <c r="J76" s="156"/>
      <c r="K76" s="156"/>
      <c r="L76" s="105"/>
      <c r="M76" s="105"/>
      <c r="N76" s="105"/>
      <c r="O76" s="156"/>
      <c r="P76" s="36" t="s">
        <v>55</v>
      </c>
      <c r="Q76" s="36" t="s">
        <v>103</v>
      </c>
      <c r="R76" s="36">
        <v>1</v>
      </c>
      <c r="S76" s="12">
        <v>0.02</v>
      </c>
      <c r="T76" s="36">
        <v>1</v>
      </c>
      <c r="U76" s="12">
        <f t="shared" si="12"/>
        <v>0.02</v>
      </c>
      <c r="V76" s="135"/>
      <c r="W76" s="97"/>
      <c r="X76" s="95"/>
    </row>
    <row r="77" spans="1:24" x14ac:dyDescent="0.15">
      <c r="A77" s="117"/>
      <c r="B77" s="117"/>
      <c r="C77" s="108"/>
      <c r="D77" s="117"/>
      <c r="E77" s="117"/>
      <c r="F77" s="97"/>
      <c r="G77" s="95"/>
      <c r="H77" s="95"/>
      <c r="I77" s="95"/>
      <c r="J77" s="156"/>
      <c r="K77" s="156"/>
      <c r="L77" s="105"/>
      <c r="M77" s="105"/>
      <c r="N77" s="105"/>
      <c r="O77" s="156"/>
      <c r="P77" s="36" t="s">
        <v>35</v>
      </c>
      <c r="Q77" s="36" t="s">
        <v>103</v>
      </c>
      <c r="R77" s="36">
        <v>1</v>
      </c>
      <c r="S77" s="12">
        <v>0.02</v>
      </c>
      <c r="T77" s="36">
        <v>1</v>
      </c>
      <c r="U77" s="12">
        <f t="shared" si="12"/>
        <v>0.02</v>
      </c>
      <c r="V77" s="112"/>
      <c r="W77" s="97"/>
      <c r="X77" s="95"/>
    </row>
    <row r="78" spans="1:24" x14ac:dyDescent="0.15">
      <c r="A78" s="116">
        <v>26</v>
      </c>
      <c r="B78" s="116" t="s">
        <v>104</v>
      </c>
      <c r="C78" s="106" t="s">
        <v>105</v>
      </c>
      <c r="D78" s="116"/>
      <c r="E78" s="116"/>
      <c r="F78" s="191" t="s">
        <v>32</v>
      </c>
      <c r="G78" s="95">
        <v>74</v>
      </c>
      <c r="H78" s="95">
        <v>65</v>
      </c>
      <c r="I78" s="95">
        <v>2</v>
      </c>
      <c r="J78" s="98">
        <v>4.8</v>
      </c>
      <c r="K78" s="98">
        <v>2.5</v>
      </c>
      <c r="L78" s="105">
        <f>G78*H78*I78*0.00000785</f>
        <v>7.5517000000000001E-2</v>
      </c>
      <c r="M78" s="105">
        <v>1.0999999999999999E-2</v>
      </c>
      <c r="N78" s="105">
        <f>L78-M78</f>
        <v>6.4517000000000005E-2</v>
      </c>
      <c r="O78" s="156">
        <f>J78*L78-K78*N78</f>
        <v>0.20118910000000001</v>
      </c>
      <c r="P78" s="36" t="s">
        <v>33</v>
      </c>
      <c r="Q78" s="36" t="s">
        <v>41</v>
      </c>
      <c r="R78" s="36">
        <v>1</v>
      </c>
      <c r="S78" s="12">
        <v>0.03</v>
      </c>
      <c r="T78" s="36">
        <v>1</v>
      </c>
      <c r="U78" s="12">
        <f t="shared" si="12"/>
        <v>0.03</v>
      </c>
      <c r="V78" s="111">
        <v>1.18</v>
      </c>
      <c r="W78" s="97">
        <f>(O78+SUM(U78:U80))*V78</f>
        <v>0.34360313799999997</v>
      </c>
      <c r="X78" s="95">
        <v>0.36380000000000001</v>
      </c>
    </row>
    <row r="79" spans="1:24" x14ac:dyDescent="0.15">
      <c r="A79" s="124"/>
      <c r="B79" s="124"/>
      <c r="C79" s="107"/>
      <c r="D79" s="124"/>
      <c r="E79" s="124"/>
      <c r="F79" s="191"/>
      <c r="G79" s="95"/>
      <c r="H79" s="95"/>
      <c r="I79" s="95"/>
      <c r="J79" s="157"/>
      <c r="K79" s="157"/>
      <c r="L79" s="105"/>
      <c r="M79" s="105"/>
      <c r="N79" s="105"/>
      <c r="O79" s="156"/>
      <c r="P79" s="36" t="s">
        <v>106</v>
      </c>
      <c r="Q79" s="36" t="s">
        <v>34</v>
      </c>
      <c r="R79" s="36">
        <v>1</v>
      </c>
      <c r="S79" s="12">
        <v>0.03</v>
      </c>
      <c r="T79" s="36">
        <v>1</v>
      </c>
      <c r="U79" s="12">
        <f t="shared" si="12"/>
        <v>0.03</v>
      </c>
      <c r="V79" s="135"/>
      <c r="W79" s="97"/>
      <c r="X79" s="95"/>
    </row>
    <row r="80" spans="1:24" x14ac:dyDescent="0.15">
      <c r="A80" s="117"/>
      <c r="B80" s="117"/>
      <c r="C80" s="108"/>
      <c r="D80" s="117"/>
      <c r="E80" s="117"/>
      <c r="F80" s="191"/>
      <c r="G80" s="95"/>
      <c r="H80" s="95"/>
      <c r="I80" s="95"/>
      <c r="J80" s="99"/>
      <c r="K80" s="99"/>
      <c r="L80" s="105"/>
      <c r="M80" s="105"/>
      <c r="N80" s="105"/>
      <c r="O80" s="156"/>
      <c r="P80" s="36" t="s">
        <v>48</v>
      </c>
      <c r="Q80" s="36" t="s">
        <v>49</v>
      </c>
      <c r="R80" s="36">
        <v>1</v>
      </c>
      <c r="S80" s="12">
        <v>0.03</v>
      </c>
      <c r="T80" s="36">
        <v>1</v>
      </c>
      <c r="U80" s="12">
        <f t="shared" si="12"/>
        <v>0.03</v>
      </c>
      <c r="V80" s="112"/>
      <c r="W80" s="97"/>
      <c r="X80" s="95"/>
    </row>
    <row r="81" spans="1:24" x14ac:dyDescent="0.15">
      <c r="A81" s="116">
        <v>27</v>
      </c>
      <c r="B81" s="116" t="s">
        <v>107</v>
      </c>
      <c r="C81" s="106" t="s">
        <v>108</v>
      </c>
      <c r="D81" s="116"/>
      <c r="E81" s="116"/>
      <c r="F81" s="191" t="s">
        <v>32</v>
      </c>
      <c r="G81" s="95">
        <v>74</v>
      </c>
      <c r="H81" s="95">
        <v>65</v>
      </c>
      <c r="I81" s="95">
        <v>2</v>
      </c>
      <c r="J81" s="98">
        <v>4.8</v>
      </c>
      <c r="K81" s="98">
        <v>2.5</v>
      </c>
      <c r="L81" s="105">
        <f>G81*H81*I81*0.00000785</f>
        <v>7.5517000000000001E-2</v>
      </c>
      <c r="M81" s="105">
        <v>1.0999999999999999E-2</v>
      </c>
      <c r="N81" s="105">
        <f>L81-M81</f>
        <v>6.4517000000000005E-2</v>
      </c>
      <c r="O81" s="156">
        <f>J81*L81-K81*N81</f>
        <v>0.20118910000000001</v>
      </c>
      <c r="P81" s="36" t="s">
        <v>33</v>
      </c>
      <c r="Q81" s="36" t="s">
        <v>41</v>
      </c>
      <c r="R81" s="36">
        <v>1</v>
      </c>
      <c r="S81" s="12">
        <v>0.03</v>
      </c>
      <c r="T81" s="36">
        <v>1</v>
      </c>
      <c r="U81" s="12">
        <f t="shared" si="12"/>
        <v>0.03</v>
      </c>
      <c r="V81" s="111">
        <v>1.18</v>
      </c>
      <c r="W81" s="97">
        <f>(O81+SUM(U81:U83))*V81</f>
        <v>0.34360313799999997</v>
      </c>
      <c r="X81" s="95">
        <v>0.36380000000000001</v>
      </c>
    </row>
    <row r="82" spans="1:24" x14ac:dyDescent="0.15">
      <c r="A82" s="124"/>
      <c r="B82" s="124"/>
      <c r="C82" s="107"/>
      <c r="D82" s="124"/>
      <c r="E82" s="124"/>
      <c r="F82" s="191"/>
      <c r="G82" s="95"/>
      <c r="H82" s="95"/>
      <c r="I82" s="95"/>
      <c r="J82" s="157"/>
      <c r="K82" s="157"/>
      <c r="L82" s="105"/>
      <c r="M82" s="105"/>
      <c r="N82" s="105"/>
      <c r="O82" s="156"/>
      <c r="P82" s="36" t="s">
        <v>106</v>
      </c>
      <c r="Q82" s="36" t="s">
        <v>34</v>
      </c>
      <c r="R82" s="36">
        <v>1</v>
      </c>
      <c r="S82" s="12">
        <v>0.03</v>
      </c>
      <c r="T82" s="36">
        <v>1</v>
      </c>
      <c r="U82" s="12">
        <f t="shared" si="12"/>
        <v>0.03</v>
      </c>
      <c r="V82" s="135"/>
      <c r="W82" s="97"/>
      <c r="X82" s="95"/>
    </row>
    <row r="83" spans="1:24" x14ac:dyDescent="0.15">
      <c r="A83" s="117"/>
      <c r="B83" s="117"/>
      <c r="C83" s="108"/>
      <c r="D83" s="117"/>
      <c r="E83" s="117"/>
      <c r="F83" s="191"/>
      <c r="G83" s="95"/>
      <c r="H83" s="95"/>
      <c r="I83" s="95"/>
      <c r="J83" s="99"/>
      <c r="K83" s="99"/>
      <c r="L83" s="105"/>
      <c r="M83" s="105"/>
      <c r="N83" s="105"/>
      <c r="O83" s="156"/>
      <c r="P83" s="36" t="s">
        <v>48</v>
      </c>
      <c r="Q83" s="36" t="s">
        <v>49</v>
      </c>
      <c r="R83" s="36">
        <v>1</v>
      </c>
      <c r="S83" s="12">
        <v>0.03</v>
      </c>
      <c r="T83" s="36">
        <v>1</v>
      </c>
      <c r="U83" s="12">
        <f t="shared" si="12"/>
        <v>0.03</v>
      </c>
      <c r="V83" s="112"/>
      <c r="W83" s="97"/>
      <c r="X83" s="95"/>
    </row>
    <row r="84" spans="1:24" x14ac:dyDescent="0.15">
      <c r="A84" s="116">
        <v>28</v>
      </c>
      <c r="B84" s="116" t="s">
        <v>109</v>
      </c>
      <c r="C84" s="106" t="s">
        <v>110</v>
      </c>
      <c r="D84" s="116"/>
      <c r="E84" s="116"/>
      <c r="F84" s="191" t="s">
        <v>32</v>
      </c>
      <c r="G84" s="95">
        <v>59</v>
      </c>
      <c r="H84" s="95">
        <f>45+4</f>
        <v>49</v>
      </c>
      <c r="I84" s="95">
        <v>2</v>
      </c>
      <c r="J84" s="98">
        <v>4.8</v>
      </c>
      <c r="K84" s="98">
        <v>2.5</v>
      </c>
      <c r="L84" s="105">
        <f>G84*H84*I84*0.00000785</f>
        <v>4.5388699999999997E-2</v>
      </c>
      <c r="M84" s="105">
        <v>1.4999999999999999E-2</v>
      </c>
      <c r="N84" s="105">
        <f>L84-M84</f>
        <v>3.0388700000000001E-2</v>
      </c>
      <c r="O84" s="156">
        <f>J84*L84-K84*N84</f>
        <v>0.14189400999999999</v>
      </c>
      <c r="P84" s="36" t="s">
        <v>33</v>
      </c>
      <c r="Q84" s="36" t="s">
        <v>41</v>
      </c>
      <c r="R84" s="36">
        <v>1</v>
      </c>
      <c r="S84" s="12">
        <v>0.03</v>
      </c>
      <c r="T84" s="36">
        <v>1</v>
      </c>
      <c r="U84" s="12">
        <f t="shared" si="12"/>
        <v>0.03</v>
      </c>
      <c r="V84" s="111">
        <v>1.18</v>
      </c>
      <c r="W84" s="97">
        <f>(O84+SUM(U84:U86))*V84</f>
        <v>0.27363493179999998</v>
      </c>
      <c r="X84" s="95">
        <v>0.28710000000000002</v>
      </c>
    </row>
    <row r="85" spans="1:24" x14ac:dyDescent="0.15">
      <c r="A85" s="124"/>
      <c r="B85" s="124"/>
      <c r="C85" s="107"/>
      <c r="D85" s="124"/>
      <c r="E85" s="124"/>
      <c r="F85" s="191"/>
      <c r="G85" s="95"/>
      <c r="H85" s="95"/>
      <c r="I85" s="95"/>
      <c r="J85" s="157"/>
      <c r="K85" s="157"/>
      <c r="L85" s="105"/>
      <c r="M85" s="105"/>
      <c r="N85" s="105"/>
      <c r="O85" s="156"/>
      <c r="P85" s="36" t="s">
        <v>106</v>
      </c>
      <c r="Q85" s="36" t="s">
        <v>34</v>
      </c>
      <c r="R85" s="36">
        <v>1</v>
      </c>
      <c r="S85" s="12">
        <v>0.03</v>
      </c>
      <c r="T85" s="36">
        <v>1</v>
      </c>
      <c r="U85" s="12">
        <f t="shared" si="12"/>
        <v>0.03</v>
      </c>
      <c r="V85" s="135"/>
      <c r="W85" s="97"/>
      <c r="X85" s="95"/>
    </row>
    <row r="86" spans="1:24" x14ac:dyDescent="0.15">
      <c r="A86" s="117"/>
      <c r="B86" s="117"/>
      <c r="C86" s="108"/>
      <c r="D86" s="117"/>
      <c r="E86" s="117"/>
      <c r="F86" s="191"/>
      <c r="G86" s="95"/>
      <c r="H86" s="95"/>
      <c r="I86" s="95"/>
      <c r="J86" s="99"/>
      <c r="K86" s="99"/>
      <c r="L86" s="105"/>
      <c r="M86" s="105"/>
      <c r="N86" s="105"/>
      <c r="O86" s="156"/>
      <c r="P86" s="36" t="s">
        <v>48</v>
      </c>
      <c r="Q86" s="36" t="s">
        <v>49</v>
      </c>
      <c r="R86" s="36">
        <v>1</v>
      </c>
      <c r="S86" s="12">
        <v>0.03</v>
      </c>
      <c r="T86" s="36">
        <v>1</v>
      </c>
      <c r="U86" s="12">
        <f t="shared" si="12"/>
        <v>0.03</v>
      </c>
      <c r="V86" s="112"/>
      <c r="W86" s="97"/>
      <c r="X86" s="95"/>
    </row>
    <row r="87" spans="1:24" ht="14.25" customHeight="1" x14ac:dyDescent="0.15">
      <c r="A87" s="121">
        <v>29</v>
      </c>
      <c r="B87" s="121" t="s">
        <v>111</v>
      </c>
      <c r="C87" s="121" t="s">
        <v>112</v>
      </c>
      <c r="D87" s="121" t="s">
        <v>113</v>
      </c>
      <c r="E87" s="121">
        <v>1</v>
      </c>
      <c r="F87" s="121" t="s">
        <v>60</v>
      </c>
      <c r="G87" s="95">
        <f>130+5</f>
        <v>135</v>
      </c>
      <c r="H87" s="95">
        <v>39</v>
      </c>
      <c r="I87" s="95">
        <v>2.5</v>
      </c>
      <c r="J87" s="156">
        <v>5.13</v>
      </c>
      <c r="K87" s="156">
        <v>2.5</v>
      </c>
      <c r="L87" s="105">
        <f>G87*H87*I87*0.00000785</f>
        <v>0.103325625</v>
      </c>
      <c r="M87" s="105">
        <f>0.054-0.005*2</f>
        <v>4.3999999999999997E-2</v>
      </c>
      <c r="N87" s="105">
        <f>L87-M87</f>
        <v>5.9325625E-2</v>
      </c>
      <c r="O87" s="156">
        <f>(J87*L87-K87*N87)*E87</f>
        <v>0.38174639375000002</v>
      </c>
      <c r="P87" s="32" t="s">
        <v>33</v>
      </c>
      <c r="Q87" s="32" t="s">
        <v>114</v>
      </c>
      <c r="R87" s="36">
        <v>1</v>
      </c>
      <c r="S87" s="12">
        <v>0.05</v>
      </c>
      <c r="T87" s="36">
        <v>1</v>
      </c>
      <c r="U87" s="12">
        <f t="shared" si="12"/>
        <v>0.05</v>
      </c>
      <c r="V87" s="153">
        <v>1.18</v>
      </c>
      <c r="W87" s="97">
        <f>(O87+SUM(U87:U89))*V87+(O89+U90)*1.03</f>
        <v>1.0926987446250001</v>
      </c>
      <c r="X87" s="95">
        <v>1.1625000000000001</v>
      </c>
    </row>
    <row r="88" spans="1:24" x14ac:dyDescent="0.15">
      <c r="A88" s="121"/>
      <c r="B88" s="121"/>
      <c r="C88" s="121"/>
      <c r="D88" s="121"/>
      <c r="E88" s="121"/>
      <c r="F88" s="121"/>
      <c r="G88" s="95"/>
      <c r="H88" s="95"/>
      <c r="I88" s="95"/>
      <c r="J88" s="156"/>
      <c r="K88" s="156"/>
      <c r="L88" s="105"/>
      <c r="M88" s="105"/>
      <c r="N88" s="105"/>
      <c r="O88" s="156"/>
      <c r="P88" s="32" t="s">
        <v>35</v>
      </c>
      <c r="Q88" s="32" t="s">
        <v>114</v>
      </c>
      <c r="R88" s="36">
        <v>1</v>
      </c>
      <c r="S88" s="12">
        <v>0.05</v>
      </c>
      <c r="T88" s="36">
        <v>1</v>
      </c>
      <c r="U88" s="12">
        <f t="shared" si="12"/>
        <v>0.05</v>
      </c>
      <c r="V88" s="154"/>
      <c r="W88" s="97"/>
      <c r="X88" s="95"/>
    </row>
    <row r="89" spans="1:24" ht="14.25" customHeight="1" x14ac:dyDescent="0.15">
      <c r="A89" s="121"/>
      <c r="B89" s="121"/>
      <c r="C89" s="121"/>
      <c r="D89" s="121" t="s">
        <v>115</v>
      </c>
      <c r="E89" s="121">
        <v>2</v>
      </c>
      <c r="F89" s="121"/>
      <c r="G89" s="95"/>
      <c r="H89" s="95"/>
      <c r="I89" s="95"/>
      <c r="J89" s="156">
        <v>9.7299999999999998E-2</v>
      </c>
      <c r="K89" s="156"/>
      <c r="L89" s="105"/>
      <c r="M89" s="105">
        <v>5.0000000000000001E-3</v>
      </c>
      <c r="N89" s="105"/>
      <c r="O89" s="156">
        <f>E89*J89</f>
        <v>0.1946</v>
      </c>
      <c r="P89" s="32" t="s">
        <v>55</v>
      </c>
      <c r="Q89" s="32" t="s">
        <v>116</v>
      </c>
      <c r="R89" s="36">
        <v>1</v>
      </c>
      <c r="S89" s="12">
        <v>0.03</v>
      </c>
      <c r="T89" s="36">
        <v>1</v>
      </c>
      <c r="U89" s="12">
        <f t="shared" si="12"/>
        <v>0.03</v>
      </c>
      <c r="V89" s="154"/>
      <c r="W89" s="97"/>
      <c r="X89" s="95"/>
    </row>
    <row r="90" spans="1:24" x14ac:dyDescent="0.15">
      <c r="A90" s="121"/>
      <c r="B90" s="121"/>
      <c r="C90" s="121"/>
      <c r="D90" s="121"/>
      <c r="E90" s="121"/>
      <c r="F90" s="121"/>
      <c r="G90" s="95"/>
      <c r="H90" s="95"/>
      <c r="I90" s="95"/>
      <c r="J90" s="156"/>
      <c r="K90" s="156"/>
      <c r="L90" s="105"/>
      <c r="M90" s="105"/>
      <c r="N90" s="105"/>
      <c r="O90" s="156"/>
      <c r="P90" s="32" t="s">
        <v>57</v>
      </c>
      <c r="Q90" s="32">
        <v>4</v>
      </c>
      <c r="R90" s="36">
        <v>1</v>
      </c>
      <c r="S90" s="12">
        <v>0.28000000000000003</v>
      </c>
      <c r="T90" s="36">
        <v>1</v>
      </c>
      <c r="U90" s="12">
        <f t="shared" si="12"/>
        <v>0.28000000000000003</v>
      </c>
      <c r="V90" s="155"/>
      <c r="W90" s="97"/>
      <c r="X90" s="95"/>
    </row>
    <row r="91" spans="1:24" x14ac:dyDescent="0.15">
      <c r="A91" s="121">
        <v>30</v>
      </c>
      <c r="B91" s="121" t="s">
        <v>117</v>
      </c>
      <c r="C91" s="121" t="s">
        <v>118</v>
      </c>
      <c r="D91" s="121" t="s">
        <v>119</v>
      </c>
      <c r="E91" s="121">
        <v>1</v>
      </c>
      <c r="F91" s="121" t="s">
        <v>60</v>
      </c>
      <c r="G91" s="95">
        <f>130+5</f>
        <v>135</v>
      </c>
      <c r="H91" s="95">
        <v>39</v>
      </c>
      <c r="I91" s="95">
        <v>2.5</v>
      </c>
      <c r="J91" s="156">
        <v>5.13</v>
      </c>
      <c r="K91" s="156">
        <v>2.5</v>
      </c>
      <c r="L91" s="105">
        <f>G91*H91*I91*0.00000785</f>
        <v>0.103325625</v>
      </c>
      <c r="M91" s="105">
        <f>0.054-0.005*2</f>
        <v>4.3999999999999997E-2</v>
      </c>
      <c r="N91" s="105">
        <f>L91-M91</f>
        <v>5.9325625E-2</v>
      </c>
      <c r="O91" s="156">
        <f>(J91*L91-K91*N91)*E91</f>
        <v>0.38174639375000002</v>
      </c>
      <c r="P91" s="32" t="s">
        <v>33</v>
      </c>
      <c r="Q91" s="32" t="s">
        <v>114</v>
      </c>
      <c r="R91" s="36">
        <v>1</v>
      </c>
      <c r="S91" s="12">
        <v>0.05</v>
      </c>
      <c r="T91" s="36">
        <v>1</v>
      </c>
      <c r="U91" s="12">
        <f t="shared" si="12"/>
        <v>0.05</v>
      </c>
      <c r="V91" s="153">
        <v>1.18</v>
      </c>
      <c r="W91" s="97">
        <f>(O91+SUM(U91:U93))*V91+(O93+U94)*1.03</f>
        <v>1.0926987446250001</v>
      </c>
      <c r="X91" s="95">
        <v>1.1625000000000001</v>
      </c>
    </row>
    <row r="92" spans="1:24" x14ac:dyDescent="0.15">
      <c r="A92" s="121"/>
      <c r="B92" s="121"/>
      <c r="C92" s="121"/>
      <c r="D92" s="121"/>
      <c r="E92" s="121"/>
      <c r="F92" s="121"/>
      <c r="G92" s="95"/>
      <c r="H92" s="95"/>
      <c r="I92" s="95"/>
      <c r="J92" s="156"/>
      <c r="K92" s="156"/>
      <c r="L92" s="105"/>
      <c r="M92" s="105"/>
      <c r="N92" s="105"/>
      <c r="O92" s="156"/>
      <c r="P92" s="32" t="s">
        <v>35</v>
      </c>
      <c r="Q92" s="32" t="s">
        <v>114</v>
      </c>
      <c r="R92" s="36">
        <v>1</v>
      </c>
      <c r="S92" s="12">
        <v>0.05</v>
      </c>
      <c r="T92" s="36">
        <v>1</v>
      </c>
      <c r="U92" s="12">
        <f t="shared" si="12"/>
        <v>0.05</v>
      </c>
      <c r="V92" s="154"/>
      <c r="W92" s="97"/>
      <c r="X92" s="95"/>
    </row>
    <row r="93" spans="1:24" x14ac:dyDescent="0.15">
      <c r="A93" s="121"/>
      <c r="B93" s="121"/>
      <c r="C93" s="121"/>
      <c r="D93" s="121" t="s">
        <v>115</v>
      </c>
      <c r="E93" s="121">
        <v>2</v>
      </c>
      <c r="F93" s="121"/>
      <c r="G93" s="95"/>
      <c r="H93" s="95"/>
      <c r="I93" s="95"/>
      <c r="J93" s="156">
        <v>9.7299999999999998E-2</v>
      </c>
      <c r="K93" s="156"/>
      <c r="L93" s="105"/>
      <c r="M93" s="105">
        <v>5.0000000000000001E-3</v>
      </c>
      <c r="N93" s="105"/>
      <c r="O93" s="156">
        <f>E93*J93</f>
        <v>0.1946</v>
      </c>
      <c r="P93" s="32" t="s">
        <v>55</v>
      </c>
      <c r="Q93" s="32" t="s">
        <v>116</v>
      </c>
      <c r="R93" s="36">
        <v>1</v>
      </c>
      <c r="S93" s="12">
        <v>0.03</v>
      </c>
      <c r="T93" s="36">
        <v>1</v>
      </c>
      <c r="U93" s="12">
        <f t="shared" si="12"/>
        <v>0.03</v>
      </c>
      <c r="V93" s="154"/>
      <c r="W93" s="97"/>
      <c r="X93" s="95"/>
    </row>
    <row r="94" spans="1:24" x14ac:dyDescent="0.15">
      <c r="A94" s="121"/>
      <c r="B94" s="121"/>
      <c r="C94" s="121"/>
      <c r="D94" s="121"/>
      <c r="E94" s="121"/>
      <c r="F94" s="121"/>
      <c r="G94" s="95"/>
      <c r="H94" s="95"/>
      <c r="I94" s="95"/>
      <c r="J94" s="156"/>
      <c r="K94" s="156"/>
      <c r="L94" s="105"/>
      <c r="M94" s="105"/>
      <c r="N94" s="105"/>
      <c r="O94" s="156"/>
      <c r="P94" s="32" t="s">
        <v>57</v>
      </c>
      <c r="Q94" s="32">
        <v>4</v>
      </c>
      <c r="R94" s="36">
        <v>1</v>
      </c>
      <c r="S94" s="12">
        <v>0.28000000000000003</v>
      </c>
      <c r="T94" s="36">
        <v>1</v>
      </c>
      <c r="U94" s="12">
        <f t="shared" si="12"/>
        <v>0.28000000000000003</v>
      </c>
      <c r="V94" s="155"/>
      <c r="W94" s="97"/>
      <c r="X94" s="95"/>
    </row>
    <row r="95" spans="1:24" x14ac:dyDescent="0.15">
      <c r="A95" s="171">
        <v>31</v>
      </c>
      <c r="B95" s="171" t="s">
        <v>120</v>
      </c>
      <c r="C95" s="171" t="s">
        <v>121</v>
      </c>
      <c r="D95" s="171"/>
      <c r="E95" s="171"/>
      <c r="F95" s="171" t="s">
        <v>32</v>
      </c>
      <c r="G95" s="171">
        <v>205</v>
      </c>
      <c r="H95" s="171">
        <v>130</v>
      </c>
      <c r="I95" s="171">
        <v>3</v>
      </c>
      <c r="J95" s="181">
        <v>4.5999999999999996</v>
      </c>
      <c r="K95" s="181">
        <v>2.5</v>
      </c>
      <c r="L95" s="171">
        <v>0.628</v>
      </c>
      <c r="M95" s="171">
        <v>0.28100000000000003</v>
      </c>
      <c r="N95" s="171">
        <v>0.34699999999999998</v>
      </c>
      <c r="O95" s="98">
        <f>J95*L95-K95*N95</f>
        <v>2.0213000000000001</v>
      </c>
      <c r="P95" s="44" t="s">
        <v>33</v>
      </c>
      <c r="Q95" s="44" t="s">
        <v>54</v>
      </c>
      <c r="R95" s="36">
        <v>1</v>
      </c>
      <c r="S95" s="49">
        <v>0.08</v>
      </c>
      <c r="T95" s="36">
        <v>1</v>
      </c>
      <c r="U95" s="12">
        <f t="shared" si="12"/>
        <v>0.08</v>
      </c>
      <c r="V95" s="111">
        <v>1.1200000000000001</v>
      </c>
      <c r="W95" s="97">
        <f>(O95+SUM(U95:U97))*V95</f>
        <v>2.4990559999999999</v>
      </c>
      <c r="X95" s="129">
        <v>2.5537999999999998</v>
      </c>
    </row>
    <row r="96" spans="1:24" x14ac:dyDescent="0.15">
      <c r="A96" s="172"/>
      <c r="B96" s="172"/>
      <c r="C96" s="172"/>
      <c r="D96" s="172"/>
      <c r="E96" s="172"/>
      <c r="F96" s="172"/>
      <c r="G96" s="172"/>
      <c r="H96" s="172"/>
      <c r="I96" s="172"/>
      <c r="J96" s="182"/>
      <c r="K96" s="182"/>
      <c r="L96" s="172"/>
      <c r="M96" s="172"/>
      <c r="N96" s="172"/>
      <c r="O96" s="157"/>
      <c r="P96" s="44" t="s">
        <v>55</v>
      </c>
      <c r="Q96" s="44" t="s">
        <v>38</v>
      </c>
      <c r="R96" s="36">
        <v>1</v>
      </c>
      <c r="S96" s="49">
        <v>0.05</v>
      </c>
      <c r="T96" s="36">
        <v>1</v>
      </c>
      <c r="U96" s="12">
        <f t="shared" si="12"/>
        <v>0.05</v>
      </c>
      <c r="V96" s="135"/>
      <c r="W96" s="97"/>
      <c r="X96" s="129"/>
    </row>
    <row r="97" spans="1:24" x14ac:dyDescent="0.15">
      <c r="A97" s="173"/>
      <c r="B97" s="173"/>
      <c r="C97" s="173"/>
      <c r="D97" s="173"/>
      <c r="E97" s="173"/>
      <c r="F97" s="173"/>
      <c r="G97" s="173"/>
      <c r="H97" s="173"/>
      <c r="I97" s="173"/>
      <c r="J97" s="183"/>
      <c r="K97" s="183"/>
      <c r="L97" s="173"/>
      <c r="M97" s="173"/>
      <c r="N97" s="173"/>
      <c r="O97" s="99"/>
      <c r="P97" s="44" t="s">
        <v>35</v>
      </c>
      <c r="Q97" s="44" t="s">
        <v>54</v>
      </c>
      <c r="R97" s="36">
        <v>1</v>
      </c>
      <c r="S97" s="49">
        <v>0.08</v>
      </c>
      <c r="T97" s="36">
        <v>1</v>
      </c>
      <c r="U97" s="12">
        <f t="shared" si="12"/>
        <v>0.08</v>
      </c>
      <c r="V97" s="112"/>
      <c r="W97" s="97"/>
      <c r="X97" s="129"/>
    </row>
    <row r="98" spans="1:24" s="90" customFormat="1" x14ac:dyDescent="0.15">
      <c r="A98" s="174">
        <v>32</v>
      </c>
      <c r="B98" s="174" t="s">
        <v>122</v>
      </c>
      <c r="C98" s="174" t="s">
        <v>123</v>
      </c>
      <c r="D98" s="174"/>
      <c r="E98" s="174"/>
      <c r="F98" s="174" t="s">
        <v>32</v>
      </c>
      <c r="G98" s="174">
        <v>158</v>
      </c>
      <c r="H98" s="174">
        <v>98</v>
      </c>
      <c r="I98" s="174">
        <v>2.5</v>
      </c>
      <c r="J98" s="184">
        <v>4.6500000000000004</v>
      </c>
      <c r="K98" s="184">
        <v>2.5</v>
      </c>
      <c r="L98" s="174">
        <v>0.30399999999999999</v>
      </c>
      <c r="M98" s="174">
        <v>8.2000000000000003E-2</v>
      </c>
      <c r="N98" s="174">
        <v>0.222</v>
      </c>
      <c r="O98" s="164">
        <f>J98*L98-K98*N98</f>
        <v>0.85860000000000003</v>
      </c>
      <c r="P98" s="91" t="s">
        <v>33</v>
      </c>
      <c r="Q98" s="91" t="s">
        <v>38</v>
      </c>
      <c r="R98" s="88">
        <v>1</v>
      </c>
      <c r="S98" s="92">
        <v>0.05</v>
      </c>
      <c r="T98" s="88">
        <v>1</v>
      </c>
      <c r="U98" s="89">
        <f t="shared" si="12"/>
        <v>0.05</v>
      </c>
      <c r="V98" s="147">
        <v>1.18</v>
      </c>
      <c r="W98" s="140">
        <f>(O98+SUM(U98:U101))*V98</f>
        <v>1.2019479999999998</v>
      </c>
      <c r="X98" s="130">
        <v>1.4702</v>
      </c>
    </row>
    <row r="99" spans="1:24" s="90" customFormat="1" x14ac:dyDescent="0.15">
      <c r="A99" s="180"/>
      <c r="B99" s="180"/>
      <c r="C99" s="180"/>
      <c r="D99" s="180"/>
      <c r="E99" s="180"/>
      <c r="F99" s="180"/>
      <c r="G99" s="180"/>
      <c r="H99" s="180"/>
      <c r="I99" s="180"/>
      <c r="J99" s="185"/>
      <c r="K99" s="185"/>
      <c r="L99" s="180"/>
      <c r="M99" s="180"/>
      <c r="N99" s="180"/>
      <c r="O99" s="165"/>
      <c r="P99" s="91" t="s">
        <v>55</v>
      </c>
      <c r="Q99" s="91" t="s">
        <v>34</v>
      </c>
      <c r="R99" s="88">
        <v>1</v>
      </c>
      <c r="S99" s="92">
        <v>0.03</v>
      </c>
      <c r="T99" s="88">
        <v>1</v>
      </c>
      <c r="U99" s="89">
        <f t="shared" si="12"/>
        <v>0.03</v>
      </c>
      <c r="V99" s="148"/>
      <c r="W99" s="140"/>
      <c r="X99" s="130"/>
    </row>
    <row r="100" spans="1:24" s="90" customFormat="1" x14ac:dyDescent="0.15">
      <c r="A100" s="180"/>
      <c r="B100" s="180"/>
      <c r="C100" s="180"/>
      <c r="D100" s="180"/>
      <c r="E100" s="180"/>
      <c r="F100" s="180"/>
      <c r="G100" s="180"/>
      <c r="H100" s="180"/>
      <c r="I100" s="180"/>
      <c r="J100" s="185"/>
      <c r="K100" s="185"/>
      <c r="L100" s="180"/>
      <c r="M100" s="180"/>
      <c r="N100" s="180"/>
      <c r="O100" s="165"/>
      <c r="P100" s="91" t="s">
        <v>35</v>
      </c>
      <c r="Q100" s="91" t="s">
        <v>38</v>
      </c>
      <c r="R100" s="88">
        <v>1</v>
      </c>
      <c r="S100" s="92">
        <v>0.05</v>
      </c>
      <c r="T100" s="88">
        <v>1</v>
      </c>
      <c r="U100" s="89">
        <f t="shared" si="12"/>
        <v>0.05</v>
      </c>
      <c r="V100" s="148"/>
      <c r="W100" s="140"/>
      <c r="X100" s="130"/>
    </row>
    <row r="101" spans="1:24" s="90" customFormat="1" x14ac:dyDescent="0.15">
      <c r="A101" s="175"/>
      <c r="B101" s="175"/>
      <c r="C101" s="175"/>
      <c r="D101" s="175"/>
      <c r="E101" s="175"/>
      <c r="F101" s="175"/>
      <c r="G101" s="175"/>
      <c r="H101" s="175"/>
      <c r="I101" s="175"/>
      <c r="J101" s="186"/>
      <c r="K101" s="186"/>
      <c r="L101" s="175"/>
      <c r="M101" s="175"/>
      <c r="N101" s="175"/>
      <c r="O101" s="166"/>
      <c r="P101" s="91" t="s">
        <v>124</v>
      </c>
      <c r="Q101" s="91" t="s">
        <v>49</v>
      </c>
      <c r="R101" s="88">
        <v>1</v>
      </c>
      <c r="S101" s="92">
        <v>0.03</v>
      </c>
      <c r="T101" s="88">
        <v>1</v>
      </c>
      <c r="U101" s="89">
        <f t="shared" si="12"/>
        <v>0.03</v>
      </c>
      <c r="V101" s="149"/>
      <c r="W101" s="140"/>
      <c r="X101" s="130"/>
    </row>
    <row r="102" spans="1:24" s="90" customFormat="1" x14ac:dyDescent="0.15">
      <c r="A102" s="174">
        <v>33</v>
      </c>
      <c r="B102" s="174" t="s">
        <v>125</v>
      </c>
      <c r="C102" s="174" t="s">
        <v>126</v>
      </c>
      <c r="D102" s="174"/>
      <c r="E102" s="174"/>
      <c r="F102" s="174" t="s">
        <v>32</v>
      </c>
      <c r="G102" s="174">
        <v>158</v>
      </c>
      <c r="H102" s="174">
        <v>98</v>
      </c>
      <c r="I102" s="174">
        <v>2.5</v>
      </c>
      <c r="J102" s="184">
        <v>4.6500000000000004</v>
      </c>
      <c r="K102" s="184">
        <v>2.5</v>
      </c>
      <c r="L102" s="174">
        <v>0.30399999999999999</v>
      </c>
      <c r="M102" s="174">
        <v>8.2000000000000003E-2</v>
      </c>
      <c r="N102" s="174">
        <v>0.222</v>
      </c>
      <c r="O102" s="164">
        <f>J102*L102-K102*N102</f>
        <v>0.85860000000000003</v>
      </c>
      <c r="P102" s="91" t="s">
        <v>33</v>
      </c>
      <c r="Q102" s="91" t="s">
        <v>38</v>
      </c>
      <c r="R102" s="88">
        <v>1</v>
      </c>
      <c r="S102" s="92">
        <v>0.05</v>
      </c>
      <c r="T102" s="88">
        <v>1</v>
      </c>
      <c r="U102" s="89">
        <f t="shared" si="12"/>
        <v>0.05</v>
      </c>
      <c r="V102" s="147">
        <v>1.18</v>
      </c>
      <c r="W102" s="140">
        <f>(O102+SUM(U102:U105))*V102</f>
        <v>1.2019479999999998</v>
      </c>
      <c r="X102" s="130">
        <v>1.4702</v>
      </c>
    </row>
    <row r="103" spans="1:24" s="90" customFormat="1" x14ac:dyDescent="0.15">
      <c r="A103" s="180"/>
      <c r="B103" s="180"/>
      <c r="C103" s="180"/>
      <c r="D103" s="180"/>
      <c r="E103" s="180"/>
      <c r="F103" s="180"/>
      <c r="G103" s="180"/>
      <c r="H103" s="180"/>
      <c r="I103" s="180"/>
      <c r="J103" s="185"/>
      <c r="K103" s="185"/>
      <c r="L103" s="180"/>
      <c r="M103" s="180"/>
      <c r="N103" s="180"/>
      <c r="O103" s="165"/>
      <c r="P103" s="91" t="s">
        <v>55</v>
      </c>
      <c r="Q103" s="91" t="s">
        <v>34</v>
      </c>
      <c r="R103" s="88">
        <v>1</v>
      </c>
      <c r="S103" s="92">
        <v>0.03</v>
      </c>
      <c r="T103" s="88">
        <v>1</v>
      </c>
      <c r="U103" s="89">
        <f t="shared" si="12"/>
        <v>0.03</v>
      </c>
      <c r="V103" s="148"/>
      <c r="W103" s="140"/>
      <c r="X103" s="130"/>
    </row>
    <row r="104" spans="1:24" s="90" customFormat="1" x14ac:dyDescent="0.15">
      <c r="A104" s="180"/>
      <c r="B104" s="180"/>
      <c r="C104" s="180"/>
      <c r="D104" s="180"/>
      <c r="E104" s="180"/>
      <c r="F104" s="180"/>
      <c r="G104" s="180"/>
      <c r="H104" s="180"/>
      <c r="I104" s="180"/>
      <c r="J104" s="185"/>
      <c r="K104" s="185"/>
      <c r="L104" s="180"/>
      <c r="M104" s="180"/>
      <c r="N104" s="180"/>
      <c r="O104" s="165"/>
      <c r="P104" s="91" t="s">
        <v>35</v>
      </c>
      <c r="Q104" s="91" t="s">
        <v>38</v>
      </c>
      <c r="R104" s="88">
        <v>1</v>
      </c>
      <c r="S104" s="92">
        <v>0.05</v>
      </c>
      <c r="T104" s="88">
        <v>1</v>
      </c>
      <c r="U104" s="89">
        <f t="shared" si="12"/>
        <v>0.05</v>
      </c>
      <c r="V104" s="148"/>
      <c r="W104" s="140"/>
      <c r="X104" s="130"/>
    </row>
    <row r="105" spans="1:24" s="90" customFormat="1" x14ac:dyDescent="0.15">
      <c r="A105" s="175"/>
      <c r="B105" s="175"/>
      <c r="C105" s="175"/>
      <c r="D105" s="175"/>
      <c r="E105" s="175"/>
      <c r="F105" s="175"/>
      <c r="G105" s="175"/>
      <c r="H105" s="175"/>
      <c r="I105" s="175"/>
      <c r="J105" s="186"/>
      <c r="K105" s="186"/>
      <c r="L105" s="175"/>
      <c r="M105" s="175"/>
      <c r="N105" s="175"/>
      <c r="O105" s="166"/>
      <c r="P105" s="91" t="s">
        <v>124</v>
      </c>
      <c r="Q105" s="91" t="s">
        <v>49</v>
      </c>
      <c r="R105" s="88">
        <v>1</v>
      </c>
      <c r="S105" s="92">
        <v>0.03</v>
      </c>
      <c r="T105" s="88">
        <v>1</v>
      </c>
      <c r="U105" s="89">
        <f t="shared" si="12"/>
        <v>0.03</v>
      </c>
      <c r="V105" s="149"/>
      <c r="W105" s="140"/>
      <c r="X105" s="130"/>
    </row>
    <row r="106" spans="1:24" x14ac:dyDescent="0.15">
      <c r="A106" s="171">
        <v>34</v>
      </c>
      <c r="B106" s="171" t="s">
        <v>127</v>
      </c>
      <c r="C106" s="171" t="s">
        <v>128</v>
      </c>
      <c r="D106" s="171"/>
      <c r="E106" s="171"/>
      <c r="F106" s="171" t="s">
        <v>32</v>
      </c>
      <c r="G106" s="171">
        <v>281</v>
      </c>
      <c r="H106" s="171">
        <v>190</v>
      </c>
      <c r="I106" s="171">
        <v>3</v>
      </c>
      <c r="J106" s="181">
        <v>4.5999999999999996</v>
      </c>
      <c r="K106" s="181">
        <v>2.5</v>
      </c>
      <c r="L106" s="171">
        <v>1.2569999999999999</v>
      </c>
      <c r="M106" s="171">
        <v>0.39</v>
      </c>
      <c r="N106" s="171">
        <v>0.86699999999999999</v>
      </c>
      <c r="O106" s="98">
        <f>J106*L106-K106*N106</f>
        <v>3.6147</v>
      </c>
      <c r="P106" s="44" t="s">
        <v>33</v>
      </c>
      <c r="Q106" s="44" t="s">
        <v>54</v>
      </c>
      <c r="R106" s="36">
        <v>1</v>
      </c>
      <c r="S106" s="49">
        <v>0.08</v>
      </c>
      <c r="T106" s="36">
        <v>1</v>
      </c>
      <c r="U106" s="12">
        <f t="shared" si="12"/>
        <v>0.08</v>
      </c>
      <c r="V106" s="111">
        <v>1.1200000000000001</v>
      </c>
      <c r="W106" s="97">
        <f>(O106+SUM(U106:U108))*V106</f>
        <v>4.2612639999999997</v>
      </c>
      <c r="X106" s="131">
        <v>5</v>
      </c>
    </row>
    <row r="107" spans="1:24" x14ac:dyDescent="0.15">
      <c r="A107" s="172"/>
      <c r="B107" s="172"/>
      <c r="C107" s="172"/>
      <c r="D107" s="172"/>
      <c r="E107" s="172"/>
      <c r="F107" s="172"/>
      <c r="G107" s="172"/>
      <c r="H107" s="172"/>
      <c r="I107" s="172"/>
      <c r="J107" s="182"/>
      <c r="K107" s="182"/>
      <c r="L107" s="172"/>
      <c r="M107" s="172"/>
      <c r="N107" s="172"/>
      <c r="O107" s="157"/>
      <c r="P107" s="44" t="s">
        <v>55</v>
      </c>
      <c r="Q107" s="44" t="s">
        <v>34</v>
      </c>
      <c r="R107" s="36">
        <v>1</v>
      </c>
      <c r="S107" s="49">
        <v>0.03</v>
      </c>
      <c r="T107" s="36">
        <v>1</v>
      </c>
      <c r="U107" s="12">
        <f t="shared" si="12"/>
        <v>0.03</v>
      </c>
      <c r="V107" s="135"/>
      <c r="W107" s="97"/>
      <c r="X107" s="131"/>
    </row>
    <row r="108" spans="1:24" x14ac:dyDescent="0.15">
      <c r="A108" s="173"/>
      <c r="B108" s="173"/>
      <c r="C108" s="173"/>
      <c r="D108" s="173"/>
      <c r="E108" s="173"/>
      <c r="F108" s="173"/>
      <c r="G108" s="173"/>
      <c r="H108" s="173"/>
      <c r="I108" s="173"/>
      <c r="J108" s="183"/>
      <c r="K108" s="183"/>
      <c r="L108" s="173"/>
      <c r="M108" s="173"/>
      <c r="N108" s="173"/>
      <c r="O108" s="99"/>
      <c r="P108" s="44" t="s">
        <v>35</v>
      </c>
      <c r="Q108" s="44" t="s">
        <v>54</v>
      </c>
      <c r="R108" s="36">
        <v>1</v>
      </c>
      <c r="S108" s="49">
        <v>0.08</v>
      </c>
      <c r="T108" s="36">
        <v>1</v>
      </c>
      <c r="U108" s="12">
        <f t="shared" si="12"/>
        <v>0.08</v>
      </c>
      <c r="V108" s="112"/>
      <c r="W108" s="97"/>
      <c r="X108" s="131"/>
    </row>
    <row r="109" spans="1:24" x14ac:dyDescent="0.15">
      <c r="A109" s="171">
        <v>35</v>
      </c>
      <c r="B109" s="171" t="s">
        <v>129</v>
      </c>
      <c r="C109" s="171" t="s">
        <v>130</v>
      </c>
      <c r="D109" s="171"/>
      <c r="E109" s="171"/>
      <c r="F109" s="171" t="s">
        <v>32</v>
      </c>
      <c r="G109" s="171">
        <v>281</v>
      </c>
      <c r="H109" s="171">
        <v>190</v>
      </c>
      <c r="I109" s="171">
        <v>3</v>
      </c>
      <c r="J109" s="181">
        <v>4.5999999999999996</v>
      </c>
      <c r="K109" s="181">
        <v>2.5</v>
      </c>
      <c r="L109" s="171">
        <v>1.2569999999999999</v>
      </c>
      <c r="M109" s="171">
        <v>0.39</v>
      </c>
      <c r="N109" s="171">
        <v>0.86699999999999999</v>
      </c>
      <c r="O109" s="98">
        <f>J109*L109-K109*N109</f>
        <v>3.6147</v>
      </c>
      <c r="P109" s="44" t="s">
        <v>33</v>
      </c>
      <c r="Q109" s="44" t="s">
        <v>54</v>
      </c>
      <c r="R109" s="36">
        <v>1</v>
      </c>
      <c r="S109" s="49">
        <v>0.08</v>
      </c>
      <c r="T109" s="36">
        <v>1</v>
      </c>
      <c r="U109" s="12">
        <f t="shared" si="12"/>
        <v>0.08</v>
      </c>
      <c r="V109" s="111">
        <v>1.1200000000000001</v>
      </c>
      <c r="W109" s="97">
        <f>(O109+SUM(U109:U111))*V109</f>
        <v>4.2612639999999997</v>
      </c>
      <c r="X109" s="131">
        <v>5</v>
      </c>
    </row>
    <row r="110" spans="1:24" x14ac:dyDescent="0.15">
      <c r="A110" s="172"/>
      <c r="B110" s="172"/>
      <c r="C110" s="172"/>
      <c r="D110" s="172"/>
      <c r="E110" s="172"/>
      <c r="F110" s="172"/>
      <c r="G110" s="172"/>
      <c r="H110" s="172"/>
      <c r="I110" s="172"/>
      <c r="J110" s="182"/>
      <c r="K110" s="182"/>
      <c r="L110" s="172"/>
      <c r="M110" s="172"/>
      <c r="N110" s="172"/>
      <c r="O110" s="157"/>
      <c r="P110" s="44" t="s">
        <v>55</v>
      </c>
      <c r="Q110" s="44" t="s">
        <v>34</v>
      </c>
      <c r="R110" s="36">
        <v>1</v>
      </c>
      <c r="S110" s="49">
        <v>0.03</v>
      </c>
      <c r="T110" s="36">
        <v>1</v>
      </c>
      <c r="U110" s="12">
        <f t="shared" si="12"/>
        <v>0.03</v>
      </c>
      <c r="V110" s="135"/>
      <c r="W110" s="97"/>
      <c r="X110" s="131"/>
    </row>
    <row r="111" spans="1:24" x14ac:dyDescent="0.15">
      <c r="A111" s="173"/>
      <c r="B111" s="173"/>
      <c r="C111" s="173"/>
      <c r="D111" s="173"/>
      <c r="E111" s="173"/>
      <c r="F111" s="173"/>
      <c r="G111" s="173"/>
      <c r="H111" s="173"/>
      <c r="I111" s="173"/>
      <c r="J111" s="183"/>
      <c r="K111" s="183"/>
      <c r="L111" s="173"/>
      <c r="M111" s="173"/>
      <c r="N111" s="173"/>
      <c r="O111" s="99"/>
      <c r="P111" s="44" t="s">
        <v>35</v>
      </c>
      <c r="Q111" s="44" t="s">
        <v>54</v>
      </c>
      <c r="R111" s="36">
        <v>1</v>
      </c>
      <c r="S111" s="49">
        <v>0.08</v>
      </c>
      <c r="T111" s="36">
        <v>1</v>
      </c>
      <c r="U111" s="12">
        <f t="shared" si="12"/>
        <v>0.08</v>
      </c>
      <c r="V111" s="112"/>
      <c r="W111" s="97"/>
      <c r="X111" s="131"/>
    </row>
    <row r="112" spans="1:24" ht="14.25" customHeight="1" x14ac:dyDescent="0.15">
      <c r="A112" s="121">
        <v>36</v>
      </c>
      <c r="B112" s="121" t="s">
        <v>131</v>
      </c>
      <c r="C112" s="121" t="s">
        <v>132</v>
      </c>
      <c r="D112" s="42" t="s">
        <v>133</v>
      </c>
      <c r="E112" s="28">
        <v>1</v>
      </c>
      <c r="F112" s="28">
        <v>440</v>
      </c>
      <c r="G112" s="42">
        <v>247</v>
      </c>
      <c r="H112" s="42">
        <v>70</v>
      </c>
      <c r="I112" s="42">
        <v>3</v>
      </c>
      <c r="J112" s="47">
        <v>4.5999999999999996</v>
      </c>
      <c r="K112" s="47">
        <v>2.5</v>
      </c>
      <c r="L112" s="42">
        <v>0.40699999999999997</v>
      </c>
      <c r="M112" s="28">
        <v>0.311</v>
      </c>
      <c r="N112" s="42">
        <v>9.6000000000000002E-2</v>
      </c>
      <c r="O112" s="48">
        <f>J112*L112-K112*N112</f>
        <v>1.6322000000000001</v>
      </c>
      <c r="P112" s="44" t="s">
        <v>33</v>
      </c>
      <c r="Q112" s="44" t="s">
        <v>54</v>
      </c>
      <c r="R112" s="36">
        <v>1</v>
      </c>
      <c r="S112" s="49">
        <v>0.08</v>
      </c>
      <c r="T112" s="36">
        <v>1</v>
      </c>
      <c r="U112" s="12">
        <f t="shared" si="12"/>
        <v>0.08</v>
      </c>
      <c r="V112" s="141">
        <v>1.1200000000000001</v>
      </c>
      <c r="W112" s="141">
        <f>(O112+SUM(U112:U116))*V112+SUM(O113:O115)*1.03</f>
        <v>3.159824</v>
      </c>
      <c r="X112" s="132">
        <v>4.3048000000000002</v>
      </c>
    </row>
    <row r="113" spans="1:24" x14ac:dyDescent="0.15">
      <c r="A113" s="121"/>
      <c r="B113" s="121"/>
      <c r="C113" s="121"/>
      <c r="D113" s="43" t="s">
        <v>134</v>
      </c>
      <c r="E113" s="44">
        <v>2</v>
      </c>
      <c r="F113" s="44"/>
      <c r="G113" s="43"/>
      <c r="H113" s="43"/>
      <c r="I113" s="43"/>
      <c r="J113" s="49">
        <v>0.34100000000000003</v>
      </c>
      <c r="K113" s="49"/>
      <c r="L113" s="43"/>
      <c r="M113" s="43"/>
      <c r="N113" s="43"/>
      <c r="O113" s="49">
        <f t="shared" ref="O113:O115" si="13">E113*J113</f>
        <v>0.68200000000000005</v>
      </c>
      <c r="P113" s="44" t="s">
        <v>55</v>
      </c>
      <c r="Q113" s="44" t="s">
        <v>38</v>
      </c>
      <c r="R113" s="36">
        <v>1</v>
      </c>
      <c r="S113" s="49">
        <v>0.05</v>
      </c>
      <c r="T113" s="36">
        <v>1</v>
      </c>
      <c r="U113" s="12">
        <f t="shared" si="12"/>
        <v>0.05</v>
      </c>
      <c r="V113" s="142"/>
      <c r="W113" s="142"/>
      <c r="X113" s="133"/>
    </row>
    <row r="114" spans="1:24" x14ac:dyDescent="0.15">
      <c r="A114" s="121"/>
      <c r="B114" s="121"/>
      <c r="C114" s="121"/>
      <c r="D114" s="43" t="s">
        <v>135</v>
      </c>
      <c r="E114" s="44">
        <v>1</v>
      </c>
      <c r="F114" s="44"/>
      <c r="G114" s="43"/>
      <c r="H114" s="43"/>
      <c r="I114" s="43"/>
      <c r="J114" s="49">
        <v>0.28000000000000003</v>
      </c>
      <c r="K114" s="49"/>
      <c r="L114" s="43"/>
      <c r="M114" s="43"/>
      <c r="N114" s="43"/>
      <c r="O114" s="49">
        <f t="shared" si="13"/>
        <v>0.28000000000000003</v>
      </c>
      <c r="P114" s="44" t="s">
        <v>35</v>
      </c>
      <c r="Q114" s="44" t="s">
        <v>38</v>
      </c>
      <c r="R114" s="36">
        <v>1</v>
      </c>
      <c r="S114" s="49">
        <v>0.05</v>
      </c>
      <c r="T114" s="36">
        <v>1</v>
      </c>
      <c r="U114" s="12">
        <f t="shared" si="12"/>
        <v>0.05</v>
      </c>
      <c r="V114" s="142"/>
      <c r="W114" s="142"/>
      <c r="X114" s="133"/>
    </row>
    <row r="115" spans="1:24" x14ac:dyDescent="0.15">
      <c r="A115" s="121"/>
      <c r="B115" s="121"/>
      <c r="C115" s="121"/>
      <c r="D115" s="43" t="s">
        <v>136</v>
      </c>
      <c r="E115" s="44">
        <v>1</v>
      </c>
      <c r="F115" s="44"/>
      <c r="G115" s="43"/>
      <c r="H115" s="43"/>
      <c r="I115" s="43"/>
      <c r="J115" s="49">
        <v>7.0000000000000007E-2</v>
      </c>
      <c r="K115" s="49"/>
      <c r="L115" s="43"/>
      <c r="M115" s="43"/>
      <c r="N115" s="43"/>
      <c r="O115" s="49">
        <f t="shared" si="13"/>
        <v>7.0000000000000007E-2</v>
      </c>
      <c r="P115" s="44" t="s">
        <v>55</v>
      </c>
      <c r="Q115" s="44" t="s">
        <v>49</v>
      </c>
      <c r="R115" s="36">
        <v>1</v>
      </c>
      <c r="S115" s="49">
        <v>0.03</v>
      </c>
      <c r="T115" s="36">
        <v>1</v>
      </c>
      <c r="U115" s="12">
        <f t="shared" si="12"/>
        <v>0.03</v>
      </c>
      <c r="V115" s="142"/>
      <c r="W115" s="142"/>
      <c r="X115" s="133"/>
    </row>
    <row r="116" spans="1:24" x14ac:dyDescent="0.15">
      <c r="A116" s="121"/>
      <c r="B116" s="121"/>
      <c r="C116" s="121"/>
      <c r="D116" s="43"/>
      <c r="E116" s="44"/>
      <c r="F116" s="44"/>
      <c r="G116" s="43"/>
      <c r="H116" s="43"/>
      <c r="I116" s="43"/>
      <c r="J116" s="49"/>
      <c r="K116" s="49"/>
      <c r="L116" s="43"/>
      <c r="M116" s="43"/>
      <c r="N116" s="43"/>
      <c r="O116" s="49"/>
      <c r="P116" s="44" t="s">
        <v>124</v>
      </c>
      <c r="Q116" s="44" t="s">
        <v>49</v>
      </c>
      <c r="R116" s="36">
        <v>1</v>
      </c>
      <c r="S116" s="49">
        <v>0.03</v>
      </c>
      <c r="T116" s="36">
        <v>1</v>
      </c>
      <c r="U116" s="12">
        <f t="shared" si="12"/>
        <v>0.03</v>
      </c>
      <c r="V116" s="143"/>
      <c r="W116" s="143"/>
      <c r="X116" s="134"/>
    </row>
    <row r="117" spans="1:24" x14ac:dyDescent="0.15">
      <c r="A117" s="171">
        <v>37</v>
      </c>
      <c r="B117" s="171" t="s">
        <v>137</v>
      </c>
      <c r="C117" s="171" t="s">
        <v>138</v>
      </c>
      <c r="D117" s="171"/>
      <c r="E117" s="171"/>
      <c r="F117" s="171" t="s">
        <v>139</v>
      </c>
      <c r="G117" s="171">
        <v>84</v>
      </c>
      <c r="H117" s="171">
        <v>41</v>
      </c>
      <c r="I117" s="171">
        <v>2</v>
      </c>
      <c r="J117" s="181">
        <v>4.3499999999999996</v>
      </c>
      <c r="K117" s="181">
        <v>2.5</v>
      </c>
      <c r="L117" s="171">
        <v>5.5E-2</v>
      </c>
      <c r="M117" s="171">
        <v>2.5000000000000001E-2</v>
      </c>
      <c r="N117" s="171">
        <v>0.03</v>
      </c>
      <c r="O117" s="156">
        <f t="shared" ref="O117:O121" si="14">J117*L117-K117*N117</f>
        <v>0.16425000000000001</v>
      </c>
      <c r="P117" s="44" t="s">
        <v>33</v>
      </c>
      <c r="Q117" s="44" t="s">
        <v>34</v>
      </c>
      <c r="R117" s="36">
        <v>1</v>
      </c>
      <c r="S117" s="49">
        <v>0.03</v>
      </c>
      <c r="T117" s="36">
        <v>1</v>
      </c>
      <c r="U117" s="12">
        <f t="shared" si="12"/>
        <v>0.03</v>
      </c>
      <c r="V117" s="111">
        <v>1.18</v>
      </c>
      <c r="W117" s="97">
        <f>(O117+SUM(U117:U118))*V117</f>
        <v>0.26461499999999999</v>
      </c>
      <c r="X117" s="129">
        <v>0.27050000000000002</v>
      </c>
    </row>
    <row r="118" spans="1:24" x14ac:dyDescent="0.15">
      <c r="A118" s="173"/>
      <c r="B118" s="173"/>
      <c r="C118" s="173"/>
      <c r="D118" s="173"/>
      <c r="E118" s="173"/>
      <c r="F118" s="173"/>
      <c r="G118" s="173"/>
      <c r="H118" s="173"/>
      <c r="I118" s="173"/>
      <c r="J118" s="183"/>
      <c r="K118" s="183"/>
      <c r="L118" s="173"/>
      <c r="M118" s="173"/>
      <c r="N118" s="173"/>
      <c r="O118" s="156"/>
      <c r="P118" s="44" t="s">
        <v>35</v>
      </c>
      <c r="Q118" s="44" t="s">
        <v>49</v>
      </c>
      <c r="R118" s="36">
        <v>1</v>
      </c>
      <c r="S118" s="49">
        <v>0.03</v>
      </c>
      <c r="T118" s="36">
        <v>1</v>
      </c>
      <c r="U118" s="12">
        <f t="shared" si="12"/>
        <v>0.03</v>
      </c>
      <c r="V118" s="112"/>
      <c r="W118" s="97"/>
      <c r="X118" s="129"/>
    </row>
    <row r="119" spans="1:24" s="90" customFormat="1" x14ac:dyDescent="0.15">
      <c r="A119" s="174">
        <v>38</v>
      </c>
      <c r="B119" s="174" t="s">
        <v>140</v>
      </c>
      <c r="C119" s="174" t="s">
        <v>141</v>
      </c>
      <c r="D119" s="174"/>
      <c r="E119" s="174"/>
      <c r="F119" s="174" t="s">
        <v>139</v>
      </c>
      <c r="G119" s="174">
        <v>162</v>
      </c>
      <c r="H119" s="174">
        <v>107</v>
      </c>
      <c r="I119" s="174">
        <v>1</v>
      </c>
      <c r="J119" s="184">
        <v>4.4000000000000004</v>
      </c>
      <c r="K119" s="184">
        <v>2.5</v>
      </c>
      <c r="L119" s="174">
        <v>0.13600000000000001</v>
      </c>
      <c r="M119" s="174">
        <v>7.5999999999999998E-2</v>
      </c>
      <c r="N119" s="174">
        <v>0.06</v>
      </c>
      <c r="O119" s="159">
        <f t="shared" si="14"/>
        <v>0.44840000000000002</v>
      </c>
      <c r="P119" s="91" t="s">
        <v>33</v>
      </c>
      <c r="Q119" s="91" t="s">
        <v>34</v>
      </c>
      <c r="R119" s="88">
        <v>1</v>
      </c>
      <c r="S119" s="92">
        <v>0.03</v>
      </c>
      <c r="T119" s="88">
        <v>1</v>
      </c>
      <c r="U119" s="89">
        <f t="shared" si="12"/>
        <v>0.03</v>
      </c>
      <c r="V119" s="147">
        <v>1.18</v>
      </c>
      <c r="W119" s="140">
        <f>(O119+SUM(U119:U120))*V119</f>
        <v>0.59991199999999989</v>
      </c>
      <c r="X119" s="130">
        <v>0.60019999999999996</v>
      </c>
    </row>
    <row r="120" spans="1:24" s="90" customFormat="1" x14ac:dyDescent="0.15">
      <c r="A120" s="175"/>
      <c r="B120" s="175"/>
      <c r="C120" s="175"/>
      <c r="D120" s="175"/>
      <c r="E120" s="175"/>
      <c r="F120" s="175"/>
      <c r="G120" s="175"/>
      <c r="H120" s="175"/>
      <c r="I120" s="175"/>
      <c r="J120" s="186"/>
      <c r="K120" s="186"/>
      <c r="L120" s="175"/>
      <c r="M120" s="175"/>
      <c r="N120" s="175"/>
      <c r="O120" s="159"/>
      <c r="P120" s="91" t="s">
        <v>35</v>
      </c>
      <c r="Q120" s="91" t="s">
        <v>34</v>
      </c>
      <c r="R120" s="88">
        <v>1</v>
      </c>
      <c r="S120" s="92">
        <v>0.03</v>
      </c>
      <c r="T120" s="88">
        <v>1</v>
      </c>
      <c r="U120" s="89">
        <f t="shared" si="12"/>
        <v>0.03</v>
      </c>
      <c r="V120" s="149"/>
      <c r="W120" s="140"/>
      <c r="X120" s="130"/>
    </row>
    <row r="121" spans="1:24" x14ac:dyDescent="0.15">
      <c r="A121" s="171">
        <v>39</v>
      </c>
      <c r="B121" s="171" t="s">
        <v>142</v>
      </c>
      <c r="C121" s="171" t="s">
        <v>143</v>
      </c>
      <c r="D121" s="171"/>
      <c r="E121" s="171"/>
      <c r="F121" s="171" t="s">
        <v>32</v>
      </c>
      <c r="G121" s="171">
        <v>247</v>
      </c>
      <c r="H121" s="171">
        <v>90</v>
      </c>
      <c r="I121" s="171">
        <v>3</v>
      </c>
      <c r="J121" s="181">
        <v>4.5999999999999996</v>
      </c>
      <c r="K121" s="181">
        <v>2.5</v>
      </c>
      <c r="L121" s="171">
        <v>0.52300000000000002</v>
      </c>
      <c r="M121" s="171">
        <v>0.40600000000000003</v>
      </c>
      <c r="N121" s="171">
        <v>0.11700000000000001</v>
      </c>
      <c r="O121" s="98">
        <f t="shared" si="14"/>
        <v>2.1133000000000002</v>
      </c>
      <c r="P121" s="44" t="s">
        <v>33</v>
      </c>
      <c r="Q121" s="50" t="s">
        <v>53</v>
      </c>
      <c r="R121" s="36">
        <v>1</v>
      </c>
      <c r="S121" s="49">
        <v>0.1</v>
      </c>
      <c r="T121" s="36">
        <v>1</v>
      </c>
      <c r="U121" s="12">
        <f t="shared" si="12"/>
        <v>0.1</v>
      </c>
      <c r="V121" s="111">
        <v>1.1200000000000001</v>
      </c>
      <c r="W121" s="97">
        <f>(O121+SUM(U121:U123))*V121</f>
        <v>2.5908959999999999</v>
      </c>
      <c r="X121" s="129">
        <v>2.4975000000000001</v>
      </c>
    </row>
    <row r="122" spans="1:24" x14ac:dyDescent="0.15">
      <c r="A122" s="172"/>
      <c r="B122" s="172"/>
      <c r="C122" s="172"/>
      <c r="D122" s="172"/>
      <c r="E122" s="172"/>
      <c r="F122" s="172"/>
      <c r="G122" s="172"/>
      <c r="H122" s="172"/>
      <c r="I122" s="172"/>
      <c r="J122" s="182"/>
      <c r="K122" s="182"/>
      <c r="L122" s="172"/>
      <c r="M122" s="172"/>
      <c r="N122" s="172"/>
      <c r="O122" s="157"/>
      <c r="P122" s="44" t="s">
        <v>55</v>
      </c>
      <c r="Q122" s="44" t="s">
        <v>38</v>
      </c>
      <c r="R122" s="36">
        <v>1</v>
      </c>
      <c r="S122" s="49">
        <v>0.05</v>
      </c>
      <c r="T122" s="36">
        <v>1</v>
      </c>
      <c r="U122" s="12">
        <f t="shared" si="12"/>
        <v>0.05</v>
      </c>
      <c r="V122" s="135"/>
      <c r="W122" s="97"/>
      <c r="X122" s="129"/>
    </row>
    <row r="123" spans="1:24" x14ac:dyDescent="0.15">
      <c r="A123" s="173"/>
      <c r="B123" s="173"/>
      <c r="C123" s="173"/>
      <c r="D123" s="173"/>
      <c r="E123" s="173"/>
      <c r="F123" s="173"/>
      <c r="G123" s="173"/>
      <c r="H123" s="173"/>
      <c r="I123" s="173"/>
      <c r="J123" s="183"/>
      <c r="K123" s="183"/>
      <c r="L123" s="173"/>
      <c r="M123" s="173"/>
      <c r="N123" s="173"/>
      <c r="O123" s="99"/>
      <c r="P123" s="44" t="s">
        <v>35</v>
      </c>
      <c r="Q123" s="44" t="s">
        <v>38</v>
      </c>
      <c r="R123" s="36">
        <v>1</v>
      </c>
      <c r="S123" s="49">
        <v>0.05</v>
      </c>
      <c r="T123" s="36">
        <v>1</v>
      </c>
      <c r="U123" s="12">
        <f t="shared" si="12"/>
        <v>0.05</v>
      </c>
      <c r="V123" s="112"/>
      <c r="W123" s="97"/>
      <c r="X123" s="129"/>
    </row>
    <row r="124" spans="1:24" x14ac:dyDescent="0.15">
      <c r="A124" s="171">
        <v>40</v>
      </c>
      <c r="B124" s="171" t="s">
        <v>144</v>
      </c>
      <c r="C124" s="171" t="s">
        <v>145</v>
      </c>
      <c r="D124" s="43" t="s">
        <v>146</v>
      </c>
      <c r="E124" s="44">
        <v>1</v>
      </c>
      <c r="F124" s="44"/>
      <c r="G124" s="43"/>
      <c r="H124" s="43"/>
      <c r="I124" s="43"/>
      <c r="J124" s="49">
        <f>W121</f>
        <v>2.5908959999999999</v>
      </c>
      <c r="K124" s="49"/>
      <c r="L124" s="43"/>
      <c r="M124" s="43"/>
      <c r="N124" s="43"/>
      <c r="O124" s="49">
        <f t="shared" ref="O124:O128" si="15">E124*J124</f>
        <v>2.5908959999999999</v>
      </c>
      <c r="P124" s="132" t="s">
        <v>147</v>
      </c>
      <c r="Q124" s="132"/>
      <c r="R124" s="132">
        <v>4</v>
      </c>
      <c r="S124" s="150">
        <v>7.0000000000000007E-2</v>
      </c>
      <c r="T124" s="132">
        <v>1</v>
      </c>
      <c r="U124" s="150">
        <f t="shared" si="12"/>
        <v>0.28000000000000003</v>
      </c>
      <c r="V124" s="111">
        <v>1.1399999999999999</v>
      </c>
      <c r="W124" s="97">
        <f>U124*V124+O124+O125*1.03</f>
        <v>3.5486960000000001</v>
      </c>
      <c r="X124" s="132">
        <v>3.9881000000000002</v>
      </c>
    </row>
    <row r="125" spans="1:24" x14ac:dyDescent="0.15">
      <c r="A125" s="173"/>
      <c r="B125" s="173"/>
      <c r="C125" s="173"/>
      <c r="D125" s="43" t="s">
        <v>148</v>
      </c>
      <c r="E125" s="44">
        <v>2</v>
      </c>
      <c r="F125" s="44"/>
      <c r="G125" s="43"/>
      <c r="H125" s="43"/>
      <c r="I125" s="43"/>
      <c r="J125" s="49">
        <v>0.31</v>
      </c>
      <c r="K125" s="49"/>
      <c r="L125" s="43"/>
      <c r="M125" s="43"/>
      <c r="N125" s="43"/>
      <c r="O125" s="49">
        <f t="shared" si="15"/>
        <v>0.62</v>
      </c>
      <c r="P125" s="134"/>
      <c r="Q125" s="134"/>
      <c r="R125" s="134"/>
      <c r="S125" s="151"/>
      <c r="T125" s="134"/>
      <c r="U125" s="151"/>
      <c r="V125" s="112"/>
      <c r="W125" s="97"/>
      <c r="X125" s="134"/>
    </row>
    <row r="126" spans="1:24" ht="14.25" customHeight="1" x14ac:dyDescent="0.15">
      <c r="A126" s="106">
        <v>41</v>
      </c>
      <c r="B126" s="106" t="s">
        <v>149</v>
      </c>
      <c r="C126" s="106" t="s">
        <v>150</v>
      </c>
      <c r="D126" s="176" t="s">
        <v>146</v>
      </c>
      <c r="E126" s="176">
        <v>1</v>
      </c>
      <c r="F126" s="176" t="s">
        <v>32</v>
      </c>
      <c r="G126" s="176">
        <v>247</v>
      </c>
      <c r="H126" s="176">
        <v>70</v>
      </c>
      <c r="I126" s="176">
        <v>3</v>
      </c>
      <c r="J126" s="187">
        <v>4.5999999999999996</v>
      </c>
      <c r="K126" s="187">
        <v>2.5</v>
      </c>
      <c r="L126" s="176">
        <v>0.40699999999999997</v>
      </c>
      <c r="M126" s="176">
        <v>0.311</v>
      </c>
      <c r="N126" s="176">
        <v>9.6000000000000002E-2</v>
      </c>
      <c r="O126" s="156">
        <f>J126*L126-K126*N126</f>
        <v>1.6322000000000001</v>
      </c>
      <c r="P126" s="44" t="s">
        <v>33</v>
      </c>
      <c r="Q126" s="44" t="s">
        <v>54</v>
      </c>
      <c r="R126" s="36">
        <v>1</v>
      </c>
      <c r="S126" s="49">
        <v>0.08</v>
      </c>
      <c r="T126" s="36">
        <v>1</v>
      </c>
      <c r="U126" s="12">
        <f t="shared" ref="U126:U189" si="16">R126*S126/T126</f>
        <v>0.08</v>
      </c>
      <c r="V126" s="116">
        <v>1.1200000000000001</v>
      </c>
      <c r="W126" s="111">
        <f>(O126+SUM(U126:U130))*V126+O128*1.03</f>
        <v>3.0154640000000001</v>
      </c>
      <c r="X126" s="116">
        <v>3.7639999999999998</v>
      </c>
    </row>
    <row r="127" spans="1:24" x14ac:dyDescent="0.15">
      <c r="A127" s="107"/>
      <c r="B127" s="107"/>
      <c r="C127" s="107"/>
      <c r="D127" s="176"/>
      <c r="E127" s="176"/>
      <c r="F127" s="176"/>
      <c r="G127" s="176"/>
      <c r="H127" s="176"/>
      <c r="I127" s="176"/>
      <c r="J127" s="187"/>
      <c r="K127" s="187"/>
      <c r="L127" s="176"/>
      <c r="M127" s="176"/>
      <c r="N127" s="176"/>
      <c r="O127" s="156"/>
      <c r="P127" s="44" t="s">
        <v>55</v>
      </c>
      <c r="Q127" s="44" t="s">
        <v>38</v>
      </c>
      <c r="R127" s="36">
        <v>1</v>
      </c>
      <c r="S127" s="49">
        <v>0.05</v>
      </c>
      <c r="T127" s="36">
        <v>1</v>
      </c>
      <c r="U127" s="12">
        <f t="shared" si="16"/>
        <v>0.05</v>
      </c>
      <c r="V127" s="124"/>
      <c r="W127" s="135"/>
      <c r="X127" s="124"/>
    </row>
    <row r="128" spans="1:24" x14ac:dyDescent="0.15">
      <c r="A128" s="107"/>
      <c r="B128" s="107"/>
      <c r="C128" s="107"/>
      <c r="D128" s="176" t="s">
        <v>148</v>
      </c>
      <c r="E128" s="176">
        <v>2</v>
      </c>
      <c r="F128" s="176"/>
      <c r="G128" s="176"/>
      <c r="H128" s="176"/>
      <c r="I128" s="176"/>
      <c r="J128" s="187">
        <v>0.31</v>
      </c>
      <c r="K128" s="187"/>
      <c r="L128" s="176"/>
      <c r="M128" s="176"/>
      <c r="N128" s="176"/>
      <c r="O128" s="160">
        <f t="shared" si="15"/>
        <v>0.62</v>
      </c>
      <c r="P128" s="44" t="s">
        <v>35</v>
      </c>
      <c r="Q128" s="44" t="s">
        <v>38</v>
      </c>
      <c r="R128" s="36">
        <v>1</v>
      </c>
      <c r="S128" s="49">
        <v>0.05</v>
      </c>
      <c r="T128" s="36">
        <v>1</v>
      </c>
      <c r="U128" s="12">
        <f t="shared" si="16"/>
        <v>0.05</v>
      </c>
      <c r="V128" s="124"/>
      <c r="W128" s="135"/>
      <c r="X128" s="124"/>
    </row>
    <row r="129" spans="1:24" x14ac:dyDescent="0.15">
      <c r="A129" s="107"/>
      <c r="B129" s="107"/>
      <c r="C129" s="107"/>
      <c r="D129" s="176"/>
      <c r="E129" s="176"/>
      <c r="F129" s="176"/>
      <c r="G129" s="176"/>
      <c r="H129" s="176"/>
      <c r="I129" s="176"/>
      <c r="J129" s="187"/>
      <c r="K129" s="187"/>
      <c r="L129" s="176"/>
      <c r="M129" s="176"/>
      <c r="N129" s="176"/>
      <c r="O129" s="160"/>
      <c r="P129" s="44" t="s">
        <v>55</v>
      </c>
      <c r="Q129" s="44" t="s">
        <v>49</v>
      </c>
      <c r="R129" s="36">
        <v>1</v>
      </c>
      <c r="S129" s="49">
        <v>0.03</v>
      </c>
      <c r="T129" s="36">
        <v>1</v>
      </c>
      <c r="U129" s="12">
        <f t="shared" si="16"/>
        <v>0.03</v>
      </c>
      <c r="V129" s="124"/>
      <c r="W129" s="135"/>
      <c r="X129" s="124"/>
    </row>
    <row r="130" spans="1:24" x14ac:dyDescent="0.15">
      <c r="A130" s="108"/>
      <c r="B130" s="108"/>
      <c r="C130" s="108"/>
      <c r="D130" s="51"/>
      <c r="E130" s="39"/>
      <c r="F130" s="39"/>
      <c r="G130" s="51"/>
      <c r="H130" s="51"/>
      <c r="I130" s="51"/>
      <c r="J130" s="53"/>
      <c r="K130" s="53"/>
      <c r="L130" s="51"/>
      <c r="M130" s="51"/>
      <c r="N130" s="51"/>
      <c r="O130" s="53"/>
      <c r="P130" s="39" t="s">
        <v>147</v>
      </c>
      <c r="Q130" s="39"/>
      <c r="R130" s="36">
        <v>4</v>
      </c>
      <c r="S130" s="53">
        <v>7.0000000000000007E-2</v>
      </c>
      <c r="T130" s="36">
        <v>1</v>
      </c>
      <c r="U130" s="12">
        <f t="shared" si="16"/>
        <v>0.28000000000000003</v>
      </c>
      <c r="V130" s="117"/>
      <c r="W130" s="112"/>
      <c r="X130" s="117"/>
    </row>
    <row r="131" spans="1:24" x14ac:dyDescent="0.15">
      <c r="A131" s="171">
        <v>42</v>
      </c>
      <c r="B131" s="171" t="s">
        <v>151</v>
      </c>
      <c r="C131" s="171" t="s">
        <v>152</v>
      </c>
      <c r="D131" s="171"/>
      <c r="E131" s="171"/>
      <c r="F131" s="171" t="s">
        <v>32</v>
      </c>
      <c r="G131" s="171">
        <v>266</v>
      </c>
      <c r="H131" s="171">
        <v>68</v>
      </c>
      <c r="I131" s="171">
        <v>3</v>
      </c>
      <c r="J131" s="181">
        <v>4.5999999999999996</v>
      </c>
      <c r="K131" s="181">
        <v>2.5</v>
      </c>
      <c r="L131" s="171">
        <v>0.42599999999999999</v>
      </c>
      <c r="M131" s="171">
        <v>0.32300000000000001</v>
      </c>
      <c r="N131" s="171">
        <v>0.10299999999999999</v>
      </c>
      <c r="O131" s="98">
        <f>J131*L131-K131*N131</f>
        <v>1.7020999999999999</v>
      </c>
      <c r="P131" s="44" t="s">
        <v>33</v>
      </c>
      <c r="Q131" s="44" t="s">
        <v>54</v>
      </c>
      <c r="R131" s="34">
        <v>1</v>
      </c>
      <c r="S131" s="49">
        <v>0.08</v>
      </c>
      <c r="T131" s="36">
        <v>1</v>
      </c>
      <c r="U131" s="12">
        <f t="shared" si="16"/>
        <v>0.08</v>
      </c>
      <c r="V131" s="111">
        <v>1.1200000000000001</v>
      </c>
      <c r="W131" s="97">
        <f>(O131+SUM(U131:U133))*V131</f>
        <v>2.0855519999999999</v>
      </c>
      <c r="X131" s="131">
        <v>2.0320999999999998</v>
      </c>
    </row>
    <row r="132" spans="1:24" x14ac:dyDescent="0.15">
      <c r="A132" s="172"/>
      <c r="B132" s="172"/>
      <c r="C132" s="172"/>
      <c r="D132" s="172"/>
      <c r="E132" s="172"/>
      <c r="F132" s="172"/>
      <c r="G132" s="172"/>
      <c r="H132" s="172"/>
      <c r="I132" s="172"/>
      <c r="J132" s="182"/>
      <c r="K132" s="182"/>
      <c r="L132" s="172"/>
      <c r="M132" s="172"/>
      <c r="N132" s="172"/>
      <c r="O132" s="157"/>
      <c r="P132" s="44" t="s">
        <v>55</v>
      </c>
      <c r="Q132" s="44" t="s">
        <v>49</v>
      </c>
      <c r="R132" s="34">
        <v>1</v>
      </c>
      <c r="S132" s="49">
        <v>0.03</v>
      </c>
      <c r="T132" s="36">
        <v>1</v>
      </c>
      <c r="U132" s="12">
        <f t="shared" si="16"/>
        <v>0.03</v>
      </c>
      <c r="V132" s="135"/>
      <c r="W132" s="97"/>
      <c r="X132" s="131"/>
    </row>
    <row r="133" spans="1:24" x14ac:dyDescent="0.15">
      <c r="A133" s="173"/>
      <c r="B133" s="173"/>
      <c r="C133" s="173"/>
      <c r="D133" s="173"/>
      <c r="E133" s="173"/>
      <c r="F133" s="173"/>
      <c r="G133" s="173"/>
      <c r="H133" s="173"/>
      <c r="I133" s="173"/>
      <c r="J133" s="183"/>
      <c r="K133" s="183"/>
      <c r="L133" s="173"/>
      <c r="M133" s="173"/>
      <c r="N133" s="173"/>
      <c r="O133" s="99"/>
      <c r="P133" s="44" t="s">
        <v>35</v>
      </c>
      <c r="Q133" s="44" t="s">
        <v>38</v>
      </c>
      <c r="R133" s="34">
        <v>1</v>
      </c>
      <c r="S133" s="49">
        <v>0.05</v>
      </c>
      <c r="T133" s="36">
        <v>1</v>
      </c>
      <c r="U133" s="12">
        <f t="shared" si="16"/>
        <v>0.05</v>
      </c>
      <c r="V133" s="112"/>
      <c r="W133" s="97"/>
      <c r="X133" s="131"/>
    </row>
    <row r="134" spans="1:24" x14ac:dyDescent="0.15">
      <c r="A134" s="116">
        <v>43</v>
      </c>
      <c r="B134" s="116" t="s">
        <v>153</v>
      </c>
      <c r="C134" s="106" t="s">
        <v>154</v>
      </c>
      <c r="D134" s="116"/>
      <c r="E134" s="116"/>
      <c r="F134" s="116" t="s">
        <v>100</v>
      </c>
      <c r="G134" s="116">
        <v>271</v>
      </c>
      <c r="H134" s="116">
        <v>26</v>
      </c>
      <c r="I134" s="116">
        <v>2</v>
      </c>
      <c r="J134" s="98">
        <v>4.3499999999999996</v>
      </c>
      <c r="K134" s="98">
        <v>2.5</v>
      </c>
      <c r="L134" s="103">
        <v>0.111</v>
      </c>
      <c r="M134" s="103">
        <v>7.3999999999999996E-2</v>
      </c>
      <c r="N134" s="103">
        <f t="shared" ref="N134:N139" si="17">L134-M134</f>
        <v>3.6999999999999998E-2</v>
      </c>
      <c r="O134" s="98">
        <f t="shared" ref="O134:O139" si="18">J134*L134-K134*N134</f>
        <v>0.39034999999999997</v>
      </c>
      <c r="P134" s="36" t="s">
        <v>33</v>
      </c>
      <c r="Q134" s="36" t="s">
        <v>38</v>
      </c>
      <c r="R134" s="36">
        <v>1</v>
      </c>
      <c r="S134" s="12">
        <v>0.05</v>
      </c>
      <c r="T134" s="36">
        <v>1</v>
      </c>
      <c r="U134" s="12">
        <f t="shared" si="16"/>
        <v>0.05</v>
      </c>
      <c r="V134" s="111">
        <v>1.1200000000000001</v>
      </c>
      <c r="W134" s="97">
        <f>(O134+SUM(U134:U136))*V134</f>
        <v>0.560392</v>
      </c>
      <c r="X134" s="116">
        <v>0.58409999999999995</v>
      </c>
    </row>
    <row r="135" spans="1:24" x14ac:dyDescent="0.15">
      <c r="A135" s="124"/>
      <c r="B135" s="124"/>
      <c r="C135" s="107"/>
      <c r="D135" s="124"/>
      <c r="E135" s="124"/>
      <c r="F135" s="124"/>
      <c r="G135" s="124"/>
      <c r="H135" s="124"/>
      <c r="I135" s="124"/>
      <c r="J135" s="157"/>
      <c r="K135" s="157"/>
      <c r="L135" s="168"/>
      <c r="M135" s="168"/>
      <c r="N135" s="168"/>
      <c r="O135" s="157"/>
      <c r="P135" s="36" t="s">
        <v>55</v>
      </c>
      <c r="Q135" s="36" t="s">
        <v>34</v>
      </c>
      <c r="R135" s="36">
        <v>1</v>
      </c>
      <c r="S135" s="12">
        <v>0.03</v>
      </c>
      <c r="T135" s="36">
        <v>1</v>
      </c>
      <c r="U135" s="12">
        <f t="shared" si="16"/>
        <v>0.03</v>
      </c>
      <c r="V135" s="135"/>
      <c r="W135" s="97"/>
      <c r="X135" s="124"/>
    </row>
    <row r="136" spans="1:24" x14ac:dyDescent="0.15">
      <c r="A136" s="117"/>
      <c r="B136" s="117"/>
      <c r="C136" s="108"/>
      <c r="D136" s="117"/>
      <c r="E136" s="117"/>
      <c r="F136" s="117"/>
      <c r="G136" s="117"/>
      <c r="H136" s="117"/>
      <c r="I136" s="117"/>
      <c r="J136" s="99"/>
      <c r="K136" s="99"/>
      <c r="L136" s="104"/>
      <c r="M136" s="104"/>
      <c r="N136" s="104"/>
      <c r="O136" s="99"/>
      <c r="P136" s="36" t="s">
        <v>35</v>
      </c>
      <c r="Q136" s="36" t="s">
        <v>34</v>
      </c>
      <c r="R136" s="36">
        <v>1</v>
      </c>
      <c r="S136" s="12">
        <v>0.03</v>
      </c>
      <c r="T136" s="36">
        <v>1</v>
      </c>
      <c r="U136" s="12">
        <f t="shared" si="16"/>
        <v>0.03</v>
      </c>
      <c r="V136" s="112"/>
      <c r="W136" s="97"/>
      <c r="X136" s="117"/>
    </row>
    <row r="137" spans="1:24" x14ac:dyDescent="0.15">
      <c r="A137" s="95">
        <v>44</v>
      </c>
      <c r="B137" s="95" t="s">
        <v>155</v>
      </c>
      <c r="C137" s="121" t="s">
        <v>156</v>
      </c>
      <c r="D137" s="121"/>
      <c r="E137" s="121"/>
      <c r="F137" s="121" t="s">
        <v>32</v>
      </c>
      <c r="G137" s="95">
        <v>120</v>
      </c>
      <c r="H137" s="95">
        <v>84</v>
      </c>
      <c r="I137" s="95">
        <v>3</v>
      </c>
      <c r="J137" s="156">
        <v>4.5999999999999996</v>
      </c>
      <c r="K137" s="156">
        <v>2.5</v>
      </c>
      <c r="L137" s="105">
        <v>0.23599999999999999</v>
      </c>
      <c r="M137" s="105">
        <v>0.16400000000000001</v>
      </c>
      <c r="N137" s="105">
        <f t="shared" si="17"/>
        <v>7.1999999999999995E-2</v>
      </c>
      <c r="O137" s="156">
        <f t="shared" si="18"/>
        <v>0.90559999999999996</v>
      </c>
      <c r="P137" s="36" t="s">
        <v>33</v>
      </c>
      <c r="Q137" s="36" t="s">
        <v>38</v>
      </c>
      <c r="R137" s="36">
        <v>1</v>
      </c>
      <c r="S137" s="12">
        <v>0.05</v>
      </c>
      <c r="T137" s="36">
        <v>1</v>
      </c>
      <c r="U137" s="12">
        <f t="shared" si="16"/>
        <v>0.05</v>
      </c>
      <c r="V137" s="111">
        <v>1.1200000000000001</v>
      </c>
      <c r="W137" s="97">
        <f t="shared" ref="W137:W141" si="19">(O137+SUM(U137:U138))*V137</f>
        <v>1.1262719999999999</v>
      </c>
      <c r="X137" s="95">
        <v>1.1062000000000001</v>
      </c>
    </row>
    <row r="138" spans="1:24" x14ac:dyDescent="0.15">
      <c r="A138" s="95"/>
      <c r="B138" s="95"/>
      <c r="C138" s="121"/>
      <c r="D138" s="121"/>
      <c r="E138" s="121"/>
      <c r="F138" s="121"/>
      <c r="G138" s="95"/>
      <c r="H138" s="95"/>
      <c r="I138" s="95"/>
      <c r="J138" s="156"/>
      <c r="K138" s="156"/>
      <c r="L138" s="105"/>
      <c r="M138" s="105"/>
      <c r="N138" s="105"/>
      <c r="O138" s="156"/>
      <c r="P138" s="36" t="s">
        <v>35</v>
      </c>
      <c r="Q138" s="36" t="s">
        <v>38</v>
      </c>
      <c r="R138" s="36">
        <v>1</v>
      </c>
      <c r="S138" s="12">
        <v>0.05</v>
      </c>
      <c r="T138" s="36">
        <v>1</v>
      </c>
      <c r="U138" s="12">
        <f t="shared" si="16"/>
        <v>0.05</v>
      </c>
      <c r="V138" s="112"/>
      <c r="W138" s="97"/>
      <c r="X138" s="95"/>
    </row>
    <row r="139" spans="1:24" x14ac:dyDescent="0.15">
      <c r="A139" s="95">
        <v>45</v>
      </c>
      <c r="B139" s="95" t="s">
        <v>157</v>
      </c>
      <c r="C139" s="121" t="s">
        <v>158</v>
      </c>
      <c r="D139" s="121"/>
      <c r="E139" s="121"/>
      <c r="F139" s="121" t="s">
        <v>32</v>
      </c>
      <c r="G139" s="95">
        <v>120</v>
      </c>
      <c r="H139" s="95">
        <v>84</v>
      </c>
      <c r="I139" s="95">
        <v>3</v>
      </c>
      <c r="J139" s="156">
        <v>4.5999999999999996</v>
      </c>
      <c r="K139" s="156">
        <v>2.5</v>
      </c>
      <c r="L139" s="105">
        <v>0.23599999999999999</v>
      </c>
      <c r="M139" s="105">
        <v>0.16400000000000001</v>
      </c>
      <c r="N139" s="105">
        <f t="shared" si="17"/>
        <v>7.1999999999999995E-2</v>
      </c>
      <c r="O139" s="156">
        <f t="shared" si="18"/>
        <v>0.90559999999999996</v>
      </c>
      <c r="P139" s="36" t="s">
        <v>33</v>
      </c>
      <c r="Q139" s="36" t="s">
        <v>38</v>
      </c>
      <c r="R139" s="36">
        <v>1</v>
      </c>
      <c r="S139" s="12">
        <v>0.05</v>
      </c>
      <c r="T139" s="36">
        <v>1</v>
      </c>
      <c r="U139" s="12">
        <f t="shared" si="16"/>
        <v>0.05</v>
      </c>
      <c r="V139" s="111">
        <v>1.1200000000000001</v>
      </c>
      <c r="W139" s="97">
        <f t="shared" si="19"/>
        <v>1.1262719999999999</v>
      </c>
      <c r="X139" s="95">
        <v>1.1062000000000001</v>
      </c>
    </row>
    <row r="140" spans="1:24" x14ac:dyDescent="0.15">
      <c r="A140" s="95"/>
      <c r="B140" s="95"/>
      <c r="C140" s="121"/>
      <c r="D140" s="121"/>
      <c r="E140" s="121"/>
      <c r="F140" s="121"/>
      <c r="G140" s="95"/>
      <c r="H140" s="95"/>
      <c r="I140" s="95"/>
      <c r="J140" s="156"/>
      <c r="K140" s="156"/>
      <c r="L140" s="105"/>
      <c r="M140" s="105"/>
      <c r="N140" s="105"/>
      <c r="O140" s="156"/>
      <c r="P140" s="36" t="s">
        <v>35</v>
      </c>
      <c r="Q140" s="36" t="s">
        <v>38</v>
      </c>
      <c r="R140" s="36">
        <v>1</v>
      </c>
      <c r="S140" s="12">
        <v>0.05</v>
      </c>
      <c r="T140" s="36">
        <v>1</v>
      </c>
      <c r="U140" s="12">
        <f t="shared" si="16"/>
        <v>0.05</v>
      </c>
      <c r="V140" s="112"/>
      <c r="W140" s="97"/>
      <c r="X140" s="95"/>
    </row>
    <row r="141" spans="1:24" s="90" customFormat="1" x14ac:dyDescent="0.15">
      <c r="A141" s="126">
        <v>46</v>
      </c>
      <c r="B141" s="126" t="s">
        <v>159</v>
      </c>
      <c r="C141" s="174" t="s">
        <v>160</v>
      </c>
      <c r="D141" s="126"/>
      <c r="E141" s="126"/>
      <c r="F141" s="126" t="s">
        <v>100</v>
      </c>
      <c r="G141" s="126">
        <v>72</v>
      </c>
      <c r="H141" s="126">
        <v>60</v>
      </c>
      <c r="I141" s="126">
        <v>3</v>
      </c>
      <c r="J141" s="164">
        <v>4.3</v>
      </c>
      <c r="K141" s="164">
        <v>2.5</v>
      </c>
      <c r="L141" s="126">
        <v>0.10199999999999999</v>
      </c>
      <c r="M141" s="126">
        <v>5.8000000000000003E-2</v>
      </c>
      <c r="N141" s="126">
        <v>4.3999999999999997E-2</v>
      </c>
      <c r="O141" s="159">
        <f t="shared" ref="O141:O145" si="20">J141*L141-K141*N141</f>
        <v>0.3286</v>
      </c>
      <c r="P141" s="91" t="s">
        <v>33</v>
      </c>
      <c r="Q141" s="91" t="s">
        <v>38</v>
      </c>
      <c r="R141" s="93">
        <v>1</v>
      </c>
      <c r="S141" s="92">
        <v>0.05</v>
      </c>
      <c r="T141" s="88">
        <v>1</v>
      </c>
      <c r="U141" s="89">
        <f t="shared" si="16"/>
        <v>0.05</v>
      </c>
      <c r="V141" s="147">
        <v>1.18</v>
      </c>
      <c r="W141" s="140">
        <f t="shared" si="19"/>
        <v>0.50574799999999998</v>
      </c>
      <c r="X141" s="126">
        <v>0.49480000000000002</v>
      </c>
    </row>
    <row r="142" spans="1:24" s="90" customFormat="1" x14ac:dyDescent="0.15">
      <c r="A142" s="127"/>
      <c r="B142" s="127"/>
      <c r="C142" s="175"/>
      <c r="D142" s="127"/>
      <c r="E142" s="127"/>
      <c r="F142" s="127"/>
      <c r="G142" s="127"/>
      <c r="H142" s="127"/>
      <c r="I142" s="127"/>
      <c r="J142" s="166"/>
      <c r="K142" s="166"/>
      <c r="L142" s="127"/>
      <c r="M142" s="127"/>
      <c r="N142" s="127"/>
      <c r="O142" s="159"/>
      <c r="P142" s="91" t="s">
        <v>35</v>
      </c>
      <c r="Q142" s="91" t="s">
        <v>38</v>
      </c>
      <c r="R142" s="93">
        <v>1</v>
      </c>
      <c r="S142" s="92">
        <v>0.05</v>
      </c>
      <c r="T142" s="88">
        <v>1</v>
      </c>
      <c r="U142" s="89">
        <f t="shared" si="16"/>
        <v>0.05</v>
      </c>
      <c r="V142" s="149"/>
      <c r="W142" s="140"/>
      <c r="X142" s="127"/>
    </row>
    <row r="143" spans="1:24" x14ac:dyDescent="0.15">
      <c r="A143" s="95">
        <v>47</v>
      </c>
      <c r="B143" s="95" t="s">
        <v>161</v>
      </c>
      <c r="C143" s="121" t="s">
        <v>162</v>
      </c>
      <c r="D143" s="95"/>
      <c r="E143" s="95"/>
      <c r="F143" s="95" t="s">
        <v>100</v>
      </c>
      <c r="G143" s="95">
        <v>55</v>
      </c>
      <c r="H143" s="95">
        <v>36</v>
      </c>
      <c r="I143" s="95">
        <v>3</v>
      </c>
      <c r="J143" s="156">
        <v>4.3</v>
      </c>
      <c r="K143" s="156">
        <v>2.5</v>
      </c>
      <c r="L143" s="105">
        <v>4.7E-2</v>
      </c>
      <c r="M143" s="105">
        <v>1.7000000000000001E-2</v>
      </c>
      <c r="N143" s="105">
        <f t="shared" ref="N143:N148" si="21">L143-M143</f>
        <v>0.03</v>
      </c>
      <c r="O143" s="156">
        <f t="shared" si="20"/>
        <v>0.12709999999999999</v>
      </c>
      <c r="P143" s="36" t="s">
        <v>33</v>
      </c>
      <c r="Q143" s="36" t="s">
        <v>34</v>
      </c>
      <c r="R143" s="36">
        <v>1</v>
      </c>
      <c r="S143" s="12">
        <v>0.03</v>
      </c>
      <c r="T143" s="36">
        <v>1</v>
      </c>
      <c r="U143" s="12">
        <f t="shared" si="16"/>
        <v>0.03</v>
      </c>
      <c r="V143" s="111">
        <v>1.18</v>
      </c>
      <c r="W143" s="97">
        <f>(O143+SUM(U143:U144))*V143</f>
        <v>0.220778</v>
      </c>
      <c r="X143" s="95">
        <v>0.2009</v>
      </c>
    </row>
    <row r="144" spans="1:24" x14ac:dyDescent="0.15">
      <c r="A144" s="95"/>
      <c r="B144" s="95"/>
      <c r="C144" s="121"/>
      <c r="D144" s="95"/>
      <c r="E144" s="95"/>
      <c r="F144" s="95"/>
      <c r="G144" s="95"/>
      <c r="H144" s="95"/>
      <c r="I144" s="95"/>
      <c r="J144" s="156"/>
      <c r="K144" s="156"/>
      <c r="L144" s="105"/>
      <c r="M144" s="105"/>
      <c r="N144" s="105"/>
      <c r="O144" s="156"/>
      <c r="P144" s="36" t="s">
        <v>55</v>
      </c>
      <c r="Q144" s="36" t="s">
        <v>34</v>
      </c>
      <c r="R144" s="36">
        <v>1</v>
      </c>
      <c r="S144" s="12">
        <v>0.03</v>
      </c>
      <c r="T144" s="36">
        <v>1</v>
      </c>
      <c r="U144" s="12">
        <f t="shared" si="16"/>
        <v>0.03</v>
      </c>
      <c r="V144" s="112"/>
      <c r="W144" s="97"/>
      <c r="X144" s="95"/>
    </row>
    <row r="145" spans="1:24" x14ac:dyDescent="0.15">
      <c r="A145" s="116">
        <v>48</v>
      </c>
      <c r="B145" s="116" t="s">
        <v>163</v>
      </c>
      <c r="C145" s="106" t="s">
        <v>164</v>
      </c>
      <c r="D145" s="116"/>
      <c r="E145" s="116"/>
      <c r="F145" s="116" t="s">
        <v>100</v>
      </c>
      <c r="G145" s="116">
        <v>35</v>
      </c>
      <c r="H145" s="116">
        <v>35</v>
      </c>
      <c r="I145" s="116">
        <v>1</v>
      </c>
      <c r="J145" s="98">
        <v>4.4000000000000004</v>
      </c>
      <c r="K145" s="98">
        <v>2.5</v>
      </c>
      <c r="L145" s="103">
        <v>8.9999999999999993E-3</v>
      </c>
      <c r="M145" s="103">
        <v>5.0000000000000001E-3</v>
      </c>
      <c r="N145" s="103">
        <f t="shared" si="21"/>
        <v>4.0000000000000001E-3</v>
      </c>
      <c r="O145" s="98">
        <f t="shared" si="20"/>
        <v>2.9600000000000001E-2</v>
      </c>
      <c r="P145" s="36" t="s">
        <v>33</v>
      </c>
      <c r="Q145" s="36" t="s">
        <v>34</v>
      </c>
      <c r="R145" s="36">
        <v>1</v>
      </c>
      <c r="S145" s="12">
        <v>0.03</v>
      </c>
      <c r="T145" s="36">
        <v>1</v>
      </c>
      <c r="U145" s="12">
        <f t="shared" si="16"/>
        <v>0.03</v>
      </c>
      <c r="V145" s="111">
        <v>1.18</v>
      </c>
      <c r="W145" s="97">
        <f>(O145+SUM(U145:U147))*V145</f>
        <v>0.15292800000000001</v>
      </c>
      <c r="X145" s="95">
        <v>0.16009999999999999</v>
      </c>
    </row>
    <row r="146" spans="1:24" x14ac:dyDescent="0.15">
      <c r="A146" s="124"/>
      <c r="B146" s="124"/>
      <c r="C146" s="107"/>
      <c r="D146" s="124"/>
      <c r="E146" s="124"/>
      <c r="F146" s="124"/>
      <c r="G146" s="124"/>
      <c r="H146" s="124"/>
      <c r="I146" s="124"/>
      <c r="J146" s="157"/>
      <c r="K146" s="157"/>
      <c r="L146" s="168"/>
      <c r="M146" s="168"/>
      <c r="N146" s="168"/>
      <c r="O146" s="157"/>
      <c r="P146" s="36" t="s">
        <v>165</v>
      </c>
      <c r="Q146" s="36" t="s">
        <v>166</v>
      </c>
      <c r="R146" s="36">
        <v>1</v>
      </c>
      <c r="S146" s="12">
        <v>0.04</v>
      </c>
      <c r="T146" s="36">
        <v>1</v>
      </c>
      <c r="U146" s="12">
        <f t="shared" si="16"/>
        <v>0.04</v>
      </c>
      <c r="V146" s="135"/>
      <c r="W146" s="97"/>
      <c r="X146" s="95"/>
    </row>
    <row r="147" spans="1:24" x14ac:dyDescent="0.15">
      <c r="A147" s="117"/>
      <c r="B147" s="117"/>
      <c r="C147" s="108"/>
      <c r="D147" s="117"/>
      <c r="E147" s="117"/>
      <c r="F147" s="117"/>
      <c r="G147" s="117"/>
      <c r="H147" s="117"/>
      <c r="I147" s="117"/>
      <c r="J147" s="99"/>
      <c r="K147" s="99"/>
      <c r="L147" s="104"/>
      <c r="M147" s="104"/>
      <c r="N147" s="104"/>
      <c r="O147" s="99"/>
      <c r="P147" s="36" t="s">
        <v>55</v>
      </c>
      <c r="Q147" s="36" t="s">
        <v>34</v>
      </c>
      <c r="R147" s="36">
        <v>1</v>
      </c>
      <c r="S147" s="12">
        <v>0.03</v>
      </c>
      <c r="T147" s="36">
        <v>1</v>
      </c>
      <c r="U147" s="12">
        <f t="shared" si="16"/>
        <v>0.03</v>
      </c>
      <c r="V147" s="112"/>
      <c r="W147" s="97"/>
      <c r="X147" s="95"/>
    </row>
    <row r="148" spans="1:24" x14ac:dyDescent="0.15">
      <c r="A148" s="95">
        <v>49</v>
      </c>
      <c r="B148" s="95" t="s">
        <v>167</v>
      </c>
      <c r="C148" s="121" t="s">
        <v>168</v>
      </c>
      <c r="D148" s="95"/>
      <c r="E148" s="95"/>
      <c r="F148" s="95" t="s">
        <v>100</v>
      </c>
      <c r="G148" s="95">
        <v>35</v>
      </c>
      <c r="H148" s="95">
        <v>35</v>
      </c>
      <c r="I148" s="95">
        <v>2</v>
      </c>
      <c r="J148" s="156">
        <v>4.3499999999999996</v>
      </c>
      <c r="K148" s="156">
        <v>2.5</v>
      </c>
      <c r="L148" s="105">
        <v>1.9E-2</v>
      </c>
      <c r="M148" s="105">
        <v>8.9999999999999993E-3</v>
      </c>
      <c r="N148" s="105">
        <f t="shared" si="21"/>
        <v>0.01</v>
      </c>
      <c r="O148" s="156">
        <f>J148*L148-K148*N148</f>
        <v>5.765E-2</v>
      </c>
      <c r="P148" s="36" t="s">
        <v>33</v>
      </c>
      <c r="Q148" s="36" t="s">
        <v>166</v>
      </c>
      <c r="R148" s="36">
        <v>1</v>
      </c>
      <c r="S148" s="12">
        <v>0.04</v>
      </c>
      <c r="T148" s="36">
        <v>1</v>
      </c>
      <c r="U148" s="12">
        <f t="shared" si="16"/>
        <v>0.04</v>
      </c>
      <c r="V148" s="111">
        <v>1.18</v>
      </c>
      <c r="W148" s="97">
        <f>(O148+SUM(U148:U149))*V148</f>
        <v>0.16242699999999999</v>
      </c>
      <c r="X148" s="95">
        <v>0.15040000000000001</v>
      </c>
    </row>
    <row r="149" spans="1:24" x14ac:dyDescent="0.15">
      <c r="A149" s="95"/>
      <c r="B149" s="95"/>
      <c r="C149" s="121"/>
      <c r="D149" s="95"/>
      <c r="E149" s="95"/>
      <c r="F149" s="95"/>
      <c r="G149" s="95"/>
      <c r="H149" s="95"/>
      <c r="I149" s="95"/>
      <c r="J149" s="156"/>
      <c r="K149" s="156"/>
      <c r="L149" s="105"/>
      <c r="M149" s="105"/>
      <c r="N149" s="105"/>
      <c r="O149" s="156"/>
      <c r="P149" s="36" t="s">
        <v>35</v>
      </c>
      <c r="Q149" s="36" t="s">
        <v>166</v>
      </c>
      <c r="R149" s="36">
        <v>1</v>
      </c>
      <c r="S149" s="12">
        <v>0.04</v>
      </c>
      <c r="T149" s="36">
        <v>1</v>
      </c>
      <c r="U149" s="12">
        <f t="shared" si="16"/>
        <v>0.04</v>
      </c>
      <c r="V149" s="112"/>
      <c r="W149" s="97"/>
      <c r="X149" s="95"/>
    </row>
    <row r="150" spans="1:24" x14ac:dyDescent="0.15">
      <c r="A150" s="95">
        <v>61</v>
      </c>
      <c r="B150" s="95" t="s">
        <v>169</v>
      </c>
      <c r="C150" s="121" t="s">
        <v>170</v>
      </c>
      <c r="D150" s="121"/>
      <c r="E150" s="121"/>
      <c r="F150" s="116" t="s">
        <v>100</v>
      </c>
      <c r="G150" s="95">
        <v>79</v>
      </c>
      <c r="H150" s="95">
        <v>59</v>
      </c>
      <c r="I150" s="95">
        <v>4</v>
      </c>
      <c r="J150" s="156">
        <v>4.2300000000000004</v>
      </c>
      <c r="K150" s="156">
        <v>2.5</v>
      </c>
      <c r="L150" s="105">
        <v>0.13400000000000001</v>
      </c>
      <c r="M150" s="105">
        <v>0.1</v>
      </c>
      <c r="N150" s="105">
        <f t="shared" ref="N150:N155" si="22">L150-M150</f>
        <v>3.4000000000000002E-2</v>
      </c>
      <c r="O150" s="156">
        <f t="shared" ref="O150:O155" si="23">L150*J150-N150*K150</f>
        <v>0.48182000000000003</v>
      </c>
      <c r="P150" s="36" t="s">
        <v>33</v>
      </c>
      <c r="Q150" s="36" t="s">
        <v>41</v>
      </c>
      <c r="R150" s="36">
        <v>1</v>
      </c>
      <c r="S150" s="12">
        <v>0.03</v>
      </c>
      <c r="T150" s="36">
        <v>1</v>
      </c>
      <c r="U150" s="12">
        <f t="shared" si="16"/>
        <v>0.03</v>
      </c>
      <c r="V150" s="111">
        <v>1.18</v>
      </c>
      <c r="W150" s="97">
        <f>(O150+SUM(U150:U151))*V150</f>
        <v>0.63934760000000002</v>
      </c>
      <c r="X150" s="95">
        <v>0.5171</v>
      </c>
    </row>
    <row r="151" spans="1:24" x14ac:dyDescent="0.15">
      <c r="A151" s="95"/>
      <c r="B151" s="95"/>
      <c r="C151" s="121"/>
      <c r="D151" s="121"/>
      <c r="E151" s="121"/>
      <c r="F151" s="117"/>
      <c r="G151" s="95"/>
      <c r="H151" s="95"/>
      <c r="I151" s="95"/>
      <c r="J151" s="156"/>
      <c r="K151" s="156"/>
      <c r="L151" s="105"/>
      <c r="M151" s="105"/>
      <c r="N151" s="105"/>
      <c r="O151" s="156"/>
      <c r="P151" s="32" t="s">
        <v>35</v>
      </c>
      <c r="Q151" s="32" t="s">
        <v>43</v>
      </c>
      <c r="R151" s="36">
        <v>1</v>
      </c>
      <c r="S151" s="12">
        <v>0.03</v>
      </c>
      <c r="T151" s="36">
        <v>1</v>
      </c>
      <c r="U151" s="12">
        <f t="shared" si="16"/>
        <v>0.03</v>
      </c>
      <c r="V151" s="112"/>
      <c r="W151" s="97"/>
      <c r="X151" s="95"/>
    </row>
    <row r="152" spans="1:24" x14ac:dyDescent="0.15">
      <c r="A152" s="116">
        <v>62</v>
      </c>
      <c r="B152" s="116" t="s">
        <v>171</v>
      </c>
      <c r="C152" s="106" t="s">
        <v>172</v>
      </c>
      <c r="D152" s="116"/>
      <c r="E152" s="116"/>
      <c r="F152" s="97" t="s">
        <v>100</v>
      </c>
      <c r="G152" s="116">
        <v>150</v>
      </c>
      <c r="H152" s="116">
        <v>72</v>
      </c>
      <c r="I152" s="116">
        <v>1.5</v>
      </c>
      <c r="J152" s="98">
        <v>4.37</v>
      </c>
      <c r="K152" s="98">
        <v>2.5</v>
      </c>
      <c r="L152" s="116">
        <v>0.08</v>
      </c>
      <c r="M152" s="116">
        <v>5.2999999999999999E-2</v>
      </c>
      <c r="N152" s="116">
        <f t="shared" si="22"/>
        <v>2.7E-2</v>
      </c>
      <c r="O152" s="98">
        <f t="shared" si="23"/>
        <v>0.28210000000000002</v>
      </c>
      <c r="P152" s="36" t="s">
        <v>33</v>
      </c>
      <c r="Q152" s="36" t="s">
        <v>41</v>
      </c>
      <c r="R152" s="36">
        <v>1</v>
      </c>
      <c r="S152" s="12">
        <v>0.03</v>
      </c>
      <c r="T152" s="36">
        <v>1</v>
      </c>
      <c r="U152" s="12">
        <f t="shared" si="16"/>
        <v>0.03</v>
      </c>
      <c r="V152" s="111">
        <v>1.18</v>
      </c>
      <c r="W152" s="97">
        <f>(O152+SUM(U152:U153))*V152+U154*1.03</f>
        <v>0.48092800000000002</v>
      </c>
      <c r="X152" s="116">
        <v>0.44319999999999998</v>
      </c>
    </row>
    <row r="153" spans="1:24" x14ac:dyDescent="0.15">
      <c r="A153" s="124"/>
      <c r="B153" s="124"/>
      <c r="C153" s="107"/>
      <c r="D153" s="124"/>
      <c r="E153" s="124"/>
      <c r="F153" s="97"/>
      <c r="G153" s="124"/>
      <c r="H153" s="124"/>
      <c r="I153" s="124"/>
      <c r="J153" s="157"/>
      <c r="K153" s="157"/>
      <c r="L153" s="124"/>
      <c r="M153" s="124"/>
      <c r="N153" s="124"/>
      <c r="O153" s="157"/>
      <c r="P153" s="32" t="s">
        <v>35</v>
      </c>
      <c r="Q153" s="32" t="s">
        <v>43</v>
      </c>
      <c r="R153" s="36">
        <v>1</v>
      </c>
      <c r="S153" s="12">
        <v>0.03</v>
      </c>
      <c r="T153" s="36">
        <v>1</v>
      </c>
      <c r="U153" s="12">
        <f t="shared" si="16"/>
        <v>0.03</v>
      </c>
      <c r="V153" s="135"/>
      <c r="W153" s="97"/>
      <c r="X153" s="124"/>
    </row>
    <row r="154" spans="1:24" x14ac:dyDescent="0.15">
      <c r="A154" s="117"/>
      <c r="B154" s="117"/>
      <c r="C154" s="108"/>
      <c r="D154" s="117"/>
      <c r="E154" s="117"/>
      <c r="F154" s="97"/>
      <c r="G154" s="117"/>
      <c r="H154" s="117"/>
      <c r="I154" s="117"/>
      <c r="J154" s="99"/>
      <c r="K154" s="99"/>
      <c r="L154" s="117"/>
      <c r="M154" s="117"/>
      <c r="N154" s="117"/>
      <c r="O154" s="99"/>
      <c r="P154" s="39" t="s">
        <v>174</v>
      </c>
      <c r="Q154" s="39"/>
      <c r="R154" s="36">
        <v>1</v>
      </c>
      <c r="S154" s="12">
        <v>7.4999999999999997E-2</v>
      </c>
      <c r="T154" s="36">
        <v>1</v>
      </c>
      <c r="U154" s="12">
        <f t="shared" si="16"/>
        <v>7.4999999999999997E-2</v>
      </c>
      <c r="V154" s="112"/>
      <c r="W154" s="97"/>
      <c r="X154" s="117"/>
    </row>
    <row r="155" spans="1:24" x14ac:dyDescent="0.15">
      <c r="A155" s="95">
        <v>63</v>
      </c>
      <c r="B155" s="95" t="s">
        <v>175</v>
      </c>
      <c r="C155" s="121" t="s">
        <v>176</v>
      </c>
      <c r="D155" s="95"/>
      <c r="E155" s="95"/>
      <c r="F155" s="97" t="s">
        <v>100</v>
      </c>
      <c r="G155" s="95">
        <v>78</v>
      </c>
      <c r="H155" s="95">
        <v>21</v>
      </c>
      <c r="I155" s="95">
        <v>1.5</v>
      </c>
      <c r="J155" s="156">
        <v>4.37</v>
      </c>
      <c r="K155" s="156">
        <v>2.5</v>
      </c>
      <c r="L155" s="95">
        <v>1.2999999999999999E-2</v>
      </c>
      <c r="M155" s="95">
        <v>1.0999999999999999E-2</v>
      </c>
      <c r="N155" s="95">
        <f t="shared" si="22"/>
        <v>2E-3</v>
      </c>
      <c r="O155" s="156">
        <f t="shared" si="23"/>
        <v>5.1810000000000002E-2</v>
      </c>
      <c r="P155" s="39" t="s">
        <v>33</v>
      </c>
      <c r="Q155" s="39" t="s">
        <v>43</v>
      </c>
      <c r="R155" s="36">
        <v>1</v>
      </c>
      <c r="S155" s="56">
        <v>0.03</v>
      </c>
      <c r="T155" s="36">
        <v>1</v>
      </c>
      <c r="U155" s="12">
        <f t="shared" si="16"/>
        <v>0.03</v>
      </c>
      <c r="V155" s="111">
        <v>1.18</v>
      </c>
      <c r="W155" s="97">
        <f>(O155+SUM(U155:U157))*V155</f>
        <v>0.1437358</v>
      </c>
      <c r="X155" s="95">
        <v>0.1231</v>
      </c>
    </row>
    <row r="156" spans="1:24" x14ac:dyDescent="0.15">
      <c r="A156" s="95"/>
      <c r="B156" s="95"/>
      <c r="C156" s="121"/>
      <c r="D156" s="95"/>
      <c r="E156" s="95"/>
      <c r="F156" s="97"/>
      <c r="G156" s="95"/>
      <c r="H156" s="95"/>
      <c r="I156" s="95"/>
      <c r="J156" s="156"/>
      <c r="K156" s="156"/>
      <c r="L156" s="95"/>
      <c r="M156" s="95"/>
      <c r="N156" s="95"/>
      <c r="O156" s="156"/>
      <c r="P156" s="39" t="s">
        <v>35</v>
      </c>
      <c r="Q156" s="39" t="s">
        <v>177</v>
      </c>
      <c r="R156" s="36">
        <v>1</v>
      </c>
      <c r="S156" s="53">
        <v>0.02</v>
      </c>
      <c r="T156" s="36">
        <v>1</v>
      </c>
      <c r="U156" s="12">
        <f t="shared" si="16"/>
        <v>0.02</v>
      </c>
      <c r="V156" s="135"/>
      <c r="W156" s="97"/>
      <c r="X156" s="95"/>
    </row>
    <row r="157" spans="1:24" x14ac:dyDescent="0.15">
      <c r="A157" s="95"/>
      <c r="B157" s="95"/>
      <c r="C157" s="121"/>
      <c r="D157" s="95"/>
      <c r="E157" s="95"/>
      <c r="F157" s="97"/>
      <c r="G157" s="95"/>
      <c r="H157" s="95"/>
      <c r="I157" s="95"/>
      <c r="J157" s="156"/>
      <c r="K157" s="156"/>
      <c r="L157" s="95"/>
      <c r="M157" s="95"/>
      <c r="N157" s="95"/>
      <c r="O157" s="156"/>
      <c r="P157" s="39" t="s">
        <v>35</v>
      </c>
      <c r="Q157" s="39" t="s">
        <v>177</v>
      </c>
      <c r="R157" s="36">
        <v>1</v>
      </c>
      <c r="S157" s="53">
        <v>0.02</v>
      </c>
      <c r="T157" s="36">
        <v>1</v>
      </c>
      <c r="U157" s="12">
        <f t="shared" si="16"/>
        <v>0.02</v>
      </c>
      <c r="V157" s="112"/>
      <c r="W157" s="97"/>
      <c r="X157" s="95"/>
    </row>
    <row r="158" spans="1:24" x14ac:dyDescent="0.15">
      <c r="A158" s="95">
        <v>64</v>
      </c>
      <c r="B158" s="95" t="s">
        <v>178</v>
      </c>
      <c r="C158" s="121" t="s">
        <v>179</v>
      </c>
      <c r="D158" s="7" t="s">
        <v>180</v>
      </c>
      <c r="E158" s="32">
        <v>1</v>
      </c>
      <c r="F158" s="32" t="s">
        <v>181</v>
      </c>
      <c r="G158" s="7">
        <v>41</v>
      </c>
      <c r="H158" s="7">
        <v>28</v>
      </c>
      <c r="I158" s="7">
        <v>2</v>
      </c>
      <c r="J158" s="12">
        <v>4.3499999999999996</v>
      </c>
      <c r="K158" s="12">
        <v>2.5</v>
      </c>
      <c r="L158" s="54">
        <v>1.7999999999999999E-2</v>
      </c>
      <c r="M158" s="54">
        <v>1.4E-2</v>
      </c>
      <c r="N158" s="54">
        <f>L158-M158</f>
        <v>4.0000000000000001E-3</v>
      </c>
      <c r="O158" s="12">
        <f>J158*L158-K158*N158</f>
        <v>6.83E-2</v>
      </c>
      <c r="P158" s="32" t="s">
        <v>33</v>
      </c>
      <c r="Q158" s="32" t="s">
        <v>49</v>
      </c>
      <c r="R158" s="36">
        <v>1</v>
      </c>
      <c r="S158" s="12">
        <v>0.03</v>
      </c>
      <c r="T158" s="36">
        <v>1</v>
      </c>
      <c r="U158" s="12">
        <f t="shared" si="16"/>
        <v>0.03</v>
      </c>
      <c r="V158" s="116">
        <v>1.18</v>
      </c>
      <c r="W158" s="97">
        <f>(O158+SUM(U158:U161))*V158+O160*1.03</f>
        <v>0.36337399999999997</v>
      </c>
      <c r="X158" s="95">
        <v>0.27910000000000001</v>
      </c>
    </row>
    <row r="159" spans="1:24" x14ac:dyDescent="0.15">
      <c r="A159" s="95"/>
      <c r="B159" s="95"/>
      <c r="C159" s="121"/>
      <c r="D159" s="7"/>
      <c r="E159" s="32"/>
      <c r="F159" s="32"/>
      <c r="G159" s="7"/>
      <c r="H159" s="7"/>
      <c r="I159" s="7"/>
      <c r="J159" s="12"/>
      <c r="K159" s="12"/>
      <c r="L159" s="54"/>
      <c r="M159" s="54"/>
      <c r="N159" s="54"/>
      <c r="O159" s="12"/>
      <c r="P159" s="32" t="s">
        <v>55</v>
      </c>
      <c r="Q159" s="32" t="s">
        <v>49</v>
      </c>
      <c r="R159" s="36">
        <v>1</v>
      </c>
      <c r="S159" s="12">
        <v>0.03</v>
      </c>
      <c r="T159" s="36">
        <v>1</v>
      </c>
      <c r="U159" s="12">
        <f t="shared" si="16"/>
        <v>0.03</v>
      </c>
      <c r="V159" s="124"/>
      <c r="W159" s="97"/>
      <c r="X159" s="95"/>
    </row>
    <row r="160" spans="1:24" x14ac:dyDescent="0.15">
      <c r="A160" s="95"/>
      <c r="B160" s="95"/>
      <c r="C160" s="121"/>
      <c r="D160" s="7" t="s">
        <v>182</v>
      </c>
      <c r="E160" s="32">
        <v>1</v>
      </c>
      <c r="F160" s="32"/>
      <c r="G160" s="7"/>
      <c r="H160" s="7"/>
      <c r="I160" s="7"/>
      <c r="J160" s="12">
        <v>0.05</v>
      </c>
      <c r="K160" s="12"/>
      <c r="L160" s="54"/>
      <c r="M160" s="54"/>
      <c r="N160" s="54"/>
      <c r="O160" s="12">
        <v>0.05</v>
      </c>
      <c r="P160" s="32" t="s">
        <v>147</v>
      </c>
      <c r="Q160" s="32"/>
      <c r="R160" s="36">
        <v>2</v>
      </c>
      <c r="S160" s="12">
        <v>0.05</v>
      </c>
      <c r="T160" s="36">
        <v>1</v>
      </c>
      <c r="U160" s="12">
        <f t="shared" si="16"/>
        <v>0.1</v>
      </c>
      <c r="V160" s="124"/>
      <c r="W160" s="97"/>
      <c r="X160" s="95"/>
    </row>
    <row r="161" spans="1:24" x14ac:dyDescent="0.15">
      <c r="A161" s="95"/>
      <c r="B161" s="95"/>
      <c r="C161" s="121"/>
      <c r="D161" s="7"/>
      <c r="E161" s="32"/>
      <c r="F161" s="32"/>
      <c r="G161" s="7"/>
      <c r="H161" s="7"/>
      <c r="I161" s="7"/>
      <c r="J161" s="12"/>
      <c r="K161" s="12"/>
      <c r="L161" s="54"/>
      <c r="M161" s="54"/>
      <c r="N161" s="54"/>
      <c r="O161" s="12"/>
      <c r="P161" s="32" t="s">
        <v>174</v>
      </c>
      <c r="Q161" s="32">
        <v>1.7999999999999999E-2</v>
      </c>
      <c r="R161" s="36">
        <v>1</v>
      </c>
      <c r="S161" s="12">
        <v>3.5999999999999997E-2</v>
      </c>
      <c r="T161" s="36">
        <v>1</v>
      </c>
      <c r="U161" s="12">
        <f t="shared" si="16"/>
        <v>3.5999999999999997E-2</v>
      </c>
      <c r="V161" s="117"/>
      <c r="W161" s="97"/>
      <c r="X161" s="95"/>
    </row>
    <row r="162" spans="1:24" x14ac:dyDescent="0.15">
      <c r="A162" s="95">
        <v>65</v>
      </c>
      <c r="B162" s="95" t="s">
        <v>183</v>
      </c>
      <c r="C162" s="121" t="s">
        <v>184</v>
      </c>
      <c r="D162" s="95"/>
      <c r="E162" s="95"/>
      <c r="F162" s="95" t="s">
        <v>100</v>
      </c>
      <c r="G162" s="95">
        <v>46</v>
      </c>
      <c r="H162" s="95">
        <v>46</v>
      </c>
      <c r="I162" s="95">
        <v>2</v>
      </c>
      <c r="J162" s="156">
        <v>4.3499999999999996</v>
      </c>
      <c r="K162" s="156">
        <v>2.5</v>
      </c>
      <c r="L162" s="169">
        <v>3.2000000000000001E-2</v>
      </c>
      <c r="M162" s="169">
        <v>1.0999999999999999E-2</v>
      </c>
      <c r="N162" s="169">
        <f t="shared" ref="N162:N167" si="24">L162-M162</f>
        <v>2.1000000000000001E-2</v>
      </c>
      <c r="O162" s="156">
        <f>L162*J162-N162*K162</f>
        <v>8.6699999999999999E-2</v>
      </c>
      <c r="P162" s="39" t="s">
        <v>33</v>
      </c>
      <c r="Q162" s="39" t="s">
        <v>49</v>
      </c>
      <c r="R162" s="36">
        <v>1</v>
      </c>
      <c r="S162" s="36">
        <v>0.03</v>
      </c>
      <c r="T162" s="36">
        <v>1</v>
      </c>
      <c r="U162" s="12">
        <f t="shared" si="16"/>
        <v>0.03</v>
      </c>
      <c r="V162" s="97">
        <v>1.18</v>
      </c>
      <c r="W162" s="97">
        <f>(O162+SUM(U162:U164))*V162</f>
        <v>0.19670599999999999</v>
      </c>
      <c r="X162" s="95">
        <v>0.15590000000000001</v>
      </c>
    </row>
    <row r="163" spans="1:24" x14ac:dyDescent="0.15">
      <c r="A163" s="95"/>
      <c r="B163" s="95"/>
      <c r="C163" s="121"/>
      <c r="D163" s="95"/>
      <c r="E163" s="95"/>
      <c r="F163" s="95"/>
      <c r="G163" s="95"/>
      <c r="H163" s="95"/>
      <c r="I163" s="95"/>
      <c r="J163" s="156"/>
      <c r="K163" s="156"/>
      <c r="L163" s="169"/>
      <c r="M163" s="169"/>
      <c r="N163" s="169"/>
      <c r="O163" s="156"/>
      <c r="P163" s="39" t="s">
        <v>55</v>
      </c>
      <c r="Q163" s="39" t="s">
        <v>177</v>
      </c>
      <c r="R163" s="36">
        <v>1</v>
      </c>
      <c r="S163" s="12">
        <v>0.02</v>
      </c>
      <c r="T163" s="36">
        <v>1</v>
      </c>
      <c r="U163" s="12">
        <f t="shared" si="16"/>
        <v>0.02</v>
      </c>
      <c r="V163" s="97"/>
      <c r="W163" s="97"/>
      <c r="X163" s="95"/>
    </row>
    <row r="164" spans="1:24" x14ac:dyDescent="0.15">
      <c r="A164" s="95"/>
      <c r="B164" s="95"/>
      <c r="C164" s="121"/>
      <c r="D164" s="95"/>
      <c r="E164" s="95"/>
      <c r="F164" s="95"/>
      <c r="G164" s="95"/>
      <c r="H164" s="95"/>
      <c r="I164" s="95"/>
      <c r="J164" s="156"/>
      <c r="K164" s="156"/>
      <c r="L164" s="169"/>
      <c r="M164" s="169"/>
      <c r="N164" s="169"/>
      <c r="O164" s="156"/>
      <c r="P164" s="39" t="s">
        <v>35</v>
      </c>
      <c r="Q164" s="39" t="s">
        <v>43</v>
      </c>
      <c r="R164" s="36">
        <v>1</v>
      </c>
      <c r="S164" s="12">
        <v>0.03</v>
      </c>
      <c r="T164" s="36">
        <v>1</v>
      </c>
      <c r="U164" s="12">
        <f t="shared" si="16"/>
        <v>0.03</v>
      </c>
      <c r="V164" s="97"/>
      <c r="W164" s="97"/>
      <c r="X164" s="95"/>
    </row>
    <row r="165" spans="1:24" x14ac:dyDescent="0.15">
      <c r="A165" s="116">
        <v>67</v>
      </c>
      <c r="B165" s="116" t="s">
        <v>209</v>
      </c>
      <c r="C165" s="106" t="s">
        <v>210</v>
      </c>
      <c r="D165" s="106"/>
      <c r="E165" s="106"/>
      <c r="F165" s="106" t="s">
        <v>32</v>
      </c>
      <c r="G165" s="116">
        <v>186</v>
      </c>
      <c r="H165" s="116">
        <v>28</v>
      </c>
      <c r="I165" s="116">
        <v>5</v>
      </c>
      <c r="J165" s="98">
        <v>4.5999999999999996</v>
      </c>
      <c r="K165" s="98">
        <v>2.5</v>
      </c>
      <c r="L165" s="103">
        <v>0.20399999999999999</v>
      </c>
      <c r="M165" s="103">
        <v>0.13</v>
      </c>
      <c r="N165" s="103">
        <f t="shared" si="24"/>
        <v>7.3999999999999996E-2</v>
      </c>
      <c r="O165" s="98">
        <f>J165*L165-K165*N165</f>
        <v>0.75339999999999996</v>
      </c>
      <c r="P165" s="36" t="s">
        <v>211</v>
      </c>
      <c r="Q165" s="36" t="s">
        <v>212</v>
      </c>
      <c r="R165" s="36">
        <v>1</v>
      </c>
      <c r="S165" s="12">
        <v>0.1</v>
      </c>
      <c r="T165" s="36">
        <v>1</v>
      </c>
      <c r="U165" s="12">
        <f t="shared" si="16"/>
        <v>0.1</v>
      </c>
      <c r="V165" s="111">
        <v>1.1200000000000001</v>
      </c>
      <c r="W165" s="97">
        <f>(O165+SUM(U165:U166))*V165</f>
        <v>1.011808</v>
      </c>
      <c r="X165" s="95">
        <v>1.2722</v>
      </c>
    </row>
    <row r="166" spans="1:24" x14ac:dyDescent="0.15">
      <c r="A166" s="117"/>
      <c r="B166" s="117"/>
      <c r="C166" s="108"/>
      <c r="D166" s="108"/>
      <c r="E166" s="108"/>
      <c r="F166" s="108"/>
      <c r="G166" s="117"/>
      <c r="H166" s="117"/>
      <c r="I166" s="117"/>
      <c r="J166" s="99"/>
      <c r="K166" s="99"/>
      <c r="L166" s="104"/>
      <c r="M166" s="104"/>
      <c r="N166" s="104"/>
      <c r="O166" s="99"/>
      <c r="P166" s="36" t="s">
        <v>213</v>
      </c>
      <c r="Q166" s="36" t="s">
        <v>214</v>
      </c>
      <c r="R166" s="36">
        <v>1</v>
      </c>
      <c r="S166" s="12">
        <v>0.05</v>
      </c>
      <c r="T166" s="36">
        <v>1</v>
      </c>
      <c r="U166" s="12">
        <f t="shared" si="16"/>
        <v>0.05</v>
      </c>
      <c r="V166" s="112"/>
      <c r="W166" s="97"/>
      <c r="X166" s="95"/>
    </row>
    <row r="167" spans="1:24" s="21" customFormat="1" x14ac:dyDescent="0.15">
      <c r="A167" s="201">
        <v>70</v>
      </c>
      <c r="B167" s="139" t="s">
        <v>215</v>
      </c>
      <c r="C167" s="200" t="s">
        <v>216</v>
      </c>
      <c r="D167" s="139">
        <f>J167*1.13</f>
        <v>4.9042000000000003</v>
      </c>
      <c r="E167" s="139"/>
      <c r="F167" s="139" t="s">
        <v>217</v>
      </c>
      <c r="G167" s="128">
        <v>19</v>
      </c>
      <c r="H167" s="128">
        <v>1.5</v>
      </c>
      <c r="I167" s="128">
        <v>60</v>
      </c>
      <c r="J167" s="158">
        <v>4.34</v>
      </c>
      <c r="K167" s="158">
        <v>2.5</v>
      </c>
      <c r="L167" s="170">
        <v>3.1E-2</v>
      </c>
      <c r="M167" s="170">
        <v>2.7E-2</v>
      </c>
      <c r="N167" s="170">
        <f t="shared" si="24"/>
        <v>4.0000000000000001E-3</v>
      </c>
      <c r="O167" s="158">
        <f>J167*L167-K167*N167</f>
        <v>0.12454</v>
      </c>
      <c r="P167" s="52" t="s">
        <v>218</v>
      </c>
      <c r="Q167" s="52"/>
      <c r="R167" s="52">
        <v>1</v>
      </c>
      <c r="S167" s="55">
        <v>0.05</v>
      </c>
      <c r="T167" s="52">
        <v>1</v>
      </c>
      <c r="U167" s="55">
        <f t="shared" si="16"/>
        <v>0.05</v>
      </c>
      <c r="V167" s="144">
        <v>1.18</v>
      </c>
      <c r="W167" s="139">
        <f>(O167+SUM(U167:U169))*V167</f>
        <v>0.27675719999999998</v>
      </c>
      <c r="X167" s="128">
        <v>0.37759999999999999</v>
      </c>
    </row>
    <row r="168" spans="1:24" s="21" customFormat="1" x14ac:dyDescent="0.15">
      <c r="A168" s="202"/>
      <c r="B168" s="139"/>
      <c r="C168" s="200"/>
      <c r="D168" s="139"/>
      <c r="E168" s="139"/>
      <c r="F168" s="139"/>
      <c r="G168" s="128"/>
      <c r="H168" s="128"/>
      <c r="I168" s="128"/>
      <c r="J168" s="158"/>
      <c r="K168" s="158"/>
      <c r="L168" s="170"/>
      <c r="M168" s="170"/>
      <c r="N168" s="170"/>
      <c r="O168" s="158"/>
      <c r="P168" s="52" t="s">
        <v>219</v>
      </c>
      <c r="Q168" s="52" t="s">
        <v>177</v>
      </c>
      <c r="R168" s="52">
        <v>1</v>
      </c>
      <c r="S168" s="55">
        <v>0.02</v>
      </c>
      <c r="T168" s="52">
        <v>1</v>
      </c>
      <c r="U168" s="55">
        <f t="shared" si="16"/>
        <v>0.02</v>
      </c>
      <c r="V168" s="145"/>
      <c r="W168" s="139"/>
      <c r="X168" s="128"/>
    </row>
    <row r="169" spans="1:24" s="21" customFormat="1" x14ac:dyDescent="0.15">
      <c r="A169" s="203"/>
      <c r="B169" s="139"/>
      <c r="C169" s="200"/>
      <c r="D169" s="139"/>
      <c r="E169" s="139"/>
      <c r="F169" s="139"/>
      <c r="G169" s="128"/>
      <c r="H169" s="128"/>
      <c r="I169" s="128"/>
      <c r="J169" s="158"/>
      <c r="K169" s="158"/>
      <c r="L169" s="170"/>
      <c r="M169" s="170"/>
      <c r="N169" s="170"/>
      <c r="O169" s="158"/>
      <c r="P169" s="52" t="s">
        <v>278</v>
      </c>
      <c r="Q169" s="52" t="s">
        <v>34</v>
      </c>
      <c r="R169" s="52">
        <v>1</v>
      </c>
      <c r="S169" s="55">
        <v>0.04</v>
      </c>
      <c r="T169" s="52">
        <v>1</v>
      </c>
      <c r="U169" s="55">
        <f t="shared" si="16"/>
        <v>0.04</v>
      </c>
      <c r="V169" s="146"/>
      <c r="W169" s="139"/>
      <c r="X169" s="128"/>
    </row>
    <row r="170" spans="1:24" x14ac:dyDescent="0.15">
      <c r="A170" s="95">
        <v>71</v>
      </c>
      <c r="B170" s="95" t="s">
        <v>220</v>
      </c>
      <c r="C170" s="121" t="s">
        <v>221</v>
      </c>
      <c r="D170" s="95"/>
      <c r="E170" s="95"/>
      <c r="F170" s="95" t="s">
        <v>217</v>
      </c>
      <c r="G170" s="95">
        <v>42</v>
      </c>
      <c r="H170" s="95">
        <v>25</v>
      </c>
      <c r="I170" s="95">
        <v>3</v>
      </c>
      <c r="J170" s="156">
        <v>4.3</v>
      </c>
      <c r="K170" s="156">
        <v>2.5</v>
      </c>
      <c r="L170" s="95">
        <v>2.5000000000000001E-2</v>
      </c>
      <c r="M170" s="95">
        <v>1.4999999999999999E-2</v>
      </c>
      <c r="N170" s="95">
        <f t="shared" ref="N170:N175" si="25">L170-M170</f>
        <v>0.01</v>
      </c>
      <c r="O170" s="156">
        <f t="shared" ref="O170:O175" si="26">L170*J170-N170*K170</f>
        <v>8.2500000000000004E-2</v>
      </c>
      <c r="P170" s="36" t="s">
        <v>33</v>
      </c>
      <c r="Q170" s="36" t="s">
        <v>43</v>
      </c>
      <c r="R170" s="36">
        <v>1</v>
      </c>
      <c r="S170" s="12">
        <v>0.03</v>
      </c>
      <c r="T170" s="36">
        <v>1</v>
      </c>
      <c r="U170" s="12">
        <f t="shared" si="16"/>
        <v>0.03</v>
      </c>
      <c r="V170" s="111">
        <v>1.18</v>
      </c>
      <c r="W170" s="97">
        <f>(O170+SUM(U170:U172))*V170</f>
        <v>0.17995</v>
      </c>
      <c r="X170" s="95">
        <v>0.1888</v>
      </c>
    </row>
    <row r="171" spans="1:24" x14ac:dyDescent="0.15">
      <c r="A171" s="95"/>
      <c r="B171" s="95"/>
      <c r="C171" s="121"/>
      <c r="D171" s="95"/>
      <c r="E171" s="95"/>
      <c r="F171" s="95"/>
      <c r="G171" s="95"/>
      <c r="H171" s="95"/>
      <c r="I171" s="95"/>
      <c r="J171" s="156"/>
      <c r="K171" s="156"/>
      <c r="L171" s="95"/>
      <c r="M171" s="95"/>
      <c r="N171" s="95"/>
      <c r="O171" s="156"/>
      <c r="P171" s="36" t="s">
        <v>55</v>
      </c>
      <c r="Q171" s="36" t="s">
        <v>103</v>
      </c>
      <c r="R171" s="36">
        <v>1</v>
      </c>
      <c r="S171" s="12">
        <v>0.02</v>
      </c>
      <c r="T171" s="36">
        <v>1</v>
      </c>
      <c r="U171" s="12">
        <f t="shared" si="16"/>
        <v>0.02</v>
      </c>
      <c r="V171" s="135"/>
      <c r="W171" s="97"/>
      <c r="X171" s="95"/>
    </row>
    <row r="172" spans="1:24" x14ac:dyDescent="0.15">
      <c r="A172" s="95"/>
      <c r="B172" s="95"/>
      <c r="C172" s="121"/>
      <c r="D172" s="95"/>
      <c r="E172" s="95"/>
      <c r="F172" s="95"/>
      <c r="G172" s="95"/>
      <c r="H172" s="95"/>
      <c r="I172" s="95"/>
      <c r="J172" s="156"/>
      <c r="K172" s="156"/>
      <c r="L172" s="95"/>
      <c r="M172" s="95"/>
      <c r="N172" s="95"/>
      <c r="O172" s="156"/>
      <c r="P172" s="36" t="s">
        <v>35</v>
      </c>
      <c r="Q172" s="36" t="s">
        <v>103</v>
      </c>
      <c r="R172" s="36">
        <v>1</v>
      </c>
      <c r="S172" s="12">
        <v>0.02</v>
      </c>
      <c r="T172" s="36">
        <v>1</v>
      </c>
      <c r="U172" s="12">
        <f t="shared" si="16"/>
        <v>0.02</v>
      </c>
      <c r="V172" s="112"/>
      <c r="W172" s="97"/>
      <c r="X172" s="95"/>
    </row>
    <row r="173" spans="1:24" x14ac:dyDescent="0.15">
      <c r="A173" s="116">
        <v>72</v>
      </c>
      <c r="B173" s="116" t="s">
        <v>222</v>
      </c>
      <c r="C173" s="106" t="s">
        <v>223</v>
      </c>
      <c r="D173" s="106"/>
      <c r="E173" s="106"/>
      <c r="F173" s="116" t="s">
        <v>224</v>
      </c>
      <c r="G173" s="116">
        <v>195</v>
      </c>
      <c r="H173" s="116">
        <v>20</v>
      </c>
      <c r="I173" s="116">
        <v>2</v>
      </c>
      <c r="J173" s="98">
        <v>4.3</v>
      </c>
      <c r="K173" s="98">
        <v>2.5</v>
      </c>
      <c r="L173" s="103">
        <v>0.183</v>
      </c>
      <c r="M173" s="103">
        <v>0.18</v>
      </c>
      <c r="N173" s="103">
        <f t="shared" si="25"/>
        <v>3.0000000000000001E-3</v>
      </c>
      <c r="O173" s="98">
        <f t="shared" si="26"/>
        <v>0.77939999999999998</v>
      </c>
      <c r="P173" s="39" t="s">
        <v>225</v>
      </c>
      <c r="Q173" s="36" t="s">
        <v>226</v>
      </c>
      <c r="R173" s="36">
        <v>1</v>
      </c>
      <c r="S173" s="12">
        <v>0.08</v>
      </c>
      <c r="T173" s="36">
        <v>1</v>
      </c>
      <c r="U173" s="12">
        <f t="shared" si="16"/>
        <v>0.08</v>
      </c>
      <c r="V173" s="111">
        <v>1.1200000000000001</v>
      </c>
      <c r="W173" s="97">
        <f t="shared" ref="W173:W177" si="27">(O173+SUM(U173:U174))*V173</f>
        <v>1.0185280000000001</v>
      </c>
      <c r="X173" s="95">
        <v>0.75509999999999999</v>
      </c>
    </row>
    <row r="174" spans="1:24" x14ac:dyDescent="0.15">
      <c r="A174" s="117"/>
      <c r="B174" s="117"/>
      <c r="C174" s="108"/>
      <c r="D174" s="108"/>
      <c r="E174" s="108"/>
      <c r="F174" s="117"/>
      <c r="G174" s="117"/>
      <c r="H174" s="117"/>
      <c r="I174" s="117"/>
      <c r="J174" s="99"/>
      <c r="K174" s="99"/>
      <c r="L174" s="104"/>
      <c r="M174" s="104"/>
      <c r="N174" s="104"/>
      <c r="O174" s="99"/>
      <c r="P174" s="39" t="s">
        <v>55</v>
      </c>
      <c r="Q174" s="39" t="s">
        <v>214</v>
      </c>
      <c r="R174" s="36">
        <v>1</v>
      </c>
      <c r="S174" s="12">
        <v>0.05</v>
      </c>
      <c r="T174" s="36">
        <v>1</v>
      </c>
      <c r="U174" s="12">
        <f t="shared" si="16"/>
        <v>0.05</v>
      </c>
      <c r="V174" s="112"/>
      <c r="W174" s="97"/>
      <c r="X174" s="95"/>
    </row>
    <row r="175" spans="1:24" x14ac:dyDescent="0.15">
      <c r="A175" s="116">
        <v>73</v>
      </c>
      <c r="B175" s="116" t="s">
        <v>227</v>
      </c>
      <c r="C175" s="106" t="s">
        <v>228</v>
      </c>
      <c r="D175" s="106"/>
      <c r="E175" s="106"/>
      <c r="F175" s="106" t="s">
        <v>100</v>
      </c>
      <c r="G175" s="116">
        <v>41</v>
      </c>
      <c r="H175" s="116">
        <v>28</v>
      </c>
      <c r="I175" s="116">
        <v>3</v>
      </c>
      <c r="J175" s="98">
        <v>4.3</v>
      </c>
      <c r="K175" s="98">
        <v>2.5</v>
      </c>
      <c r="L175" s="103">
        <v>2.7E-2</v>
      </c>
      <c r="M175" s="103">
        <v>1.4999999999999999E-2</v>
      </c>
      <c r="N175" s="103">
        <f t="shared" si="25"/>
        <v>1.2E-2</v>
      </c>
      <c r="O175" s="98">
        <f t="shared" si="26"/>
        <v>8.6099999999999996E-2</v>
      </c>
      <c r="P175" s="36" t="s">
        <v>33</v>
      </c>
      <c r="Q175" s="36" t="s">
        <v>43</v>
      </c>
      <c r="R175" s="36">
        <v>1</v>
      </c>
      <c r="S175" s="12">
        <v>0.03</v>
      </c>
      <c r="T175" s="36">
        <v>1</v>
      </c>
      <c r="U175" s="12">
        <f t="shared" si="16"/>
        <v>0.03</v>
      </c>
      <c r="V175" s="111">
        <v>1.18</v>
      </c>
      <c r="W175" s="97">
        <f t="shared" si="27"/>
        <v>0.16059799999999999</v>
      </c>
      <c r="X175" s="95">
        <v>0.1149</v>
      </c>
    </row>
    <row r="176" spans="1:24" x14ac:dyDescent="0.15">
      <c r="A176" s="117"/>
      <c r="B176" s="117"/>
      <c r="C176" s="108"/>
      <c r="D176" s="108"/>
      <c r="E176" s="108"/>
      <c r="F176" s="108"/>
      <c r="G176" s="117"/>
      <c r="H176" s="117"/>
      <c r="I176" s="117"/>
      <c r="J176" s="99"/>
      <c r="K176" s="99"/>
      <c r="L176" s="104"/>
      <c r="M176" s="104"/>
      <c r="N176" s="104"/>
      <c r="O176" s="99"/>
      <c r="P176" s="36" t="s">
        <v>55</v>
      </c>
      <c r="Q176" s="36" t="s">
        <v>177</v>
      </c>
      <c r="R176" s="36">
        <v>1</v>
      </c>
      <c r="S176" s="12">
        <v>0.02</v>
      </c>
      <c r="T176" s="36">
        <v>1</v>
      </c>
      <c r="U176" s="12">
        <f t="shared" si="16"/>
        <v>0.02</v>
      </c>
      <c r="V176" s="112"/>
      <c r="W176" s="97"/>
      <c r="X176" s="95"/>
    </row>
    <row r="177" spans="1:24" x14ac:dyDescent="0.15">
      <c r="A177" s="116">
        <v>75</v>
      </c>
      <c r="B177" s="116" t="s">
        <v>229</v>
      </c>
      <c r="C177" s="106" t="s">
        <v>230</v>
      </c>
      <c r="D177" s="106"/>
      <c r="E177" s="106"/>
      <c r="F177" s="116" t="s">
        <v>100</v>
      </c>
      <c r="G177" s="116">
        <v>30</v>
      </c>
      <c r="H177" s="116">
        <v>30</v>
      </c>
      <c r="I177" s="116">
        <v>2</v>
      </c>
      <c r="J177" s="98">
        <v>4.3499999999999996</v>
      </c>
      <c r="K177" s="98">
        <v>2.5</v>
      </c>
      <c r="L177" s="103">
        <v>1.4999999999999999E-2</v>
      </c>
      <c r="M177" s="103">
        <v>8.0000000000000002E-3</v>
      </c>
      <c r="N177" s="103">
        <f t="shared" ref="N177:N180" si="28">L177-M177</f>
        <v>7.0000000000000001E-3</v>
      </c>
      <c r="O177" s="98">
        <f t="shared" ref="O177:O180" si="29">L177*J177-N177*K177</f>
        <v>4.7750000000000001E-2</v>
      </c>
      <c r="P177" s="36" t="s">
        <v>33</v>
      </c>
      <c r="Q177" s="36" t="s">
        <v>231</v>
      </c>
      <c r="R177" s="36">
        <v>1</v>
      </c>
      <c r="S177" s="12">
        <v>0.03</v>
      </c>
      <c r="T177" s="36">
        <v>1</v>
      </c>
      <c r="U177" s="12">
        <f t="shared" si="16"/>
        <v>0.03</v>
      </c>
      <c r="V177" s="111">
        <v>1.18</v>
      </c>
      <c r="W177" s="97">
        <f t="shared" si="27"/>
        <v>0.12714500000000001</v>
      </c>
      <c r="X177" s="95">
        <v>9.8500000000000004E-2</v>
      </c>
    </row>
    <row r="178" spans="1:24" x14ac:dyDescent="0.15">
      <c r="A178" s="117"/>
      <c r="B178" s="117"/>
      <c r="C178" s="108"/>
      <c r="D178" s="108"/>
      <c r="E178" s="108"/>
      <c r="F178" s="117"/>
      <c r="G178" s="117"/>
      <c r="H178" s="117"/>
      <c r="I178" s="117"/>
      <c r="J178" s="99"/>
      <c r="K178" s="99"/>
      <c r="L178" s="104"/>
      <c r="M178" s="104"/>
      <c r="N178" s="104"/>
      <c r="O178" s="99"/>
      <c r="P178" s="36" t="s">
        <v>35</v>
      </c>
      <c r="Q178" s="36" t="s">
        <v>232</v>
      </c>
      <c r="R178" s="36">
        <v>1</v>
      </c>
      <c r="S178" s="12">
        <v>0.03</v>
      </c>
      <c r="T178" s="36">
        <v>1</v>
      </c>
      <c r="U178" s="12">
        <f t="shared" si="16"/>
        <v>0.03</v>
      </c>
      <c r="V178" s="112"/>
      <c r="W178" s="97"/>
      <c r="X178" s="95"/>
    </row>
    <row r="179" spans="1:24" s="20" customFormat="1" ht="27" x14ac:dyDescent="0.15">
      <c r="A179" s="32">
        <v>76</v>
      </c>
      <c r="B179" s="32" t="s">
        <v>233</v>
      </c>
      <c r="C179" s="8" t="s">
        <v>234</v>
      </c>
      <c r="D179" s="7"/>
      <c r="E179" s="32"/>
      <c r="F179" s="41" t="s">
        <v>100</v>
      </c>
      <c r="G179" s="41">
        <v>72</v>
      </c>
      <c r="H179" s="41">
        <v>19</v>
      </c>
      <c r="I179" s="41">
        <v>3</v>
      </c>
      <c r="J179" s="45">
        <v>4.3</v>
      </c>
      <c r="K179" s="45">
        <v>2.5</v>
      </c>
      <c r="L179" s="46">
        <v>3.2000000000000001E-2</v>
      </c>
      <c r="M179" s="46">
        <v>1.4999999999999999E-2</v>
      </c>
      <c r="N179" s="46">
        <f t="shared" si="28"/>
        <v>1.7000000000000001E-2</v>
      </c>
      <c r="O179" s="12">
        <f t="shared" si="29"/>
        <v>9.5100000000000004E-2</v>
      </c>
      <c r="P179" s="32" t="s">
        <v>211</v>
      </c>
      <c r="Q179" s="36" t="s">
        <v>34</v>
      </c>
      <c r="R179" s="36">
        <v>1</v>
      </c>
      <c r="S179" s="36">
        <v>0.03</v>
      </c>
      <c r="T179" s="36">
        <v>1</v>
      </c>
      <c r="U179" s="12">
        <f t="shared" si="16"/>
        <v>0.03</v>
      </c>
      <c r="V179" s="32">
        <v>1.18</v>
      </c>
      <c r="W179" s="36">
        <f>(O179+U179)*V179</f>
        <v>0.147618</v>
      </c>
      <c r="X179" s="32">
        <v>0.1231</v>
      </c>
    </row>
    <row r="180" spans="1:24" x14ac:dyDescent="0.15">
      <c r="A180" s="95">
        <v>77</v>
      </c>
      <c r="B180" s="95" t="s">
        <v>235</v>
      </c>
      <c r="C180" s="121" t="s">
        <v>236</v>
      </c>
      <c r="D180" s="95"/>
      <c r="E180" s="95"/>
      <c r="F180" s="95" t="s">
        <v>100</v>
      </c>
      <c r="G180" s="95">
        <v>57</v>
      </c>
      <c r="H180" s="95">
        <v>29</v>
      </c>
      <c r="I180" s="95">
        <v>2</v>
      </c>
      <c r="J180" s="156">
        <v>4.3</v>
      </c>
      <c r="K180" s="156">
        <v>2.5</v>
      </c>
      <c r="L180" s="95">
        <v>2.8000000000000001E-2</v>
      </c>
      <c r="M180" s="95">
        <v>1.2E-2</v>
      </c>
      <c r="N180" s="95">
        <f t="shared" si="28"/>
        <v>1.6E-2</v>
      </c>
      <c r="O180" s="156">
        <f t="shared" si="29"/>
        <v>8.0399999999999999E-2</v>
      </c>
      <c r="P180" s="36" t="s">
        <v>33</v>
      </c>
      <c r="Q180" s="36" t="s">
        <v>43</v>
      </c>
      <c r="R180" s="36">
        <v>1</v>
      </c>
      <c r="S180" s="12">
        <v>0.03</v>
      </c>
      <c r="T180" s="36">
        <v>1</v>
      </c>
      <c r="U180" s="12">
        <f t="shared" si="16"/>
        <v>0.03</v>
      </c>
      <c r="V180" s="111">
        <v>1.18</v>
      </c>
      <c r="W180" s="97">
        <f>(O180+SUM(U180:U182))*V180</f>
        <v>0.189272</v>
      </c>
      <c r="X180" s="95">
        <v>0.1477</v>
      </c>
    </row>
    <row r="181" spans="1:24" x14ac:dyDescent="0.15">
      <c r="A181" s="95"/>
      <c r="B181" s="95"/>
      <c r="C181" s="121"/>
      <c r="D181" s="95"/>
      <c r="E181" s="95"/>
      <c r="F181" s="95"/>
      <c r="G181" s="95"/>
      <c r="H181" s="95"/>
      <c r="I181" s="95"/>
      <c r="J181" s="156"/>
      <c r="K181" s="156"/>
      <c r="L181" s="95"/>
      <c r="M181" s="95"/>
      <c r="N181" s="95"/>
      <c r="O181" s="156"/>
      <c r="P181" s="36" t="s">
        <v>55</v>
      </c>
      <c r="Q181" s="36" t="s">
        <v>43</v>
      </c>
      <c r="R181" s="36">
        <v>1</v>
      </c>
      <c r="S181" s="12">
        <v>0.03</v>
      </c>
      <c r="T181" s="36">
        <v>1</v>
      </c>
      <c r="U181" s="12">
        <f t="shared" si="16"/>
        <v>0.03</v>
      </c>
      <c r="V181" s="135"/>
      <c r="W181" s="97"/>
      <c r="X181" s="95"/>
    </row>
    <row r="182" spans="1:24" x14ac:dyDescent="0.15">
      <c r="A182" s="95"/>
      <c r="B182" s="95"/>
      <c r="C182" s="121"/>
      <c r="D182" s="95"/>
      <c r="E182" s="95"/>
      <c r="F182" s="95"/>
      <c r="G182" s="95"/>
      <c r="H182" s="95"/>
      <c r="I182" s="95"/>
      <c r="J182" s="156"/>
      <c r="K182" s="156"/>
      <c r="L182" s="95"/>
      <c r="M182" s="95"/>
      <c r="N182" s="95"/>
      <c r="O182" s="156"/>
      <c r="P182" s="36" t="s">
        <v>35</v>
      </c>
      <c r="Q182" s="36" t="s">
        <v>103</v>
      </c>
      <c r="R182" s="36">
        <v>1</v>
      </c>
      <c r="S182" s="12">
        <v>0.02</v>
      </c>
      <c r="T182" s="36">
        <v>1</v>
      </c>
      <c r="U182" s="12">
        <f t="shared" si="16"/>
        <v>0.02</v>
      </c>
      <c r="V182" s="112"/>
      <c r="W182" s="97"/>
      <c r="X182" s="95"/>
    </row>
    <row r="183" spans="1:24" x14ac:dyDescent="0.15">
      <c r="A183" s="95">
        <v>78</v>
      </c>
      <c r="B183" s="95" t="s">
        <v>235</v>
      </c>
      <c r="C183" s="121" t="s">
        <v>237</v>
      </c>
      <c r="D183" s="95"/>
      <c r="E183" s="95"/>
      <c r="F183" s="95" t="s">
        <v>100</v>
      </c>
      <c r="G183" s="95">
        <v>57</v>
      </c>
      <c r="H183" s="95">
        <v>29</v>
      </c>
      <c r="I183" s="95">
        <v>2</v>
      </c>
      <c r="J183" s="156">
        <v>4.3499999999999996</v>
      </c>
      <c r="K183" s="156">
        <v>2.5</v>
      </c>
      <c r="L183" s="95">
        <v>2.8000000000000001E-2</v>
      </c>
      <c r="M183" s="95">
        <v>1.2E-2</v>
      </c>
      <c r="N183" s="95">
        <f t="shared" ref="N183:N188" si="30">L183-M183</f>
        <v>1.6E-2</v>
      </c>
      <c r="O183" s="156">
        <f>L183*J183-N183*K183</f>
        <v>8.1799999999999998E-2</v>
      </c>
      <c r="P183" s="36" t="s">
        <v>33</v>
      </c>
      <c r="Q183" s="36" t="s">
        <v>43</v>
      </c>
      <c r="R183" s="36">
        <v>1</v>
      </c>
      <c r="S183" s="12">
        <v>0.03</v>
      </c>
      <c r="T183" s="36">
        <v>1</v>
      </c>
      <c r="U183" s="12">
        <f t="shared" si="16"/>
        <v>0.03</v>
      </c>
      <c r="V183" s="111">
        <v>1.18</v>
      </c>
      <c r="W183" s="97">
        <f>(O183+SUM(U183:U185))*V183</f>
        <v>0.19092400000000001</v>
      </c>
      <c r="X183" s="95">
        <v>0.1477</v>
      </c>
    </row>
    <row r="184" spans="1:24" x14ac:dyDescent="0.15">
      <c r="A184" s="95"/>
      <c r="B184" s="95"/>
      <c r="C184" s="121"/>
      <c r="D184" s="95"/>
      <c r="E184" s="95"/>
      <c r="F184" s="95"/>
      <c r="G184" s="95"/>
      <c r="H184" s="95"/>
      <c r="I184" s="95"/>
      <c r="J184" s="156"/>
      <c r="K184" s="156"/>
      <c r="L184" s="95"/>
      <c r="M184" s="95"/>
      <c r="N184" s="95"/>
      <c r="O184" s="156"/>
      <c r="P184" s="36" t="s">
        <v>55</v>
      </c>
      <c r="Q184" s="36" t="s">
        <v>43</v>
      </c>
      <c r="R184" s="36">
        <v>1</v>
      </c>
      <c r="S184" s="12">
        <v>0.03</v>
      </c>
      <c r="T184" s="36">
        <v>1</v>
      </c>
      <c r="U184" s="12">
        <f t="shared" si="16"/>
        <v>0.03</v>
      </c>
      <c r="V184" s="135"/>
      <c r="W184" s="97"/>
      <c r="X184" s="95"/>
    </row>
    <row r="185" spans="1:24" x14ac:dyDescent="0.15">
      <c r="A185" s="95"/>
      <c r="B185" s="95"/>
      <c r="C185" s="121"/>
      <c r="D185" s="95"/>
      <c r="E185" s="95"/>
      <c r="F185" s="95"/>
      <c r="G185" s="95"/>
      <c r="H185" s="95"/>
      <c r="I185" s="95"/>
      <c r="J185" s="156"/>
      <c r="K185" s="156"/>
      <c r="L185" s="95"/>
      <c r="M185" s="95"/>
      <c r="N185" s="95"/>
      <c r="O185" s="156"/>
      <c r="P185" s="36" t="s">
        <v>35</v>
      </c>
      <c r="Q185" s="36" t="s">
        <v>103</v>
      </c>
      <c r="R185" s="36">
        <v>1</v>
      </c>
      <c r="S185" s="12">
        <v>0.02</v>
      </c>
      <c r="T185" s="36">
        <v>1</v>
      </c>
      <c r="U185" s="12">
        <f t="shared" si="16"/>
        <v>0.02</v>
      </c>
      <c r="V185" s="112"/>
      <c r="W185" s="97"/>
      <c r="X185" s="95"/>
    </row>
    <row r="186" spans="1:24" x14ac:dyDescent="0.15">
      <c r="A186" s="116">
        <v>79</v>
      </c>
      <c r="B186" s="116" t="s">
        <v>238</v>
      </c>
      <c r="C186" s="106" t="s">
        <v>239</v>
      </c>
      <c r="D186" s="106"/>
      <c r="E186" s="106"/>
      <c r="F186" s="116" t="s">
        <v>100</v>
      </c>
      <c r="G186" s="116">
        <v>51</v>
      </c>
      <c r="H186" s="116">
        <v>21</v>
      </c>
      <c r="I186" s="116">
        <v>3</v>
      </c>
      <c r="J186" s="98">
        <v>4.3</v>
      </c>
      <c r="K186" s="98">
        <v>2.5</v>
      </c>
      <c r="L186" s="103">
        <v>0.03</v>
      </c>
      <c r="M186" s="103">
        <v>1.4999999999999999E-2</v>
      </c>
      <c r="N186" s="103">
        <f t="shared" si="30"/>
        <v>1.4999999999999999E-2</v>
      </c>
      <c r="O186" s="98">
        <f>L186*J186-N186*K186</f>
        <v>9.1499999999999998E-2</v>
      </c>
      <c r="P186" s="36" t="s">
        <v>33</v>
      </c>
      <c r="Q186" s="36" t="s">
        <v>43</v>
      </c>
      <c r="R186" s="36">
        <v>1</v>
      </c>
      <c r="S186" s="12">
        <v>0.03</v>
      </c>
      <c r="T186" s="36">
        <v>1</v>
      </c>
      <c r="U186" s="12">
        <f t="shared" si="16"/>
        <v>0.03</v>
      </c>
      <c r="V186" s="111">
        <v>1.18</v>
      </c>
      <c r="W186" s="97">
        <f>(O186+SUM(U186:U187))*V186</f>
        <v>0.17877000000000001</v>
      </c>
      <c r="X186" s="95">
        <v>0.13950000000000001</v>
      </c>
    </row>
    <row r="187" spans="1:24" x14ac:dyDescent="0.15">
      <c r="A187" s="117"/>
      <c r="B187" s="117"/>
      <c r="C187" s="108"/>
      <c r="D187" s="108"/>
      <c r="E187" s="108"/>
      <c r="F187" s="117"/>
      <c r="G187" s="117"/>
      <c r="H187" s="117"/>
      <c r="I187" s="117"/>
      <c r="J187" s="99"/>
      <c r="K187" s="99"/>
      <c r="L187" s="104"/>
      <c r="M187" s="104"/>
      <c r="N187" s="104"/>
      <c r="O187" s="99"/>
      <c r="P187" s="39" t="s">
        <v>35</v>
      </c>
      <c r="Q187" s="36" t="s">
        <v>43</v>
      </c>
      <c r="R187" s="36">
        <v>1</v>
      </c>
      <c r="S187" s="12">
        <v>0.03</v>
      </c>
      <c r="T187" s="36">
        <v>1</v>
      </c>
      <c r="U187" s="12">
        <f t="shared" si="16"/>
        <v>0.03</v>
      </c>
      <c r="V187" s="112"/>
      <c r="W187" s="97"/>
      <c r="X187" s="95"/>
    </row>
    <row r="188" spans="1:24" x14ac:dyDescent="0.15">
      <c r="A188" s="116">
        <v>80</v>
      </c>
      <c r="B188" s="97" t="s">
        <v>240</v>
      </c>
      <c r="C188" s="191" t="s">
        <v>241</v>
      </c>
      <c r="D188" s="97"/>
      <c r="E188" s="97"/>
      <c r="F188" s="97" t="s">
        <v>100</v>
      </c>
      <c r="G188" s="95">
        <v>49</v>
      </c>
      <c r="H188" s="95">
        <v>24</v>
      </c>
      <c r="I188" s="95">
        <v>2</v>
      </c>
      <c r="J188" s="156">
        <v>4.3499999999999996</v>
      </c>
      <c r="K188" s="156">
        <v>2.5</v>
      </c>
      <c r="L188" s="105">
        <v>1.7999999999999999E-2</v>
      </c>
      <c r="M188" s="105">
        <v>1.2E-2</v>
      </c>
      <c r="N188" s="105">
        <f t="shared" si="30"/>
        <v>6.0000000000000001E-3</v>
      </c>
      <c r="O188" s="156">
        <f>J188*L188-K188*N188</f>
        <v>6.3299999999999995E-2</v>
      </c>
      <c r="P188" s="36" t="s">
        <v>33</v>
      </c>
      <c r="Q188" s="36" t="s">
        <v>34</v>
      </c>
      <c r="R188" s="36">
        <v>1</v>
      </c>
      <c r="S188" s="12">
        <v>0.03</v>
      </c>
      <c r="T188" s="36">
        <v>1</v>
      </c>
      <c r="U188" s="12">
        <f t="shared" si="16"/>
        <v>0.03</v>
      </c>
      <c r="V188" s="111">
        <v>1.18</v>
      </c>
      <c r="W188" s="97">
        <f>(O188+SUM(U188:U190))*V188</f>
        <v>0.15729399999999999</v>
      </c>
      <c r="X188" s="95">
        <v>0.1477</v>
      </c>
    </row>
    <row r="189" spans="1:24" x14ac:dyDescent="0.15">
      <c r="A189" s="124"/>
      <c r="B189" s="97"/>
      <c r="C189" s="191"/>
      <c r="D189" s="97"/>
      <c r="E189" s="97"/>
      <c r="F189" s="97"/>
      <c r="G189" s="95"/>
      <c r="H189" s="95"/>
      <c r="I189" s="95"/>
      <c r="J189" s="156"/>
      <c r="K189" s="156"/>
      <c r="L189" s="105"/>
      <c r="M189" s="105"/>
      <c r="N189" s="105"/>
      <c r="O189" s="156"/>
      <c r="P189" s="36" t="s">
        <v>55</v>
      </c>
      <c r="Q189" s="36" t="s">
        <v>103</v>
      </c>
      <c r="R189" s="36">
        <v>1</v>
      </c>
      <c r="S189" s="12">
        <v>0.02</v>
      </c>
      <c r="T189" s="36">
        <v>1</v>
      </c>
      <c r="U189" s="12">
        <f t="shared" si="16"/>
        <v>0.02</v>
      </c>
      <c r="V189" s="135"/>
      <c r="W189" s="97"/>
      <c r="X189" s="95"/>
    </row>
    <row r="190" spans="1:24" x14ac:dyDescent="0.15">
      <c r="A190" s="117"/>
      <c r="B190" s="97"/>
      <c r="C190" s="191"/>
      <c r="D190" s="97"/>
      <c r="E190" s="97"/>
      <c r="F190" s="97"/>
      <c r="G190" s="95"/>
      <c r="H190" s="95"/>
      <c r="I190" s="95"/>
      <c r="J190" s="156"/>
      <c r="K190" s="156"/>
      <c r="L190" s="105"/>
      <c r="M190" s="105"/>
      <c r="N190" s="105"/>
      <c r="O190" s="156"/>
      <c r="P190" s="36" t="s">
        <v>35</v>
      </c>
      <c r="Q190" s="36" t="s">
        <v>103</v>
      </c>
      <c r="R190" s="36">
        <v>1</v>
      </c>
      <c r="S190" s="12">
        <v>0.02</v>
      </c>
      <c r="T190" s="36">
        <v>1</v>
      </c>
      <c r="U190" s="12">
        <f t="shared" ref="U190:U238" si="31">R190*S190/T190</f>
        <v>0.02</v>
      </c>
      <c r="V190" s="112"/>
      <c r="W190" s="97"/>
      <c r="X190" s="95"/>
    </row>
    <row r="191" spans="1:24" x14ac:dyDescent="0.15">
      <c r="A191" s="95">
        <v>81</v>
      </c>
      <c r="B191" s="95" t="s">
        <v>242</v>
      </c>
      <c r="C191" s="121" t="s">
        <v>73</v>
      </c>
      <c r="D191" s="95"/>
      <c r="E191" s="95"/>
      <c r="F191" s="95" t="s">
        <v>100</v>
      </c>
      <c r="G191" s="95">
        <v>36</v>
      </c>
      <c r="H191" s="95">
        <v>20</v>
      </c>
      <c r="I191" s="95">
        <v>2</v>
      </c>
      <c r="J191" s="156">
        <v>4.3499999999999996</v>
      </c>
      <c r="K191" s="156">
        <v>2.5</v>
      </c>
      <c r="L191" s="95">
        <v>1.0999999999999999E-2</v>
      </c>
      <c r="M191" s="95">
        <v>7.0000000000000001E-3</v>
      </c>
      <c r="N191" s="95">
        <f t="shared" ref="N191:N196" si="32">L191-M191</f>
        <v>4.0000000000000001E-3</v>
      </c>
      <c r="O191" s="156">
        <f>L191*J191-N191*K191</f>
        <v>3.7850000000000002E-2</v>
      </c>
      <c r="P191" s="36" t="s">
        <v>33</v>
      </c>
      <c r="Q191" s="36" t="s">
        <v>43</v>
      </c>
      <c r="R191" s="36">
        <v>1</v>
      </c>
      <c r="S191" s="12">
        <v>0.03</v>
      </c>
      <c r="T191" s="36">
        <v>1</v>
      </c>
      <c r="U191" s="12">
        <f t="shared" si="31"/>
        <v>0.03</v>
      </c>
      <c r="V191" s="111">
        <v>1.18</v>
      </c>
      <c r="W191" s="97">
        <f>(O191+SUM(U191:U193))*V191</f>
        <v>0.12726299999999999</v>
      </c>
      <c r="X191" s="95">
        <v>9.8500000000000004E-2</v>
      </c>
    </row>
    <row r="192" spans="1:24" x14ac:dyDescent="0.15">
      <c r="A192" s="95"/>
      <c r="B192" s="95"/>
      <c r="C192" s="121"/>
      <c r="D192" s="95"/>
      <c r="E192" s="95"/>
      <c r="F192" s="95"/>
      <c r="G192" s="95"/>
      <c r="H192" s="95"/>
      <c r="I192" s="95"/>
      <c r="J192" s="156"/>
      <c r="K192" s="156"/>
      <c r="L192" s="95"/>
      <c r="M192" s="95"/>
      <c r="N192" s="95"/>
      <c r="O192" s="156"/>
      <c r="P192" s="36" t="s">
        <v>55</v>
      </c>
      <c r="Q192" s="36" t="s">
        <v>103</v>
      </c>
      <c r="R192" s="36">
        <v>1</v>
      </c>
      <c r="S192" s="12">
        <v>0.02</v>
      </c>
      <c r="T192" s="36">
        <v>1</v>
      </c>
      <c r="U192" s="12">
        <f t="shared" si="31"/>
        <v>0.02</v>
      </c>
      <c r="V192" s="135"/>
      <c r="W192" s="97"/>
      <c r="X192" s="95"/>
    </row>
    <row r="193" spans="1:24" x14ac:dyDescent="0.15">
      <c r="A193" s="95"/>
      <c r="B193" s="95"/>
      <c r="C193" s="121"/>
      <c r="D193" s="95"/>
      <c r="E193" s="95"/>
      <c r="F193" s="95"/>
      <c r="G193" s="95"/>
      <c r="H193" s="95"/>
      <c r="I193" s="95"/>
      <c r="J193" s="156"/>
      <c r="K193" s="156"/>
      <c r="L193" s="95"/>
      <c r="M193" s="95"/>
      <c r="N193" s="95"/>
      <c r="O193" s="156"/>
      <c r="P193" s="36" t="s">
        <v>35</v>
      </c>
      <c r="Q193" s="36" t="s">
        <v>103</v>
      </c>
      <c r="R193" s="36">
        <v>1</v>
      </c>
      <c r="S193" s="12">
        <v>0.02</v>
      </c>
      <c r="T193" s="36">
        <v>1</v>
      </c>
      <c r="U193" s="12">
        <f t="shared" si="31"/>
        <v>0.02</v>
      </c>
      <c r="V193" s="112"/>
      <c r="W193" s="97"/>
      <c r="X193" s="95"/>
    </row>
    <row r="194" spans="1:24" x14ac:dyDescent="0.15">
      <c r="A194" s="95">
        <v>82</v>
      </c>
      <c r="B194" s="95" t="s">
        <v>243</v>
      </c>
      <c r="C194" s="121" t="s">
        <v>244</v>
      </c>
      <c r="D194" s="95"/>
      <c r="E194" s="95"/>
      <c r="F194" s="95" t="s">
        <v>100</v>
      </c>
      <c r="G194" s="95">
        <v>36</v>
      </c>
      <c r="H194" s="116">
        <v>24</v>
      </c>
      <c r="I194" s="116">
        <v>2</v>
      </c>
      <c r="J194" s="156">
        <v>4.3499999999999996</v>
      </c>
      <c r="K194" s="156">
        <v>2.5</v>
      </c>
      <c r="L194" s="105">
        <v>1.4E-2</v>
      </c>
      <c r="M194" s="105">
        <v>6.0000000000000001E-3</v>
      </c>
      <c r="N194" s="105">
        <f t="shared" si="32"/>
        <v>8.0000000000000002E-3</v>
      </c>
      <c r="O194" s="156">
        <f>J194*L194-K194*N194</f>
        <v>4.0899999999999999E-2</v>
      </c>
      <c r="P194" s="36" t="s">
        <v>33</v>
      </c>
      <c r="Q194" s="36" t="s">
        <v>34</v>
      </c>
      <c r="R194" s="36">
        <v>1</v>
      </c>
      <c r="S194" s="12">
        <v>0.03</v>
      </c>
      <c r="T194" s="36">
        <v>1</v>
      </c>
      <c r="U194" s="12">
        <f t="shared" si="31"/>
        <v>0.03</v>
      </c>
      <c r="V194" s="111">
        <v>1.18</v>
      </c>
      <c r="W194" s="97">
        <f>(O194+SUM(U194:U195))*V194</f>
        <v>0.107262</v>
      </c>
      <c r="X194" s="95">
        <v>0.1149</v>
      </c>
    </row>
    <row r="195" spans="1:24" x14ac:dyDescent="0.15">
      <c r="A195" s="95"/>
      <c r="B195" s="95"/>
      <c r="C195" s="121"/>
      <c r="D195" s="95"/>
      <c r="E195" s="95"/>
      <c r="F195" s="95"/>
      <c r="G195" s="95"/>
      <c r="H195" s="117"/>
      <c r="I195" s="117"/>
      <c r="J195" s="156"/>
      <c r="K195" s="156"/>
      <c r="L195" s="105"/>
      <c r="M195" s="105"/>
      <c r="N195" s="105"/>
      <c r="O195" s="156"/>
      <c r="P195" s="36" t="s">
        <v>55</v>
      </c>
      <c r="Q195" s="36" t="s">
        <v>103</v>
      </c>
      <c r="R195" s="36">
        <v>1</v>
      </c>
      <c r="S195" s="12">
        <v>0.02</v>
      </c>
      <c r="T195" s="36">
        <v>1</v>
      </c>
      <c r="U195" s="12">
        <f t="shared" si="31"/>
        <v>0.02</v>
      </c>
      <c r="V195" s="112"/>
      <c r="W195" s="97"/>
      <c r="X195" s="95"/>
    </row>
    <row r="196" spans="1:24" x14ac:dyDescent="0.15">
      <c r="A196" s="116">
        <v>83</v>
      </c>
      <c r="B196" s="116" t="s">
        <v>245</v>
      </c>
      <c r="C196" s="106" t="s">
        <v>246</v>
      </c>
      <c r="D196" s="116"/>
      <c r="E196" s="116"/>
      <c r="F196" s="95" t="s">
        <v>100</v>
      </c>
      <c r="G196" s="95">
        <v>82</v>
      </c>
      <c r="H196" s="95">
        <v>67</v>
      </c>
      <c r="I196" s="95">
        <v>2</v>
      </c>
      <c r="J196" s="156">
        <v>4.3499999999999996</v>
      </c>
      <c r="K196" s="156">
        <v>2.5</v>
      </c>
      <c r="L196" s="105">
        <v>8.5999999999999993E-2</v>
      </c>
      <c r="M196" s="105">
        <v>3.2000000000000001E-2</v>
      </c>
      <c r="N196" s="105">
        <f t="shared" si="32"/>
        <v>5.3999999999999999E-2</v>
      </c>
      <c r="O196" s="156">
        <f>J196*L196-K196*N196</f>
        <v>0.23910000000000001</v>
      </c>
      <c r="P196" s="36" t="s">
        <v>33</v>
      </c>
      <c r="Q196" s="36" t="s">
        <v>34</v>
      </c>
      <c r="R196" s="36">
        <v>1</v>
      </c>
      <c r="S196" s="12">
        <v>0.03</v>
      </c>
      <c r="T196" s="36">
        <v>1</v>
      </c>
      <c r="U196" s="12">
        <f t="shared" si="31"/>
        <v>0.03</v>
      </c>
      <c r="V196" s="111">
        <v>1.18</v>
      </c>
      <c r="W196" s="97">
        <f>(O196+SUM(U196:U199))*V196</f>
        <v>0.41193800000000003</v>
      </c>
      <c r="X196" s="95">
        <v>0.44319999999999998</v>
      </c>
    </row>
    <row r="197" spans="1:24" x14ac:dyDescent="0.15">
      <c r="A197" s="124"/>
      <c r="B197" s="124"/>
      <c r="C197" s="107"/>
      <c r="D197" s="124"/>
      <c r="E197" s="124"/>
      <c r="F197" s="95"/>
      <c r="G197" s="95"/>
      <c r="H197" s="95"/>
      <c r="I197" s="95"/>
      <c r="J197" s="156"/>
      <c r="K197" s="156"/>
      <c r="L197" s="105"/>
      <c r="M197" s="105"/>
      <c r="N197" s="105"/>
      <c r="O197" s="156"/>
      <c r="P197" s="36" t="s">
        <v>55</v>
      </c>
      <c r="Q197" s="36" t="s">
        <v>49</v>
      </c>
      <c r="R197" s="36">
        <v>1</v>
      </c>
      <c r="S197" s="12">
        <v>0.03</v>
      </c>
      <c r="T197" s="36">
        <v>1</v>
      </c>
      <c r="U197" s="12">
        <f t="shared" si="31"/>
        <v>0.03</v>
      </c>
      <c r="V197" s="135"/>
      <c r="W197" s="97"/>
      <c r="X197" s="95"/>
    </row>
    <row r="198" spans="1:24" x14ac:dyDescent="0.15">
      <c r="A198" s="124"/>
      <c r="B198" s="124"/>
      <c r="C198" s="107"/>
      <c r="D198" s="124"/>
      <c r="E198" s="124"/>
      <c r="F198" s="95"/>
      <c r="G198" s="95"/>
      <c r="H198" s="95"/>
      <c r="I198" s="95"/>
      <c r="J198" s="156"/>
      <c r="K198" s="156"/>
      <c r="L198" s="105"/>
      <c r="M198" s="105"/>
      <c r="N198" s="105"/>
      <c r="O198" s="156"/>
      <c r="P198" s="36" t="s">
        <v>35</v>
      </c>
      <c r="Q198" s="36" t="s">
        <v>34</v>
      </c>
      <c r="R198" s="36">
        <v>1</v>
      </c>
      <c r="S198" s="12">
        <v>0.03</v>
      </c>
      <c r="T198" s="36">
        <v>1</v>
      </c>
      <c r="U198" s="12">
        <f t="shared" si="31"/>
        <v>0.03</v>
      </c>
      <c r="V198" s="135"/>
      <c r="W198" s="97"/>
      <c r="X198" s="95"/>
    </row>
    <row r="199" spans="1:24" x14ac:dyDescent="0.15">
      <c r="A199" s="117"/>
      <c r="B199" s="117"/>
      <c r="C199" s="108"/>
      <c r="D199" s="117"/>
      <c r="E199" s="117"/>
      <c r="F199" s="95"/>
      <c r="G199" s="95"/>
      <c r="H199" s="95"/>
      <c r="I199" s="95"/>
      <c r="J199" s="156"/>
      <c r="K199" s="156"/>
      <c r="L199" s="105"/>
      <c r="M199" s="105"/>
      <c r="N199" s="105"/>
      <c r="O199" s="156"/>
      <c r="P199" s="36" t="s">
        <v>48</v>
      </c>
      <c r="Q199" s="36" t="s">
        <v>103</v>
      </c>
      <c r="R199" s="36">
        <v>1</v>
      </c>
      <c r="S199" s="12">
        <v>0.02</v>
      </c>
      <c r="T199" s="36">
        <v>1</v>
      </c>
      <c r="U199" s="12">
        <f t="shared" si="31"/>
        <v>0.02</v>
      </c>
      <c r="V199" s="112"/>
      <c r="W199" s="97"/>
      <c r="X199" s="95"/>
    </row>
    <row r="200" spans="1:24" x14ac:dyDescent="0.15">
      <c r="A200" s="95">
        <v>84</v>
      </c>
      <c r="B200" s="95" t="s">
        <v>247</v>
      </c>
      <c r="C200" s="121" t="s">
        <v>248</v>
      </c>
      <c r="D200" s="95"/>
      <c r="E200" s="95"/>
      <c r="F200" s="121" t="s">
        <v>32</v>
      </c>
      <c r="G200" s="95">
        <v>160</v>
      </c>
      <c r="H200" s="95">
        <v>139</v>
      </c>
      <c r="I200" s="95">
        <v>3</v>
      </c>
      <c r="J200" s="156">
        <v>4.5999999999999996</v>
      </c>
      <c r="K200" s="156">
        <v>2.5</v>
      </c>
      <c r="L200" s="95">
        <v>0.52400000000000002</v>
      </c>
      <c r="M200" s="95">
        <v>0.30599999999999999</v>
      </c>
      <c r="N200" s="95">
        <f>L200-M200</f>
        <v>0.218</v>
      </c>
      <c r="O200" s="156">
        <f>L200*J200-N200*K200</f>
        <v>1.8653999999999999</v>
      </c>
      <c r="P200" s="36" t="s">
        <v>33</v>
      </c>
      <c r="Q200" s="36" t="s">
        <v>226</v>
      </c>
      <c r="R200" s="36">
        <v>1</v>
      </c>
      <c r="S200" s="12">
        <v>0.08</v>
      </c>
      <c r="T200" s="36">
        <v>1</v>
      </c>
      <c r="U200" s="12">
        <f t="shared" si="31"/>
        <v>0.08</v>
      </c>
      <c r="V200" s="111">
        <v>1.1200000000000001</v>
      </c>
      <c r="W200" s="97">
        <f>(O200+SUM(U200:U202))*V200</f>
        <v>2.290848</v>
      </c>
      <c r="X200" s="95">
        <v>2.7837999999999998</v>
      </c>
    </row>
    <row r="201" spans="1:24" x14ac:dyDescent="0.15">
      <c r="A201" s="95"/>
      <c r="B201" s="95"/>
      <c r="C201" s="121"/>
      <c r="D201" s="95"/>
      <c r="E201" s="95"/>
      <c r="F201" s="121"/>
      <c r="G201" s="95"/>
      <c r="H201" s="95"/>
      <c r="I201" s="95"/>
      <c r="J201" s="156"/>
      <c r="K201" s="156"/>
      <c r="L201" s="95"/>
      <c r="M201" s="95"/>
      <c r="N201" s="95"/>
      <c r="O201" s="156"/>
      <c r="P201" s="36" t="s">
        <v>35</v>
      </c>
      <c r="Q201" s="36" t="s">
        <v>214</v>
      </c>
      <c r="R201" s="36">
        <v>1</v>
      </c>
      <c r="S201" s="12">
        <v>0.05</v>
      </c>
      <c r="T201" s="36">
        <v>1</v>
      </c>
      <c r="U201" s="12">
        <f t="shared" si="31"/>
        <v>0.05</v>
      </c>
      <c r="V201" s="135"/>
      <c r="W201" s="97"/>
      <c r="X201" s="95"/>
    </row>
    <row r="202" spans="1:24" x14ac:dyDescent="0.15">
      <c r="A202" s="95"/>
      <c r="B202" s="95"/>
      <c r="C202" s="121"/>
      <c r="D202" s="95"/>
      <c r="E202" s="95"/>
      <c r="F202" s="121"/>
      <c r="G202" s="95"/>
      <c r="H202" s="95"/>
      <c r="I202" s="95"/>
      <c r="J202" s="156"/>
      <c r="K202" s="156"/>
      <c r="L202" s="95"/>
      <c r="M202" s="95"/>
      <c r="N202" s="95"/>
      <c r="O202" s="156"/>
      <c r="P202" s="36" t="s">
        <v>35</v>
      </c>
      <c r="Q202" s="36" t="s">
        <v>214</v>
      </c>
      <c r="R202" s="36">
        <v>1</v>
      </c>
      <c r="S202" s="12">
        <v>0.05</v>
      </c>
      <c r="T202" s="36">
        <v>1</v>
      </c>
      <c r="U202" s="12">
        <f t="shared" si="31"/>
        <v>0.05</v>
      </c>
      <c r="V202" s="112"/>
      <c r="W202" s="97"/>
      <c r="X202" s="95"/>
    </row>
    <row r="203" spans="1:24" x14ac:dyDescent="0.15">
      <c r="A203" s="95">
        <v>85</v>
      </c>
      <c r="B203" s="95" t="s">
        <v>249</v>
      </c>
      <c r="C203" s="121" t="s">
        <v>250</v>
      </c>
      <c r="D203" s="95"/>
      <c r="E203" s="95"/>
      <c r="F203" s="121" t="s">
        <v>32</v>
      </c>
      <c r="G203" s="95">
        <v>160</v>
      </c>
      <c r="H203" s="95">
        <v>139</v>
      </c>
      <c r="I203" s="95">
        <v>3</v>
      </c>
      <c r="J203" s="156">
        <v>4.5999999999999996</v>
      </c>
      <c r="K203" s="156">
        <v>2.5</v>
      </c>
      <c r="L203" s="95">
        <v>0.52400000000000002</v>
      </c>
      <c r="M203" s="95">
        <v>0.30599999999999999</v>
      </c>
      <c r="N203" s="95">
        <f t="shared" ref="N203:N208" si="33">L203-M203</f>
        <v>0.218</v>
      </c>
      <c r="O203" s="156">
        <f t="shared" ref="O203:O208" si="34">L203*J203-N203*K203</f>
        <v>1.8653999999999999</v>
      </c>
      <c r="P203" s="36" t="s">
        <v>33</v>
      </c>
      <c r="Q203" s="36" t="s">
        <v>226</v>
      </c>
      <c r="R203" s="36">
        <v>1</v>
      </c>
      <c r="S203" s="12">
        <v>0.08</v>
      </c>
      <c r="T203" s="36">
        <v>1</v>
      </c>
      <c r="U203" s="12">
        <f t="shared" si="31"/>
        <v>0.08</v>
      </c>
      <c r="V203" s="111">
        <v>1.1200000000000001</v>
      </c>
      <c r="W203" s="97">
        <f>(O203+SUM(U203:U205))*V203</f>
        <v>2.290848</v>
      </c>
      <c r="X203" s="95">
        <v>2.7837999999999998</v>
      </c>
    </row>
    <row r="204" spans="1:24" x14ac:dyDescent="0.15">
      <c r="A204" s="95"/>
      <c r="B204" s="95"/>
      <c r="C204" s="121"/>
      <c r="D204" s="95"/>
      <c r="E204" s="95"/>
      <c r="F204" s="121"/>
      <c r="G204" s="95"/>
      <c r="H204" s="95"/>
      <c r="I204" s="95"/>
      <c r="J204" s="156"/>
      <c r="K204" s="156"/>
      <c r="L204" s="95"/>
      <c r="M204" s="95"/>
      <c r="N204" s="95"/>
      <c r="O204" s="156"/>
      <c r="P204" s="36" t="s">
        <v>35</v>
      </c>
      <c r="Q204" s="36" t="s">
        <v>214</v>
      </c>
      <c r="R204" s="36">
        <v>1</v>
      </c>
      <c r="S204" s="12">
        <v>0.05</v>
      </c>
      <c r="T204" s="36">
        <v>1</v>
      </c>
      <c r="U204" s="12">
        <f t="shared" si="31"/>
        <v>0.05</v>
      </c>
      <c r="V204" s="135"/>
      <c r="W204" s="97"/>
      <c r="X204" s="95"/>
    </row>
    <row r="205" spans="1:24" x14ac:dyDescent="0.15">
      <c r="A205" s="95"/>
      <c r="B205" s="95"/>
      <c r="C205" s="121"/>
      <c r="D205" s="95"/>
      <c r="E205" s="95"/>
      <c r="F205" s="121"/>
      <c r="G205" s="95"/>
      <c r="H205" s="95"/>
      <c r="I205" s="95"/>
      <c r="J205" s="156"/>
      <c r="K205" s="156"/>
      <c r="L205" s="95"/>
      <c r="M205" s="95"/>
      <c r="N205" s="95"/>
      <c r="O205" s="156"/>
      <c r="P205" s="36" t="s">
        <v>35</v>
      </c>
      <c r="Q205" s="36" t="s">
        <v>214</v>
      </c>
      <c r="R205" s="36">
        <v>1</v>
      </c>
      <c r="S205" s="12">
        <v>0.05</v>
      </c>
      <c r="T205" s="36">
        <v>1</v>
      </c>
      <c r="U205" s="12">
        <f t="shared" si="31"/>
        <v>0.05</v>
      </c>
      <c r="V205" s="112"/>
      <c r="W205" s="97"/>
      <c r="X205" s="95"/>
    </row>
    <row r="206" spans="1:24" x14ac:dyDescent="0.15">
      <c r="A206" s="116">
        <v>86</v>
      </c>
      <c r="B206" s="116" t="s">
        <v>251</v>
      </c>
      <c r="C206" s="106" t="s">
        <v>252</v>
      </c>
      <c r="D206" s="106"/>
      <c r="E206" s="106"/>
      <c r="F206" s="116" t="s">
        <v>100</v>
      </c>
      <c r="G206" s="116">
        <v>81</v>
      </c>
      <c r="H206" s="116">
        <v>26</v>
      </c>
      <c r="I206" s="116">
        <v>2</v>
      </c>
      <c r="J206" s="98">
        <v>4.3499999999999996</v>
      </c>
      <c r="K206" s="98">
        <v>2.5</v>
      </c>
      <c r="L206" s="103">
        <v>3.5000000000000003E-2</v>
      </c>
      <c r="M206" s="103">
        <v>2.5999999999999999E-2</v>
      </c>
      <c r="N206" s="103">
        <f t="shared" si="33"/>
        <v>8.9999999999999993E-3</v>
      </c>
      <c r="O206" s="98">
        <f t="shared" si="34"/>
        <v>0.12975</v>
      </c>
      <c r="P206" s="36" t="s">
        <v>33</v>
      </c>
      <c r="Q206" s="36" t="s">
        <v>43</v>
      </c>
      <c r="R206" s="36">
        <v>1</v>
      </c>
      <c r="S206" s="12">
        <v>0.03</v>
      </c>
      <c r="T206" s="36">
        <v>1</v>
      </c>
      <c r="U206" s="12">
        <f t="shared" si="31"/>
        <v>0.03</v>
      </c>
      <c r="V206" s="111">
        <v>1.18</v>
      </c>
      <c r="W206" s="97">
        <f>(O206+SUM(U206:U207))*V206</f>
        <v>0.21210499999999999</v>
      </c>
      <c r="X206" s="95">
        <v>0.1477</v>
      </c>
    </row>
    <row r="207" spans="1:24" x14ac:dyDescent="0.15">
      <c r="A207" s="117"/>
      <c r="B207" s="117"/>
      <c r="C207" s="108"/>
      <c r="D207" s="108"/>
      <c r="E207" s="108"/>
      <c r="F207" s="117"/>
      <c r="G207" s="117"/>
      <c r="H207" s="117"/>
      <c r="I207" s="117"/>
      <c r="J207" s="99"/>
      <c r="K207" s="99"/>
      <c r="L207" s="104"/>
      <c r="M207" s="104"/>
      <c r="N207" s="104"/>
      <c r="O207" s="99"/>
      <c r="P207" s="39" t="s">
        <v>35</v>
      </c>
      <c r="Q207" s="36" t="s">
        <v>103</v>
      </c>
      <c r="R207" s="36">
        <v>1</v>
      </c>
      <c r="S207" s="12">
        <v>0.02</v>
      </c>
      <c r="T207" s="36">
        <v>1</v>
      </c>
      <c r="U207" s="12">
        <f t="shared" si="31"/>
        <v>0.02</v>
      </c>
      <c r="V207" s="112"/>
      <c r="W207" s="97"/>
      <c r="X207" s="95"/>
    </row>
    <row r="208" spans="1:24" x14ac:dyDescent="0.15">
      <c r="A208" s="95">
        <v>87</v>
      </c>
      <c r="B208" s="95" t="s">
        <v>253</v>
      </c>
      <c r="C208" s="121" t="s">
        <v>254</v>
      </c>
      <c r="D208" s="95"/>
      <c r="E208" s="95"/>
      <c r="F208" s="95" t="s">
        <v>100</v>
      </c>
      <c r="G208" s="95">
        <v>69</v>
      </c>
      <c r="H208" s="95">
        <v>48</v>
      </c>
      <c r="I208" s="95">
        <v>2</v>
      </c>
      <c r="J208" s="156">
        <v>4.3499999999999996</v>
      </c>
      <c r="K208" s="156">
        <v>2.5</v>
      </c>
      <c r="L208" s="95">
        <v>5.1999999999999998E-2</v>
      </c>
      <c r="M208" s="95">
        <v>2.9000000000000001E-2</v>
      </c>
      <c r="N208" s="95">
        <f t="shared" si="33"/>
        <v>2.3E-2</v>
      </c>
      <c r="O208" s="156">
        <f t="shared" si="34"/>
        <v>0.16869999999999999</v>
      </c>
      <c r="P208" s="36" t="s">
        <v>33</v>
      </c>
      <c r="Q208" s="36" t="s">
        <v>34</v>
      </c>
      <c r="R208" s="36">
        <v>1</v>
      </c>
      <c r="S208" s="12">
        <v>0.03</v>
      </c>
      <c r="T208" s="36">
        <v>1</v>
      </c>
      <c r="U208" s="12">
        <f t="shared" si="31"/>
        <v>0.03</v>
      </c>
      <c r="V208" s="111">
        <v>1.18</v>
      </c>
      <c r="W208" s="97">
        <f>(O208+SUM(U208:U210))*V208</f>
        <v>0.30526599999999998</v>
      </c>
      <c r="X208" s="95">
        <v>0.23799999999999999</v>
      </c>
    </row>
    <row r="209" spans="1:24" x14ac:dyDescent="0.15">
      <c r="A209" s="95"/>
      <c r="B209" s="95"/>
      <c r="C209" s="121"/>
      <c r="D209" s="95"/>
      <c r="E209" s="95"/>
      <c r="F209" s="95"/>
      <c r="G209" s="95"/>
      <c r="H209" s="95"/>
      <c r="I209" s="95"/>
      <c r="J209" s="156"/>
      <c r="K209" s="156"/>
      <c r="L209" s="95"/>
      <c r="M209" s="95"/>
      <c r="N209" s="95"/>
      <c r="O209" s="156"/>
      <c r="P209" s="36" t="s">
        <v>35</v>
      </c>
      <c r="Q209" s="36" t="s">
        <v>49</v>
      </c>
      <c r="R209" s="36">
        <v>1</v>
      </c>
      <c r="S209" s="12">
        <v>0.03</v>
      </c>
      <c r="T209" s="36">
        <v>1</v>
      </c>
      <c r="U209" s="12">
        <f t="shared" si="31"/>
        <v>0.03</v>
      </c>
      <c r="V209" s="135"/>
      <c r="W209" s="97"/>
      <c r="X209" s="95"/>
    </row>
    <row r="210" spans="1:24" x14ac:dyDescent="0.15">
      <c r="A210" s="95"/>
      <c r="B210" s="95"/>
      <c r="C210" s="121"/>
      <c r="D210" s="95"/>
      <c r="E210" s="95"/>
      <c r="F210" s="95"/>
      <c r="G210" s="95"/>
      <c r="H210" s="95"/>
      <c r="I210" s="95"/>
      <c r="J210" s="156"/>
      <c r="K210" s="156"/>
      <c r="L210" s="95"/>
      <c r="M210" s="95"/>
      <c r="N210" s="95"/>
      <c r="O210" s="156"/>
      <c r="P210" s="36" t="s">
        <v>35</v>
      </c>
      <c r="Q210" s="36" t="s">
        <v>49</v>
      </c>
      <c r="R210" s="36">
        <v>1</v>
      </c>
      <c r="S210" s="12">
        <v>0.03</v>
      </c>
      <c r="T210" s="36">
        <v>1</v>
      </c>
      <c r="U210" s="12">
        <f t="shared" si="31"/>
        <v>0.03</v>
      </c>
      <c r="V210" s="112"/>
      <c r="W210" s="97"/>
      <c r="X210" s="95"/>
    </row>
    <row r="211" spans="1:24" x14ac:dyDescent="0.15">
      <c r="A211" s="95">
        <v>88</v>
      </c>
      <c r="B211" s="95" t="s">
        <v>255</v>
      </c>
      <c r="C211" s="121" t="s">
        <v>256</v>
      </c>
      <c r="D211" s="95"/>
      <c r="E211" s="95"/>
      <c r="F211" s="95" t="s">
        <v>100</v>
      </c>
      <c r="G211" s="95">
        <v>48</v>
      </c>
      <c r="H211" s="95">
        <v>42</v>
      </c>
      <c r="I211" s="95">
        <v>2</v>
      </c>
      <c r="J211" s="156">
        <v>4.3499999999999996</v>
      </c>
      <c r="K211" s="156">
        <v>2.5</v>
      </c>
      <c r="L211" s="95">
        <v>3.2000000000000001E-2</v>
      </c>
      <c r="M211" s="95">
        <v>1.2E-2</v>
      </c>
      <c r="N211" s="95">
        <f>L211-M211</f>
        <v>0.02</v>
      </c>
      <c r="O211" s="156">
        <f>L211*J211-N211*K211</f>
        <v>8.9200000000000002E-2</v>
      </c>
      <c r="P211" s="36" t="s">
        <v>33</v>
      </c>
      <c r="Q211" s="36" t="s">
        <v>34</v>
      </c>
      <c r="R211" s="36">
        <v>1</v>
      </c>
      <c r="S211" s="12">
        <v>0.03</v>
      </c>
      <c r="T211" s="36">
        <v>1</v>
      </c>
      <c r="U211" s="12">
        <f t="shared" si="31"/>
        <v>0.03</v>
      </c>
      <c r="V211" s="111">
        <v>1.18</v>
      </c>
      <c r="W211" s="97">
        <f>(O211+SUM(U211:U213))*V211</f>
        <v>0.21145600000000001</v>
      </c>
      <c r="X211" s="95">
        <v>0.16420000000000001</v>
      </c>
    </row>
    <row r="212" spans="1:24" x14ac:dyDescent="0.15">
      <c r="A212" s="95"/>
      <c r="B212" s="95"/>
      <c r="C212" s="121"/>
      <c r="D212" s="95"/>
      <c r="E212" s="95"/>
      <c r="F212" s="95"/>
      <c r="G212" s="95"/>
      <c r="H212" s="95"/>
      <c r="I212" s="95"/>
      <c r="J212" s="156"/>
      <c r="K212" s="156"/>
      <c r="L212" s="95"/>
      <c r="M212" s="95"/>
      <c r="N212" s="95"/>
      <c r="O212" s="156"/>
      <c r="P212" s="36" t="s">
        <v>35</v>
      </c>
      <c r="Q212" s="36" t="s">
        <v>49</v>
      </c>
      <c r="R212" s="36">
        <v>1</v>
      </c>
      <c r="S212" s="12">
        <v>0.03</v>
      </c>
      <c r="T212" s="36">
        <v>1</v>
      </c>
      <c r="U212" s="12">
        <f t="shared" si="31"/>
        <v>0.03</v>
      </c>
      <c r="V212" s="135"/>
      <c r="W212" s="97"/>
      <c r="X212" s="95"/>
    </row>
    <row r="213" spans="1:24" x14ac:dyDescent="0.15">
      <c r="A213" s="95"/>
      <c r="B213" s="95"/>
      <c r="C213" s="121"/>
      <c r="D213" s="95"/>
      <c r="E213" s="95"/>
      <c r="F213" s="95"/>
      <c r="G213" s="95"/>
      <c r="H213" s="95"/>
      <c r="I213" s="95"/>
      <c r="J213" s="156"/>
      <c r="K213" s="156"/>
      <c r="L213" s="95"/>
      <c r="M213" s="95"/>
      <c r="N213" s="95"/>
      <c r="O213" s="156"/>
      <c r="P213" s="36" t="s">
        <v>35</v>
      </c>
      <c r="Q213" s="36" t="s">
        <v>49</v>
      </c>
      <c r="R213" s="36">
        <v>1</v>
      </c>
      <c r="S213" s="12">
        <v>0.03</v>
      </c>
      <c r="T213" s="36">
        <v>1</v>
      </c>
      <c r="U213" s="12">
        <f t="shared" si="31"/>
        <v>0.03</v>
      </c>
      <c r="V213" s="112"/>
      <c r="W213" s="97"/>
      <c r="X213" s="95"/>
    </row>
    <row r="214" spans="1:24" s="22" customFormat="1" x14ac:dyDescent="0.15">
      <c r="A214" s="118">
        <v>89</v>
      </c>
      <c r="B214" s="118" t="s">
        <v>257</v>
      </c>
      <c r="C214" s="197" t="s">
        <v>258</v>
      </c>
      <c r="D214" s="197"/>
      <c r="E214" s="197"/>
      <c r="F214" s="118" t="s">
        <v>100</v>
      </c>
      <c r="G214" s="118">
        <v>54</v>
      </c>
      <c r="H214" s="118">
        <v>36</v>
      </c>
      <c r="I214" s="118">
        <v>2</v>
      </c>
      <c r="J214" s="100">
        <v>4.3499999999999996</v>
      </c>
      <c r="K214" s="100">
        <v>2.5</v>
      </c>
      <c r="L214" s="109">
        <v>3.1E-2</v>
      </c>
      <c r="M214" s="109">
        <v>1.7000000000000001E-2</v>
      </c>
      <c r="N214" s="109">
        <f>L214-M214</f>
        <v>1.4E-2</v>
      </c>
      <c r="O214" s="100">
        <f>J214*L214-K214*N214</f>
        <v>9.9849999999999994E-2</v>
      </c>
      <c r="P214" s="61" t="s">
        <v>33</v>
      </c>
      <c r="Q214" s="61" t="s">
        <v>49</v>
      </c>
      <c r="R214" s="61">
        <v>1</v>
      </c>
      <c r="S214" s="15">
        <v>0.03</v>
      </c>
      <c r="T214" s="61">
        <v>1</v>
      </c>
      <c r="U214" s="15">
        <f t="shared" si="31"/>
        <v>0.03</v>
      </c>
      <c r="V214" s="113">
        <v>1.18</v>
      </c>
      <c r="W214" s="96">
        <f>(O214+SUM(U214:U217))*V214</f>
        <v>0.25942300000000001</v>
      </c>
      <c r="X214" s="125">
        <v>0.24840000000000001</v>
      </c>
    </row>
    <row r="215" spans="1:24" s="22" customFormat="1" x14ac:dyDescent="0.15">
      <c r="A215" s="122"/>
      <c r="B215" s="122"/>
      <c r="C215" s="198"/>
      <c r="D215" s="198"/>
      <c r="E215" s="198"/>
      <c r="F215" s="122"/>
      <c r="G215" s="122"/>
      <c r="H215" s="122"/>
      <c r="I215" s="122"/>
      <c r="J215" s="101"/>
      <c r="K215" s="101"/>
      <c r="L215" s="167"/>
      <c r="M215" s="167"/>
      <c r="N215" s="167"/>
      <c r="O215" s="101"/>
      <c r="P215" s="61" t="s">
        <v>55</v>
      </c>
      <c r="Q215" s="61" t="s">
        <v>49</v>
      </c>
      <c r="R215" s="61">
        <v>1</v>
      </c>
      <c r="S215" s="15">
        <v>0.03</v>
      </c>
      <c r="T215" s="61">
        <v>1</v>
      </c>
      <c r="U215" s="15">
        <f t="shared" si="31"/>
        <v>0.03</v>
      </c>
      <c r="V215" s="114"/>
      <c r="W215" s="96"/>
      <c r="X215" s="125"/>
    </row>
    <row r="216" spans="1:24" s="22" customFormat="1" x14ac:dyDescent="0.15">
      <c r="A216" s="122"/>
      <c r="B216" s="122"/>
      <c r="C216" s="198"/>
      <c r="D216" s="198"/>
      <c r="E216" s="198"/>
      <c r="F216" s="122"/>
      <c r="G216" s="122"/>
      <c r="H216" s="122"/>
      <c r="I216" s="122"/>
      <c r="J216" s="101"/>
      <c r="K216" s="101"/>
      <c r="L216" s="167"/>
      <c r="M216" s="167"/>
      <c r="N216" s="167"/>
      <c r="O216" s="101"/>
      <c r="P216" s="61" t="s">
        <v>35</v>
      </c>
      <c r="Q216" s="61" t="s">
        <v>34</v>
      </c>
      <c r="R216" s="61">
        <v>1</v>
      </c>
      <c r="S216" s="15">
        <v>0.03</v>
      </c>
      <c r="T216" s="61">
        <v>1</v>
      </c>
      <c r="U216" s="15">
        <f t="shared" si="31"/>
        <v>0.03</v>
      </c>
      <c r="V216" s="114"/>
      <c r="W216" s="96"/>
      <c r="X216" s="125"/>
    </row>
    <row r="217" spans="1:24" s="22" customFormat="1" x14ac:dyDescent="0.15">
      <c r="A217" s="119"/>
      <c r="B217" s="119"/>
      <c r="C217" s="199"/>
      <c r="D217" s="199"/>
      <c r="E217" s="199"/>
      <c r="F217" s="119"/>
      <c r="G217" s="119"/>
      <c r="H217" s="119"/>
      <c r="I217" s="119"/>
      <c r="J217" s="102"/>
      <c r="K217" s="102"/>
      <c r="L217" s="110"/>
      <c r="M217" s="110"/>
      <c r="N217" s="110"/>
      <c r="O217" s="102"/>
      <c r="P217" s="61" t="s">
        <v>259</v>
      </c>
      <c r="Q217" s="61" t="s">
        <v>49</v>
      </c>
      <c r="R217" s="61">
        <v>1</v>
      </c>
      <c r="S217" s="15">
        <v>0.03</v>
      </c>
      <c r="T217" s="61">
        <v>1</v>
      </c>
      <c r="U217" s="15">
        <f t="shared" si="31"/>
        <v>0.03</v>
      </c>
      <c r="V217" s="115"/>
      <c r="W217" s="96"/>
      <c r="X217" s="125"/>
    </row>
    <row r="218" spans="1:24" x14ac:dyDescent="0.15">
      <c r="A218" s="116">
        <v>90</v>
      </c>
      <c r="B218" s="116" t="s">
        <v>260</v>
      </c>
      <c r="C218" s="106" t="s">
        <v>261</v>
      </c>
      <c r="D218" s="106"/>
      <c r="E218" s="106"/>
      <c r="F218" s="116" t="s">
        <v>100</v>
      </c>
      <c r="G218" s="116">
        <v>69</v>
      </c>
      <c r="H218" s="116">
        <v>27</v>
      </c>
      <c r="I218" s="116">
        <v>2</v>
      </c>
      <c r="J218" s="98">
        <v>4.3499999999999996</v>
      </c>
      <c r="K218" s="98">
        <v>2.5</v>
      </c>
      <c r="L218" s="103">
        <v>2.9000000000000001E-2</v>
      </c>
      <c r="M218" s="103">
        <v>1.9E-2</v>
      </c>
      <c r="N218" s="103">
        <f t="shared" ref="N218:N222" si="35">L218-M218</f>
        <v>0.01</v>
      </c>
      <c r="O218" s="98">
        <f t="shared" ref="O218:O222" si="36">J218*L218-K218*N218</f>
        <v>0.10115</v>
      </c>
      <c r="P218" s="36" t="s">
        <v>33</v>
      </c>
      <c r="Q218" s="36" t="s">
        <v>34</v>
      </c>
      <c r="R218" s="36">
        <v>1</v>
      </c>
      <c r="S218" s="12">
        <v>0.03</v>
      </c>
      <c r="T218" s="36">
        <v>1</v>
      </c>
      <c r="U218" s="12">
        <f t="shared" si="31"/>
        <v>0.03</v>
      </c>
      <c r="V218" s="111">
        <v>1.18</v>
      </c>
      <c r="W218" s="97">
        <f>(O218+SUM(U218:U219))*V218</f>
        <v>0.19015699999999999</v>
      </c>
      <c r="X218" s="95">
        <v>0.19869999999999999</v>
      </c>
    </row>
    <row r="219" spans="1:24" x14ac:dyDescent="0.15">
      <c r="A219" s="117"/>
      <c r="B219" s="117"/>
      <c r="C219" s="108"/>
      <c r="D219" s="108"/>
      <c r="E219" s="108"/>
      <c r="F219" s="117"/>
      <c r="G219" s="117"/>
      <c r="H219" s="117"/>
      <c r="I219" s="117"/>
      <c r="J219" s="99"/>
      <c r="K219" s="99"/>
      <c r="L219" s="104"/>
      <c r="M219" s="104"/>
      <c r="N219" s="104"/>
      <c r="O219" s="99"/>
      <c r="P219" s="36" t="s">
        <v>35</v>
      </c>
      <c r="Q219" s="36" t="s">
        <v>34</v>
      </c>
      <c r="R219" s="36">
        <v>1</v>
      </c>
      <c r="S219" s="12">
        <v>0.03</v>
      </c>
      <c r="T219" s="36">
        <v>1</v>
      </c>
      <c r="U219" s="12">
        <f t="shared" si="31"/>
        <v>0.03</v>
      </c>
      <c r="V219" s="112"/>
      <c r="W219" s="97"/>
      <c r="X219" s="95"/>
    </row>
    <row r="220" spans="1:24" x14ac:dyDescent="0.15">
      <c r="A220" s="116">
        <v>91</v>
      </c>
      <c r="B220" s="116" t="s">
        <v>262</v>
      </c>
      <c r="C220" s="106" t="s">
        <v>263</v>
      </c>
      <c r="D220" s="106"/>
      <c r="E220" s="106"/>
      <c r="F220" s="116" t="s">
        <v>100</v>
      </c>
      <c r="G220" s="116">
        <v>58</v>
      </c>
      <c r="H220" s="116">
        <v>27</v>
      </c>
      <c r="I220" s="116">
        <v>2</v>
      </c>
      <c r="J220" s="98">
        <v>4.3499999999999996</v>
      </c>
      <c r="K220" s="98">
        <v>2.5</v>
      </c>
      <c r="L220" s="103">
        <v>2.5000000000000001E-2</v>
      </c>
      <c r="M220" s="103">
        <v>1.6E-2</v>
      </c>
      <c r="N220" s="103">
        <f t="shared" si="35"/>
        <v>8.9999999999999993E-3</v>
      </c>
      <c r="O220" s="98">
        <f t="shared" si="36"/>
        <v>8.6249999999999993E-2</v>
      </c>
      <c r="P220" s="36" t="s">
        <v>33</v>
      </c>
      <c r="Q220" s="36" t="s">
        <v>34</v>
      </c>
      <c r="R220" s="36">
        <v>1</v>
      </c>
      <c r="S220" s="12">
        <v>0.03</v>
      </c>
      <c r="T220" s="36">
        <v>1</v>
      </c>
      <c r="U220" s="12">
        <f t="shared" si="31"/>
        <v>0.03</v>
      </c>
      <c r="V220" s="111">
        <v>1.18</v>
      </c>
      <c r="W220" s="97">
        <f>(O220+SUM(U220:U221))*V220</f>
        <v>0.17257500000000001</v>
      </c>
      <c r="X220" s="95">
        <v>0.18210000000000001</v>
      </c>
    </row>
    <row r="221" spans="1:24" x14ac:dyDescent="0.15">
      <c r="A221" s="117"/>
      <c r="B221" s="117"/>
      <c r="C221" s="108"/>
      <c r="D221" s="108"/>
      <c r="E221" s="108"/>
      <c r="F221" s="117"/>
      <c r="G221" s="117"/>
      <c r="H221" s="117"/>
      <c r="I221" s="117"/>
      <c r="J221" s="99"/>
      <c r="K221" s="99"/>
      <c r="L221" s="104"/>
      <c r="M221" s="104"/>
      <c r="N221" s="104"/>
      <c r="O221" s="99"/>
      <c r="P221" s="36" t="s">
        <v>35</v>
      </c>
      <c r="Q221" s="36" t="s">
        <v>34</v>
      </c>
      <c r="R221" s="36">
        <v>1</v>
      </c>
      <c r="S221" s="12">
        <v>0.03</v>
      </c>
      <c r="T221" s="36">
        <v>1</v>
      </c>
      <c r="U221" s="12">
        <f t="shared" si="31"/>
        <v>0.03</v>
      </c>
      <c r="V221" s="112"/>
      <c r="W221" s="97"/>
      <c r="X221" s="95"/>
    </row>
    <row r="222" spans="1:24" x14ac:dyDescent="0.15">
      <c r="A222" s="116">
        <v>92</v>
      </c>
      <c r="B222" s="116" t="s">
        <v>264</v>
      </c>
      <c r="C222" s="106" t="s">
        <v>265</v>
      </c>
      <c r="D222" s="106"/>
      <c r="E222" s="106"/>
      <c r="F222" s="116">
        <v>420</v>
      </c>
      <c r="G222" s="116">
        <v>125</v>
      </c>
      <c r="H222" s="116">
        <v>71</v>
      </c>
      <c r="I222" s="116">
        <v>3.5</v>
      </c>
      <c r="J222" s="98">
        <v>5.13</v>
      </c>
      <c r="K222" s="98">
        <v>2.5</v>
      </c>
      <c r="L222" s="103">
        <v>0.24399999999999999</v>
      </c>
      <c r="M222" s="103">
        <v>0.14199999999999999</v>
      </c>
      <c r="N222" s="103">
        <f t="shared" si="35"/>
        <v>0.10199999999999999</v>
      </c>
      <c r="O222" s="98">
        <f t="shared" si="36"/>
        <v>0.99672000000000005</v>
      </c>
      <c r="P222" s="36" t="s">
        <v>33</v>
      </c>
      <c r="Q222" s="36" t="s">
        <v>54</v>
      </c>
      <c r="R222" s="36">
        <v>1</v>
      </c>
      <c r="S222" s="12">
        <v>0.08</v>
      </c>
      <c r="T222" s="36">
        <v>1</v>
      </c>
      <c r="U222" s="12">
        <f t="shared" si="31"/>
        <v>0.08</v>
      </c>
      <c r="V222" s="111">
        <v>1.1200000000000001</v>
      </c>
      <c r="W222" s="97">
        <f>(O222+SUM(U222:U224))*V222</f>
        <v>1.3515264</v>
      </c>
      <c r="X222" s="116">
        <v>1.4487000000000001</v>
      </c>
    </row>
    <row r="223" spans="1:24" x14ac:dyDescent="0.15">
      <c r="A223" s="124"/>
      <c r="B223" s="124"/>
      <c r="C223" s="107"/>
      <c r="D223" s="107"/>
      <c r="E223" s="107"/>
      <c r="F223" s="124"/>
      <c r="G223" s="124"/>
      <c r="H223" s="124"/>
      <c r="I223" s="124"/>
      <c r="J223" s="157"/>
      <c r="K223" s="157"/>
      <c r="L223" s="168"/>
      <c r="M223" s="168"/>
      <c r="N223" s="168"/>
      <c r="O223" s="157"/>
      <c r="P223" s="36" t="s">
        <v>35</v>
      </c>
      <c r="Q223" s="36" t="s">
        <v>54</v>
      </c>
      <c r="R223" s="36">
        <v>1</v>
      </c>
      <c r="S223" s="12">
        <v>0.08</v>
      </c>
      <c r="T223" s="36">
        <v>1</v>
      </c>
      <c r="U223" s="12">
        <f t="shared" si="31"/>
        <v>0.08</v>
      </c>
      <c r="V223" s="135"/>
      <c r="W223" s="97"/>
      <c r="X223" s="124"/>
    </row>
    <row r="224" spans="1:24" x14ac:dyDescent="0.15">
      <c r="A224" s="117"/>
      <c r="B224" s="117"/>
      <c r="C224" s="108"/>
      <c r="D224" s="108"/>
      <c r="E224" s="108"/>
      <c r="F224" s="117"/>
      <c r="G224" s="117"/>
      <c r="H224" s="117"/>
      <c r="I224" s="117"/>
      <c r="J224" s="99"/>
      <c r="K224" s="99"/>
      <c r="L224" s="104"/>
      <c r="M224" s="104"/>
      <c r="N224" s="104"/>
      <c r="O224" s="99"/>
      <c r="P224" s="36" t="s">
        <v>55</v>
      </c>
      <c r="Q224" s="36" t="s">
        <v>38</v>
      </c>
      <c r="R224" s="36">
        <v>1</v>
      </c>
      <c r="S224" s="12">
        <v>0.05</v>
      </c>
      <c r="T224" s="36">
        <v>1</v>
      </c>
      <c r="U224" s="12">
        <f t="shared" si="31"/>
        <v>0.05</v>
      </c>
      <c r="V224" s="112"/>
      <c r="W224" s="97"/>
      <c r="X224" s="117"/>
    </row>
    <row r="225" spans="1:24" x14ac:dyDescent="0.15">
      <c r="A225" s="116">
        <v>93</v>
      </c>
      <c r="B225" s="97" t="s">
        <v>266</v>
      </c>
      <c r="C225" s="191" t="s">
        <v>267</v>
      </c>
      <c r="D225" s="97"/>
      <c r="E225" s="97"/>
      <c r="F225" s="97" t="s">
        <v>100</v>
      </c>
      <c r="G225" s="94">
        <v>40</v>
      </c>
      <c r="H225" s="95">
        <v>24</v>
      </c>
      <c r="I225" s="95">
        <v>2</v>
      </c>
      <c r="J225" s="156">
        <v>4.3499999999999996</v>
      </c>
      <c r="K225" s="156">
        <v>2.5</v>
      </c>
      <c r="L225" s="105">
        <v>1.4999999999999999E-2</v>
      </c>
      <c r="M225" s="105">
        <v>0.01</v>
      </c>
      <c r="N225" s="105">
        <f>L225-M225</f>
        <v>5.0000000000000001E-3</v>
      </c>
      <c r="O225" s="156">
        <f>J225*L225-K225*N225</f>
        <v>5.2749999999999998E-2</v>
      </c>
      <c r="P225" s="36" t="s">
        <v>33</v>
      </c>
      <c r="Q225" s="36" t="s">
        <v>34</v>
      </c>
      <c r="R225" s="36">
        <v>1</v>
      </c>
      <c r="S225" s="12">
        <v>0.04</v>
      </c>
      <c r="T225" s="36">
        <v>1</v>
      </c>
      <c r="U225" s="12">
        <f t="shared" si="31"/>
        <v>0.04</v>
      </c>
      <c r="V225" s="111">
        <v>1.18</v>
      </c>
      <c r="W225" s="97">
        <f>(O225+SUM(U225:U227))*V225</f>
        <v>0.15664500000000001</v>
      </c>
      <c r="X225" s="95">
        <v>0.13950000000000001</v>
      </c>
    </row>
    <row r="226" spans="1:24" x14ac:dyDescent="0.15">
      <c r="A226" s="124"/>
      <c r="B226" s="97"/>
      <c r="C226" s="191"/>
      <c r="D226" s="97"/>
      <c r="E226" s="97"/>
      <c r="F226" s="97"/>
      <c r="G226" s="94"/>
      <c r="H226" s="95"/>
      <c r="I226" s="95"/>
      <c r="J226" s="156"/>
      <c r="K226" s="156"/>
      <c r="L226" s="105"/>
      <c r="M226" s="105"/>
      <c r="N226" s="105"/>
      <c r="O226" s="156"/>
      <c r="P226" s="36" t="s">
        <v>55</v>
      </c>
      <c r="Q226" s="36" t="s">
        <v>103</v>
      </c>
      <c r="R226" s="36">
        <v>1</v>
      </c>
      <c r="S226" s="12">
        <v>0.02</v>
      </c>
      <c r="T226" s="36">
        <v>1</v>
      </c>
      <c r="U226" s="12">
        <f t="shared" si="31"/>
        <v>0.02</v>
      </c>
      <c r="V226" s="135"/>
      <c r="W226" s="97"/>
      <c r="X226" s="95"/>
    </row>
    <row r="227" spans="1:24" x14ac:dyDescent="0.15">
      <c r="A227" s="117"/>
      <c r="B227" s="97"/>
      <c r="C227" s="191"/>
      <c r="D227" s="97"/>
      <c r="E227" s="97"/>
      <c r="F227" s="97"/>
      <c r="G227" s="94"/>
      <c r="H227" s="95"/>
      <c r="I227" s="95"/>
      <c r="J227" s="156"/>
      <c r="K227" s="156"/>
      <c r="L227" s="105"/>
      <c r="M227" s="105"/>
      <c r="N227" s="105"/>
      <c r="O227" s="156"/>
      <c r="P227" s="36" t="s">
        <v>35</v>
      </c>
      <c r="Q227" s="36" t="s">
        <v>103</v>
      </c>
      <c r="R227" s="36">
        <v>1</v>
      </c>
      <c r="S227" s="12">
        <v>0.02</v>
      </c>
      <c r="T227" s="36">
        <v>1</v>
      </c>
      <c r="U227" s="12">
        <f t="shared" si="31"/>
        <v>0.02</v>
      </c>
      <c r="V227" s="112"/>
      <c r="W227" s="97"/>
      <c r="X227" s="95"/>
    </row>
    <row r="228" spans="1:24" x14ac:dyDescent="0.15">
      <c r="A228" s="116">
        <v>94</v>
      </c>
      <c r="B228" s="97" t="s">
        <v>268</v>
      </c>
      <c r="C228" s="191" t="s">
        <v>269</v>
      </c>
      <c r="D228" s="97"/>
      <c r="E228" s="97"/>
      <c r="F228" s="191" t="s">
        <v>32</v>
      </c>
      <c r="G228" s="95">
        <v>228</v>
      </c>
      <c r="H228" s="95">
        <v>50</v>
      </c>
      <c r="I228" s="95">
        <v>4</v>
      </c>
      <c r="J228" s="156">
        <v>4.5999999999999996</v>
      </c>
      <c r="K228" s="156">
        <v>2.5</v>
      </c>
      <c r="L228" s="105">
        <v>0.35799999999999998</v>
      </c>
      <c r="M228" s="105">
        <v>0.317</v>
      </c>
      <c r="N228" s="105">
        <f>L228-M228</f>
        <v>4.1000000000000002E-2</v>
      </c>
      <c r="O228" s="156">
        <f>J228*L228-K228*N228</f>
        <v>1.5443</v>
      </c>
      <c r="P228" s="36" t="s">
        <v>33</v>
      </c>
      <c r="Q228" s="36" t="s">
        <v>212</v>
      </c>
      <c r="R228" s="36">
        <v>1</v>
      </c>
      <c r="S228" s="12">
        <v>0.1</v>
      </c>
      <c r="T228" s="36">
        <v>1</v>
      </c>
      <c r="U228" s="12">
        <f t="shared" si="31"/>
        <v>0.1</v>
      </c>
      <c r="V228" s="111">
        <v>1.1200000000000001</v>
      </c>
      <c r="W228" s="97">
        <f>(O228+SUM(U228:U230))*V228</f>
        <v>1.998416</v>
      </c>
      <c r="X228" s="95">
        <v>2.2770000000000001</v>
      </c>
    </row>
    <row r="229" spans="1:24" x14ac:dyDescent="0.15">
      <c r="A229" s="124"/>
      <c r="B229" s="97"/>
      <c r="C229" s="191"/>
      <c r="D229" s="97"/>
      <c r="E229" s="97"/>
      <c r="F229" s="191"/>
      <c r="G229" s="95"/>
      <c r="H229" s="95"/>
      <c r="I229" s="95"/>
      <c r="J229" s="156"/>
      <c r="K229" s="156"/>
      <c r="L229" s="105"/>
      <c r="M229" s="105"/>
      <c r="N229" s="105"/>
      <c r="O229" s="156"/>
      <c r="P229" s="36" t="s">
        <v>55</v>
      </c>
      <c r="Q229" s="36" t="s">
        <v>270</v>
      </c>
      <c r="R229" s="36">
        <v>1</v>
      </c>
      <c r="S229" s="12">
        <v>0.04</v>
      </c>
      <c r="T229" s="36">
        <v>1</v>
      </c>
      <c r="U229" s="12">
        <f t="shared" si="31"/>
        <v>0.04</v>
      </c>
      <c r="V229" s="135"/>
      <c r="W229" s="97"/>
      <c r="X229" s="95"/>
    </row>
    <row r="230" spans="1:24" x14ac:dyDescent="0.15">
      <c r="A230" s="117"/>
      <c r="B230" s="97"/>
      <c r="C230" s="191"/>
      <c r="D230" s="97"/>
      <c r="E230" s="97"/>
      <c r="F230" s="191"/>
      <c r="G230" s="95"/>
      <c r="H230" s="95"/>
      <c r="I230" s="95"/>
      <c r="J230" s="156"/>
      <c r="K230" s="156"/>
      <c r="L230" s="105"/>
      <c r="M230" s="105"/>
      <c r="N230" s="105"/>
      <c r="O230" s="156"/>
      <c r="P230" s="36" t="s">
        <v>35</v>
      </c>
      <c r="Q230" s="36" t="s">
        <v>212</v>
      </c>
      <c r="R230" s="36">
        <v>1</v>
      </c>
      <c r="S230" s="12">
        <v>0.1</v>
      </c>
      <c r="T230" s="36">
        <v>1</v>
      </c>
      <c r="U230" s="12">
        <f t="shared" si="31"/>
        <v>0.1</v>
      </c>
      <c r="V230" s="112"/>
      <c r="W230" s="97"/>
      <c r="X230" s="95"/>
    </row>
    <row r="231" spans="1:24" x14ac:dyDescent="0.15">
      <c r="A231" s="116">
        <v>95</v>
      </c>
      <c r="B231" s="116" t="s">
        <v>271</v>
      </c>
      <c r="C231" s="106" t="s">
        <v>272</v>
      </c>
      <c r="D231" s="106"/>
      <c r="E231" s="106"/>
      <c r="F231" s="106" t="s">
        <v>32</v>
      </c>
      <c r="G231" s="116">
        <v>209</v>
      </c>
      <c r="H231" s="116">
        <v>112</v>
      </c>
      <c r="I231" s="116">
        <v>2.2999999999999998</v>
      </c>
      <c r="J231" s="98">
        <v>4.7</v>
      </c>
      <c r="K231" s="98">
        <v>2.5</v>
      </c>
      <c r="L231" s="103">
        <v>0.42299999999999999</v>
      </c>
      <c r="M231" s="103">
        <v>0.17</v>
      </c>
      <c r="N231" s="105">
        <f>L231-M231</f>
        <v>0.253</v>
      </c>
      <c r="O231" s="156">
        <f>J231*L231-K231*N231</f>
        <v>1.3555999999999999</v>
      </c>
      <c r="P231" s="36" t="s">
        <v>33</v>
      </c>
      <c r="Q231" s="36" t="s">
        <v>273</v>
      </c>
      <c r="R231" s="36">
        <v>1</v>
      </c>
      <c r="S231" s="12">
        <v>7.0000000000000007E-2</v>
      </c>
      <c r="T231" s="36">
        <v>1</v>
      </c>
      <c r="U231" s="12">
        <f t="shared" si="31"/>
        <v>7.0000000000000007E-2</v>
      </c>
      <c r="V231" s="111">
        <v>1.1200000000000001</v>
      </c>
      <c r="W231" s="97">
        <f>(O231+SUM(U231:U233))*V231</f>
        <v>1.7310719999999999</v>
      </c>
      <c r="X231" s="116">
        <v>1.792</v>
      </c>
    </row>
    <row r="232" spans="1:24" x14ac:dyDescent="0.15">
      <c r="A232" s="124"/>
      <c r="B232" s="124"/>
      <c r="C232" s="107"/>
      <c r="D232" s="107"/>
      <c r="E232" s="107"/>
      <c r="F232" s="107"/>
      <c r="G232" s="124"/>
      <c r="H232" s="124"/>
      <c r="I232" s="124"/>
      <c r="J232" s="157"/>
      <c r="K232" s="157"/>
      <c r="L232" s="168"/>
      <c r="M232" s="168"/>
      <c r="N232" s="105"/>
      <c r="O232" s="156"/>
      <c r="P232" s="36" t="s">
        <v>55</v>
      </c>
      <c r="Q232" s="36" t="s">
        <v>38</v>
      </c>
      <c r="R232" s="36">
        <v>1</v>
      </c>
      <c r="S232" s="12">
        <v>0.05</v>
      </c>
      <c r="T232" s="36">
        <v>1</v>
      </c>
      <c r="U232" s="12">
        <f t="shared" si="31"/>
        <v>0.05</v>
      </c>
      <c r="V232" s="135"/>
      <c r="W232" s="97"/>
      <c r="X232" s="124"/>
    </row>
    <row r="233" spans="1:24" x14ac:dyDescent="0.15">
      <c r="A233" s="117"/>
      <c r="B233" s="117"/>
      <c r="C233" s="108"/>
      <c r="D233" s="108"/>
      <c r="E233" s="108"/>
      <c r="F233" s="108"/>
      <c r="G233" s="117"/>
      <c r="H233" s="117"/>
      <c r="I233" s="117"/>
      <c r="J233" s="99"/>
      <c r="K233" s="99"/>
      <c r="L233" s="104"/>
      <c r="M233" s="104"/>
      <c r="N233" s="105"/>
      <c r="O233" s="156"/>
      <c r="P233" s="36" t="s">
        <v>35</v>
      </c>
      <c r="Q233" s="36" t="s">
        <v>273</v>
      </c>
      <c r="R233" s="36">
        <v>1</v>
      </c>
      <c r="S233" s="12">
        <v>7.0000000000000007E-2</v>
      </c>
      <c r="T233" s="36">
        <v>1</v>
      </c>
      <c r="U233" s="12">
        <f t="shared" si="31"/>
        <v>7.0000000000000007E-2</v>
      </c>
      <c r="V233" s="112"/>
      <c r="W233" s="97"/>
      <c r="X233" s="117"/>
    </row>
    <row r="234" spans="1:24" x14ac:dyDescent="0.15">
      <c r="A234" s="95">
        <v>97</v>
      </c>
      <c r="B234" s="121" t="s">
        <v>274</v>
      </c>
      <c r="C234" s="121" t="s">
        <v>275</v>
      </c>
      <c r="D234" s="121" t="s">
        <v>276</v>
      </c>
      <c r="E234" s="121">
        <v>1</v>
      </c>
      <c r="F234" s="121" t="s">
        <v>32</v>
      </c>
      <c r="G234" s="95">
        <v>189</v>
      </c>
      <c r="H234" s="95">
        <v>43</v>
      </c>
      <c r="I234" s="95">
        <v>3</v>
      </c>
      <c r="J234" s="156">
        <v>4.5999999999999996</v>
      </c>
      <c r="K234" s="156">
        <v>2.5</v>
      </c>
      <c r="L234" s="105">
        <v>0.192</v>
      </c>
      <c r="M234" s="105">
        <v>0.154</v>
      </c>
      <c r="N234" s="105">
        <f>L234-M234</f>
        <v>3.7999999999999999E-2</v>
      </c>
      <c r="O234" s="156">
        <f>J234*L234-K234*N234</f>
        <v>0.78820000000000001</v>
      </c>
      <c r="P234" s="39" t="s">
        <v>33</v>
      </c>
      <c r="Q234" s="39" t="s">
        <v>273</v>
      </c>
      <c r="R234" s="36">
        <v>1</v>
      </c>
      <c r="S234" s="12">
        <v>7.0000000000000007E-2</v>
      </c>
      <c r="T234" s="36">
        <v>1</v>
      </c>
      <c r="U234" s="12">
        <f t="shared" si="31"/>
        <v>7.0000000000000007E-2</v>
      </c>
      <c r="V234" s="116">
        <v>1.1399999999999999</v>
      </c>
      <c r="W234" s="111">
        <f>(O234+SUM(U234:U236))*V234+(O236+U237)*1.03</f>
        <v>1.3281480000000001</v>
      </c>
      <c r="X234" s="116">
        <v>1.3620000000000001</v>
      </c>
    </row>
    <row r="235" spans="1:24" x14ac:dyDescent="0.15">
      <c r="A235" s="95"/>
      <c r="B235" s="121"/>
      <c r="C235" s="121"/>
      <c r="D235" s="121"/>
      <c r="E235" s="121"/>
      <c r="F235" s="121"/>
      <c r="G235" s="95"/>
      <c r="H235" s="95"/>
      <c r="I235" s="95"/>
      <c r="J235" s="156"/>
      <c r="K235" s="156"/>
      <c r="L235" s="105"/>
      <c r="M235" s="105"/>
      <c r="N235" s="105"/>
      <c r="O235" s="156"/>
      <c r="P235" s="39" t="s">
        <v>55</v>
      </c>
      <c r="Q235" s="39" t="s">
        <v>270</v>
      </c>
      <c r="R235" s="36">
        <v>1</v>
      </c>
      <c r="S235" s="12">
        <v>0.04</v>
      </c>
      <c r="T235" s="36">
        <v>1</v>
      </c>
      <c r="U235" s="12">
        <f t="shared" si="31"/>
        <v>0.04</v>
      </c>
      <c r="V235" s="124"/>
      <c r="W235" s="135"/>
      <c r="X235" s="124"/>
    </row>
    <row r="236" spans="1:24" x14ac:dyDescent="0.15">
      <c r="A236" s="95"/>
      <c r="B236" s="121"/>
      <c r="C236" s="121"/>
      <c r="D236" s="121" t="s">
        <v>277</v>
      </c>
      <c r="E236" s="121">
        <v>2</v>
      </c>
      <c r="F236" s="121"/>
      <c r="G236" s="95"/>
      <c r="H236" s="95"/>
      <c r="I236" s="95"/>
      <c r="J236" s="156">
        <v>0.05</v>
      </c>
      <c r="K236" s="156"/>
      <c r="L236" s="105"/>
      <c r="M236" s="105"/>
      <c r="N236" s="105"/>
      <c r="O236" s="156">
        <f>E236*J236</f>
        <v>0.1</v>
      </c>
      <c r="P236" s="39" t="s">
        <v>35</v>
      </c>
      <c r="Q236" s="39" t="s">
        <v>214</v>
      </c>
      <c r="R236" s="36">
        <v>1</v>
      </c>
      <c r="S236" s="12">
        <v>0.05</v>
      </c>
      <c r="T236" s="36">
        <v>1</v>
      </c>
      <c r="U236" s="12">
        <f t="shared" si="31"/>
        <v>0.05</v>
      </c>
      <c r="V236" s="124"/>
      <c r="W236" s="135"/>
      <c r="X236" s="124"/>
    </row>
    <row r="237" spans="1:24" x14ac:dyDescent="0.15">
      <c r="A237" s="95"/>
      <c r="B237" s="121"/>
      <c r="C237" s="121"/>
      <c r="D237" s="121"/>
      <c r="E237" s="121"/>
      <c r="F237" s="121"/>
      <c r="G237" s="95"/>
      <c r="H237" s="95"/>
      <c r="I237" s="95"/>
      <c r="J237" s="156"/>
      <c r="K237" s="156"/>
      <c r="L237" s="105"/>
      <c r="M237" s="105"/>
      <c r="N237" s="105"/>
      <c r="O237" s="156"/>
      <c r="P237" s="39" t="s">
        <v>147</v>
      </c>
      <c r="Q237" s="39"/>
      <c r="R237" s="36">
        <v>2</v>
      </c>
      <c r="S237" s="12">
        <v>7.0000000000000007E-2</v>
      </c>
      <c r="T237" s="36">
        <v>1</v>
      </c>
      <c r="U237" s="12">
        <f t="shared" si="31"/>
        <v>0.14000000000000001</v>
      </c>
      <c r="V237" s="117"/>
      <c r="W237" s="112"/>
      <c r="X237" s="117"/>
    </row>
    <row r="238" spans="1:24" s="23" customFormat="1" x14ac:dyDescent="0.15">
      <c r="A238" s="58"/>
      <c r="B238" s="59"/>
      <c r="C238" s="59"/>
      <c r="D238" s="59"/>
      <c r="E238" s="59"/>
      <c r="F238" s="59"/>
      <c r="G238" s="59"/>
      <c r="H238" s="59"/>
      <c r="I238" s="59"/>
      <c r="J238" s="62"/>
      <c r="K238" s="63"/>
      <c r="L238" s="59"/>
      <c r="M238" s="58"/>
      <c r="N238" s="59"/>
      <c r="O238" s="63"/>
      <c r="P238" s="64" t="s">
        <v>33</v>
      </c>
      <c r="Q238" s="64" t="s">
        <v>49</v>
      </c>
      <c r="R238" s="64">
        <v>1</v>
      </c>
      <c r="S238" s="66">
        <v>0.03</v>
      </c>
      <c r="T238" s="64">
        <v>1</v>
      </c>
      <c r="U238" s="64">
        <f t="shared" si="31"/>
        <v>0.03</v>
      </c>
      <c r="V238" s="58"/>
      <c r="W238" s="58"/>
      <c r="X238" s="58"/>
    </row>
    <row r="239" spans="1:24" s="23" customFormat="1" x14ac:dyDescent="0.15">
      <c r="A239" s="59">
        <v>54</v>
      </c>
      <c r="B239" s="59" t="s">
        <v>185</v>
      </c>
      <c r="C239" s="59" t="s">
        <v>186</v>
      </c>
      <c r="D239" s="59"/>
      <c r="E239" s="59">
        <v>1</v>
      </c>
      <c r="F239" s="59" t="s">
        <v>100</v>
      </c>
      <c r="G239" s="59">
        <v>45</v>
      </c>
      <c r="H239" s="59">
        <v>45</v>
      </c>
      <c r="I239" s="59">
        <v>2</v>
      </c>
      <c r="J239" s="62">
        <v>4.7</v>
      </c>
      <c r="K239" s="62">
        <v>2.2999999999999998</v>
      </c>
      <c r="L239" s="59">
        <v>3.1E-2</v>
      </c>
      <c r="M239" s="59">
        <v>0.01</v>
      </c>
      <c r="N239" s="59">
        <v>2.1000000000000001E-2</v>
      </c>
      <c r="O239" s="62">
        <f>J239*L239-K239*N239</f>
        <v>9.74E-2</v>
      </c>
      <c r="P239" s="64" t="s">
        <v>55</v>
      </c>
      <c r="Q239" s="64" t="s">
        <v>49</v>
      </c>
      <c r="R239" s="64">
        <v>1</v>
      </c>
      <c r="S239" s="66">
        <v>0.03</v>
      </c>
      <c r="T239" s="64">
        <v>1</v>
      </c>
      <c r="U239" s="64">
        <f t="shared" ref="U239:U268" si="37">R239*S239/T239</f>
        <v>0.03</v>
      </c>
      <c r="V239" s="59">
        <v>1.18</v>
      </c>
      <c r="W239" s="67">
        <f>(O239+U238+U239+U240)*V239</f>
        <v>0.221132</v>
      </c>
      <c r="X239" s="59"/>
    </row>
    <row r="240" spans="1:24" s="23" customFormat="1" x14ac:dyDescent="0.15">
      <c r="A240" s="59"/>
      <c r="B240" s="59"/>
      <c r="C240" s="59"/>
      <c r="D240" s="59"/>
      <c r="E240" s="59"/>
      <c r="F240" s="59"/>
      <c r="G240" s="59"/>
      <c r="H240" s="59"/>
      <c r="I240" s="59"/>
      <c r="J240" s="62"/>
      <c r="K240" s="62"/>
      <c r="L240" s="59"/>
      <c r="M240" s="59"/>
      <c r="N240" s="59"/>
      <c r="O240" s="62"/>
      <c r="P240" s="64" t="s">
        <v>35</v>
      </c>
      <c r="Q240" s="64" t="s">
        <v>49</v>
      </c>
      <c r="R240" s="64">
        <v>1</v>
      </c>
      <c r="S240" s="66">
        <v>0.03</v>
      </c>
      <c r="T240" s="64">
        <v>1</v>
      </c>
      <c r="U240" s="64">
        <f t="shared" si="37"/>
        <v>0.03</v>
      </c>
      <c r="V240" s="59"/>
      <c r="W240" s="59"/>
      <c r="X240" s="59"/>
    </row>
    <row r="241" spans="1:24" s="23" customFormat="1" x14ac:dyDescent="0.15">
      <c r="A241" s="60"/>
      <c r="B241" s="59"/>
      <c r="C241" s="59"/>
      <c r="D241" s="59"/>
      <c r="E241" s="59"/>
      <c r="F241" s="59"/>
      <c r="G241" s="59"/>
      <c r="H241" s="59"/>
      <c r="I241" s="59"/>
      <c r="J241" s="62"/>
      <c r="K241" s="65"/>
      <c r="L241" s="59"/>
      <c r="M241" s="60"/>
      <c r="N241" s="59"/>
      <c r="O241" s="65"/>
      <c r="P241" s="64" t="s">
        <v>174</v>
      </c>
      <c r="Q241" s="64"/>
      <c r="R241" s="64">
        <v>1</v>
      </c>
      <c r="S241" s="66"/>
      <c r="T241" s="64">
        <v>1</v>
      </c>
      <c r="U241" s="64">
        <f t="shared" si="37"/>
        <v>0</v>
      </c>
      <c r="V241" s="60"/>
      <c r="W241" s="60"/>
      <c r="X241" s="60"/>
    </row>
    <row r="242" spans="1:24" s="23" customFormat="1" x14ac:dyDescent="0.15">
      <c r="A242" s="58"/>
      <c r="B242" s="58"/>
      <c r="C242" s="58"/>
      <c r="D242" s="58"/>
      <c r="E242" s="58"/>
      <c r="F242" s="58"/>
      <c r="G242" s="58"/>
      <c r="H242" s="58"/>
      <c r="I242" s="58"/>
      <c r="J242" s="63"/>
      <c r="K242" s="63"/>
      <c r="L242" s="58"/>
      <c r="M242" s="58"/>
      <c r="N242" s="58"/>
      <c r="O242" s="63"/>
      <c r="P242" s="64" t="s">
        <v>33</v>
      </c>
      <c r="Q242" s="64" t="s">
        <v>49</v>
      </c>
      <c r="R242" s="64">
        <v>1</v>
      </c>
      <c r="S242" s="66">
        <v>0.03</v>
      </c>
      <c r="T242" s="64">
        <v>1</v>
      </c>
      <c r="U242" s="64">
        <f t="shared" si="37"/>
        <v>0.03</v>
      </c>
      <c r="V242" s="58"/>
      <c r="W242" s="59"/>
      <c r="X242" s="58"/>
    </row>
    <row r="243" spans="1:24" s="23" customFormat="1" x14ac:dyDescent="0.15">
      <c r="A243" s="59">
        <v>55</v>
      </c>
      <c r="B243" s="59" t="s">
        <v>187</v>
      </c>
      <c r="C243" s="59" t="s">
        <v>188</v>
      </c>
      <c r="D243" s="59"/>
      <c r="E243" s="59">
        <v>1</v>
      </c>
      <c r="F243" s="59" t="s">
        <v>100</v>
      </c>
      <c r="G243" s="59">
        <v>43</v>
      </c>
      <c r="H243" s="59">
        <v>43</v>
      </c>
      <c r="I243" s="59">
        <v>2</v>
      </c>
      <c r="J243" s="62">
        <v>4.7</v>
      </c>
      <c r="K243" s="62">
        <v>2.2999999999999998</v>
      </c>
      <c r="L243" s="59">
        <v>2.9000000000000001E-2</v>
      </c>
      <c r="M243" s="59">
        <v>8.9999999999999993E-3</v>
      </c>
      <c r="N243" s="59">
        <v>0.02</v>
      </c>
      <c r="O243" s="62">
        <f>J243*L243-K243*N243</f>
        <v>9.0300000000000005E-2</v>
      </c>
      <c r="P243" s="64" t="s">
        <v>35</v>
      </c>
      <c r="Q243" s="64" t="s">
        <v>49</v>
      </c>
      <c r="R243" s="64">
        <v>1</v>
      </c>
      <c r="S243" s="66">
        <v>0.03</v>
      </c>
      <c r="T243" s="64">
        <v>1</v>
      </c>
      <c r="U243" s="64">
        <f t="shared" si="37"/>
        <v>0.03</v>
      </c>
      <c r="V243" s="59">
        <v>1.18</v>
      </c>
      <c r="W243" s="67">
        <f>(O243+U242+U243+U244)*V243</f>
        <v>0.212754</v>
      </c>
      <c r="X243" s="59"/>
    </row>
    <row r="244" spans="1:24" s="23" customFormat="1" x14ac:dyDescent="0.15">
      <c r="A244" s="59"/>
      <c r="B244" s="59"/>
      <c r="C244" s="59"/>
      <c r="D244" s="59"/>
      <c r="E244" s="59"/>
      <c r="F244" s="59"/>
      <c r="G244" s="59"/>
      <c r="H244" s="59"/>
      <c r="I244" s="59"/>
      <c r="J244" s="62"/>
      <c r="K244" s="62"/>
      <c r="L244" s="59"/>
      <c r="M244" s="59"/>
      <c r="N244" s="59"/>
      <c r="O244" s="62"/>
      <c r="P244" s="64" t="s">
        <v>55</v>
      </c>
      <c r="Q244" s="64" t="s">
        <v>49</v>
      </c>
      <c r="R244" s="64">
        <v>1</v>
      </c>
      <c r="S244" s="66">
        <v>0.03</v>
      </c>
      <c r="T244" s="64">
        <v>1</v>
      </c>
      <c r="U244" s="64">
        <f t="shared" si="37"/>
        <v>0.03</v>
      </c>
      <c r="V244" s="59"/>
      <c r="W244" s="59"/>
      <c r="X244" s="59"/>
    </row>
    <row r="245" spans="1:24" s="23" customFormat="1" x14ac:dyDescent="0.15">
      <c r="A245" s="60"/>
      <c r="B245" s="60"/>
      <c r="C245" s="60"/>
      <c r="D245" s="60"/>
      <c r="E245" s="60"/>
      <c r="F245" s="60"/>
      <c r="G245" s="60"/>
      <c r="H245" s="60"/>
      <c r="I245" s="60"/>
      <c r="J245" s="65"/>
      <c r="K245" s="65"/>
      <c r="L245" s="60"/>
      <c r="M245" s="60"/>
      <c r="N245" s="60"/>
      <c r="O245" s="65"/>
      <c r="P245" s="64" t="s">
        <v>174</v>
      </c>
      <c r="Q245" s="64"/>
      <c r="R245" s="64">
        <v>1</v>
      </c>
      <c r="S245" s="66"/>
      <c r="T245" s="64">
        <v>1</v>
      </c>
      <c r="U245" s="64">
        <f t="shared" si="37"/>
        <v>0</v>
      </c>
      <c r="V245" s="60"/>
      <c r="W245" s="59"/>
      <c r="X245" s="60"/>
    </row>
    <row r="246" spans="1:24" s="23" customFormat="1" x14ac:dyDescent="0.15">
      <c r="A246" s="58"/>
      <c r="B246" s="59"/>
      <c r="C246" s="59"/>
      <c r="D246" s="59"/>
      <c r="E246" s="59"/>
      <c r="F246" s="59"/>
      <c r="G246" s="59"/>
      <c r="H246" s="59"/>
      <c r="I246" s="59"/>
      <c r="J246" s="62"/>
      <c r="K246" s="63"/>
      <c r="L246" s="59"/>
      <c r="M246" s="58"/>
      <c r="N246" s="59"/>
      <c r="O246" s="63"/>
      <c r="P246" s="64" t="s">
        <v>33</v>
      </c>
      <c r="Q246" s="64" t="s">
        <v>49</v>
      </c>
      <c r="R246" s="64">
        <v>1</v>
      </c>
      <c r="S246" s="66">
        <v>0.03</v>
      </c>
      <c r="T246" s="64">
        <v>1</v>
      </c>
      <c r="U246" s="64">
        <f t="shared" si="37"/>
        <v>0.03</v>
      </c>
      <c r="V246" s="58"/>
      <c r="W246" s="58"/>
      <c r="X246" s="58"/>
    </row>
    <row r="247" spans="1:24" s="23" customFormat="1" x14ac:dyDescent="0.15">
      <c r="A247" s="59">
        <v>56</v>
      </c>
      <c r="B247" s="59" t="s">
        <v>189</v>
      </c>
      <c r="C247" s="59" t="s">
        <v>190</v>
      </c>
      <c r="D247" s="59"/>
      <c r="E247" s="59">
        <v>1</v>
      </c>
      <c r="F247" s="59" t="s">
        <v>100</v>
      </c>
      <c r="G247" s="59">
        <v>47</v>
      </c>
      <c r="H247" s="59">
        <v>47</v>
      </c>
      <c r="I247" s="59">
        <v>2</v>
      </c>
      <c r="J247" s="62">
        <v>4.7</v>
      </c>
      <c r="K247" s="62">
        <v>2.2999999999999998</v>
      </c>
      <c r="L247" s="59">
        <v>3.5000000000000003E-2</v>
      </c>
      <c r="M247" s="59">
        <v>1.2E-2</v>
      </c>
      <c r="N247" s="59">
        <v>2.3E-2</v>
      </c>
      <c r="O247" s="62">
        <f>J247*L247-K247*N247</f>
        <v>0.1116</v>
      </c>
      <c r="P247" s="64" t="s">
        <v>35</v>
      </c>
      <c r="Q247" s="64" t="s">
        <v>49</v>
      </c>
      <c r="R247" s="64">
        <v>1</v>
      </c>
      <c r="S247" s="66">
        <v>0.03</v>
      </c>
      <c r="T247" s="64">
        <v>1</v>
      </c>
      <c r="U247" s="64">
        <f t="shared" si="37"/>
        <v>0.03</v>
      </c>
      <c r="V247" s="59">
        <v>1.18</v>
      </c>
      <c r="W247" s="67">
        <f>(O247+U246+U247+U248)*V247</f>
        <v>0.23788799999999999</v>
      </c>
      <c r="X247" s="59"/>
    </row>
    <row r="248" spans="1:24" s="23" customFormat="1" x14ac:dyDescent="0.15">
      <c r="A248" s="59"/>
      <c r="B248" s="59"/>
      <c r="C248" s="59"/>
      <c r="D248" s="59"/>
      <c r="E248" s="59"/>
      <c r="F248" s="59"/>
      <c r="G248" s="59"/>
      <c r="H248" s="59"/>
      <c r="I248" s="59"/>
      <c r="J248" s="62"/>
      <c r="K248" s="62"/>
      <c r="L248" s="59"/>
      <c r="M248" s="59"/>
      <c r="N248" s="59"/>
      <c r="O248" s="62"/>
      <c r="P248" s="64" t="s">
        <v>55</v>
      </c>
      <c r="Q248" s="64" t="s">
        <v>49</v>
      </c>
      <c r="R248" s="64">
        <v>1</v>
      </c>
      <c r="S248" s="66">
        <v>0.03</v>
      </c>
      <c r="T248" s="64">
        <v>1</v>
      </c>
      <c r="U248" s="64">
        <f t="shared" si="37"/>
        <v>0.03</v>
      </c>
      <c r="V248" s="59"/>
      <c r="W248" s="59"/>
      <c r="X248" s="59"/>
    </row>
    <row r="249" spans="1:24" s="23" customFormat="1" x14ac:dyDescent="0.15">
      <c r="A249" s="60"/>
      <c r="B249" s="59"/>
      <c r="C249" s="59"/>
      <c r="D249" s="59"/>
      <c r="E249" s="59"/>
      <c r="F249" s="59"/>
      <c r="G249" s="59"/>
      <c r="H249" s="59"/>
      <c r="I249" s="59"/>
      <c r="J249" s="62"/>
      <c r="K249" s="65"/>
      <c r="L249" s="59"/>
      <c r="M249" s="60"/>
      <c r="N249" s="59"/>
      <c r="O249" s="65"/>
      <c r="P249" s="64" t="s">
        <v>174</v>
      </c>
      <c r="Q249" s="64"/>
      <c r="R249" s="64">
        <v>1</v>
      </c>
      <c r="S249" s="66"/>
      <c r="T249" s="64">
        <v>1</v>
      </c>
      <c r="U249" s="64">
        <f t="shared" si="37"/>
        <v>0</v>
      </c>
      <c r="V249" s="60"/>
      <c r="W249" s="60"/>
      <c r="X249" s="60"/>
    </row>
    <row r="250" spans="1:24" s="23" customFormat="1" x14ac:dyDescent="0.15">
      <c r="A250" s="58"/>
      <c r="B250" s="58"/>
      <c r="C250" s="58"/>
      <c r="D250" s="58"/>
      <c r="E250" s="58"/>
      <c r="F250" s="58"/>
      <c r="G250" s="58"/>
      <c r="H250" s="58"/>
      <c r="I250" s="58"/>
      <c r="J250" s="63"/>
      <c r="K250" s="62"/>
      <c r="L250" s="58"/>
      <c r="M250" s="59"/>
      <c r="N250" s="58"/>
      <c r="O250" s="62"/>
      <c r="P250" s="64" t="s">
        <v>33</v>
      </c>
      <c r="Q250" s="64" t="s">
        <v>49</v>
      </c>
      <c r="R250" s="64">
        <v>1</v>
      </c>
      <c r="S250" s="66">
        <v>0.03</v>
      </c>
      <c r="T250" s="64">
        <v>1</v>
      </c>
      <c r="U250" s="64">
        <f t="shared" si="37"/>
        <v>0.03</v>
      </c>
      <c r="V250" s="59"/>
      <c r="W250" s="58"/>
      <c r="X250" s="59"/>
    </row>
    <row r="251" spans="1:24" s="23" customFormat="1" x14ac:dyDescent="0.15">
      <c r="A251" s="59">
        <v>57</v>
      </c>
      <c r="B251" s="59" t="s">
        <v>191</v>
      </c>
      <c r="C251" s="59" t="s">
        <v>192</v>
      </c>
      <c r="D251" s="59"/>
      <c r="E251" s="59">
        <v>1</v>
      </c>
      <c r="F251" s="59" t="s">
        <v>100</v>
      </c>
      <c r="G251" s="59">
        <v>54</v>
      </c>
      <c r="H251" s="59">
        <v>43</v>
      </c>
      <c r="I251" s="59">
        <v>1.5</v>
      </c>
      <c r="J251" s="62">
        <v>4.7</v>
      </c>
      <c r="K251" s="62">
        <v>2.2999999999999998</v>
      </c>
      <c r="L251" s="59">
        <v>2.7E-2</v>
      </c>
      <c r="M251" s="59">
        <v>1.0999999999999999E-2</v>
      </c>
      <c r="N251" s="59">
        <v>1.6E-2</v>
      </c>
      <c r="O251" s="62">
        <f>J251*L251-K251*N251</f>
        <v>9.01E-2</v>
      </c>
      <c r="P251" s="64" t="s">
        <v>193</v>
      </c>
      <c r="Q251" s="64" t="s">
        <v>49</v>
      </c>
      <c r="R251" s="64">
        <v>1</v>
      </c>
      <c r="S251" s="66">
        <v>0.03</v>
      </c>
      <c r="T251" s="64">
        <v>1</v>
      </c>
      <c r="U251" s="64">
        <f t="shared" si="37"/>
        <v>0.03</v>
      </c>
      <c r="V251" s="59">
        <v>1.18</v>
      </c>
      <c r="W251" s="67">
        <f>(O251+U250+U251+U252)*V251</f>
        <v>0.21251800000000001</v>
      </c>
      <c r="X251" s="59"/>
    </row>
    <row r="252" spans="1:24" s="23" customFormat="1" x14ac:dyDescent="0.15">
      <c r="A252" s="59"/>
      <c r="B252" s="59"/>
      <c r="C252" s="59"/>
      <c r="D252" s="59"/>
      <c r="E252" s="59"/>
      <c r="F252" s="59"/>
      <c r="G252" s="59"/>
      <c r="H252" s="59"/>
      <c r="I252" s="59"/>
      <c r="J252" s="62"/>
      <c r="K252" s="62"/>
      <c r="L252" s="59"/>
      <c r="M252" s="59"/>
      <c r="N252" s="59"/>
      <c r="O252" s="62"/>
      <c r="P252" s="64" t="s">
        <v>55</v>
      </c>
      <c r="Q252" s="64" t="s">
        <v>49</v>
      </c>
      <c r="R252" s="64">
        <v>1</v>
      </c>
      <c r="S252" s="66">
        <v>0.03</v>
      </c>
      <c r="T252" s="64">
        <v>1</v>
      </c>
      <c r="U252" s="64">
        <f t="shared" si="37"/>
        <v>0.03</v>
      </c>
      <c r="V252" s="59"/>
      <c r="W252" s="59"/>
      <c r="X252" s="59"/>
    </row>
    <row r="253" spans="1:24" s="23" customFormat="1" x14ac:dyDescent="0.15">
      <c r="A253" s="60"/>
      <c r="B253" s="60"/>
      <c r="C253" s="60"/>
      <c r="D253" s="60"/>
      <c r="E253" s="60"/>
      <c r="F253" s="60"/>
      <c r="G253" s="60"/>
      <c r="H253" s="60"/>
      <c r="I253" s="60"/>
      <c r="J253" s="65"/>
      <c r="K253" s="62"/>
      <c r="L253" s="60"/>
      <c r="M253" s="59"/>
      <c r="N253" s="60"/>
      <c r="O253" s="62"/>
      <c r="P253" s="64" t="s">
        <v>174</v>
      </c>
      <c r="Q253" s="64"/>
      <c r="R253" s="64">
        <v>1</v>
      </c>
      <c r="S253" s="66"/>
      <c r="T253" s="64">
        <v>1</v>
      </c>
      <c r="U253" s="64">
        <f t="shared" si="37"/>
        <v>0</v>
      </c>
      <c r="V253" s="59"/>
      <c r="W253" s="60"/>
      <c r="X253" s="59"/>
    </row>
    <row r="254" spans="1:24" s="23" customFormat="1" x14ac:dyDescent="0.15">
      <c r="A254" s="59"/>
      <c r="B254" s="59"/>
      <c r="C254" s="59"/>
      <c r="D254" s="59"/>
      <c r="E254" s="59"/>
      <c r="F254" s="59"/>
      <c r="G254" s="59"/>
      <c r="H254" s="59"/>
      <c r="I254" s="59"/>
      <c r="J254" s="62"/>
      <c r="K254" s="63"/>
      <c r="L254" s="59"/>
      <c r="M254" s="58"/>
      <c r="N254" s="59"/>
      <c r="O254" s="63"/>
      <c r="P254" s="64" t="s">
        <v>33</v>
      </c>
      <c r="Q254" s="64" t="s">
        <v>49</v>
      </c>
      <c r="R254" s="64">
        <v>1</v>
      </c>
      <c r="S254" s="66">
        <v>0.03</v>
      </c>
      <c r="T254" s="64">
        <v>1</v>
      </c>
      <c r="U254" s="64">
        <f t="shared" si="37"/>
        <v>0.03</v>
      </c>
      <c r="V254" s="58"/>
      <c r="W254" s="58"/>
      <c r="X254" s="58"/>
    </row>
    <row r="255" spans="1:24" s="23" customFormat="1" x14ac:dyDescent="0.15">
      <c r="A255" s="59">
        <v>58</v>
      </c>
      <c r="B255" s="59" t="s">
        <v>194</v>
      </c>
      <c r="C255" s="59" t="s">
        <v>195</v>
      </c>
      <c r="D255" s="59"/>
      <c r="E255" s="59">
        <v>1</v>
      </c>
      <c r="F255" s="59" t="s">
        <v>100</v>
      </c>
      <c r="G255" s="59">
        <v>47</v>
      </c>
      <c r="H255" s="59">
        <v>15</v>
      </c>
      <c r="I255" s="59">
        <v>0.5</v>
      </c>
      <c r="J255" s="62">
        <v>5.3</v>
      </c>
      <c r="K255" s="62">
        <v>2.2999999999999998</v>
      </c>
      <c r="L255" s="59">
        <v>2.7000000000000001E-3</v>
      </c>
      <c r="M255" s="59">
        <v>1E-3</v>
      </c>
      <c r="N255" s="59">
        <f>L255-M255</f>
        <v>1.6999999999999999E-3</v>
      </c>
      <c r="O255" s="62">
        <f>J255*L255-K255*N255</f>
        <v>1.04E-2</v>
      </c>
      <c r="P255" s="64" t="s">
        <v>48</v>
      </c>
      <c r="Q255" s="64" t="s">
        <v>103</v>
      </c>
      <c r="R255" s="64">
        <v>1</v>
      </c>
      <c r="S255" s="66">
        <v>0.02</v>
      </c>
      <c r="T255" s="64">
        <v>1</v>
      </c>
      <c r="U255" s="64">
        <f t="shared" si="37"/>
        <v>0.02</v>
      </c>
      <c r="V255" s="59">
        <v>1.18</v>
      </c>
      <c r="W255" s="67">
        <f>(O255+U254+U255+U256)*V255</f>
        <v>7.1272000000000002E-2</v>
      </c>
      <c r="X255" s="59"/>
    </row>
    <row r="256" spans="1:24" s="23" customFormat="1" x14ac:dyDescent="0.15">
      <c r="A256" s="59"/>
      <c r="B256" s="59"/>
      <c r="C256" s="59"/>
      <c r="D256" s="59"/>
      <c r="E256" s="59"/>
      <c r="F256" s="59"/>
      <c r="G256" s="59"/>
      <c r="H256" s="59"/>
      <c r="I256" s="59"/>
      <c r="J256" s="62"/>
      <c r="K256" s="65"/>
      <c r="L256" s="59"/>
      <c r="M256" s="60"/>
      <c r="N256" s="59"/>
      <c r="O256" s="65"/>
      <c r="P256" s="64" t="s">
        <v>174</v>
      </c>
      <c r="Q256" s="64"/>
      <c r="R256" s="64">
        <v>1</v>
      </c>
      <c r="S256" s="66"/>
      <c r="T256" s="64">
        <v>1</v>
      </c>
      <c r="U256" s="64">
        <f t="shared" si="37"/>
        <v>0</v>
      </c>
      <c r="V256" s="60"/>
      <c r="W256" s="60"/>
      <c r="X256" s="60"/>
    </row>
    <row r="257" spans="1:24" s="23" customFormat="1" x14ac:dyDescent="0.15">
      <c r="A257" s="58"/>
      <c r="B257" s="58"/>
      <c r="C257" s="58"/>
      <c r="D257" s="58"/>
      <c r="E257" s="58"/>
      <c r="F257" s="58"/>
      <c r="G257" s="58"/>
      <c r="H257" s="58"/>
      <c r="I257" s="58"/>
      <c r="J257" s="63"/>
      <c r="K257" s="62"/>
      <c r="L257" s="58"/>
      <c r="M257" s="59"/>
      <c r="N257" s="58"/>
      <c r="O257" s="62"/>
      <c r="P257" s="64" t="s">
        <v>33</v>
      </c>
      <c r="Q257" s="64" t="s">
        <v>49</v>
      </c>
      <c r="R257" s="64">
        <v>1</v>
      </c>
      <c r="S257" s="66">
        <v>0.03</v>
      </c>
      <c r="T257" s="64">
        <v>1</v>
      </c>
      <c r="U257" s="64">
        <f t="shared" si="37"/>
        <v>0.03</v>
      </c>
      <c r="V257" s="59"/>
      <c r="W257" s="58"/>
      <c r="X257" s="59"/>
    </row>
    <row r="258" spans="1:24" s="23" customFormat="1" x14ac:dyDescent="0.15">
      <c r="A258" s="59">
        <v>59</v>
      </c>
      <c r="B258" s="59" t="s">
        <v>196</v>
      </c>
      <c r="C258" s="59" t="s">
        <v>197</v>
      </c>
      <c r="D258" s="59"/>
      <c r="E258" s="59">
        <v>1</v>
      </c>
      <c r="F258" s="59" t="s">
        <v>100</v>
      </c>
      <c r="G258" s="59">
        <v>49</v>
      </c>
      <c r="H258" s="59">
        <v>18</v>
      </c>
      <c r="I258" s="59">
        <v>0.5</v>
      </c>
      <c r="J258" s="62">
        <v>5.3</v>
      </c>
      <c r="K258" s="62">
        <v>2.2999999999999998</v>
      </c>
      <c r="L258" s="59">
        <f>G258*H258*I258*0.00000785</f>
        <v>3.4618499999999998E-3</v>
      </c>
      <c r="M258" s="59">
        <v>1E-3</v>
      </c>
      <c r="N258" s="59">
        <f t="shared" ref="N258:N263" si="38">L258-M258</f>
        <v>2.4618499999999998E-3</v>
      </c>
      <c r="O258" s="62">
        <f t="shared" ref="O258:O263" si="39">J258*L258-K258*N258</f>
        <v>1.268555E-2</v>
      </c>
      <c r="P258" s="64" t="s">
        <v>48</v>
      </c>
      <c r="Q258" s="64" t="s">
        <v>103</v>
      </c>
      <c r="R258" s="64">
        <v>1</v>
      </c>
      <c r="S258" s="66">
        <v>0.02</v>
      </c>
      <c r="T258" s="64">
        <v>1</v>
      </c>
      <c r="U258" s="64">
        <f t="shared" si="37"/>
        <v>0.02</v>
      </c>
      <c r="V258" s="59">
        <v>1.18</v>
      </c>
      <c r="W258" s="67">
        <f>(O258+U257+U258+U259)*V258</f>
        <v>7.3968949000000006E-2</v>
      </c>
      <c r="X258" s="59"/>
    </row>
    <row r="259" spans="1:24" s="23" customFormat="1" x14ac:dyDescent="0.15">
      <c r="A259" s="60"/>
      <c r="B259" s="60"/>
      <c r="C259" s="60"/>
      <c r="D259" s="60"/>
      <c r="E259" s="60"/>
      <c r="F259" s="60"/>
      <c r="G259" s="60"/>
      <c r="H259" s="60"/>
      <c r="I259" s="60"/>
      <c r="J259" s="65"/>
      <c r="K259" s="62"/>
      <c r="L259" s="60"/>
      <c r="M259" s="59"/>
      <c r="N259" s="60"/>
      <c r="O259" s="62"/>
      <c r="P259" s="64" t="s">
        <v>174</v>
      </c>
      <c r="Q259" s="64"/>
      <c r="R259" s="64">
        <v>1</v>
      </c>
      <c r="S259" s="66"/>
      <c r="T259" s="64">
        <v>1</v>
      </c>
      <c r="U259" s="64">
        <f t="shared" si="37"/>
        <v>0</v>
      </c>
      <c r="V259" s="59"/>
      <c r="W259" s="60"/>
      <c r="X259" s="59"/>
    </row>
    <row r="260" spans="1:24" s="23" customFormat="1" x14ac:dyDescent="0.15">
      <c r="A260" s="59"/>
      <c r="B260" s="59"/>
      <c r="C260" s="59"/>
      <c r="D260" s="59"/>
      <c r="E260" s="59"/>
      <c r="F260" s="59"/>
      <c r="G260" s="59"/>
      <c r="H260" s="59"/>
      <c r="I260" s="59"/>
      <c r="J260" s="62"/>
      <c r="K260" s="63"/>
      <c r="L260" s="59"/>
      <c r="M260" s="58"/>
      <c r="N260" s="59"/>
      <c r="O260" s="63"/>
      <c r="P260" s="64" t="s">
        <v>33</v>
      </c>
      <c r="Q260" s="64" t="s">
        <v>103</v>
      </c>
      <c r="R260" s="64">
        <v>1</v>
      </c>
      <c r="S260" s="66">
        <v>0.02</v>
      </c>
      <c r="T260" s="64">
        <v>1</v>
      </c>
      <c r="U260" s="64">
        <f t="shared" si="37"/>
        <v>0.02</v>
      </c>
      <c r="V260" s="58"/>
      <c r="W260" s="58"/>
      <c r="X260" s="58"/>
    </row>
    <row r="261" spans="1:24" s="23" customFormat="1" x14ac:dyDescent="0.15">
      <c r="A261" s="59">
        <v>60</v>
      </c>
      <c r="B261" s="59" t="s">
        <v>198</v>
      </c>
      <c r="C261" s="59" t="s">
        <v>199</v>
      </c>
      <c r="D261" s="59"/>
      <c r="E261" s="59">
        <v>1</v>
      </c>
      <c r="F261" s="59" t="s">
        <v>200</v>
      </c>
      <c r="G261" s="59">
        <v>25</v>
      </c>
      <c r="H261" s="59" t="s">
        <v>201</v>
      </c>
      <c r="I261" s="59"/>
      <c r="J261" s="62">
        <v>4.8</v>
      </c>
      <c r="K261" s="65">
        <v>2.2999999999999998</v>
      </c>
      <c r="L261" s="59">
        <f>3.5*G261*0.00002467</f>
        <v>2.158625E-3</v>
      </c>
      <c r="M261" s="60">
        <v>1E-3</v>
      </c>
      <c r="N261" s="59">
        <f t="shared" si="38"/>
        <v>1.1586249999999999E-3</v>
      </c>
      <c r="O261" s="62">
        <f t="shared" si="39"/>
        <v>7.6965625000000003E-3</v>
      </c>
      <c r="P261" s="64" t="s">
        <v>174</v>
      </c>
      <c r="Q261" s="64"/>
      <c r="R261" s="64">
        <v>1</v>
      </c>
      <c r="S261" s="66"/>
      <c r="T261" s="64">
        <v>1</v>
      </c>
      <c r="U261" s="64">
        <f t="shared" si="37"/>
        <v>0</v>
      </c>
      <c r="V261" s="59">
        <v>1.18</v>
      </c>
      <c r="W261" s="67">
        <f>(O261+U260+U261)*V261</f>
        <v>3.2681943749999998E-2</v>
      </c>
      <c r="X261" s="60"/>
    </row>
    <row r="262" spans="1:24" s="23" customFormat="1" x14ac:dyDescent="0.15">
      <c r="A262" s="68"/>
      <c r="B262" s="58"/>
      <c r="C262" s="58"/>
      <c r="D262" s="58"/>
      <c r="E262" s="58"/>
      <c r="F262" s="58"/>
      <c r="G262" s="58"/>
      <c r="H262" s="58"/>
      <c r="I262" s="58"/>
      <c r="J262" s="63"/>
      <c r="K262" s="62"/>
      <c r="L262" s="58"/>
      <c r="M262" s="59"/>
      <c r="N262" s="58"/>
      <c r="O262" s="62"/>
      <c r="P262" s="64" t="s">
        <v>33</v>
      </c>
      <c r="Q262" s="64" t="s">
        <v>103</v>
      </c>
      <c r="R262" s="64">
        <v>1</v>
      </c>
      <c r="S262" s="66">
        <v>0.02</v>
      </c>
      <c r="T262" s="64">
        <v>1</v>
      </c>
      <c r="U262" s="64">
        <f t="shared" si="37"/>
        <v>0.02</v>
      </c>
      <c r="V262" s="59"/>
      <c r="W262" s="58"/>
      <c r="X262" s="59"/>
    </row>
    <row r="263" spans="1:24" s="23" customFormat="1" x14ac:dyDescent="0.15">
      <c r="A263" s="59">
        <v>61</v>
      </c>
      <c r="B263" s="60"/>
      <c r="C263" s="60" t="s">
        <v>202</v>
      </c>
      <c r="D263" s="60"/>
      <c r="E263" s="60">
        <v>1</v>
      </c>
      <c r="F263" s="60"/>
      <c r="G263" s="60">
        <v>29</v>
      </c>
      <c r="H263" s="60" t="s">
        <v>203</v>
      </c>
      <c r="I263" s="60"/>
      <c r="J263" s="65">
        <v>4.8</v>
      </c>
      <c r="K263" s="62">
        <v>2.2999999999999998</v>
      </c>
      <c r="L263" s="59">
        <f>3.5*G263*0.00002467</f>
        <v>2.5040050000000001E-3</v>
      </c>
      <c r="M263" s="59">
        <v>1E-3</v>
      </c>
      <c r="N263" s="59">
        <f t="shared" si="38"/>
        <v>1.5040050000000001E-3</v>
      </c>
      <c r="O263" s="62">
        <f t="shared" si="39"/>
        <v>8.5600125000000003E-3</v>
      </c>
      <c r="P263" s="64" t="s">
        <v>174</v>
      </c>
      <c r="Q263" s="64"/>
      <c r="R263" s="64">
        <v>1</v>
      </c>
      <c r="S263" s="66"/>
      <c r="T263" s="64">
        <v>1</v>
      </c>
      <c r="U263" s="64">
        <f t="shared" si="37"/>
        <v>0</v>
      </c>
      <c r="V263" s="59">
        <v>1.18</v>
      </c>
      <c r="W263" s="86">
        <f>(O263+U262+U263)*V263</f>
        <v>3.3700814750000002E-2</v>
      </c>
      <c r="X263" s="59"/>
    </row>
    <row r="264" spans="1:24" s="23" customFormat="1" x14ac:dyDescent="0.15">
      <c r="A264" s="58"/>
      <c r="B264" s="58"/>
      <c r="C264" s="58"/>
      <c r="D264" s="58"/>
      <c r="E264" s="58"/>
      <c r="F264" s="58"/>
      <c r="G264" s="58"/>
      <c r="H264" s="58"/>
      <c r="I264" s="58"/>
      <c r="J264" s="63"/>
      <c r="K264" s="63"/>
      <c r="L264" s="58"/>
      <c r="M264" s="58"/>
      <c r="N264" s="58"/>
      <c r="O264" s="63"/>
      <c r="P264" s="64" t="s">
        <v>33</v>
      </c>
      <c r="Q264" s="64" t="s">
        <v>34</v>
      </c>
      <c r="R264" s="64">
        <v>1</v>
      </c>
      <c r="S264" s="66">
        <v>0.03</v>
      </c>
      <c r="T264" s="64">
        <v>1</v>
      </c>
      <c r="U264" s="64">
        <f t="shared" si="37"/>
        <v>0.03</v>
      </c>
      <c r="V264" s="58"/>
      <c r="W264" s="58"/>
      <c r="X264" s="58"/>
    </row>
    <row r="265" spans="1:24" s="23" customFormat="1" x14ac:dyDescent="0.15">
      <c r="A265" s="59">
        <v>61</v>
      </c>
      <c r="B265" s="59" t="s">
        <v>204</v>
      </c>
      <c r="C265" s="59" t="s">
        <v>205</v>
      </c>
      <c r="D265" s="59"/>
      <c r="E265" s="59"/>
      <c r="F265" s="59" t="s">
        <v>100</v>
      </c>
      <c r="G265" s="59">
        <v>98</v>
      </c>
      <c r="H265" s="59">
        <v>69</v>
      </c>
      <c r="I265" s="59">
        <v>1.5</v>
      </c>
      <c r="J265" s="62">
        <v>4.7</v>
      </c>
      <c r="K265" s="62">
        <v>2.2999999999999998</v>
      </c>
      <c r="L265" s="78">
        <v>0.08</v>
      </c>
      <c r="M265" s="59">
        <v>3.2000000000000001E-2</v>
      </c>
      <c r="N265" s="59">
        <v>4.8000000000000001E-2</v>
      </c>
      <c r="O265" s="62">
        <f>J265*L265-K265*N265</f>
        <v>0.2656</v>
      </c>
      <c r="P265" s="64" t="s">
        <v>55</v>
      </c>
      <c r="Q265" s="64" t="s">
        <v>34</v>
      </c>
      <c r="R265" s="64">
        <v>1</v>
      </c>
      <c r="S265" s="66">
        <v>0.03</v>
      </c>
      <c r="T265" s="64">
        <v>1</v>
      </c>
      <c r="U265" s="64">
        <f t="shared" si="37"/>
        <v>0.03</v>
      </c>
      <c r="V265" s="59">
        <v>1.18</v>
      </c>
      <c r="W265" s="67">
        <f>(O265+U264+U265+U266+U267)*V265</f>
        <v>0.45500800000000002</v>
      </c>
      <c r="X265" s="59"/>
    </row>
    <row r="266" spans="1:24" s="23" customFormat="1" x14ac:dyDescent="0.15">
      <c r="A266" s="59">
        <v>62</v>
      </c>
      <c r="B266" s="59"/>
      <c r="C266" s="59"/>
      <c r="D266" s="60"/>
      <c r="E266" s="60"/>
      <c r="F266" s="60"/>
      <c r="G266" s="60"/>
      <c r="H266" s="60"/>
      <c r="I266" s="60"/>
      <c r="J266" s="65"/>
      <c r="K266" s="65"/>
      <c r="L266" s="60"/>
      <c r="M266" s="60"/>
      <c r="N266" s="60"/>
      <c r="O266" s="65"/>
      <c r="P266" s="64" t="s">
        <v>35</v>
      </c>
      <c r="Q266" s="64" t="s">
        <v>49</v>
      </c>
      <c r="R266" s="64">
        <v>1</v>
      </c>
      <c r="S266" s="66">
        <v>0.03</v>
      </c>
      <c r="T266" s="64">
        <v>1</v>
      </c>
      <c r="U266" s="64">
        <f t="shared" si="37"/>
        <v>0.03</v>
      </c>
      <c r="V266" s="59"/>
      <c r="W266" s="59"/>
      <c r="X266" s="59"/>
    </row>
    <row r="267" spans="1:24" s="23" customFormat="1" x14ac:dyDescent="0.15">
      <c r="A267" s="59"/>
      <c r="B267" s="59"/>
      <c r="C267" s="59"/>
      <c r="D267" s="69" t="s">
        <v>206</v>
      </c>
      <c r="E267" s="70"/>
      <c r="F267" s="71"/>
      <c r="G267" s="72"/>
      <c r="H267" s="73"/>
      <c r="I267" s="72"/>
      <c r="J267" s="79">
        <v>0.06</v>
      </c>
      <c r="K267" s="79"/>
      <c r="L267" s="80"/>
      <c r="M267" s="81"/>
      <c r="N267" s="80"/>
      <c r="O267" s="79">
        <v>0.06</v>
      </c>
      <c r="P267" s="64" t="s">
        <v>173</v>
      </c>
      <c r="Q267" s="64" t="s">
        <v>49</v>
      </c>
      <c r="R267" s="64">
        <v>1</v>
      </c>
      <c r="S267" s="66">
        <v>0.03</v>
      </c>
      <c r="T267" s="64">
        <v>1</v>
      </c>
      <c r="U267" s="64">
        <f t="shared" si="37"/>
        <v>0.03</v>
      </c>
      <c r="V267" s="59"/>
      <c r="W267" s="59"/>
      <c r="X267" s="59"/>
    </row>
    <row r="268" spans="1:24" s="23" customFormat="1" x14ac:dyDescent="0.15">
      <c r="A268" s="60"/>
      <c r="B268" s="60"/>
      <c r="C268" s="60"/>
      <c r="D268" s="74"/>
      <c r="E268" s="74"/>
      <c r="F268" s="75"/>
      <c r="G268" s="76"/>
      <c r="H268" s="76"/>
      <c r="I268" s="76"/>
      <c r="J268" s="82"/>
      <c r="K268" s="82"/>
      <c r="L268" s="83"/>
      <c r="M268" s="83"/>
      <c r="N268" s="83"/>
      <c r="O268" s="82"/>
      <c r="P268" s="64" t="s">
        <v>174</v>
      </c>
      <c r="Q268" s="64"/>
      <c r="R268" s="64">
        <v>1</v>
      </c>
      <c r="S268" s="66"/>
      <c r="T268" s="64">
        <v>1</v>
      </c>
      <c r="U268" s="64">
        <f t="shared" si="37"/>
        <v>0</v>
      </c>
      <c r="V268" s="60"/>
      <c r="W268" s="60"/>
      <c r="X268" s="60"/>
    </row>
    <row r="269" spans="1:24" x14ac:dyDescent="0.15">
      <c r="A269" s="17">
        <v>63</v>
      </c>
      <c r="B269" s="17" t="s">
        <v>207</v>
      </c>
      <c r="C269" s="17" t="s">
        <v>208</v>
      </c>
      <c r="D269" s="77"/>
      <c r="E269" s="77">
        <v>1</v>
      </c>
      <c r="F269" s="33" t="s">
        <v>100</v>
      </c>
      <c r="G269" s="57">
        <v>38</v>
      </c>
      <c r="H269" s="57">
        <v>20</v>
      </c>
      <c r="I269" s="57">
        <v>1.5</v>
      </c>
      <c r="J269" s="84">
        <v>4.37</v>
      </c>
      <c r="K269" s="84">
        <v>2.5</v>
      </c>
      <c r="L269" s="85">
        <v>8.9999999999999993E-3</v>
      </c>
      <c r="M269" s="85">
        <v>8.0000000000000002E-3</v>
      </c>
      <c r="N269" s="85">
        <v>1E-3</v>
      </c>
      <c r="O269" s="62">
        <f>J269*L269-K269*N269</f>
        <v>3.6830000000000002E-2</v>
      </c>
      <c r="P269" s="84" t="s">
        <v>33</v>
      </c>
      <c r="Q269" s="84" t="s">
        <v>49</v>
      </c>
      <c r="R269" s="84">
        <v>1</v>
      </c>
      <c r="S269" s="18">
        <v>0.03</v>
      </c>
      <c r="T269" s="84">
        <v>1</v>
      </c>
      <c r="U269" s="84">
        <v>0.03</v>
      </c>
      <c r="V269" s="17">
        <v>1.18</v>
      </c>
      <c r="W269" s="86">
        <f>(O269+U269)*V269</f>
        <v>7.8859399999999996E-2</v>
      </c>
      <c r="X269" s="17"/>
    </row>
  </sheetData>
  <mergeCells count="1470">
    <mergeCell ref="A1:X1"/>
    <mergeCell ref="D2:E2"/>
    <mergeCell ref="G2:I2"/>
    <mergeCell ref="J2:K2"/>
    <mergeCell ref="L2:N2"/>
    <mergeCell ref="P2:U2"/>
    <mergeCell ref="W2:X2"/>
    <mergeCell ref="A4:A5"/>
    <mergeCell ref="A6:A7"/>
    <mergeCell ref="A8:A10"/>
    <mergeCell ref="A11:A12"/>
    <mergeCell ref="A13:A15"/>
    <mergeCell ref="A16:A21"/>
    <mergeCell ref="A22:A24"/>
    <mergeCell ref="A25:A27"/>
    <mergeCell ref="A28:A30"/>
    <mergeCell ref="A31:A33"/>
    <mergeCell ref="B2:B3"/>
    <mergeCell ref="B4:B5"/>
    <mergeCell ref="B6:B7"/>
    <mergeCell ref="B8:B10"/>
    <mergeCell ref="B11:B12"/>
    <mergeCell ref="B13:B15"/>
    <mergeCell ref="B16:B21"/>
    <mergeCell ref="B22:B24"/>
    <mergeCell ref="B25:B27"/>
    <mergeCell ref="B28:B30"/>
    <mergeCell ref="B31:B33"/>
    <mergeCell ref="C2:C3"/>
    <mergeCell ref="C4:C5"/>
    <mergeCell ref="C6:C7"/>
    <mergeCell ref="C8:C10"/>
    <mergeCell ref="A34:A43"/>
    <mergeCell ref="A44:A47"/>
    <mergeCell ref="A48:A49"/>
    <mergeCell ref="A50:A51"/>
    <mergeCell ref="A52:A53"/>
    <mergeCell ref="A54:A55"/>
    <mergeCell ref="A56:A59"/>
    <mergeCell ref="A60:A62"/>
    <mergeCell ref="A63:A65"/>
    <mergeCell ref="A66:A68"/>
    <mergeCell ref="A69:A71"/>
    <mergeCell ref="A72:A73"/>
    <mergeCell ref="A75:A77"/>
    <mergeCell ref="A78:A80"/>
    <mergeCell ref="A81:A83"/>
    <mergeCell ref="A84:A86"/>
    <mergeCell ref="A87:A90"/>
    <mergeCell ref="A91:A94"/>
    <mergeCell ref="A95:A97"/>
    <mergeCell ref="A98:A101"/>
    <mergeCell ref="A102:A105"/>
    <mergeCell ref="A106:A108"/>
    <mergeCell ref="A109:A111"/>
    <mergeCell ref="A112:A116"/>
    <mergeCell ref="A117:A118"/>
    <mergeCell ref="A119:A120"/>
    <mergeCell ref="A121:A123"/>
    <mergeCell ref="A124:A125"/>
    <mergeCell ref="A126:A130"/>
    <mergeCell ref="A131:A133"/>
    <mergeCell ref="A134:A136"/>
    <mergeCell ref="A137:A138"/>
    <mergeCell ref="A139:A140"/>
    <mergeCell ref="A141:A142"/>
    <mergeCell ref="A143:A144"/>
    <mergeCell ref="A145:A147"/>
    <mergeCell ref="A148:A149"/>
    <mergeCell ref="A150:A151"/>
    <mergeCell ref="A152:A154"/>
    <mergeCell ref="A155:A157"/>
    <mergeCell ref="A158:A161"/>
    <mergeCell ref="A162:A164"/>
    <mergeCell ref="A165:A166"/>
    <mergeCell ref="A167:A169"/>
    <mergeCell ref="A170:A172"/>
    <mergeCell ref="A173:A174"/>
    <mergeCell ref="A175:A176"/>
    <mergeCell ref="A177:A178"/>
    <mergeCell ref="A180:A182"/>
    <mergeCell ref="A183:A185"/>
    <mergeCell ref="A186:A187"/>
    <mergeCell ref="A188:A190"/>
    <mergeCell ref="A191:A193"/>
    <mergeCell ref="A194:A195"/>
    <mergeCell ref="A196:A199"/>
    <mergeCell ref="A200:A202"/>
    <mergeCell ref="A203:A205"/>
    <mergeCell ref="A206:A207"/>
    <mergeCell ref="A208:A210"/>
    <mergeCell ref="A211:A213"/>
    <mergeCell ref="A214:A217"/>
    <mergeCell ref="A218:A219"/>
    <mergeCell ref="A220:A221"/>
    <mergeCell ref="A222:A224"/>
    <mergeCell ref="A225:A227"/>
    <mergeCell ref="A228:A230"/>
    <mergeCell ref="A231:A233"/>
    <mergeCell ref="A234:A237"/>
    <mergeCell ref="B34:B43"/>
    <mergeCell ref="B44:B47"/>
    <mergeCell ref="B48:B49"/>
    <mergeCell ref="B50:B51"/>
    <mergeCell ref="B52:B53"/>
    <mergeCell ref="B54:B55"/>
    <mergeCell ref="B56:B59"/>
    <mergeCell ref="B60:B62"/>
    <mergeCell ref="B63:B65"/>
    <mergeCell ref="B66:B68"/>
    <mergeCell ref="B69:B71"/>
    <mergeCell ref="B72:B73"/>
    <mergeCell ref="B75:B77"/>
    <mergeCell ref="B78:B80"/>
    <mergeCell ref="B81:B83"/>
    <mergeCell ref="B84:B86"/>
    <mergeCell ref="B87:B90"/>
    <mergeCell ref="B91:B94"/>
    <mergeCell ref="B95:B97"/>
    <mergeCell ref="B98:B101"/>
    <mergeCell ref="B102:B105"/>
    <mergeCell ref="B106:B108"/>
    <mergeCell ref="B109:B111"/>
    <mergeCell ref="B112:B116"/>
    <mergeCell ref="B117:B118"/>
    <mergeCell ref="B119:B120"/>
    <mergeCell ref="B121:B123"/>
    <mergeCell ref="B124:B125"/>
    <mergeCell ref="B126:B130"/>
    <mergeCell ref="B131:B133"/>
    <mergeCell ref="B134:B136"/>
    <mergeCell ref="B137:B138"/>
    <mergeCell ref="B139:B140"/>
    <mergeCell ref="B141:B142"/>
    <mergeCell ref="B143:B144"/>
    <mergeCell ref="B145:B147"/>
    <mergeCell ref="B148:B149"/>
    <mergeCell ref="B150:B151"/>
    <mergeCell ref="B152:B154"/>
    <mergeCell ref="B155:B157"/>
    <mergeCell ref="B158:B161"/>
    <mergeCell ref="B162:B164"/>
    <mergeCell ref="B165:B166"/>
    <mergeCell ref="B167:B169"/>
    <mergeCell ref="B170:B172"/>
    <mergeCell ref="B173:B174"/>
    <mergeCell ref="B175:B176"/>
    <mergeCell ref="B177:B178"/>
    <mergeCell ref="B180:B182"/>
    <mergeCell ref="B183:B185"/>
    <mergeCell ref="B186:B187"/>
    <mergeCell ref="B188:B190"/>
    <mergeCell ref="B191:B193"/>
    <mergeCell ref="B194:B195"/>
    <mergeCell ref="B196:B199"/>
    <mergeCell ref="B200:B202"/>
    <mergeCell ref="B203:B205"/>
    <mergeCell ref="B206:B207"/>
    <mergeCell ref="B208:B210"/>
    <mergeCell ref="B211:B213"/>
    <mergeCell ref="B214:B217"/>
    <mergeCell ref="B218:B219"/>
    <mergeCell ref="B220:B221"/>
    <mergeCell ref="B222:B224"/>
    <mergeCell ref="B225:B227"/>
    <mergeCell ref="B228:B230"/>
    <mergeCell ref="B231:B233"/>
    <mergeCell ref="B234:B237"/>
    <mergeCell ref="C11:C12"/>
    <mergeCell ref="C13:C15"/>
    <mergeCell ref="C16:C21"/>
    <mergeCell ref="C22:C24"/>
    <mergeCell ref="C25:C27"/>
    <mergeCell ref="C28:C30"/>
    <mergeCell ref="C31:C33"/>
    <mergeCell ref="C34:C43"/>
    <mergeCell ref="C44:C47"/>
    <mergeCell ref="C48:C49"/>
    <mergeCell ref="C50:C51"/>
    <mergeCell ref="C52:C53"/>
    <mergeCell ref="C54:C55"/>
    <mergeCell ref="C56:C59"/>
    <mergeCell ref="C60:C62"/>
    <mergeCell ref="C63:C65"/>
    <mergeCell ref="C66:C68"/>
    <mergeCell ref="C69:C71"/>
    <mergeCell ref="C72:C73"/>
    <mergeCell ref="C75:C77"/>
    <mergeCell ref="C78:C80"/>
    <mergeCell ref="C81:C83"/>
    <mergeCell ref="C84:C86"/>
    <mergeCell ref="C87:C90"/>
    <mergeCell ref="C91:C94"/>
    <mergeCell ref="C95:C97"/>
    <mergeCell ref="C98:C101"/>
    <mergeCell ref="C102:C105"/>
    <mergeCell ref="C106:C108"/>
    <mergeCell ref="C109:C111"/>
    <mergeCell ref="C112:C116"/>
    <mergeCell ref="C117:C118"/>
    <mergeCell ref="C119:C120"/>
    <mergeCell ref="C121:C123"/>
    <mergeCell ref="C124:C125"/>
    <mergeCell ref="C126:C130"/>
    <mergeCell ref="C131:C133"/>
    <mergeCell ref="C134:C136"/>
    <mergeCell ref="C137:C138"/>
    <mergeCell ref="C139:C140"/>
    <mergeCell ref="C141:C142"/>
    <mergeCell ref="C143:C144"/>
    <mergeCell ref="C145:C147"/>
    <mergeCell ref="C148:C149"/>
    <mergeCell ref="C150:C151"/>
    <mergeCell ref="C152:C154"/>
    <mergeCell ref="C155:C157"/>
    <mergeCell ref="C158:C161"/>
    <mergeCell ref="C162:C164"/>
    <mergeCell ref="C165:C166"/>
    <mergeCell ref="C167:C169"/>
    <mergeCell ref="C170:C172"/>
    <mergeCell ref="C173:C174"/>
    <mergeCell ref="C175:C176"/>
    <mergeCell ref="C177:C178"/>
    <mergeCell ref="C180:C182"/>
    <mergeCell ref="C183:C185"/>
    <mergeCell ref="C186:C187"/>
    <mergeCell ref="C188:C190"/>
    <mergeCell ref="C191:C193"/>
    <mergeCell ref="C194:C195"/>
    <mergeCell ref="C196:C199"/>
    <mergeCell ref="C200:C202"/>
    <mergeCell ref="C203:C205"/>
    <mergeCell ref="C206:C207"/>
    <mergeCell ref="C208:C210"/>
    <mergeCell ref="C211:C213"/>
    <mergeCell ref="C214:C217"/>
    <mergeCell ref="C218:C219"/>
    <mergeCell ref="C220:C221"/>
    <mergeCell ref="C222:C224"/>
    <mergeCell ref="C225:C227"/>
    <mergeCell ref="C228:C230"/>
    <mergeCell ref="C231:C233"/>
    <mergeCell ref="C234:C237"/>
    <mergeCell ref="D4:D5"/>
    <mergeCell ref="D6:D7"/>
    <mergeCell ref="D8:D10"/>
    <mergeCell ref="D11:D12"/>
    <mergeCell ref="D13:D15"/>
    <mergeCell ref="D16:D18"/>
    <mergeCell ref="D19:D21"/>
    <mergeCell ref="D22:D24"/>
    <mergeCell ref="D25:D27"/>
    <mergeCell ref="D28:D30"/>
    <mergeCell ref="D31:D33"/>
    <mergeCell ref="D34:D37"/>
    <mergeCell ref="D38:D39"/>
    <mergeCell ref="D40:D43"/>
    <mergeCell ref="D44:D47"/>
    <mergeCell ref="D48:D49"/>
    <mergeCell ref="D50:D51"/>
    <mergeCell ref="D52:D53"/>
    <mergeCell ref="D54:D55"/>
    <mergeCell ref="D56:D59"/>
    <mergeCell ref="D60:D62"/>
    <mergeCell ref="D63:D65"/>
    <mergeCell ref="D66:D68"/>
    <mergeCell ref="D69:D71"/>
    <mergeCell ref="D72:D73"/>
    <mergeCell ref="D75:D77"/>
    <mergeCell ref="D78:D80"/>
    <mergeCell ref="D81:D83"/>
    <mergeCell ref="D84:D86"/>
    <mergeCell ref="D87:D88"/>
    <mergeCell ref="D89:D90"/>
    <mergeCell ref="D91:D92"/>
    <mergeCell ref="D93:D94"/>
    <mergeCell ref="D95:D97"/>
    <mergeCell ref="D98:D101"/>
    <mergeCell ref="D102:D105"/>
    <mergeCell ref="D106:D108"/>
    <mergeCell ref="D109:D111"/>
    <mergeCell ref="D117:D118"/>
    <mergeCell ref="D119:D120"/>
    <mergeCell ref="D121:D123"/>
    <mergeCell ref="D126:D127"/>
    <mergeCell ref="D128:D129"/>
    <mergeCell ref="D131:D133"/>
    <mergeCell ref="D134:D136"/>
    <mergeCell ref="D137:D138"/>
    <mergeCell ref="D139:D140"/>
    <mergeCell ref="D141:D142"/>
    <mergeCell ref="D143:D144"/>
    <mergeCell ref="D145:D147"/>
    <mergeCell ref="D148:D149"/>
    <mergeCell ref="D150:D151"/>
    <mergeCell ref="D152:D154"/>
    <mergeCell ref="D155:D157"/>
    <mergeCell ref="D162:D164"/>
    <mergeCell ref="D165:D166"/>
    <mergeCell ref="D167:D169"/>
    <mergeCell ref="D170:D172"/>
    <mergeCell ref="D173:D174"/>
    <mergeCell ref="D175:D176"/>
    <mergeCell ref="D177:D178"/>
    <mergeCell ref="D180:D182"/>
    <mergeCell ref="D183:D185"/>
    <mergeCell ref="D186:D187"/>
    <mergeCell ref="D188:D190"/>
    <mergeCell ref="D191:D193"/>
    <mergeCell ref="D194:D195"/>
    <mergeCell ref="D196:D199"/>
    <mergeCell ref="D200:D202"/>
    <mergeCell ref="D203:D205"/>
    <mergeCell ref="D206:D207"/>
    <mergeCell ref="D208:D210"/>
    <mergeCell ref="D211:D213"/>
    <mergeCell ref="D214:D217"/>
    <mergeCell ref="D218:D219"/>
    <mergeCell ref="D220:D221"/>
    <mergeCell ref="D222:D224"/>
    <mergeCell ref="D225:D227"/>
    <mergeCell ref="D228:D230"/>
    <mergeCell ref="D231:D233"/>
    <mergeCell ref="D234:D235"/>
    <mergeCell ref="D236:D237"/>
    <mergeCell ref="E4:E5"/>
    <mergeCell ref="E6:E7"/>
    <mergeCell ref="E8:E10"/>
    <mergeCell ref="E11:E12"/>
    <mergeCell ref="E13:E15"/>
    <mergeCell ref="E16:E18"/>
    <mergeCell ref="E19:E21"/>
    <mergeCell ref="E22:E24"/>
    <mergeCell ref="E25:E27"/>
    <mergeCell ref="E28:E30"/>
    <mergeCell ref="E31:E33"/>
    <mergeCell ref="E34:E37"/>
    <mergeCell ref="E38:E39"/>
    <mergeCell ref="E40:E43"/>
    <mergeCell ref="E44:E47"/>
    <mergeCell ref="E48:E49"/>
    <mergeCell ref="E50:E51"/>
    <mergeCell ref="E52:E53"/>
    <mergeCell ref="E54:E55"/>
    <mergeCell ref="E56:E59"/>
    <mergeCell ref="E60:E62"/>
    <mergeCell ref="E63:E65"/>
    <mergeCell ref="E66:E68"/>
    <mergeCell ref="E69:E71"/>
    <mergeCell ref="E72:E73"/>
    <mergeCell ref="E75:E77"/>
    <mergeCell ref="E78:E80"/>
    <mergeCell ref="E81:E83"/>
    <mergeCell ref="E84:E86"/>
    <mergeCell ref="E87:E88"/>
    <mergeCell ref="E89:E90"/>
    <mergeCell ref="E91:E92"/>
    <mergeCell ref="E93:E94"/>
    <mergeCell ref="E95:E97"/>
    <mergeCell ref="E98:E101"/>
    <mergeCell ref="E102:E105"/>
    <mergeCell ref="E106:E108"/>
    <mergeCell ref="E109:E111"/>
    <mergeCell ref="E117:E118"/>
    <mergeCell ref="E119:E120"/>
    <mergeCell ref="E121:E123"/>
    <mergeCell ref="E126:E127"/>
    <mergeCell ref="E128:E129"/>
    <mergeCell ref="E131:E133"/>
    <mergeCell ref="E134:E136"/>
    <mergeCell ref="E137:E138"/>
    <mergeCell ref="E139:E140"/>
    <mergeCell ref="E141:E142"/>
    <mergeCell ref="E143:E144"/>
    <mergeCell ref="E145:E147"/>
    <mergeCell ref="E148:E149"/>
    <mergeCell ref="E150:E151"/>
    <mergeCell ref="E152:E154"/>
    <mergeCell ref="E155:E157"/>
    <mergeCell ref="E162:E164"/>
    <mergeCell ref="E165:E166"/>
    <mergeCell ref="E167:E169"/>
    <mergeCell ref="E170:E172"/>
    <mergeCell ref="E173:E174"/>
    <mergeCell ref="E175:E176"/>
    <mergeCell ref="E177:E178"/>
    <mergeCell ref="E180:E182"/>
    <mergeCell ref="E183:E185"/>
    <mergeCell ref="E186:E187"/>
    <mergeCell ref="E188:E190"/>
    <mergeCell ref="E191:E193"/>
    <mergeCell ref="E194:E195"/>
    <mergeCell ref="E196:E199"/>
    <mergeCell ref="E200:E202"/>
    <mergeCell ref="E203:E205"/>
    <mergeCell ref="E206:E207"/>
    <mergeCell ref="E208:E210"/>
    <mergeCell ref="E211:E213"/>
    <mergeCell ref="E214:E217"/>
    <mergeCell ref="E218:E219"/>
    <mergeCell ref="E220:E221"/>
    <mergeCell ref="E222:E224"/>
    <mergeCell ref="E225:E227"/>
    <mergeCell ref="E228:E230"/>
    <mergeCell ref="E231:E233"/>
    <mergeCell ref="E234:E235"/>
    <mergeCell ref="E236:E237"/>
    <mergeCell ref="F2:F3"/>
    <mergeCell ref="F4:F5"/>
    <mergeCell ref="F6:F7"/>
    <mergeCell ref="F8:F10"/>
    <mergeCell ref="F11:F12"/>
    <mergeCell ref="F13:F15"/>
    <mergeCell ref="F16:F18"/>
    <mergeCell ref="F19:F21"/>
    <mergeCell ref="F22:F24"/>
    <mergeCell ref="F25:F27"/>
    <mergeCell ref="F28:F30"/>
    <mergeCell ref="F31:F33"/>
    <mergeCell ref="F34:F37"/>
    <mergeCell ref="F38:F39"/>
    <mergeCell ref="F40:F43"/>
    <mergeCell ref="F44:F47"/>
    <mergeCell ref="F48:F49"/>
    <mergeCell ref="F50:F51"/>
    <mergeCell ref="F52:F53"/>
    <mergeCell ref="F54:F55"/>
    <mergeCell ref="F56:F59"/>
    <mergeCell ref="F60:F62"/>
    <mergeCell ref="F63:F65"/>
    <mergeCell ref="F66:F68"/>
    <mergeCell ref="F69:F71"/>
    <mergeCell ref="F72:F73"/>
    <mergeCell ref="F75:F77"/>
    <mergeCell ref="F78:F80"/>
    <mergeCell ref="F81:F83"/>
    <mergeCell ref="F84:F86"/>
    <mergeCell ref="F87:F88"/>
    <mergeCell ref="F89:F90"/>
    <mergeCell ref="F91:F92"/>
    <mergeCell ref="F93:F94"/>
    <mergeCell ref="F95:F97"/>
    <mergeCell ref="F98:F101"/>
    <mergeCell ref="F102:F105"/>
    <mergeCell ref="F106:F108"/>
    <mergeCell ref="F109:F111"/>
    <mergeCell ref="F117:F118"/>
    <mergeCell ref="F119:F120"/>
    <mergeCell ref="F121:F123"/>
    <mergeCell ref="F126:F127"/>
    <mergeCell ref="F128:F129"/>
    <mergeCell ref="F131:F133"/>
    <mergeCell ref="F134:F136"/>
    <mergeCell ref="F137:F138"/>
    <mergeCell ref="F139:F140"/>
    <mergeCell ref="F141:F142"/>
    <mergeCell ref="F143:F144"/>
    <mergeCell ref="F145:F147"/>
    <mergeCell ref="F148:F149"/>
    <mergeCell ref="F150:F151"/>
    <mergeCell ref="F152:F154"/>
    <mergeCell ref="F155:F157"/>
    <mergeCell ref="F162:F164"/>
    <mergeCell ref="F165:F166"/>
    <mergeCell ref="F167:F169"/>
    <mergeCell ref="F170:F172"/>
    <mergeCell ref="F173:F174"/>
    <mergeCell ref="F175:F176"/>
    <mergeCell ref="F177:F178"/>
    <mergeCell ref="F180:F182"/>
    <mergeCell ref="F183:F185"/>
    <mergeCell ref="F186:F187"/>
    <mergeCell ref="F188:F190"/>
    <mergeCell ref="F191:F193"/>
    <mergeCell ref="F194:F195"/>
    <mergeCell ref="F196:F199"/>
    <mergeCell ref="F200:F202"/>
    <mergeCell ref="F203:F205"/>
    <mergeCell ref="F206:F207"/>
    <mergeCell ref="F208:F210"/>
    <mergeCell ref="F211:F213"/>
    <mergeCell ref="F214:F217"/>
    <mergeCell ref="F218:F219"/>
    <mergeCell ref="F220:F221"/>
    <mergeCell ref="F222:F224"/>
    <mergeCell ref="F225:F227"/>
    <mergeCell ref="F228:F230"/>
    <mergeCell ref="F231:F233"/>
    <mergeCell ref="F234:F235"/>
    <mergeCell ref="F236:F237"/>
    <mergeCell ref="G4:G5"/>
    <mergeCell ref="G6:G7"/>
    <mergeCell ref="G8:G10"/>
    <mergeCell ref="G11:G12"/>
    <mergeCell ref="G13:G15"/>
    <mergeCell ref="G16:G18"/>
    <mergeCell ref="G19:G21"/>
    <mergeCell ref="G22:G24"/>
    <mergeCell ref="G25:G27"/>
    <mergeCell ref="G28:G30"/>
    <mergeCell ref="G31:G33"/>
    <mergeCell ref="G34:G37"/>
    <mergeCell ref="G38:G39"/>
    <mergeCell ref="G40:G43"/>
    <mergeCell ref="G44:G47"/>
    <mergeCell ref="G48:G49"/>
    <mergeCell ref="G50:G51"/>
    <mergeCell ref="G52:G53"/>
    <mergeCell ref="G54:G55"/>
    <mergeCell ref="G56:G59"/>
    <mergeCell ref="G60:G62"/>
    <mergeCell ref="G63:G65"/>
    <mergeCell ref="G66:G68"/>
    <mergeCell ref="G69:G71"/>
    <mergeCell ref="G72:G73"/>
    <mergeCell ref="G75:G77"/>
    <mergeCell ref="G78:G80"/>
    <mergeCell ref="G81:G83"/>
    <mergeCell ref="G84:G86"/>
    <mergeCell ref="G87:G88"/>
    <mergeCell ref="G89:G90"/>
    <mergeCell ref="G91:G92"/>
    <mergeCell ref="G93:G94"/>
    <mergeCell ref="G95:G97"/>
    <mergeCell ref="G98:G101"/>
    <mergeCell ref="G102:G105"/>
    <mergeCell ref="G106:G108"/>
    <mergeCell ref="G109:G111"/>
    <mergeCell ref="G117:G118"/>
    <mergeCell ref="G119:G120"/>
    <mergeCell ref="G121:G123"/>
    <mergeCell ref="G126:G127"/>
    <mergeCell ref="G128:G129"/>
    <mergeCell ref="G131:G133"/>
    <mergeCell ref="G134:G136"/>
    <mergeCell ref="G137:G138"/>
    <mergeCell ref="G139:G140"/>
    <mergeCell ref="G141:G142"/>
    <mergeCell ref="G143:G144"/>
    <mergeCell ref="G145:G147"/>
    <mergeCell ref="G148:G149"/>
    <mergeCell ref="G150:G151"/>
    <mergeCell ref="G152:G154"/>
    <mergeCell ref="G155:G157"/>
    <mergeCell ref="G162:G164"/>
    <mergeCell ref="G165:G166"/>
    <mergeCell ref="G167:G169"/>
    <mergeCell ref="G170:G172"/>
    <mergeCell ref="G173:G174"/>
    <mergeCell ref="G175:G176"/>
    <mergeCell ref="G177:G178"/>
    <mergeCell ref="G180:G182"/>
    <mergeCell ref="G183:G185"/>
    <mergeCell ref="G186:G187"/>
    <mergeCell ref="G188:G190"/>
    <mergeCell ref="G191:G193"/>
    <mergeCell ref="G194:G195"/>
    <mergeCell ref="G196:G199"/>
    <mergeCell ref="G200:G202"/>
    <mergeCell ref="G203:G205"/>
    <mergeCell ref="G206:G207"/>
    <mergeCell ref="G208:G210"/>
    <mergeCell ref="G211:G213"/>
    <mergeCell ref="G214:G217"/>
    <mergeCell ref="G218:G219"/>
    <mergeCell ref="G220:G221"/>
    <mergeCell ref="G222:G224"/>
    <mergeCell ref="G225:G227"/>
    <mergeCell ref="G228:G230"/>
    <mergeCell ref="G231:G233"/>
    <mergeCell ref="G234:G235"/>
    <mergeCell ref="G236:G237"/>
    <mergeCell ref="H4:H5"/>
    <mergeCell ref="H6:H7"/>
    <mergeCell ref="H8:H10"/>
    <mergeCell ref="H11:H12"/>
    <mergeCell ref="H13:H15"/>
    <mergeCell ref="H16:H18"/>
    <mergeCell ref="H19:H21"/>
    <mergeCell ref="H22:H24"/>
    <mergeCell ref="H25:H27"/>
    <mergeCell ref="H28:H30"/>
    <mergeCell ref="H31:H33"/>
    <mergeCell ref="H34:H37"/>
    <mergeCell ref="H38:H39"/>
    <mergeCell ref="H40:H43"/>
    <mergeCell ref="H44:H47"/>
    <mergeCell ref="H48:H49"/>
    <mergeCell ref="H50:H51"/>
    <mergeCell ref="H52:H53"/>
    <mergeCell ref="H54:H55"/>
    <mergeCell ref="H56:H59"/>
    <mergeCell ref="H60:H62"/>
    <mergeCell ref="H63:H65"/>
    <mergeCell ref="H66:H68"/>
    <mergeCell ref="H69:H71"/>
    <mergeCell ref="H72:H73"/>
    <mergeCell ref="H75:H77"/>
    <mergeCell ref="H78:H80"/>
    <mergeCell ref="H81:H83"/>
    <mergeCell ref="H84:H86"/>
    <mergeCell ref="H87:H88"/>
    <mergeCell ref="H89:H90"/>
    <mergeCell ref="H91:H92"/>
    <mergeCell ref="H93:H94"/>
    <mergeCell ref="H95:H97"/>
    <mergeCell ref="H98:H101"/>
    <mergeCell ref="H102:H105"/>
    <mergeCell ref="H106:H108"/>
    <mergeCell ref="H109:H111"/>
    <mergeCell ref="H117:H118"/>
    <mergeCell ref="H119:H120"/>
    <mergeCell ref="H121:H123"/>
    <mergeCell ref="H126:H127"/>
    <mergeCell ref="H128:H129"/>
    <mergeCell ref="H131:H133"/>
    <mergeCell ref="H134:H136"/>
    <mergeCell ref="H137:H138"/>
    <mergeCell ref="H139:H140"/>
    <mergeCell ref="H141:H142"/>
    <mergeCell ref="H143:H144"/>
    <mergeCell ref="H145:H147"/>
    <mergeCell ref="H148:H149"/>
    <mergeCell ref="H150:H151"/>
    <mergeCell ref="H152:H154"/>
    <mergeCell ref="H155:H157"/>
    <mergeCell ref="H162:H164"/>
    <mergeCell ref="H165:H166"/>
    <mergeCell ref="H167:H169"/>
    <mergeCell ref="H170:H172"/>
    <mergeCell ref="H173:H174"/>
    <mergeCell ref="H175:H176"/>
    <mergeCell ref="H177:H178"/>
    <mergeCell ref="H180:H182"/>
    <mergeCell ref="H183:H185"/>
    <mergeCell ref="H186:H187"/>
    <mergeCell ref="H188:H190"/>
    <mergeCell ref="H191:H193"/>
    <mergeCell ref="H194:H195"/>
    <mergeCell ref="H196:H199"/>
    <mergeCell ref="H200:H202"/>
    <mergeCell ref="H203:H205"/>
    <mergeCell ref="H206:H207"/>
    <mergeCell ref="H208:H210"/>
    <mergeCell ref="H211:H213"/>
    <mergeCell ref="H214:H217"/>
    <mergeCell ref="H218:H219"/>
    <mergeCell ref="H220:H221"/>
    <mergeCell ref="H222:H224"/>
    <mergeCell ref="H225:H227"/>
    <mergeCell ref="H228:H230"/>
    <mergeCell ref="H231:H233"/>
    <mergeCell ref="H234:H235"/>
    <mergeCell ref="H236:H237"/>
    <mergeCell ref="I4:I5"/>
    <mergeCell ref="I6:I7"/>
    <mergeCell ref="I8:I10"/>
    <mergeCell ref="I11:I12"/>
    <mergeCell ref="I13:I15"/>
    <mergeCell ref="I16:I18"/>
    <mergeCell ref="I19:I21"/>
    <mergeCell ref="I22:I24"/>
    <mergeCell ref="I25:I27"/>
    <mergeCell ref="I28:I30"/>
    <mergeCell ref="I31:I33"/>
    <mergeCell ref="I34:I37"/>
    <mergeCell ref="I38:I39"/>
    <mergeCell ref="I40:I43"/>
    <mergeCell ref="I44:I47"/>
    <mergeCell ref="I48:I49"/>
    <mergeCell ref="I50:I51"/>
    <mergeCell ref="I52:I53"/>
    <mergeCell ref="I54:I55"/>
    <mergeCell ref="I56:I59"/>
    <mergeCell ref="I60:I62"/>
    <mergeCell ref="I63:I65"/>
    <mergeCell ref="I66:I68"/>
    <mergeCell ref="I69:I71"/>
    <mergeCell ref="I72:I73"/>
    <mergeCell ref="I75:I77"/>
    <mergeCell ref="I78:I80"/>
    <mergeCell ref="I81:I83"/>
    <mergeCell ref="I84:I86"/>
    <mergeCell ref="I87:I88"/>
    <mergeCell ref="I89:I90"/>
    <mergeCell ref="I91:I92"/>
    <mergeCell ref="I93:I94"/>
    <mergeCell ref="I95:I97"/>
    <mergeCell ref="I98:I101"/>
    <mergeCell ref="I102:I105"/>
    <mergeCell ref="I106:I108"/>
    <mergeCell ref="I109:I111"/>
    <mergeCell ref="I117:I118"/>
    <mergeCell ref="I119:I120"/>
    <mergeCell ref="I121:I123"/>
    <mergeCell ref="I126:I127"/>
    <mergeCell ref="I128:I129"/>
    <mergeCell ref="I131:I133"/>
    <mergeCell ref="I134:I136"/>
    <mergeCell ref="I137:I138"/>
    <mergeCell ref="I139:I140"/>
    <mergeCell ref="I141:I142"/>
    <mergeCell ref="I143:I144"/>
    <mergeCell ref="I145:I147"/>
    <mergeCell ref="I148:I149"/>
    <mergeCell ref="I150:I151"/>
    <mergeCell ref="I152:I154"/>
    <mergeCell ref="I155:I157"/>
    <mergeCell ref="I162:I164"/>
    <mergeCell ref="I165:I166"/>
    <mergeCell ref="I167:I169"/>
    <mergeCell ref="I170:I172"/>
    <mergeCell ref="I173:I174"/>
    <mergeCell ref="I175:I176"/>
    <mergeCell ref="I177:I178"/>
    <mergeCell ref="I180:I182"/>
    <mergeCell ref="I183:I185"/>
    <mergeCell ref="I186:I187"/>
    <mergeCell ref="I188:I190"/>
    <mergeCell ref="I191:I193"/>
    <mergeCell ref="I194:I195"/>
    <mergeCell ref="I196:I199"/>
    <mergeCell ref="I200:I202"/>
    <mergeCell ref="I203:I205"/>
    <mergeCell ref="I206:I207"/>
    <mergeCell ref="I208:I210"/>
    <mergeCell ref="I211:I213"/>
    <mergeCell ref="I214:I217"/>
    <mergeCell ref="I218:I219"/>
    <mergeCell ref="I220:I221"/>
    <mergeCell ref="I222:I224"/>
    <mergeCell ref="I225:I227"/>
    <mergeCell ref="I228:I230"/>
    <mergeCell ref="I231:I233"/>
    <mergeCell ref="I234:I235"/>
    <mergeCell ref="I236:I237"/>
    <mergeCell ref="J4:J5"/>
    <mergeCell ref="J6:J7"/>
    <mergeCell ref="J8:J10"/>
    <mergeCell ref="J11:J12"/>
    <mergeCell ref="J13:J15"/>
    <mergeCell ref="J16:J18"/>
    <mergeCell ref="J19:J21"/>
    <mergeCell ref="J22:J24"/>
    <mergeCell ref="J25:J27"/>
    <mergeCell ref="J28:J30"/>
    <mergeCell ref="J31:J33"/>
    <mergeCell ref="J34:J37"/>
    <mergeCell ref="J38:J39"/>
    <mergeCell ref="J40:J43"/>
    <mergeCell ref="J44:J47"/>
    <mergeCell ref="J48:J49"/>
    <mergeCell ref="J50:J51"/>
    <mergeCell ref="J52:J53"/>
    <mergeCell ref="J54:J55"/>
    <mergeCell ref="J56:J59"/>
    <mergeCell ref="J60:J62"/>
    <mergeCell ref="J63:J65"/>
    <mergeCell ref="J66:J68"/>
    <mergeCell ref="J69:J71"/>
    <mergeCell ref="J72:J73"/>
    <mergeCell ref="J75:J77"/>
    <mergeCell ref="J78:J80"/>
    <mergeCell ref="J81:J83"/>
    <mergeCell ref="J84:J86"/>
    <mergeCell ref="J87:J88"/>
    <mergeCell ref="J89:J90"/>
    <mergeCell ref="J91:J92"/>
    <mergeCell ref="J93:J94"/>
    <mergeCell ref="J95:J97"/>
    <mergeCell ref="J98:J101"/>
    <mergeCell ref="J102:J105"/>
    <mergeCell ref="J106:J108"/>
    <mergeCell ref="J109:J111"/>
    <mergeCell ref="J117:J118"/>
    <mergeCell ref="J119:J120"/>
    <mergeCell ref="J121:J123"/>
    <mergeCell ref="J126:J127"/>
    <mergeCell ref="J128:J129"/>
    <mergeCell ref="J131:J133"/>
    <mergeCell ref="J134:J136"/>
    <mergeCell ref="J137:J138"/>
    <mergeCell ref="J139:J140"/>
    <mergeCell ref="J141:J142"/>
    <mergeCell ref="J143:J144"/>
    <mergeCell ref="J145:J147"/>
    <mergeCell ref="J148:J149"/>
    <mergeCell ref="J150:J151"/>
    <mergeCell ref="J152:J154"/>
    <mergeCell ref="J155:J157"/>
    <mergeCell ref="J162:J164"/>
    <mergeCell ref="J165:J166"/>
    <mergeCell ref="J167:J169"/>
    <mergeCell ref="J170:J172"/>
    <mergeCell ref="J173:J174"/>
    <mergeCell ref="J175:J176"/>
    <mergeCell ref="J177:J178"/>
    <mergeCell ref="J180:J182"/>
    <mergeCell ref="J183:J185"/>
    <mergeCell ref="J186:J187"/>
    <mergeCell ref="J188:J190"/>
    <mergeCell ref="J191:J193"/>
    <mergeCell ref="J194:J195"/>
    <mergeCell ref="J196:J199"/>
    <mergeCell ref="J200:J202"/>
    <mergeCell ref="J203:J205"/>
    <mergeCell ref="J206:J207"/>
    <mergeCell ref="J208:J210"/>
    <mergeCell ref="J211:J213"/>
    <mergeCell ref="J214:J217"/>
    <mergeCell ref="J218:J219"/>
    <mergeCell ref="J220:J221"/>
    <mergeCell ref="J222:J224"/>
    <mergeCell ref="J225:J227"/>
    <mergeCell ref="J228:J230"/>
    <mergeCell ref="J231:J233"/>
    <mergeCell ref="J234:J235"/>
    <mergeCell ref="J236:J237"/>
    <mergeCell ref="K4:K5"/>
    <mergeCell ref="K6:K7"/>
    <mergeCell ref="K8:K10"/>
    <mergeCell ref="K11:K12"/>
    <mergeCell ref="K13:K15"/>
    <mergeCell ref="K16:K18"/>
    <mergeCell ref="K19:K21"/>
    <mergeCell ref="K22:K24"/>
    <mergeCell ref="K25:K27"/>
    <mergeCell ref="K28:K30"/>
    <mergeCell ref="K31:K33"/>
    <mergeCell ref="K34:K37"/>
    <mergeCell ref="K38:K39"/>
    <mergeCell ref="K40:K43"/>
    <mergeCell ref="K44:K47"/>
    <mergeCell ref="K48:K49"/>
    <mergeCell ref="K50:K51"/>
    <mergeCell ref="K52:K53"/>
    <mergeCell ref="K54:K55"/>
    <mergeCell ref="K56:K59"/>
    <mergeCell ref="K60:K62"/>
    <mergeCell ref="K63:K65"/>
    <mergeCell ref="K66:K68"/>
    <mergeCell ref="K69:K71"/>
    <mergeCell ref="K72:K73"/>
    <mergeCell ref="K75:K77"/>
    <mergeCell ref="K78:K80"/>
    <mergeCell ref="K81:K83"/>
    <mergeCell ref="K84:K86"/>
    <mergeCell ref="K87:K88"/>
    <mergeCell ref="K89:K90"/>
    <mergeCell ref="K91:K92"/>
    <mergeCell ref="K93:K94"/>
    <mergeCell ref="K95:K97"/>
    <mergeCell ref="K98:K101"/>
    <mergeCell ref="K102:K105"/>
    <mergeCell ref="K106:K108"/>
    <mergeCell ref="K109:K111"/>
    <mergeCell ref="K117:K118"/>
    <mergeCell ref="K119:K120"/>
    <mergeCell ref="K121:K123"/>
    <mergeCell ref="K126:K127"/>
    <mergeCell ref="K128:K129"/>
    <mergeCell ref="K131:K133"/>
    <mergeCell ref="K134:K136"/>
    <mergeCell ref="K137:K138"/>
    <mergeCell ref="K139:K140"/>
    <mergeCell ref="K141:K142"/>
    <mergeCell ref="K143:K144"/>
    <mergeCell ref="K145:K147"/>
    <mergeCell ref="K148:K149"/>
    <mergeCell ref="K150:K151"/>
    <mergeCell ref="K152:K154"/>
    <mergeCell ref="K155:K157"/>
    <mergeCell ref="K162:K164"/>
    <mergeCell ref="K165:K166"/>
    <mergeCell ref="K167:K169"/>
    <mergeCell ref="K170:K172"/>
    <mergeCell ref="K173:K174"/>
    <mergeCell ref="K175:K176"/>
    <mergeCell ref="K177:K178"/>
    <mergeCell ref="K180:K182"/>
    <mergeCell ref="K183:K185"/>
    <mergeCell ref="K186:K187"/>
    <mergeCell ref="K188:K190"/>
    <mergeCell ref="K191:K193"/>
    <mergeCell ref="K194:K195"/>
    <mergeCell ref="K196:K199"/>
    <mergeCell ref="K200:K202"/>
    <mergeCell ref="K203:K205"/>
    <mergeCell ref="K206:K207"/>
    <mergeCell ref="K208:K210"/>
    <mergeCell ref="K211:K213"/>
    <mergeCell ref="K214:K217"/>
    <mergeCell ref="K218:K219"/>
    <mergeCell ref="K220:K221"/>
    <mergeCell ref="K222:K224"/>
    <mergeCell ref="K225:K227"/>
    <mergeCell ref="K228:K230"/>
    <mergeCell ref="K231:K233"/>
    <mergeCell ref="K234:K235"/>
    <mergeCell ref="K236:K237"/>
    <mergeCell ref="L4:L5"/>
    <mergeCell ref="L6:L7"/>
    <mergeCell ref="L8:L10"/>
    <mergeCell ref="L11:L12"/>
    <mergeCell ref="L13:L15"/>
    <mergeCell ref="L16:L18"/>
    <mergeCell ref="L19:L21"/>
    <mergeCell ref="L22:L24"/>
    <mergeCell ref="L25:L27"/>
    <mergeCell ref="L28:L30"/>
    <mergeCell ref="L31:L33"/>
    <mergeCell ref="L34:L37"/>
    <mergeCell ref="L38:L39"/>
    <mergeCell ref="L40:L43"/>
    <mergeCell ref="L44:L47"/>
    <mergeCell ref="L48:L49"/>
    <mergeCell ref="L50:L51"/>
    <mergeCell ref="L52:L53"/>
    <mergeCell ref="L54:L55"/>
    <mergeCell ref="L56:L59"/>
    <mergeCell ref="L60:L62"/>
    <mergeCell ref="L63:L65"/>
    <mergeCell ref="L66:L68"/>
    <mergeCell ref="L69:L71"/>
    <mergeCell ref="L72:L73"/>
    <mergeCell ref="L75:L77"/>
    <mergeCell ref="L78:L80"/>
    <mergeCell ref="L81:L83"/>
    <mergeCell ref="L84:L86"/>
    <mergeCell ref="L87:L88"/>
    <mergeCell ref="L89:L90"/>
    <mergeCell ref="L91:L92"/>
    <mergeCell ref="L93:L94"/>
    <mergeCell ref="L95:L97"/>
    <mergeCell ref="L98:L101"/>
    <mergeCell ref="L102:L105"/>
    <mergeCell ref="L106:L108"/>
    <mergeCell ref="L109:L111"/>
    <mergeCell ref="L117:L118"/>
    <mergeCell ref="L119:L120"/>
    <mergeCell ref="L121:L123"/>
    <mergeCell ref="L126:L127"/>
    <mergeCell ref="L128:L129"/>
    <mergeCell ref="L131:L133"/>
    <mergeCell ref="L134:L136"/>
    <mergeCell ref="L137:L138"/>
    <mergeCell ref="L139:L140"/>
    <mergeCell ref="L141:L142"/>
    <mergeCell ref="L143:L144"/>
    <mergeCell ref="L145:L147"/>
    <mergeCell ref="L148:L149"/>
    <mergeCell ref="L150:L151"/>
    <mergeCell ref="L152:L154"/>
    <mergeCell ref="L155:L157"/>
    <mergeCell ref="L162:L164"/>
    <mergeCell ref="L165:L166"/>
    <mergeCell ref="L167:L169"/>
    <mergeCell ref="L170:L172"/>
    <mergeCell ref="L173:L174"/>
    <mergeCell ref="L175:L176"/>
    <mergeCell ref="L177:L178"/>
    <mergeCell ref="L180:L182"/>
    <mergeCell ref="L183:L185"/>
    <mergeCell ref="L186:L187"/>
    <mergeCell ref="L188:L190"/>
    <mergeCell ref="L191:L193"/>
    <mergeCell ref="L194:L195"/>
    <mergeCell ref="L196:L199"/>
    <mergeCell ref="L200:L202"/>
    <mergeCell ref="L203:L205"/>
    <mergeCell ref="L206:L207"/>
    <mergeCell ref="L208:L210"/>
    <mergeCell ref="L211:L213"/>
    <mergeCell ref="L214:L217"/>
    <mergeCell ref="L218:L219"/>
    <mergeCell ref="L220:L221"/>
    <mergeCell ref="L222:L224"/>
    <mergeCell ref="L225:L227"/>
    <mergeCell ref="L228:L230"/>
    <mergeCell ref="L231:L233"/>
    <mergeCell ref="L234:L235"/>
    <mergeCell ref="L236:L237"/>
    <mergeCell ref="M4:M5"/>
    <mergeCell ref="M6:M7"/>
    <mergeCell ref="M8:M10"/>
    <mergeCell ref="M11:M12"/>
    <mergeCell ref="M13:M15"/>
    <mergeCell ref="M16:M18"/>
    <mergeCell ref="M19:M21"/>
    <mergeCell ref="M22:M24"/>
    <mergeCell ref="M25:M27"/>
    <mergeCell ref="M28:M30"/>
    <mergeCell ref="M31:M33"/>
    <mergeCell ref="M34:M37"/>
    <mergeCell ref="M38:M39"/>
    <mergeCell ref="M40:M43"/>
    <mergeCell ref="M44:M47"/>
    <mergeCell ref="M48:M49"/>
    <mergeCell ref="M50:M51"/>
    <mergeCell ref="M52:M53"/>
    <mergeCell ref="M54:M55"/>
    <mergeCell ref="M56:M59"/>
    <mergeCell ref="M60:M62"/>
    <mergeCell ref="M63:M65"/>
    <mergeCell ref="M66:M68"/>
    <mergeCell ref="M69:M71"/>
    <mergeCell ref="M72:M73"/>
    <mergeCell ref="M75:M77"/>
    <mergeCell ref="M78:M80"/>
    <mergeCell ref="M81:M83"/>
    <mergeCell ref="M84:M86"/>
    <mergeCell ref="M87:M88"/>
    <mergeCell ref="M89:M90"/>
    <mergeCell ref="M91:M92"/>
    <mergeCell ref="M93:M94"/>
    <mergeCell ref="M95:M97"/>
    <mergeCell ref="M98:M101"/>
    <mergeCell ref="M102:M105"/>
    <mergeCell ref="M106:M108"/>
    <mergeCell ref="M109:M111"/>
    <mergeCell ref="M117:M118"/>
    <mergeCell ref="M119:M120"/>
    <mergeCell ref="M121:M123"/>
    <mergeCell ref="M126:M127"/>
    <mergeCell ref="M128:M129"/>
    <mergeCell ref="M131:M133"/>
    <mergeCell ref="M134:M136"/>
    <mergeCell ref="M137:M138"/>
    <mergeCell ref="M139:M140"/>
    <mergeCell ref="M141:M142"/>
    <mergeCell ref="M143:M144"/>
    <mergeCell ref="M145:M147"/>
    <mergeCell ref="M148:M149"/>
    <mergeCell ref="M150:M151"/>
    <mergeCell ref="M152:M154"/>
    <mergeCell ref="M155:M157"/>
    <mergeCell ref="M162:M164"/>
    <mergeCell ref="M165:M166"/>
    <mergeCell ref="M167:M169"/>
    <mergeCell ref="M170:M172"/>
    <mergeCell ref="M173:M174"/>
    <mergeCell ref="M175:M176"/>
    <mergeCell ref="M177:M178"/>
    <mergeCell ref="M180:M182"/>
    <mergeCell ref="M183:M185"/>
    <mergeCell ref="M186:M187"/>
    <mergeCell ref="M188:M190"/>
    <mergeCell ref="M191:M193"/>
    <mergeCell ref="M194:M195"/>
    <mergeCell ref="M196:M199"/>
    <mergeCell ref="M200:M202"/>
    <mergeCell ref="M203:M205"/>
    <mergeCell ref="M206:M207"/>
    <mergeCell ref="M208:M210"/>
    <mergeCell ref="M211:M213"/>
    <mergeCell ref="M214:M217"/>
    <mergeCell ref="M218:M219"/>
    <mergeCell ref="M220:M221"/>
    <mergeCell ref="M222:M224"/>
    <mergeCell ref="M225:M227"/>
    <mergeCell ref="M228:M230"/>
    <mergeCell ref="M231:M233"/>
    <mergeCell ref="M234:M235"/>
    <mergeCell ref="M236:M237"/>
    <mergeCell ref="N4:N5"/>
    <mergeCell ref="N6:N7"/>
    <mergeCell ref="N8:N10"/>
    <mergeCell ref="N11:N12"/>
    <mergeCell ref="N13:N15"/>
    <mergeCell ref="N16:N18"/>
    <mergeCell ref="N19:N21"/>
    <mergeCell ref="N22:N24"/>
    <mergeCell ref="N25:N27"/>
    <mergeCell ref="N28:N30"/>
    <mergeCell ref="N31:N33"/>
    <mergeCell ref="N34:N37"/>
    <mergeCell ref="N38:N39"/>
    <mergeCell ref="N40:N43"/>
    <mergeCell ref="N44:N47"/>
    <mergeCell ref="N48:N49"/>
    <mergeCell ref="N50:N51"/>
    <mergeCell ref="N52:N53"/>
    <mergeCell ref="N54:N55"/>
    <mergeCell ref="N56:N59"/>
    <mergeCell ref="N60:N62"/>
    <mergeCell ref="N63:N65"/>
    <mergeCell ref="N66:N68"/>
    <mergeCell ref="N69:N71"/>
    <mergeCell ref="N72:N73"/>
    <mergeCell ref="N75:N77"/>
    <mergeCell ref="N78:N80"/>
    <mergeCell ref="N81:N83"/>
    <mergeCell ref="N84:N86"/>
    <mergeCell ref="N87:N88"/>
    <mergeCell ref="N89:N90"/>
    <mergeCell ref="N91:N92"/>
    <mergeCell ref="N93:N94"/>
    <mergeCell ref="N95:N97"/>
    <mergeCell ref="N98:N101"/>
    <mergeCell ref="N102:N105"/>
    <mergeCell ref="N106:N108"/>
    <mergeCell ref="N109:N111"/>
    <mergeCell ref="N117:N118"/>
    <mergeCell ref="N119:N120"/>
    <mergeCell ref="N121:N123"/>
    <mergeCell ref="N126:N127"/>
    <mergeCell ref="N128:N129"/>
    <mergeCell ref="N131:N133"/>
    <mergeCell ref="N134:N136"/>
    <mergeCell ref="N137:N138"/>
    <mergeCell ref="N139:N140"/>
    <mergeCell ref="N141:N142"/>
    <mergeCell ref="N143:N144"/>
    <mergeCell ref="N145:N147"/>
    <mergeCell ref="N148:N149"/>
    <mergeCell ref="N150:N151"/>
    <mergeCell ref="N152:N154"/>
    <mergeCell ref="N155:N157"/>
    <mergeCell ref="N162:N164"/>
    <mergeCell ref="N165:N166"/>
    <mergeCell ref="N167:N169"/>
    <mergeCell ref="N170:N172"/>
    <mergeCell ref="N173:N174"/>
    <mergeCell ref="N175:N176"/>
    <mergeCell ref="N177:N178"/>
    <mergeCell ref="N180:N182"/>
    <mergeCell ref="N183:N185"/>
    <mergeCell ref="N186:N187"/>
    <mergeCell ref="N188:N190"/>
    <mergeCell ref="N191:N193"/>
    <mergeCell ref="N194:N195"/>
    <mergeCell ref="N196:N199"/>
    <mergeCell ref="N200:N202"/>
    <mergeCell ref="N203:N205"/>
    <mergeCell ref="N206:N207"/>
    <mergeCell ref="N208:N210"/>
    <mergeCell ref="N211:N213"/>
    <mergeCell ref="N214:N217"/>
    <mergeCell ref="N218:N219"/>
    <mergeCell ref="N220:N221"/>
    <mergeCell ref="N222:N224"/>
    <mergeCell ref="N225:N227"/>
    <mergeCell ref="N228:N230"/>
    <mergeCell ref="N231:N233"/>
    <mergeCell ref="N234:N235"/>
    <mergeCell ref="N236:N237"/>
    <mergeCell ref="O2:O3"/>
    <mergeCell ref="O4:O5"/>
    <mergeCell ref="O6:O7"/>
    <mergeCell ref="O8:O10"/>
    <mergeCell ref="O11:O12"/>
    <mergeCell ref="O13:O15"/>
    <mergeCell ref="O16:O18"/>
    <mergeCell ref="O19:O21"/>
    <mergeCell ref="O22:O24"/>
    <mergeCell ref="O25:O27"/>
    <mergeCell ref="O28:O30"/>
    <mergeCell ref="O31:O33"/>
    <mergeCell ref="O34:O37"/>
    <mergeCell ref="O38:O39"/>
    <mergeCell ref="O40:O43"/>
    <mergeCell ref="O44:O47"/>
    <mergeCell ref="O48:O49"/>
    <mergeCell ref="O50:O51"/>
    <mergeCell ref="O52:O53"/>
    <mergeCell ref="O54:O55"/>
    <mergeCell ref="O56:O59"/>
    <mergeCell ref="O60:O62"/>
    <mergeCell ref="O63:O65"/>
    <mergeCell ref="O66:O68"/>
    <mergeCell ref="O69:O71"/>
    <mergeCell ref="O72:O73"/>
    <mergeCell ref="O75:O77"/>
    <mergeCell ref="O78:O80"/>
    <mergeCell ref="O81:O83"/>
    <mergeCell ref="O84:O86"/>
    <mergeCell ref="O87:O88"/>
    <mergeCell ref="O89:O90"/>
    <mergeCell ref="O91:O92"/>
    <mergeCell ref="O93:O94"/>
    <mergeCell ref="O95:O97"/>
    <mergeCell ref="O98:O101"/>
    <mergeCell ref="O102:O105"/>
    <mergeCell ref="O200:O202"/>
    <mergeCell ref="O203:O205"/>
    <mergeCell ref="O106:O108"/>
    <mergeCell ref="O109:O111"/>
    <mergeCell ref="O117:O118"/>
    <mergeCell ref="O119:O120"/>
    <mergeCell ref="O121:O123"/>
    <mergeCell ref="O126:O127"/>
    <mergeCell ref="O128:O129"/>
    <mergeCell ref="O131:O133"/>
    <mergeCell ref="O134:O136"/>
    <mergeCell ref="O137:O138"/>
    <mergeCell ref="O139:O140"/>
    <mergeCell ref="O141:O142"/>
    <mergeCell ref="O143:O144"/>
    <mergeCell ref="O145:O147"/>
    <mergeCell ref="O148:O149"/>
    <mergeCell ref="O150:O151"/>
    <mergeCell ref="O152:O154"/>
    <mergeCell ref="O206:O207"/>
    <mergeCell ref="O208:O210"/>
    <mergeCell ref="O211:O213"/>
    <mergeCell ref="O214:O217"/>
    <mergeCell ref="O218:O219"/>
    <mergeCell ref="O220:O221"/>
    <mergeCell ref="O222:O224"/>
    <mergeCell ref="O225:O227"/>
    <mergeCell ref="O228:O230"/>
    <mergeCell ref="O231:O233"/>
    <mergeCell ref="O234:O235"/>
    <mergeCell ref="O236:O237"/>
    <mergeCell ref="P124:P125"/>
    <mergeCell ref="Q124:Q125"/>
    <mergeCell ref="R124:R125"/>
    <mergeCell ref="S124:S125"/>
    <mergeCell ref="T124:T125"/>
    <mergeCell ref="O155:O157"/>
    <mergeCell ref="O162:O164"/>
    <mergeCell ref="O165:O166"/>
    <mergeCell ref="O167:O169"/>
    <mergeCell ref="O170:O172"/>
    <mergeCell ref="O173:O174"/>
    <mergeCell ref="O175:O176"/>
    <mergeCell ref="O177:O178"/>
    <mergeCell ref="O180:O182"/>
    <mergeCell ref="O183:O185"/>
    <mergeCell ref="O186:O187"/>
    <mergeCell ref="O188:O190"/>
    <mergeCell ref="O191:O193"/>
    <mergeCell ref="O194:O195"/>
    <mergeCell ref="O196:O199"/>
    <mergeCell ref="U124:U125"/>
    <mergeCell ref="V2:V3"/>
    <mergeCell ref="V4:V5"/>
    <mergeCell ref="V6:V7"/>
    <mergeCell ref="V8:V10"/>
    <mergeCell ref="V11:V12"/>
    <mergeCell ref="V13:V15"/>
    <mergeCell ref="V16:V21"/>
    <mergeCell ref="V22:V24"/>
    <mergeCell ref="V25:V27"/>
    <mergeCell ref="V28:V30"/>
    <mergeCell ref="V31:V33"/>
    <mergeCell ref="V34:V43"/>
    <mergeCell ref="V44:V47"/>
    <mergeCell ref="V48:V49"/>
    <mergeCell ref="V50:V51"/>
    <mergeCell ref="V52:V53"/>
    <mergeCell ref="V54:V55"/>
    <mergeCell ref="V56:V59"/>
    <mergeCell ref="V60:V62"/>
    <mergeCell ref="V63:V65"/>
    <mergeCell ref="V66:V68"/>
    <mergeCell ref="V69:V71"/>
    <mergeCell ref="V72:V73"/>
    <mergeCell ref="V75:V77"/>
    <mergeCell ref="V78:V80"/>
    <mergeCell ref="V81:V83"/>
    <mergeCell ref="V84:V86"/>
    <mergeCell ref="V87:V90"/>
    <mergeCell ref="V91:V94"/>
    <mergeCell ref="V95:V97"/>
    <mergeCell ref="V98:V101"/>
    <mergeCell ref="V102:V105"/>
    <mergeCell ref="V106:V108"/>
    <mergeCell ref="V109:V111"/>
    <mergeCell ref="V112:V116"/>
    <mergeCell ref="V117:V118"/>
    <mergeCell ref="V119:V120"/>
    <mergeCell ref="V121:V123"/>
    <mergeCell ref="V124:V125"/>
    <mergeCell ref="V126:V130"/>
    <mergeCell ref="V131:V133"/>
    <mergeCell ref="V134:V136"/>
    <mergeCell ref="V137:V138"/>
    <mergeCell ref="V139:V140"/>
    <mergeCell ref="V141:V142"/>
    <mergeCell ref="V143:V144"/>
    <mergeCell ref="V145:V147"/>
    <mergeCell ref="V148:V149"/>
    <mergeCell ref="V150:V151"/>
    <mergeCell ref="V152:V154"/>
    <mergeCell ref="V155:V157"/>
    <mergeCell ref="V158:V161"/>
    <mergeCell ref="V162:V164"/>
    <mergeCell ref="V165:V166"/>
    <mergeCell ref="V167:V169"/>
    <mergeCell ref="V170:V172"/>
    <mergeCell ref="V173:V174"/>
    <mergeCell ref="V175:V176"/>
    <mergeCell ref="V177:V178"/>
    <mergeCell ref="V180:V182"/>
    <mergeCell ref="V183:V185"/>
    <mergeCell ref="V186:V187"/>
    <mergeCell ref="V188:V190"/>
    <mergeCell ref="V191:V193"/>
    <mergeCell ref="V194:V195"/>
    <mergeCell ref="V196:V199"/>
    <mergeCell ref="V200:V202"/>
    <mergeCell ref="V203:V205"/>
    <mergeCell ref="V206:V207"/>
    <mergeCell ref="V208:V210"/>
    <mergeCell ref="V211:V213"/>
    <mergeCell ref="V214:V217"/>
    <mergeCell ref="V218:V219"/>
    <mergeCell ref="V220:V221"/>
    <mergeCell ref="V222:V224"/>
    <mergeCell ref="V225:V227"/>
    <mergeCell ref="V228:V230"/>
    <mergeCell ref="V231:V233"/>
    <mergeCell ref="V234:V237"/>
    <mergeCell ref="W4:W5"/>
    <mergeCell ref="W6:W7"/>
    <mergeCell ref="W8:W10"/>
    <mergeCell ref="W11:W12"/>
    <mergeCell ref="W13:W15"/>
    <mergeCell ref="W16:W21"/>
    <mergeCell ref="W22:W24"/>
    <mergeCell ref="W25:W27"/>
    <mergeCell ref="W28:W30"/>
    <mergeCell ref="W31:W33"/>
    <mergeCell ref="W34:W43"/>
    <mergeCell ref="W44:W47"/>
    <mergeCell ref="W48:W49"/>
    <mergeCell ref="W50:W51"/>
    <mergeCell ref="W52:W53"/>
    <mergeCell ref="W54:W55"/>
    <mergeCell ref="W56:W59"/>
    <mergeCell ref="W60:W62"/>
    <mergeCell ref="W63:W65"/>
    <mergeCell ref="W66:W68"/>
    <mergeCell ref="W69:W71"/>
    <mergeCell ref="W72:W73"/>
    <mergeCell ref="W75:W77"/>
    <mergeCell ref="W78:W80"/>
    <mergeCell ref="W81:W83"/>
    <mergeCell ref="W84:W86"/>
    <mergeCell ref="W87:W90"/>
    <mergeCell ref="W91:W94"/>
    <mergeCell ref="W95:W97"/>
    <mergeCell ref="W98:W101"/>
    <mergeCell ref="W102:W105"/>
    <mergeCell ref="W106:W108"/>
    <mergeCell ref="W109:W111"/>
    <mergeCell ref="W112:W116"/>
    <mergeCell ref="W117:W118"/>
    <mergeCell ref="W119:W120"/>
    <mergeCell ref="W121:W123"/>
    <mergeCell ref="W124:W125"/>
    <mergeCell ref="W126:W130"/>
    <mergeCell ref="W131:W133"/>
    <mergeCell ref="W134:W136"/>
    <mergeCell ref="W137:W138"/>
    <mergeCell ref="W139:W140"/>
    <mergeCell ref="W141:W142"/>
    <mergeCell ref="W143:W144"/>
    <mergeCell ref="W145:W147"/>
    <mergeCell ref="W148:W149"/>
    <mergeCell ref="W150:W151"/>
    <mergeCell ref="W152:W154"/>
    <mergeCell ref="W155:W157"/>
    <mergeCell ref="W158:W161"/>
    <mergeCell ref="W162:W164"/>
    <mergeCell ref="W165:W166"/>
    <mergeCell ref="W167:W169"/>
    <mergeCell ref="W170:W172"/>
    <mergeCell ref="W173:W174"/>
    <mergeCell ref="W175:W176"/>
    <mergeCell ref="W177:W178"/>
    <mergeCell ref="W180:W182"/>
    <mergeCell ref="W183:W185"/>
    <mergeCell ref="W186:W187"/>
    <mergeCell ref="W188:W190"/>
    <mergeCell ref="W191:W193"/>
    <mergeCell ref="W194:W195"/>
    <mergeCell ref="W196:W199"/>
    <mergeCell ref="W200:W202"/>
    <mergeCell ref="W203:W205"/>
    <mergeCell ref="W206:W207"/>
    <mergeCell ref="W208:W210"/>
    <mergeCell ref="W211:W213"/>
    <mergeCell ref="W214:W217"/>
    <mergeCell ref="W218:W219"/>
    <mergeCell ref="W220:W221"/>
    <mergeCell ref="W222:W224"/>
    <mergeCell ref="W225:W227"/>
    <mergeCell ref="W228:W230"/>
    <mergeCell ref="W231:W233"/>
    <mergeCell ref="W234:W237"/>
    <mergeCell ref="X4:X5"/>
    <mergeCell ref="X6:X7"/>
    <mergeCell ref="X8:X10"/>
    <mergeCell ref="X11:X12"/>
    <mergeCell ref="X13:X15"/>
    <mergeCell ref="X16:X21"/>
    <mergeCell ref="X22:X24"/>
    <mergeCell ref="X25:X27"/>
    <mergeCell ref="X28:X30"/>
    <mergeCell ref="X31:X33"/>
    <mergeCell ref="X34:X43"/>
    <mergeCell ref="X44:X47"/>
    <mergeCell ref="X48:X49"/>
    <mergeCell ref="X50:X51"/>
    <mergeCell ref="X52:X53"/>
    <mergeCell ref="X54:X55"/>
    <mergeCell ref="X56:X59"/>
    <mergeCell ref="X60:X62"/>
    <mergeCell ref="X63:X65"/>
    <mergeCell ref="X66:X68"/>
    <mergeCell ref="X69:X71"/>
    <mergeCell ref="X72:X73"/>
    <mergeCell ref="X75:X77"/>
    <mergeCell ref="X78:X80"/>
    <mergeCell ref="X81:X83"/>
    <mergeCell ref="X84:X86"/>
    <mergeCell ref="X87:X90"/>
    <mergeCell ref="X91:X94"/>
    <mergeCell ref="X95:X97"/>
    <mergeCell ref="X98:X101"/>
    <mergeCell ref="X102:X105"/>
    <mergeCell ref="X106:X108"/>
    <mergeCell ref="X109:X111"/>
    <mergeCell ref="X112:X116"/>
    <mergeCell ref="X117:X118"/>
    <mergeCell ref="X119:X120"/>
    <mergeCell ref="X121:X123"/>
    <mergeCell ref="X124:X125"/>
    <mergeCell ref="X126:X130"/>
    <mergeCell ref="X131:X133"/>
    <mergeCell ref="X134:X136"/>
    <mergeCell ref="X137:X138"/>
    <mergeCell ref="X139:X140"/>
    <mergeCell ref="X141:X142"/>
    <mergeCell ref="X143:X144"/>
    <mergeCell ref="X145:X147"/>
    <mergeCell ref="X148:X149"/>
    <mergeCell ref="X150:X151"/>
    <mergeCell ref="X152:X154"/>
    <mergeCell ref="X155:X157"/>
    <mergeCell ref="X158:X161"/>
    <mergeCell ref="X162:X164"/>
    <mergeCell ref="X165:X166"/>
    <mergeCell ref="X167:X169"/>
    <mergeCell ref="X170:X172"/>
    <mergeCell ref="X173:X174"/>
    <mergeCell ref="X175:X176"/>
    <mergeCell ref="X225:X227"/>
    <mergeCell ref="X228:X230"/>
    <mergeCell ref="X231:X233"/>
    <mergeCell ref="X234:X237"/>
    <mergeCell ref="X177:X178"/>
    <mergeCell ref="X180:X182"/>
    <mergeCell ref="X183:X185"/>
    <mergeCell ref="X186:X187"/>
    <mergeCell ref="X188:X190"/>
    <mergeCell ref="X191:X193"/>
    <mergeCell ref="X194:X195"/>
    <mergeCell ref="X196:X199"/>
    <mergeCell ref="X200:X202"/>
    <mergeCell ref="X203:X205"/>
    <mergeCell ref="X206:X207"/>
    <mergeCell ref="X208:X210"/>
    <mergeCell ref="X211:X213"/>
    <mergeCell ref="X214:X217"/>
    <mergeCell ref="X218:X219"/>
    <mergeCell ref="X220:X221"/>
    <mergeCell ref="X222:X224"/>
  </mergeCells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D33" sqref="D33"/>
    </sheetView>
  </sheetViews>
  <sheetFormatPr defaultColWidth="9" defaultRowHeight="13.5" x14ac:dyDescent="0.15"/>
  <cols>
    <col min="1" max="1" width="4.125" customWidth="1"/>
    <col min="2" max="2" width="12" customWidth="1"/>
    <col min="3" max="3" width="24.25" customWidth="1"/>
    <col min="4" max="4" width="7.375" customWidth="1"/>
    <col min="5" max="5" width="13.5" style="87" customWidth="1"/>
    <col min="6" max="6" width="11.375" style="13" customWidth="1"/>
    <col min="7" max="7" width="6.375" style="87" customWidth="1"/>
    <col min="8" max="8" width="6.75" customWidth="1"/>
    <col min="9" max="9" width="6.125" style="14" customWidth="1"/>
    <col min="10" max="10" width="9.5" style="14" customWidth="1"/>
    <col min="11" max="11" width="28.75" customWidth="1"/>
    <col min="12" max="12" width="6.75" customWidth="1"/>
    <col min="13" max="13" width="7.625" customWidth="1"/>
  </cols>
  <sheetData>
    <row r="1" spans="1:13" x14ac:dyDescent="0.15">
      <c r="A1" s="1" t="s">
        <v>279</v>
      </c>
      <c r="B1" s="2" t="s">
        <v>280</v>
      </c>
      <c r="C1" s="2" t="s">
        <v>3</v>
      </c>
      <c r="D1" s="236" t="s">
        <v>291</v>
      </c>
      <c r="E1" s="234" t="s">
        <v>299</v>
      </c>
      <c r="F1" s="234" t="s">
        <v>281</v>
      </c>
      <c r="G1" s="10" t="s">
        <v>282</v>
      </c>
      <c r="H1" s="2" t="s">
        <v>283</v>
      </c>
      <c r="I1" s="3" t="s">
        <v>284</v>
      </c>
      <c r="J1" s="235" t="s">
        <v>290</v>
      </c>
      <c r="K1" s="2" t="s">
        <v>285</v>
      </c>
    </row>
    <row r="2" spans="1:13" ht="21" customHeight="1" x14ac:dyDescent="0.15">
      <c r="A2" s="2">
        <v>1</v>
      </c>
      <c r="B2" s="8" t="s">
        <v>30</v>
      </c>
      <c r="C2" s="8" t="s">
        <v>31</v>
      </c>
      <c r="D2" s="238">
        <v>0.13946132080000001</v>
      </c>
      <c r="E2" s="219">
        <v>0.14000000000000001</v>
      </c>
      <c r="F2" s="219">
        <v>0.14000000000000001</v>
      </c>
      <c r="G2" s="6">
        <f>1-E2/F2</f>
        <v>0</v>
      </c>
      <c r="H2" s="11" t="s">
        <v>286</v>
      </c>
      <c r="I2" s="9">
        <v>16000</v>
      </c>
      <c r="J2" s="9">
        <f>(F2-E2)*I2</f>
        <v>0</v>
      </c>
      <c r="K2" s="2"/>
    </row>
    <row r="3" spans="1:13" ht="15" customHeight="1" x14ac:dyDescent="0.15">
      <c r="A3" s="2">
        <v>2</v>
      </c>
      <c r="B3" s="8" t="s">
        <v>36</v>
      </c>
      <c r="C3" s="8" t="s">
        <v>37</v>
      </c>
      <c r="D3" s="238">
        <v>0.38239325439999999</v>
      </c>
      <c r="E3" s="219">
        <v>0.38</v>
      </c>
      <c r="F3" s="219">
        <v>0.41830000000000001</v>
      </c>
      <c r="G3" s="6">
        <f t="shared" ref="G3:G24" si="0">1-E3/F3</f>
        <v>9.1561080564188435E-2</v>
      </c>
      <c r="H3" s="11" t="s">
        <v>286</v>
      </c>
      <c r="I3" s="9">
        <v>8165</v>
      </c>
      <c r="J3" s="9">
        <f t="shared" ref="J3:J62" si="1">(F3-E3)*I3</f>
        <v>312.71949999999998</v>
      </c>
      <c r="K3" s="2"/>
    </row>
    <row r="4" spans="1:13" x14ac:dyDescent="0.15">
      <c r="A4" s="2">
        <v>3</v>
      </c>
      <c r="B4" s="4" t="s">
        <v>39</v>
      </c>
      <c r="C4" s="5" t="s">
        <v>40</v>
      </c>
      <c r="D4" s="238">
        <v>0.19694020640000001</v>
      </c>
      <c r="E4" s="219">
        <v>0.2</v>
      </c>
      <c r="F4" s="219">
        <v>0.2</v>
      </c>
      <c r="G4" s="6">
        <f t="shared" si="0"/>
        <v>0</v>
      </c>
      <c r="H4" s="11" t="s">
        <v>286</v>
      </c>
      <c r="I4" s="9">
        <v>24000</v>
      </c>
      <c r="J4" s="9">
        <f t="shared" si="1"/>
        <v>0</v>
      </c>
      <c r="K4" s="2"/>
    </row>
    <row r="5" spans="1:13" ht="20.100000000000001" customHeight="1" x14ac:dyDescent="0.15">
      <c r="A5" s="2">
        <v>4</v>
      </c>
      <c r="B5" s="8" t="s">
        <v>44</v>
      </c>
      <c r="C5" s="8" t="s">
        <v>45</v>
      </c>
      <c r="D5" s="238">
        <v>0.16</v>
      </c>
      <c r="E5" s="219">
        <v>0.156</v>
      </c>
      <c r="F5" s="219">
        <v>0.156</v>
      </c>
      <c r="G5" s="6">
        <f t="shared" si="0"/>
        <v>0</v>
      </c>
      <c r="H5" s="11" t="s">
        <v>286</v>
      </c>
      <c r="I5" s="9">
        <v>13800</v>
      </c>
      <c r="J5" s="9">
        <f t="shared" si="1"/>
        <v>0</v>
      </c>
      <c r="K5" s="2"/>
    </row>
    <row r="6" spans="1:13" x14ac:dyDescent="0.15">
      <c r="A6" s="2">
        <v>5</v>
      </c>
      <c r="B6" s="4" t="s">
        <v>46</v>
      </c>
      <c r="C6" s="5" t="s">
        <v>47</v>
      </c>
      <c r="D6" s="238">
        <v>0.32509882639999998</v>
      </c>
      <c r="E6" s="219">
        <v>0.32509882639999998</v>
      </c>
      <c r="F6" s="219">
        <v>0.3483</v>
      </c>
      <c r="G6" s="6">
        <f t="shared" si="0"/>
        <v>6.6612614412862481E-2</v>
      </c>
      <c r="H6" s="11" t="s">
        <v>286</v>
      </c>
      <c r="I6" s="9">
        <v>11497</v>
      </c>
      <c r="J6" s="9">
        <f t="shared" si="1"/>
        <v>266.74389287920013</v>
      </c>
      <c r="K6" s="2"/>
    </row>
    <row r="7" spans="1:13" ht="18" customHeight="1" x14ac:dyDescent="0.15">
      <c r="A7" s="2">
        <v>6</v>
      </c>
      <c r="B7" s="4" t="s">
        <v>50</v>
      </c>
      <c r="C7" s="5" t="s">
        <v>51</v>
      </c>
      <c r="D7" s="238">
        <v>3.7649403864000002</v>
      </c>
      <c r="E7" s="219">
        <v>3.9531874057200005</v>
      </c>
      <c r="F7" s="225">
        <v>4.4241999999999999</v>
      </c>
      <c r="G7" s="6">
        <f t="shared" si="0"/>
        <v>0.10646277163781015</v>
      </c>
      <c r="H7" s="11" t="s">
        <v>287</v>
      </c>
      <c r="I7" s="9">
        <v>36880</v>
      </c>
      <c r="J7" s="9">
        <f>(E7-D7)*I7</f>
        <v>6942.5500725216116</v>
      </c>
      <c r="K7" s="236" t="s">
        <v>292</v>
      </c>
      <c r="L7" s="16"/>
      <c r="M7" s="16"/>
    </row>
    <row r="8" spans="1:13" x14ac:dyDescent="0.15">
      <c r="A8" s="2">
        <v>11</v>
      </c>
      <c r="B8" s="4" t="s">
        <v>68</v>
      </c>
      <c r="C8" s="5" t="s">
        <v>69</v>
      </c>
      <c r="D8" s="238">
        <v>4.3410060586399997</v>
      </c>
      <c r="E8" s="219">
        <v>4.3410060586399997</v>
      </c>
      <c r="F8" s="219">
        <v>4.7282999999999999</v>
      </c>
      <c r="G8" s="6">
        <f t="shared" si="0"/>
        <v>8.1909764896474502E-2</v>
      </c>
      <c r="H8" s="11" t="s">
        <v>286</v>
      </c>
      <c r="I8" s="9">
        <v>2139</v>
      </c>
      <c r="J8" s="9">
        <f t="shared" si="1"/>
        <v>828.42174056904059</v>
      </c>
      <c r="K8" s="2"/>
    </row>
    <row r="9" spans="1:13" x14ac:dyDescent="0.15">
      <c r="A9" s="2">
        <v>12</v>
      </c>
      <c r="B9" s="4" t="s">
        <v>76</v>
      </c>
      <c r="C9" s="5" t="s">
        <v>70</v>
      </c>
      <c r="D9" s="238">
        <v>2.4213688934399999</v>
      </c>
      <c r="E9" s="219">
        <v>2.5424373381120002</v>
      </c>
      <c r="F9" s="225">
        <v>2.9605000000000001</v>
      </c>
      <c r="G9" s="6">
        <f t="shared" si="0"/>
        <v>0.1412135321357878</v>
      </c>
      <c r="H9" s="11" t="s">
        <v>287</v>
      </c>
      <c r="I9" s="9">
        <v>4990</v>
      </c>
      <c r="J9" s="9">
        <f>(E9-D9)*I9</f>
        <v>604.13153891328147</v>
      </c>
      <c r="K9" s="236" t="s">
        <v>292</v>
      </c>
      <c r="L9" s="16"/>
      <c r="M9" s="16"/>
    </row>
    <row r="10" spans="1:13" x14ac:dyDescent="0.15">
      <c r="A10" s="2">
        <v>13</v>
      </c>
      <c r="B10" s="8" t="s">
        <v>77</v>
      </c>
      <c r="C10" s="8" t="s">
        <v>78</v>
      </c>
      <c r="D10" s="238">
        <v>0.17962389814999999</v>
      </c>
      <c r="E10" s="219">
        <v>0.18</v>
      </c>
      <c r="F10" s="225">
        <v>0.18</v>
      </c>
      <c r="G10" s="6">
        <f t="shared" si="0"/>
        <v>0</v>
      </c>
      <c r="H10" s="11" t="s">
        <v>286</v>
      </c>
      <c r="I10" s="9">
        <v>13354</v>
      </c>
      <c r="J10" s="9">
        <f t="shared" si="1"/>
        <v>0</v>
      </c>
      <c r="K10" s="2"/>
    </row>
    <row r="11" spans="1:13" x14ac:dyDescent="0.15">
      <c r="A11" s="2">
        <v>14</v>
      </c>
      <c r="B11" s="8" t="s">
        <v>79</v>
      </c>
      <c r="C11" s="8" t="s">
        <v>80</v>
      </c>
      <c r="D11" s="238">
        <v>0.16244493600000001</v>
      </c>
      <c r="E11" s="219">
        <v>0.16244493600000001</v>
      </c>
      <c r="F11" s="225">
        <v>0.17</v>
      </c>
      <c r="G11" s="6">
        <f t="shared" si="0"/>
        <v>4.4441552941176465E-2</v>
      </c>
      <c r="H11" s="11" t="s">
        <v>286</v>
      </c>
      <c r="I11" s="9">
        <v>6695</v>
      </c>
      <c r="J11" s="9">
        <f t="shared" si="1"/>
        <v>50.581153480000005</v>
      </c>
      <c r="K11" s="2"/>
    </row>
    <row r="12" spans="1:13" x14ac:dyDescent="0.15">
      <c r="A12" s="2">
        <v>15</v>
      </c>
      <c r="B12" s="8" t="s">
        <v>81</v>
      </c>
      <c r="C12" s="8" t="s">
        <v>82</v>
      </c>
      <c r="D12" s="238">
        <v>0.18168180340000001</v>
      </c>
      <c r="E12" s="219">
        <v>0.18168180340000001</v>
      </c>
      <c r="F12" s="219">
        <v>0.19</v>
      </c>
      <c r="G12" s="6">
        <f t="shared" si="0"/>
        <v>4.3779982105263127E-2</v>
      </c>
      <c r="H12" s="11" t="s">
        <v>286</v>
      </c>
      <c r="I12" s="9">
        <v>8446</v>
      </c>
      <c r="J12" s="9">
        <f t="shared" si="1"/>
        <v>70.255488483599947</v>
      </c>
      <c r="K12" s="2"/>
    </row>
    <row r="13" spans="1:13" x14ac:dyDescent="0.15">
      <c r="A13" s="2">
        <v>16</v>
      </c>
      <c r="B13" s="8" t="s">
        <v>83</v>
      </c>
      <c r="C13" s="8" t="s">
        <v>84</v>
      </c>
      <c r="D13" s="238">
        <v>0.2140296508</v>
      </c>
      <c r="E13" s="219">
        <v>0.2140296508</v>
      </c>
      <c r="F13" s="219">
        <v>0.22950000000000001</v>
      </c>
      <c r="G13" s="6">
        <f t="shared" si="0"/>
        <v>6.7408928976034899E-2</v>
      </c>
      <c r="H13" s="11" t="s">
        <v>286</v>
      </c>
      <c r="I13" s="9">
        <v>5064</v>
      </c>
      <c r="J13" s="9">
        <f t="shared" si="1"/>
        <v>78.341848348800056</v>
      </c>
      <c r="K13" s="2"/>
    </row>
    <row r="14" spans="1:13" ht="20.100000000000001" customHeight="1" x14ac:dyDescent="0.15">
      <c r="A14" s="2">
        <v>17</v>
      </c>
      <c r="B14" s="5" t="s">
        <v>85</v>
      </c>
      <c r="C14" s="5" t="s">
        <v>86</v>
      </c>
      <c r="D14" s="237">
        <v>2.085664</v>
      </c>
      <c r="E14" s="219">
        <v>2.1899472000000002</v>
      </c>
      <c r="F14" s="225">
        <v>2.5644999999999998</v>
      </c>
      <c r="G14" s="6">
        <f t="shared" si="0"/>
        <v>0.1460529537921621</v>
      </c>
      <c r="H14" s="11" t="s">
        <v>287</v>
      </c>
      <c r="I14" s="9">
        <v>67272</v>
      </c>
      <c r="J14" s="9">
        <f>(E14-D14)*I14</f>
        <v>7015.3394304000167</v>
      </c>
      <c r="K14" s="236" t="s">
        <v>292</v>
      </c>
      <c r="L14" s="16"/>
      <c r="M14" s="16"/>
    </row>
    <row r="15" spans="1:13" x14ac:dyDescent="0.15">
      <c r="A15" s="2">
        <v>18</v>
      </c>
      <c r="B15" s="7" t="s">
        <v>87</v>
      </c>
      <c r="C15" s="8" t="s">
        <v>88</v>
      </c>
      <c r="D15" s="237">
        <v>1.6939245119999999</v>
      </c>
      <c r="E15" s="219">
        <v>1.7786207376000001</v>
      </c>
      <c r="F15" s="219">
        <v>2.0657000000000001</v>
      </c>
      <c r="G15" s="6">
        <f t="shared" si="0"/>
        <v>0.13897432463571668</v>
      </c>
      <c r="H15" s="11" t="s">
        <v>287</v>
      </c>
      <c r="I15" s="9">
        <v>1423</v>
      </c>
      <c r="J15" s="9">
        <f>(E15-D15)*I15</f>
        <v>120.52272902880017</v>
      </c>
      <c r="K15" s="236" t="s">
        <v>292</v>
      </c>
      <c r="L15" s="16"/>
      <c r="M15" s="16"/>
    </row>
    <row r="16" spans="1:13" x14ac:dyDescent="0.15">
      <c r="A16" s="2">
        <v>19</v>
      </c>
      <c r="B16" s="7" t="s">
        <v>89</v>
      </c>
      <c r="C16" s="8" t="s">
        <v>90</v>
      </c>
      <c r="D16" s="237">
        <v>1.1566886463999999</v>
      </c>
      <c r="E16" s="219">
        <v>1.1566886463999999</v>
      </c>
      <c r="F16" s="219">
        <v>1.3272999999999999</v>
      </c>
      <c r="G16" s="6">
        <f t="shared" si="0"/>
        <v>0.12854015942138175</v>
      </c>
      <c r="H16" s="11" t="s">
        <v>286</v>
      </c>
      <c r="I16" s="9">
        <v>866</v>
      </c>
      <c r="J16" s="9">
        <f t="shared" si="1"/>
        <v>147.7494322176</v>
      </c>
      <c r="K16" s="2"/>
    </row>
    <row r="17" spans="1:13" s="216" customFormat="1" x14ac:dyDescent="0.15">
      <c r="A17" s="209">
        <v>20</v>
      </c>
      <c r="B17" s="210" t="s">
        <v>92</v>
      </c>
      <c r="C17" s="211" t="s">
        <v>93</v>
      </c>
      <c r="D17" s="237">
        <v>0.70952809999999999</v>
      </c>
      <c r="E17" s="219">
        <v>0.74500450500000004</v>
      </c>
      <c r="F17" s="225">
        <v>0.79259999999999997</v>
      </c>
      <c r="G17" s="212">
        <f t="shared" si="0"/>
        <v>6.0049829674488908E-2</v>
      </c>
      <c r="H17" s="213" t="s">
        <v>287</v>
      </c>
      <c r="I17" s="214">
        <v>49719</v>
      </c>
      <c r="J17" s="9">
        <f>(E17-D17)*I17</f>
        <v>1763.8513801950021</v>
      </c>
      <c r="K17" s="236" t="s">
        <v>292</v>
      </c>
      <c r="L17" s="215"/>
      <c r="M17" s="215"/>
    </row>
    <row r="18" spans="1:13" s="216" customFormat="1" x14ac:dyDescent="0.15">
      <c r="A18" s="209">
        <v>21</v>
      </c>
      <c r="B18" s="210" t="s">
        <v>94</v>
      </c>
      <c r="C18" s="211" t="s">
        <v>95</v>
      </c>
      <c r="D18" s="237">
        <v>0.70952809999999999</v>
      </c>
      <c r="E18" s="219">
        <v>0.74500450500000004</v>
      </c>
      <c r="F18" s="219">
        <v>0.79259999999999997</v>
      </c>
      <c r="G18" s="212">
        <f t="shared" si="0"/>
        <v>6.0049829674488908E-2</v>
      </c>
      <c r="H18" s="213" t="s">
        <v>287</v>
      </c>
      <c r="I18" s="214">
        <v>0</v>
      </c>
      <c r="J18" s="9">
        <f>(E18-D18)*I18</f>
        <v>0</v>
      </c>
      <c r="K18" s="236" t="s">
        <v>292</v>
      </c>
      <c r="L18" s="215"/>
      <c r="M18" s="215"/>
    </row>
    <row r="19" spans="1:13" x14ac:dyDescent="0.15">
      <c r="A19" s="2">
        <v>22</v>
      </c>
      <c r="B19" s="8" t="s">
        <v>96</v>
      </c>
      <c r="C19" s="8" t="s">
        <v>97</v>
      </c>
      <c r="D19" s="237">
        <v>0.22813920579999999</v>
      </c>
      <c r="E19" s="219">
        <v>0.24</v>
      </c>
      <c r="F19" s="225">
        <v>0.28070000000000001</v>
      </c>
      <c r="G19" s="6">
        <f t="shared" si="0"/>
        <v>0.14499465621660135</v>
      </c>
      <c r="H19" s="11" t="s">
        <v>287</v>
      </c>
      <c r="I19" s="9">
        <v>50679</v>
      </c>
      <c r="J19" s="9">
        <f>(E19-D19)*I19</f>
        <v>601.09318926179981</v>
      </c>
      <c r="K19" s="236" t="s">
        <v>292</v>
      </c>
      <c r="L19" s="16"/>
      <c r="M19" s="16"/>
    </row>
    <row r="20" spans="1:13" x14ac:dyDescent="0.15">
      <c r="A20" s="2">
        <v>23</v>
      </c>
      <c r="B20" s="4" t="s">
        <v>98</v>
      </c>
      <c r="C20" s="5" t="s">
        <v>99</v>
      </c>
      <c r="D20" s="237">
        <v>0.158474</v>
      </c>
      <c r="E20" s="219">
        <v>0.17</v>
      </c>
      <c r="F20" s="219">
        <v>0.2089</v>
      </c>
      <c r="G20" s="6">
        <f t="shared" si="0"/>
        <v>0.18621349928195308</v>
      </c>
      <c r="H20" s="11" t="s">
        <v>287</v>
      </c>
      <c r="I20" s="9">
        <v>47410</v>
      </c>
      <c r="J20" s="9">
        <f>(E20-D20)*I20</f>
        <v>546.44766000000038</v>
      </c>
      <c r="K20" s="236" t="s">
        <v>293</v>
      </c>
      <c r="L20" s="16"/>
      <c r="M20" s="16"/>
    </row>
    <row r="21" spans="1:13" x14ac:dyDescent="0.15">
      <c r="A21" s="2">
        <v>24</v>
      </c>
      <c r="B21" s="4" t="s">
        <v>101</v>
      </c>
      <c r="C21" s="5" t="s">
        <v>102</v>
      </c>
      <c r="D21" s="237">
        <v>0.14189499999999999</v>
      </c>
      <c r="E21" s="219">
        <v>0.14000000000000001</v>
      </c>
      <c r="F21" s="219">
        <v>0.1522</v>
      </c>
      <c r="G21" s="6">
        <f t="shared" si="0"/>
        <v>8.0157687253613608E-2</v>
      </c>
      <c r="H21" s="11" t="s">
        <v>286</v>
      </c>
      <c r="I21" s="9">
        <v>200</v>
      </c>
      <c r="J21" s="9">
        <f t="shared" si="1"/>
        <v>2.4399999999999977</v>
      </c>
      <c r="K21" s="2"/>
    </row>
    <row r="22" spans="1:13" x14ac:dyDescent="0.15">
      <c r="A22" s="2">
        <v>25</v>
      </c>
      <c r="B22" s="4" t="s">
        <v>104</v>
      </c>
      <c r="C22" s="5" t="s">
        <v>105</v>
      </c>
      <c r="D22" s="237">
        <v>0.34360313799999997</v>
      </c>
      <c r="E22" s="219">
        <v>0.34</v>
      </c>
      <c r="F22" s="219">
        <v>0.36</v>
      </c>
      <c r="G22" s="6">
        <f t="shared" si="0"/>
        <v>5.5555555555555469E-2</v>
      </c>
      <c r="H22" s="11" t="s">
        <v>286</v>
      </c>
      <c r="I22" s="9">
        <v>4700</v>
      </c>
      <c r="J22" s="9">
        <f t="shared" si="1"/>
        <v>93.999999999999829</v>
      </c>
      <c r="K22" s="2"/>
    </row>
    <row r="23" spans="1:13" x14ac:dyDescent="0.15">
      <c r="A23" s="2">
        <v>26</v>
      </c>
      <c r="B23" s="4" t="s">
        <v>107</v>
      </c>
      <c r="C23" s="5" t="s">
        <v>108</v>
      </c>
      <c r="D23" s="237">
        <v>0.34360313799999997</v>
      </c>
      <c r="E23" s="219">
        <v>0.34</v>
      </c>
      <c r="F23" s="219">
        <v>0.36380000000000001</v>
      </c>
      <c r="G23" s="6">
        <f t="shared" si="0"/>
        <v>6.5420560747663559E-2</v>
      </c>
      <c r="H23" s="11" t="s">
        <v>286</v>
      </c>
      <c r="I23" s="9">
        <v>1728</v>
      </c>
      <c r="J23" s="9">
        <f t="shared" si="1"/>
        <v>41.126399999999975</v>
      </c>
      <c r="K23" s="2"/>
    </row>
    <row r="24" spans="1:13" x14ac:dyDescent="0.15">
      <c r="A24" s="2">
        <v>27</v>
      </c>
      <c r="B24" s="4" t="s">
        <v>109</v>
      </c>
      <c r="C24" s="5" t="s">
        <v>110</v>
      </c>
      <c r="D24" s="237">
        <v>0.27363493179999998</v>
      </c>
      <c r="E24" s="219">
        <v>0.27</v>
      </c>
      <c r="F24" s="219">
        <v>0.28710000000000002</v>
      </c>
      <c r="G24" s="6">
        <f t="shared" si="0"/>
        <v>5.9561128526645746E-2</v>
      </c>
      <c r="H24" s="11" t="s">
        <v>286</v>
      </c>
      <c r="I24" s="9">
        <v>261</v>
      </c>
      <c r="J24" s="9">
        <f t="shared" si="1"/>
        <v>4.4631000000000007</v>
      </c>
      <c r="K24" s="2"/>
    </row>
    <row r="25" spans="1:13" s="224" customFormat="1" x14ac:dyDescent="0.15">
      <c r="A25" s="217">
        <v>31</v>
      </c>
      <c r="B25" s="218" t="s">
        <v>122</v>
      </c>
      <c r="C25" s="218" t="s">
        <v>123</v>
      </c>
      <c r="D25" s="237">
        <v>1.2019479999999998</v>
      </c>
      <c r="E25" s="219">
        <v>1.26</v>
      </c>
      <c r="F25" s="219">
        <v>1.4702</v>
      </c>
      <c r="G25" s="220">
        <f>1-E25/F25</f>
        <v>0.14297374506869809</v>
      </c>
      <c r="H25" s="221" t="s">
        <v>287</v>
      </c>
      <c r="I25" s="222">
        <v>7093</v>
      </c>
      <c r="J25" s="9">
        <f>(E25-D25)*I25</f>
        <v>411.76283600000153</v>
      </c>
      <c r="K25" s="217" t="s">
        <v>294</v>
      </c>
      <c r="L25" s="223"/>
      <c r="M25" s="223"/>
    </row>
    <row r="26" spans="1:13" s="224" customFormat="1" x14ac:dyDescent="0.15">
      <c r="A26" s="217">
        <v>32</v>
      </c>
      <c r="B26" s="218" t="s">
        <v>125</v>
      </c>
      <c r="C26" s="218" t="s">
        <v>126</v>
      </c>
      <c r="D26" s="237">
        <v>1.2019479999999998</v>
      </c>
      <c r="E26" s="219">
        <v>1.26</v>
      </c>
      <c r="F26" s="219">
        <v>1.4702</v>
      </c>
      <c r="G26" s="220">
        <f>1-E26/F26</f>
        <v>0.14297374506869809</v>
      </c>
      <c r="H26" s="221" t="s">
        <v>287</v>
      </c>
      <c r="I26" s="222">
        <v>14076</v>
      </c>
      <c r="J26" s="9">
        <f>(E26-D26)*I26</f>
        <v>817.13995200000306</v>
      </c>
      <c r="K26" s="217" t="s">
        <v>295</v>
      </c>
      <c r="L26" s="223"/>
      <c r="M26" s="223"/>
    </row>
    <row r="27" spans="1:13" s="224" customFormat="1" x14ac:dyDescent="0.15">
      <c r="A27" s="217">
        <v>36</v>
      </c>
      <c r="B27" s="218" t="s">
        <v>137</v>
      </c>
      <c r="C27" s="218" t="s">
        <v>138</v>
      </c>
      <c r="D27" s="237">
        <v>0.26461499999999999</v>
      </c>
      <c r="E27" s="219">
        <v>0.26</v>
      </c>
      <c r="F27" s="219">
        <v>0.27050000000000002</v>
      </c>
      <c r="G27" s="220">
        <f>1-E27/F27</f>
        <v>3.8817005545286554E-2</v>
      </c>
      <c r="H27" s="221" t="s">
        <v>286</v>
      </c>
      <c r="I27" s="222">
        <v>22217</v>
      </c>
      <c r="J27" s="9">
        <f t="shared" si="1"/>
        <v>233.27850000000021</v>
      </c>
      <c r="K27" s="217"/>
    </row>
    <row r="28" spans="1:13" s="224" customFormat="1" x14ac:dyDescent="0.15">
      <c r="A28" s="217">
        <v>37</v>
      </c>
      <c r="B28" s="218" t="s">
        <v>140</v>
      </c>
      <c r="C28" s="218" t="s">
        <v>141</v>
      </c>
      <c r="D28" s="237">
        <v>0.59991199999999989</v>
      </c>
      <c r="E28" s="219">
        <v>0.6</v>
      </c>
      <c r="F28" s="219">
        <v>0.6</v>
      </c>
      <c r="G28" s="220">
        <f>1-E28/F28</f>
        <v>0</v>
      </c>
      <c r="H28" s="221" t="s">
        <v>286</v>
      </c>
      <c r="I28" s="222">
        <v>10165</v>
      </c>
      <c r="J28" s="9">
        <f t="shared" si="1"/>
        <v>0</v>
      </c>
      <c r="K28" s="217"/>
    </row>
    <row r="29" spans="1:13" s="224" customFormat="1" ht="18" customHeight="1" x14ac:dyDescent="0.15">
      <c r="A29" s="217">
        <v>38</v>
      </c>
      <c r="B29" s="218" t="s">
        <v>142</v>
      </c>
      <c r="C29" s="218" t="s">
        <v>143</v>
      </c>
      <c r="D29" s="237">
        <v>2.5908959999999999</v>
      </c>
      <c r="E29" s="219">
        <v>2.5908959999999999</v>
      </c>
      <c r="F29" s="219">
        <v>2.4975000000000001</v>
      </c>
      <c r="G29" s="220">
        <f>1-E29/F29</f>
        <v>-3.7395795795795772E-2</v>
      </c>
      <c r="H29" s="221"/>
      <c r="I29" s="222">
        <v>0</v>
      </c>
      <c r="J29" s="9">
        <f t="shared" si="1"/>
        <v>0</v>
      </c>
      <c r="K29" s="217" t="s">
        <v>296</v>
      </c>
    </row>
    <row r="30" spans="1:13" s="224" customFormat="1" x14ac:dyDescent="0.15">
      <c r="A30" s="217">
        <v>39</v>
      </c>
      <c r="B30" s="218" t="s">
        <v>144</v>
      </c>
      <c r="C30" s="218" t="s">
        <v>145</v>
      </c>
      <c r="D30" s="237">
        <v>3.5486960000000001</v>
      </c>
      <c r="E30" s="219">
        <v>3.55</v>
      </c>
      <c r="F30" s="225">
        <v>3.9881000000000002</v>
      </c>
      <c r="G30" s="220">
        <f>1-E30/F30</f>
        <v>0.1098518091321683</v>
      </c>
      <c r="H30" s="221" t="s">
        <v>286</v>
      </c>
      <c r="I30" s="222">
        <v>68600</v>
      </c>
      <c r="J30" s="9">
        <f t="shared" si="1"/>
        <v>30053.660000000025</v>
      </c>
      <c r="K30" s="217"/>
    </row>
    <row r="31" spans="1:13" s="224" customFormat="1" x14ac:dyDescent="0.15">
      <c r="A31" s="217">
        <v>45</v>
      </c>
      <c r="B31" s="226" t="s">
        <v>159</v>
      </c>
      <c r="C31" s="218" t="s">
        <v>160</v>
      </c>
      <c r="D31" s="237">
        <v>0.50574799999999998</v>
      </c>
      <c r="E31" s="219">
        <v>0.50574799999999998</v>
      </c>
      <c r="F31" s="219">
        <v>0.49480000000000002</v>
      </c>
      <c r="G31" s="220">
        <f>1-E31/F31</f>
        <v>-2.2126111560226258E-2</v>
      </c>
      <c r="H31" s="221" t="s">
        <v>286</v>
      </c>
      <c r="I31" s="222">
        <v>8700</v>
      </c>
      <c r="J31" s="9">
        <f t="shared" si="1"/>
        <v>-95.247599999999636</v>
      </c>
      <c r="K31" s="217"/>
    </row>
    <row r="32" spans="1:13" s="224" customFormat="1" x14ac:dyDescent="0.15">
      <c r="A32" s="217">
        <v>46</v>
      </c>
      <c r="B32" s="227" t="s">
        <v>161</v>
      </c>
      <c r="C32" s="228" t="s">
        <v>162</v>
      </c>
      <c r="D32" s="237">
        <v>0.220778</v>
      </c>
      <c r="E32" s="219">
        <v>0.220778</v>
      </c>
      <c r="F32" s="219">
        <v>0.2009</v>
      </c>
      <c r="G32" s="220">
        <f>1-E32/F32</f>
        <v>-9.8944748631159873E-2</v>
      </c>
      <c r="H32" s="221"/>
      <c r="I32" s="222">
        <v>8398</v>
      </c>
      <c r="J32" s="9">
        <f t="shared" si="1"/>
        <v>-166.93544400000005</v>
      </c>
      <c r="K32" s="217" t="s">
        <v>296</v>
      </c>
    </row>
    <row r="33" spans="1:11" s="224" customFormat="1" x14ac:dyDescent="0.15">
      <c r="A33" s="217">
        <v>47</v>
      </c>
      <c r="B33" s="227" t="s">
        <v>163</v>
      </c>
      <c r="C33" s="228" t="s">
        <v>164</v>
      </c>
      <c r="D33" s="237">
        <v>0.15292800000000001</v>
      </c>
      <c r="E33" s="219">
        <v>0.15</v>
      </c>
      <c r="F33" s="219">
        <v>0.16009999999999999</v>
      </c>
      <c r="G33" s="220">
        <f>1-E33/F33</f>
        <v>6.3085571517801364E-2</v>
      </c>
      <c r="H33" s="221" t="s">
        <v>286</v>
      </c>
      <c r="I33" s="222">
        <v>2035</v>
      </c>
      <c r="J33" s="9">
        <f t="shared" si="1"/>
        <v>20.553499999999996</v>
      </c>
      <c r="K33" s="217"/>
    </row>
    <row r="34" spans="1:11" s="224" customFormat="1" x14ac:dyDescent="0.15">
      <c r="A34" s="217">
        <v>48</v>
      </c>
      <c r="B34" s="227" t="s">
        <v>167</v>
      </c>
      <c r="C34" s="228" t="s">
        <v>168</v>
      </c>
      <c r="D34" s="237">
        <v>0.16242699999999999</v>
      </c>
      <c r="E34" s="219">
        <v>0.16242699999999999</v>
      </c>
      <c r="F34" s="219">
        <v>0.15040000000000001</v>
      </c>
      <c r="G34" s="220">
        <f>1-E34/F34</f>
        <v>-7.9966755319148763E-2</v>
      </c>
      <c r="H34" s="221"/>
      <c r="I34" s="222">
        <v>100</v>
      </c>
      <c r="J34" s="9">
        <f t="shared" si="1"/>
        <v>-1.2026999999999983</v>
      </c>
      <c r="K34" s="217" t="s">
        <v>296</v>
      </c>
    </row>
    <row r="35" spans="1:11" s="224" customFormat="1" x14ac:dyDescent="0.15">
      <c r="A35" s="217">
        <v>50</v>
      </c>
      <c r="B35" s="227" t="s">
        <v>171</v>
      </c>
      <c r="C35" s="228" t="s">
        <v>172</v>
      </c>
      <c r="D35" s="237">
        <v>0.48092800000000002</v>
      </c>
      <c r="E35" s="219">
        <v>0.48092800000000002</v>
      </c>
      <c r="F35" s="219">
        <v>0.44319999999999998</v>
      </c>
      <c r="G35" s="220">
        <f t="shared" ref="G35:G53" si="2">1-E35/F35</f>
        <v>-8.5126353790613729E-2</v>
      </c>
      <c r="H35" s="221"/>
      <c r="I35" s="222">
        <v>6785</v>
      </c>
      <c r="J35" s="9">
        <f t="shared" si="1"/>
        <v>-255.98448000000027</v>
      </c>
      <c r="K35" s="217" t="s">
        <v>296</v>
      </c>
    </row>
    <row r="36" spans="1:11" s="224" customFormat="1" x14ac:dyDescent="0.15">
      <c r="A36" s="217">
        <v>51</v>
      </c>
      <c r="B36" s="227" t="s">
        <v>175</v>
      </c>
      <c r="C36" s="228" t="s">
        <v>176</v>
      </c>
      <c r="D36" s="237">
        <v>0.1437358</v>
      </c>
      <c r="E36" s="219">
        <v>0.1437358</v>
      </c>
      <c r="F36" s="219">
        <v>0.1231</v>
      </c>
      <c r="G36" s="220">
        <f t="shared" si="2"/>
        <v>-0.16763444354183576</v>
      </c>
      <c r="H36" s="221"/>
      <c r="I36" s="222">
        <v>6645</v>
      </c>
      <c r="J36" s="9">
        <f t="shared" si="1"/>
        <v>-137.12489099999996</v>
      </c>
      <c r="K36" s="217" t="s">
        <v>296</v>
      </c>
    </row>
    <row r="37" spans="1:11" s="224" customFormat="1" x14ac:dyDescent="0.15">
      <c r="A37" s="217">
        <v>52</v>
      </c>
      <c r="B37" s="227" t="s">
        <v>178</v>
      </c>
      <c r="C37" s="228" t="s">
        <v>179</v>
      </c>
      <c r="D37" s="237">
        <v>0.36337399999999997</v>
      </c>
      <c r="E37" s="219">
        <v>0.36337399999999997</v>
      </c>
      <c r="F37" s="219">
        <v>0.27910000000000001</v>
      </c>
      <c r="G37" s="220">
        <f t="shared" si="2"/>
        <v>-0.30194912217843051</v>
      </c>
      <c r="H37" s="221"/>
      <c r="I37" s="222">
        <v>9649</v>
      </c>
      <c r="J37" s="9">
        <f t="shared" si="1"/>
        <v>-813.15982599999961</v>
      </c>
      <c r="K37" s="217" t="s">
        <v>296</v>
      </c>
    </row>
    <row r="38" spans="1:11" s="224" customFormat="1" x14ac:dyDescent="0.15">
      <c r="A38" s="217">
        <v>53</v>
      </c>
      <c r="B38" s="229" t="s">
        <v>183</v>
      </c>
      <c r="C38" s="229" t="s">
        <v>184</v>
      </c>
      <c r="D38" s="237">
        <v>0.19670599999999999</v>
      </c>
      <c r="E38" s="219">
        <v>0.19670599999999999</v>
      </c>
      <c r="F38" s="219">
        <v>0.15590000000000001</v>
      </c>
      <c r="G38" s="220">
        <f t="shared" si="2"/>
        <v>-0.2617447081462474</v>
      </c>
      <c r="H38" s="221"/>
      <c r="I38" s="222">
        <v>1189</v>
      </c>
      <c r="J38" s="9">
        <f t="shared" si="1"/>
        <v>-48.518333999999975</v>
      </c>
      <c r="K38" s="217" t="s">
        <v>296</v>
      </c>
    </row>
    <row r="39" spans="1:11" s="224" customFormat="1" x14ac:dyDescent="0.15">
      <c r="A39" s="217">
        <v>54</v>
      </c>
      <c r="B39" s="229" t="s">
        <v>185</v>
      </c>
      <c r="C39" s="229" t="s">
        <v>186</v>
      </c>
      <c r="D39" s="237">
        <v>0.221132</v>
      </c>
      <c r="E39" s="219">
        <v>0.221132</v>
      </c>
      <c r="F39" s="230">
        <v>5.7500000000000002E-2</v>
      </c>
      <c r="G39" s="220">
        <f t="shared" si="2"/>
        <v>-2.845773913043478</v>
      </c>
      <c r="H39" s="221"/>
      <c r="I39" s="222">
        <v>24399</v>
      </c>
      <c r="J39" s="9">
        <f t="shared" si="1"/>
        <v>-3992.4571679999999</v>
      </c>
      <c r="K39" s="217" t="s">
        <v>296</v>
      </c>
    </row>
    <row r="40" spans="1:11" s="224" customFormat="1" x14ac:dyDescent="0.15">
      <c r="A40" s="217">
        <v>55</v>
      </c>
      <c r="B40" s="229" t="s">
        <v>187</v>
      </c>
      <c r="C40" s="229" t="s">
        <v>188</v>
      </c>
      <c r="D40" s="237">
        <v>0.212754</v>
      </c>
      <c r="E40" s="219">
        <v>0.212754</v>
      </c>
      <c r="F40" s="230">
        <v>7.3899999999999993E-2</v>
      </c>
      <c r="G40" s="220">
        <f t="shared" si="2"/>
        <v>-1.8789445196211099</v>
      </c>
      <c r="H40" s="221"/>
      <c r="I40" s="222">
        <v>5382</v>
      </c>
      <c r="J40" s="9">
        <f t="shared" si="1"/>
        <v>-747.312228</v>
      </c>
      <c r="K40" s="217" t="s">
        <v>296</v>
      </c>
    </row>
    <row r="41" spans="1:11" s="224" customFormat="1" x14ac:dyDescent="0.15">
      <c r="A41" s="217">
        <v>56</v>
      </c>
      <c r="B41" s="229" t="s">
        <v>189</v>
      </c>
      <c r="C41" s="229" t="s">
        <v>190</v>
      </c>
      <c r="D41" s="237">
        <v>0.23788799999999999</v>
      </c>
      <c r="E41" s="219">
        <v>0.23788799999999999</v>
      </c>
      <c r="F41" s="231">
        <v>6.5699999999999995E-2</v>
      </c>
      <c r="G41" s="220">
        <f t="shared" si="2"/>
        <v>-2.6208219178082195</v>
      </c>
      <c r="H41" s="221"/>
      <c r="I41" s="222">
        <v>7903</v>
      </c>
      <c r="J41" s="9">
        <f t="shared" si="1"/>
        <v>-1360.801764</v>
      </c>
      <c r="K41" s="217" t="s">
        <v>296</v>
      </c>
    </row>
    <row r="42" spans="1:11" s="224" customFormat="1" x14ac:dyDescent="0.15">
      <c r="A42" s="217">
        <v>57</v>
      </c>
      <c r="B42" s="229" t="s">
        <v>191</v>
      </c>
      <c r="C42" s="229" t="s">
        <v>192</v>
      </c>
      <c r="D42" s="237">
        <v>0.21251800000000001</v>
      </c>
      <c r="E42" s="219">
        <v>0.21251800000000001</v>
      </c>
      <c r="F42" s="231">
        <v>7.3899999999999993E-2</v>
      </c>
      <c r="G42" s="220">
        <f t="shared" si="2"/>
        <v>-1.8757510148849801</v>
      </c>
      <c r="H42" s="221"/>
      <c r="I42" s="222">
        <v>27910</v>
      </c>
      <c r="J42" s="9">
        <f t="shared" si="1"/>
        <v>-3868.8283800000004</v>
      </c>
      <c r="K42" s="217" t="s">
        <v>296</v>
      </c>
    </row>
    <row r="43" spans="1:11" s="224" customFormat="1" x14ac:dyDescent="0.15">
      <c r="A43" s="217">
        <v>58</v>
      </c>
      <c r="B43" s="229" t="s">
        <v>194</v>
      </c>
      <c r="C43" s="229" t="s">
        <v>195</v>
      </c>
      <c r="D43" s="237">
        <v>7.1272000000000002E-2</v>
      </c>
      <c r="E43" s="219">
        <v>7.1272000000000002E-2</v>
      </c>
      <c r="F43" s="230">
        <v>4.9200000000000001E-2</v>
      </c>
      <c r="G43" s="220">
        <f t="shared" si="2"/>
        <v>-0.44861788617886189</v>
      </c>
      <c r="H43" s="221"/>
      <c r="I43" s="222">
        <v>6610</v>
      </c>
      <c r="J43" s="9">
        <f t="shared" si="1"/>
        <v>-145.89592000000002</v>
      </c>
      <c r="K43" s="217" t="s">
        <v>296</v>
      </c>
    </row>
    <row r="44" spans="1:11" s="224" customFormat="1" x14ac:dyDescent="0.15">
      <c r="A44" s="217">
        <v>59</v>
      </c>
      <c r="B44" s="229" t="s">
        <v>196</v>
      </c>
      <c r="C44" s="229" t="s">
        <v>197</v>
      </c>
      <c r="D44" s="237">
        <v>7.3968949000000006E-2</v>
      </c>
      <c r="E44" s="219">
        <v>7.3968949000000006E-2</v>
      </c>
      <c r="F44" s="219"/>
      <c r="G44" s="220"/>
      <c r="H44" s="221"/>
      <c r="I44" s="222">
        <v>11930</v>
      </c>
      <c r="J44" s="9">
        <f t="shared" si="1"/>
        <v>-882.44956157000013</v>
      </c>
      <c r="K44" s="217" t="s">
        <v>296</v>
      </c>
    </row>
    <row r="45" spans="1:11" s="224" customFormat="1" x14ac:dyDescent="0.15">
      <c r="A45" s="217">
        <v>60</v>
      </c>
      <c r="B45" s="229" t="s">
        <v>198</v>
      </c>
      <c r="C45" s="229" t="s">
        <v>199</v>
      </c>
      <c r="D45" s="237">
        <v>3.2681943749999998E-2</v>
      </c>
      <c r="E45" s="230">
        <v>3.3799999999999997E-2</v>
      </c>
      <c r="F45" s="230">
        <v>3.3799999999999997E-2</v>
      </c>
      <c r="G45" s="220">
        <f t="shared" si="2"/>
        <v>0</v>
      </c>
      <c r="H45" s="221" t="s">
        <v>286</v>
      </c>
      <c r="I45" s="222">
        <v>35648</v>
      </c>
      <c r="J45" s="9">
        <f t="shared" si="1"/>
        <v>0</v>
      </c>
      <c r="K45" s="217"/>
    </row>
    <row r="46" spans="1:11" s="224" customFormat="1" x14ac:dyDescent="0.15">
      <c r="A46" s="217">
        <v>61</v>
      </c>
      <c r="B46" s="229" t="s">
        <v>204</v>
      </c>
      <c r="C46" s="229" t="s">
        <v>205</v>
      </c>
      <c r="D46" s="237">
        <v>0.45500800000000002</v>
      </c>
      <c r="E46" s="219">
        <v>0.45500800000000002</v>
      </c>
      <c r="F46" s="230">
        <v>0.37759999999999999</v>
      </c>
      <c r="G46" s="220">
        <f t="shared" si="2"/>
        <v>-0.20500000000000007</v>
      </c>
      <c r="H46" s="221"/>
      <c r="I46" s="222">
        <v>13177</v>
      </c>
      <c r="J46" s="9">
        <f t="shared" si="1"/>
        <v>-1020.0052160000005</v>
      </c>
      <c r="K46" s="217" t="s">
        <v>296</v>
      </c>
    </row>
    <row r="47" spans="1:11" s="224" customFormat="1" x14ac:dyDescent="0.15">
      <c r="A47" s="217">
        <v>62</v>
      </c>
      <c r="B47" s="229" t="s">
        <v>207</v>
      </c>
      <c r="C47" s="229" t="s">
        <v>208</v>
      </c>
      <c r="D47" s="237">
        <v>7.8859399999999996E-2</v>
      </c>
      <c r="E47" s="219">
        <v>7.8859399999999996E-2</v>
      </c>
      <c r="F47" s="230">
        <v>6.5570000000000003E-2</v>
      </c>
      <c r="G47" s="220">
        <f t="shared" si="2"/>
        <v>-0.20267500381271919</v>
      </c>
      <c r="H47" s="221"/>
      <c r="I47" s="222">
        <v>80</v>
      </c>
      <c r="J47" s="9">
        <f t="shared" si="1"/>
        <v>-1.0631519999999994</v>
      </c>
      <c r="K47" s="217" t="s">
        <v>296</v>
      </c>
    </row>
    <row r="48" spans="1:11" s="224" customFormat="1" x14ac:dyDescent="0.15">
      <c r="A48" s="217">
        <v>63</v>
      </c>
      <c r="B48" s="227" t="s">
        <v>209</v>
      </c>
      <c r="C48" s="228" t="s">
        <v>210</v>
      </c>
      <c r="D48" s="237">
        <v>1.011808</v>
      </c>
      <c r="E48" s="219">
        <v>1.01</v>
      </c>
      <c r="F48" s="219">
        <v>1.2722</v>
      </c>
      <c r="G48" s="220">
        <f t="shared" si="2"/>
        <v>0.20609966986322903</v>
      </c>
      <c r="H48" s="221" t="s">
        <v>286</v>
      </c>
      <c r="I48" s="222">
        <v>15025</v>
      </c>
      <c r="J48" s="9">
        <f t="shared" si="1"/>
        <v>3939.5549999999998</v>
      </c>
      <c r="K48" s="217" t="s">
        <v>289</v>
      </c>
    </row>
    <row r="49" spans="1:13" s="224" customFormat="1" ht="45" customHeight="1" x14ac:dyDescent="0.15">
      <c r="A49" s="217">
        <v>64</v>
      </c>
      <c r="B49" s="232" t="s">
        <v>215</v>
      </c>
      <c r="C49" s="233" t="s">
        <v>216</v>
      </c>
      <c r="D49" s="237">
        <v>0.27675719999999998</v>
      </c>
      <c r="E49" s="219">
        <v>0.37759999999999999</v>
      </c>
      <c r="F49" s="219">
        <v>0.37759999999999999</v>
      </c>
      <c r="G49" s="220">
        <f t="shared" si="2"/>
        <v>0</v>
      </c>
      <c r="H49" s="221" t="s">
        <v>287</v>
      </c>
      <c r="I49" s="222">
        <v>48405</v>
      </c>
      <c r="J49" s="9">
        <f t="shared" si="1"/>
        <v>0</v>
      </c>
      <c r="K49" s="228" t="s">
        <v>288</v>
      </c>
      <c r="L49" s="223"/>
      <c r="M49" s="223"/>
    </row>
    <row r="50" spans="1:13" s="224" customFormat="1" x14ac:dyDescent="0.15">
      <c r="A50" s="217">
        <v>66</v>
      </c>
      <c r="B50" s="227" t="s">
        <v>222</v>
      </c>
      <c r="C50" s="228" t="s">
        <v>223</v>
      </c>
      <c r="D50" s="237">
        <v>1.0185280000000001</v>
      </c>
      <c r="E50" s="219">
        <v>1.0185280000000001</v>
      </c>
      <c r="F50" s="225">
        <v>0.75509999999999999</v>
      </c>
      <c r="G50" s="220">
        <f t="shared" si="2"/>
        <v>-0.34886505098662446</v>
      </c>
      <c r="H50" s="221"/>
      <c r="I50" s="222">
        <v>5835</v>
      </c>
      <c r="J50" s="9">
        <f t="shared" si="1"/>
        <v>-1537.1023800000007</v>
      </c>
      <c r="K50" s="217" t="s">
        <v>296</v>
      </c>
    </row>
    <row r="51" spans="1:13" s="224" customFormat="1" x14ac:dyDescent="0.15">
      <c r="A51" s="217">
        <v>67</v>
      </c>
      <c r="B51" s="227" t="s">
        <v>227</v>
      </c>
      <c r="C51" s="228" t="s">
        <v>228</v>
      </c>
      <c r="D51" s="237">
        <v>0.16059799999999999</v>
      </c>
      <c r="E51" s="219">
        <v>0.16059799999999999</v>
      </c>
      <c r="F51" s="219">
        <v>0.1149</v>
      </c>
      <c r="G51" s="220">
        <f t="shared" si="2"/>
        <v>-0.39771975630983447</v>
      </c>
      <c r="H51" s="221"/>
      <c r="I51" s="222">
        <v>22192</v>
      </c>
      <c r="J51" s="9">
        <f t="shared" si="1"/>
        <v>-1014.1300159999997</v>
      </c>
      <c r="K51" s="217" t="s">
        <v>296</v>
      </c>
    </row>
    <row r="52" spans="1:13" s="224" customFormat="1" x14ac:dyDescent="0.15">
      <c r="A52" s="217">
        <v>68</v>
      </c>
      <c r="B52" s="227" t="s">
        <v>229</v>
      </c>
      <c r="C52" s="228" t="s">
        <v>230</v>
      </c>
      <c r="D52" s="237">
        <v>0.12714500000000001</v>
      </c>
      <c r="E52" s="219">
        <v>0.12714500000000001</v>
      </c>
      <c r="F52" s="219">
        <v>9.8500000000000004E-2</v>
      </c>
      <c r="G52" s="220">
        <f t="shared" si="2"/>
        <v>-0.29081218274111675</v>
      </c>
      <c r="H52" s="221"/>
      <c r="I52" s="222">
        <v>101983</v>
      </c>
      <c r="J52" s="9">
        <f t="shared" si="1"/>
        <v>-2921.3030350000004</v>
      </c>
      <c r="K52" s="217" t="s">
        <v>296</v>
      </c>
    </row>
    <row r="53" spans="1:13" s="224" customFormat="1" x14ac:dyDescent="0.15">
      <c r="A53" s="217">
        <v>69</v>
      </c>
      <c r="B53" s="227" t="s">
        <v>233</v>
      </c>
      <c r="C53" s="228" t="s">
        <v>234</v>
      </c>
      <c r="D53" s="237">
        <v>0.147618</v>
      </c>
      <c r="E53" s="219">
        <v>0.147618</v>
      </c>
      <c r="F53" s="219">
        <v>0.1231</v>
      </c>
      <c r="G53" s="220">
        <f t="shared" si="2"/>
        <v>-0.1991714053614948</v>
      </c>
      <c r="H53" s="221"/>
      <c r="I53" s="222">
        <v>1155</v>
      </c>
      <c r="J53" s="9">
        <f t="shared" si="1"/>
        <v>-28.318289999999998</v>
      </c>
      <c r="K53" s="217" t="s">
        <v>296</v>
      </c>
    </row>
    <row r="54" spans="1:13" s="224" customFormat="1" x14ac:dyDescent="0.15">
      <c r="A54" s="217">
        <v>73</v>
      </c>
      <c r="B54" s="232" t="s">
        <v>240</v>
      </c>
      <c r="C54" s="233" t="s">
        <v>241</v>
      </c>
      <c r="D54" s="237">
        <v>0.15729399999999999</v>
      </c>
      <c r="E54" s="219">
        <v>0.15729399999999999</v>
      </c>
      <c r="F54" s="219">
        <v>0.1477</v>
      </c>
      <c r="G54" s="220">
        <f>1-E54/F54</f>
        <v>-6.4955991875423003E-2</v>
      </c>
      <c r="H54" s="221"/>
      <c r="I54" s="222">
        <v>46964</v>
      </c>
      <c r="J54" s="9">
        <f t="shared" si="1"/>
        <v>-450.57261599999958</v>
      </c>
      <c r="K54" s="217" t="s">
        <v>296</v>
      </c>
    </row>
    <row r="55" spans="1:13" s="224" customFormat="1" x14ac:dyDescent="0.15">
      <c r="A55" s="217">
        <v>74</v>
      </c>
      <c r="B55" s="227" t="s">
        <v>242</v>
      </c>
      <c r="C55" s="228" t="s">
        <v>73</v>
      </c>
      <c r="D55" s="237">
        <v>0.12726299999999999</v>
      </c>
      <c r="E55" s="219">
        <v>0.12726299999999999</v>
      </c>
      <c r="F55" s="219">
        <v>9.8500000000000004E-2</v>
      </c>
      <c r="G55" s="220">
        <f>1-E55/F55</f>
        <v>-0.29201015228426375</v>
      </c>
      <c r="H55" s="221"/>
      <c r="I55" s="222">
        <v>15000</v>
      </c>
      <c r="J55" s="9">
        <f t="shared" si="1"/>
        <v>-431.44499999999977</v>
      </c>
      <c r="K55" s="217" t="s">
        <v>297</v>
      </c>
    </row>
    <row r="56" spans="1:13" s="224" customFormat="1" x14ac:dyDescent="0.15">
      <c r="A56" s="217">
        <v>75</v>
      </c>
      <c r="B56" s="227" t="s">
        <v>243</v>
      </c>
      <c r="C56" s="228" t="s">
        <v>244</v>
      </c>
      <c r="D56" s="237">
        <v>0.107262</v>
      </c>
      <c r="E56" s="219">
        <v>0.11</v>
      </c>
      <c r="F56" s="219">
        <v>0.1149</v>
      </c>
      <c r="G56" s="220">
        <f>1-E56/F56</f>
        <v>4.2645778938207202E-2</v>
      </c>
      <c r="H56" s="221" t="s">
        <v>286</v>
      </c>
      <c r="I56" s="222">
        <v>4700</v>
      </c>
      <c r="J56" s="9">
        <f t="shared" si="1"/>
        <v>23.030000000000008</v>
      </c>
      <c r="K56" s="217"/>
    </row>
    <row r="57" spans="1:13" s="224" customFormat="1" x14ac:dyDescent="0.15">
      <c r="A57" s="217">
        <v>76</v>
      </c>
      <c r="B57" s="227" t="s">
        <v>245</v>
      </c>
      <c r="C57" s="228" t="s">
        <v>246</v>
      </c>
      <c r="D57" s="237">
        <v>0.41193800000000003</v>
      </c>
      <c r="E57" s="219">
        <v>0.41</v>
      </c>
      <c r="F57" s="219">
        <v>0.44319999999999998</v>
      </c>
      <c r="G57" s="220">
        <f>1-E57/F57</f>
        <v>7.4909747292418838E-2</v>
      </c>
      <c r="H57" s="221" t="s">
        <v>286</v>
      </c>
      <c r="I57" s="222">
        <v>140</v>
      </c>
      <c r="J57" s="9">
        <f t="shared" si="1"/>
        <v>4.6480000000000015</v>
      </c>
      <c r="K57" s="217"/>
    </row>
    <row r="58" spans="1:13" s="224" customFormat="1" ht="27" x14ac:dyDescent="0.15">
      <c r="A58" s="217">
        <v>82</v>
      </c>
      <c r="B58" s="227" t="s">
        <v>257</v>
      </c>
      <c r="C58" s="228" t="s">
        <v>258</v>
      </c>
      <c r="D58" s="237">
        <v>0.25942300000000001</v>
      </c>
      <c r="E58" s="219">
        <v>0.25942300000000001</v>
      </c>
      <c r="F58" s="219">
        <v>0.24840000000000001</v>
      </c>
      <c r="G58" s="220">
        <f>1-E58/F58</f>
        <v>-4.4376006441223748E-2</v>
      </c>
      <c r="H58" s="221"/>
      <c r="I58" s="222">
        <v>30775</v>
      </c>
      <c r="J58" s="9">
        <f t="shared" si="1"/>
        <v>-339.23282500000016</v>
      </c>
      <c r="K58" s="217" t="s">
        <v>298</v>
      </c>
    </row>
    <row r="59" spans="1:13" s="224" customFormat="1" ht="27" x14ac:dyDescent="0.15">
      <c r="A59" s="217">
        <v>84</v>
      </c>
      <c r="B59" s="227" t="s">
        <v>262</v>
      </c>
      <c r="C59" s="228" t="s">
        <v>263</v>
      </c>
      <c r="D59" s="237">
        <v>0.17257500000000001</v>
      </c>
      <c r="E59" s="219">
        <v>0.17</v>
      </c>
      <c r="F59" s="219">
        <v>0.18210000000000001</v>
      </c>
      <c r="G59" s="220">
        <f>1-E59/F59</f>
        <v>6.6447007138934699E-2</v>
      </c>
      <c r="H59" s="221" t="s">
        <v>286</v>
      </c>
      <c r="I59" s="222">
        <v>56837</v>
      </c>
      <c r="J59" s="9">
        <f t="shared" si="1"/>
        <v>687.72770000000003</v>
      </c>
      <c r="K59" s="217"/>
    </row>
    <row r="60" spans="1:13" s="224" customFormat="1" ht="27" x14ac:dyDescent="0.15">
      <c r="A60" s="217">
        <v>85</v>
      </c>
      <c r="B60" s="227" t="s">
        <v>264</v>
      </c>
      <c r="C60" s="228" t="s">
        <v>265</v>
      </c>
      <c r="D60" s="237">
        <v>1.3515264</v>
      </c>
      <c r="E60" s="219">
        <v>1.35</v>
      </c>
      <c r="F60" s="219">
        <v>1.4487000000000001</v>
      </c>
      <c r="G60" s="220">
        <f>1-E60/F60</f>
        <v>6.813004762890873E-2</v>
      </c>
      <c r="H60" s="221" t="s">
        <v>286</v>
      </c>
      <c r="I60" s="222">
        <v>13966</v>
      </c>
      <c r="J60" s="9">
        <f t="shared" si="1"/>
        <v>1378.4442000000001</v>
      </c>
      <c r="K60" s="217"/>
    </row>
    <row r="61" spans="1:13" s="224" customFormat="1" x14ac:dyDescent="0.15">
      <c r="A61" s="217">
        <v>86</v>
      </c>
      <c r="B61" s="232" t="s">
        <v>266</v>
      </c>
      <c r="C61" s="233" t="s">
        <v>267</v>
      </c>
      <c r="D61" s="237">
        <v>0.15664500000000001</v>
      </c>
      <c r="E61" s="219">
        <v>0.15664500000000001</v>
      </c>
      <c r="F61" s="219">
        <v>0.13950000000000001</v>
      </c>
      <c r="G61" s="220">
        <f>1-E61/F61</f>
        <v>-0.12290322580645152</v>
      </c>
      <c r="H61" s="221"/>
      <c r="I61" s="222">
        <v>11785</v>
      </c>
      <c r="J61" s="9">
        <f t="shared" si="1"/>
        <v>-202.05382499999993</v>
      </c>
      <c r="K61" s="217" t="s">
        <v>297</v>
      </c>
    </row>
    <row r="62" spans="1:13" s="224" customFormat="1" x14ac:dyDescent="0.15">
      <c r="A62" s="217">
        <v>89</v>
      </c>
      <c r="B62" s="228" t="s">
        <v>274</v>
      </c>
      <c r="C62" s="228" t="s">
        <v>275</v>
      </c>
      <c r="D62" s="237">
        <v>1.3281480000000001</v>
      </c>
      <c r="E62" s="219">
        <v>1.33</v>
      </c>
      <c r="F62" s="219">
        <v>1.3620000000000001</v>
      </c>
      <c r="G62" s="220">
        <f>1-E62/F62</f>
        <v>2.3494860499265857E-2</v>
      </c>
      <c r="H62" s="221" t="s">
        <v>286</v>
      </c>
      <c r="I62" s="222">
        <v>33715</v>
      </c>
      <c r="J62" s="9">
        <f t="shared" si="1"/>
        <v>1078.880000000001</v>
      </c>
      <c r="K62" s="217"/>
    </row>
  </sheetData>
  <autoFilter ref="A1:K62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孙沛霖核算</vt:lpstr>
      <vt:lpstr>再兴价格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2024-03-29T03:02:00Z</dcterms:created>
  <dcterms:modified xsi:type="dcterms:W3CDTF">2024-04-02T05:42:36Z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5D65B1FF5D4C4C248892BC5F2E5A6E5E_11</vt:lpwstr>
  </property>
  <property fmtid="{D5CDD505-2E9C-101B-9397-08002B2CF9AE}" pid="3" name="KSOProductBuildVer">
    <vt:lpwstr>2052-12.1.0.16417</vt:lpwstr>
  </property>
</Properties>
</file>