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firstSheet="7" activeTab="11"/>
  </bookViews>
  <sheets>
    <sheet name="Sheet1" sheetId="1" r:id="rId1"/>
    <sheet name="2020年" sheetId="4" r:id="rId2"/>
    <sheet name="2021年" sheetId="5" r:id="rId3"/>
    <sheet name="2021年 (2)" sheetId="7" state="hidden" r:id="rId4"/>
    <sheet name="2021年11" sheetId="8" r:id="rId5"/>
    <sheet name="2021年12" sheetId="9" r:id="rId6"/>
    <sheet name="2022年" sheetId="10" r:id="rId7"/>
    <sheet name="2023年" sheetId="11" r:id="rId8"/>
    <sheet name="2023年应付" sheetId="14" state="hidden" r:id="rId9"/>
    <sheet name="2023年应付 (2)" sheetId="15" r:id="rId10"/>
    <sheet name="2024年-挂账付款" sheetId="19" r:id="rId11"/>
    <sheet name="2024年应付" sheetId="20" r:id="rId12"/>
    <sheet name="20" sheetId="17" r:id="rId13"/>
    <sheet name="Sheet2" sheetId="16" r:id="rId14"/>
  </sheets>
  <externalReferences>
    <externalReference r:id="rId15"/>
    <externalReference r:id="rId16"/>
  </externalReferences>
  <definedNames>
    <definedName name="_xlnm._FilterDatabase" localSheetId="1" hidden="1">'2020年'!$A$4:$CY$37</definedName>
    <definedName name="_xlnm._FilterDatabase" localSheetId="2" hidden="1">'2021年'!$A$4:$AV$47</definedName>
    <definedName name="_xlnm._FilterDatabase" localSheetId="3" hidden="1">'2021年 (2)'!$A$4:$AV$46</definedName>
    <definedName name="_xlnm._FilterDatabase" localSheetId="4" hidden="1">'2021年11'!$A$4:$AV$51</definedName>
    <definedName name="_xlnm._FilterDatabase" localSheetId="5" hidden="1">'2021年12'!$A$4:$AX$51</definedName>
    <definedName name="_xlnm._FilterDatabase" localSheetId="6" hidden="1">'2022年'!$A$4:$BF$55</definedName>
    <definedName name="_xlnm._FilterDatabase" localSheetId="7" hidden="1">'2023年'!$A$4:$BT$62</definedName>
    <definedName name="_xlnm._FilterDatabase" localSheetId="8" hidden="1">'2023年应付'!$B$4:$AO$75</definedName>
    <definedName name="_xlnm._FilterDatabase" localSheetId="9" hidden="1">'2023年应付 (2)'!$B$4:$AM$64</definedName>
    <definedName name="_xlnm._FilterDatabase" localSheetId="10" hidden="1">'2024年-挂账付款'!$A$4:$BF$64</definedName>
    <definedName name="_xlnm._FilterDatabase" localSheetId="11" hidden="1">'2024年应付'!$A$4:$AS$66</definedName>
    <definedName name="_xlnm._FilterDatabase" localSheetId="12" hidden="1">'20'!$B$4:$AQ$64</definedName>
    <definedName name="_xlnm._FilterDatabase" localSheetId="13" hidden="1">Sheet2!$A$1:$O$135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xb21cn</author>
  </authors>
  <commentList>
    <comment ref="CK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</t>
        </r>
      </text>
    </comment>
    <comment ref="CO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7月付</t>
        </r>
      </text>
    </comment>
    <comment ref="C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
</t>
        </r>
      </text>
    </comment>
    <comment ref="CR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10/30付</t>
        </r>
      </text>
    </comment>
    <comment ref="B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5月挂账00862025</t>
        </r>
      </text>
    </comment>
    <comment ref="B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U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2020.09挂账</t>
        </r>
      </text>
    </comment>
    <comment ref="B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现金折扣
</t>
        </r>
      </text>
    </comment>
    <comment ref="BW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
</t>
        </r>
      </text>
    </comment>
    <comment ref="C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2020.5.28支付</t>
        </r>
      </text>
    </comment>
    <comment ref="C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
11/30支付75191.4
</t>
        </r>
      </text>
    </comment>
    <comment ref="C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CL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O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7/31支付5万</t>
        </r>
      </text>
    </comment>
    <comment ref="CR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11/20付</t>
        </r>
      </text>
    </comment>
    <comment ref="C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CL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4/28付</t>
        </r>
      </text>
    </comment>
    <comment ref="C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7/6支付、7/30支付5万</t>
        </r>
      </text>
    </comment>
    <comment ref="C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B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CL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</t>
        </r>
      </text>
    </comment>
    <comment ref="CQ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BP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M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5.8支付</t>
        </r>
      </text>
    </comment>
    <comment ref="CO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7/2支付
7/28支付18万
</t>
        </r>
      </text>
    </comment>
    <comment ref="CQ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9/29支付11万</t>
        </r>
      </text>
    </comment>
    <comment ref="CS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12/31支付</t>
        </r>
      </text>
    </comment>
    <comment ref="B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W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3/6支付</t>
        </r>
      </text>
    </comment>
    <comment ref="CL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4/27付157704.65
</t>
        </r>
      </text>
    </comment>
    <comment ref="C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
7/31支付</t>
        </r>
      </text>
    </comment>
    <comment ref="C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</t>
        </r>
      </text>
    </comment>
    <comment ref="C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11/24支付</t>
        </r>
      </text>
    </comment>
    <comment ref="C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
12/31</t>
        </r>
      </text>
    </comment>
    <comment ref="B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09898049、04245140</t>
        </r>
      </text>
    </comment>
    <comment ref="B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2020.9挂账</t>
        </r>
      </text>
    </comment>
    <comment ref="B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4/24支付
4/28付30万</t>
        </r>
      </text>
    </comment>
    <comment ref="C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</t>
        </r>
      </text>
    </comment>
    <comment ref="C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7月支付</t>
        </r>
      </text>
    </comment>
    <comment ref="C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12/31支付274834.08</t>
        </r>
      </text>
    </comment>
    <comment ref="B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5月挂账户12514656</t>
        </r>
      </text>
    </comment>
    <comment ref="B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11069253 5月挂账</t>
        </r>
      </text>
    </comment>
    <comment ref="B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10月报销</t>
        </r>
      </text>
    </comment>
    <comment ref="B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X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M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7/28支付7094</t>
        </r>
      </text>
    </comment>
    <comment ref="C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10/14付</t>
        </r>
      </text>
    </comment>
    <comment ref="C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11/6支付</t>
        </r>
      </text>
    </comment>
    <comment ref="C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12/7支付
12/25支付10937.5</t>
        </r>
      </text>
    </comment>
    <comment ref="B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U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3/31支付</t>
        </r>
      </text>
    </comment>
    <comment ref="CL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
4/28付10万</t>
        </r>
      </text>
    </comment>
    <comment ref="C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7/1支付
7/31支付20万</t>
        </r>
      </text>
    </comment>
    <comment ref="C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9/29付15万</t>
        </r>
      </text>
    </comment>
    <comment ref="C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CL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7/31支付3万</t>
        </r>
      </text>
    </comment>
    <comment ref="C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9/29付3万</t>
        </r>
      </text>
    </comment>
    <comment ref="C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X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CL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7/31支付9000</t>
        </r>
      </text>
    </comment>
    <comment ref="C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CM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2020.5.14支付
2020.5.28支付17万</t>
        </r>
      </text>
    </comment>
    <comment ref="CO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7/3支付+7/31支付10万</t>
        </r>
      </text>
    </comment>
    <comment ref="CQ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</t>
        </r>
      </text>
    </comment>
    <comment ref="CR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</t>
        </r>
      </text>
    </comment>
    <comment ref="C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B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BU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L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7/30支付10万</t>
        </r>
      </text>
    </comment>
    <comment ref="CQ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</t>
        </r>
      </text>
    </comment>
    <comment ref="C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</t>
        </r>
      </text>
    </comment>
    <comment ref="BS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W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10/30支付
</t>
        </r>
      </text>
    </comment>
    <comment ref="B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4/7付款
4/27付：80000</t>
        </r>
      </text>
    </comment>
    <comment ref="C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7/30支付8万</t>
        </r>
      </text>
    </comment>
    <comment ref="C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2月开票377048.5，3月冲红发票</t>
        </r>
      </text>
    </comment>
    <comment ref="B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2月退回的发票重开
5月挂账：01115083 140713.33</t>
        </r>
      </text>
    </comment>
    <comment ref="B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 00973268</t>
        </r>
      </text>
    </comment>
    <comment ref="B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6月挂账6</t>
        </r>
      </text>
    </comment>
    <comment ref="B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7月发票</t>
        </r>
      </text>
    </comment>
    <comment ref="B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4/24付845296.31
</t>
        </r>
      </text>
    </comment>
    <comment ref="C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大众直接回款：39737.45</t>
        </r>
      </text>
    </comment>
    <comment ref="C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BV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C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4/20支付30万</t>
        </r>
      </text>
    </comment>
    <comment ref="C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大众直接回款
</t>
        </r>
      </text>
    </comment>
    <comment ref="CP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6月挂账：76813.83</t>
        </r>
      </text>
    </comment>
    <comment ref="B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B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2020年10月挂账</t>
        </r>
      </text>
    </comment>
    <comment ref="CL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O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7/28支付20万
</t>
        </r>
      </text>
    </comment>
    <comment ref="C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C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3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7/31支付20002</t>
        </r>
      </text>
    </comment>
    <comment ref="BT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10月58534.4</t>
        </r>
      </text>
    </comment>
    <comment ref="BV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N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6/19支付</t>
        </r>
      </text>
    </comment>
    <comment ref="CO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R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退回55234.40
</t>
        </r>
      </text>
    </comment>
    <comment ref="BS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
12月挂10万</t>
        </r>
      </text>
    </comment>
    <comment ref="BU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C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CR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10/16支付
10/30支付5424</t>
        </r>
      </text>
    </comment>
    <comment ref="CT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BU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10月挂账</t>
        </r>
      </text>
    </comment>
    <comment ref="C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10/26付</t>
        </r>
      </text>
    </comment>
    <comment ref="CT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</t>
        </r>
      </text>
    </comment>
    <comment ref="BU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X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10/27支付</t>
        </r>
      </text>
    </comment>
    <comment ref="CT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12月付</t>
        </r>
      </text>
    </comment>
  </commentList>
</comments>
</file>

<file path=xl/comments2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M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3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4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5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X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A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应收应付对冲，大众直接付款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W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X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2021年12月挂账</t>
        </r>
      </text>
    </comment>
    <comment ref="AN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承兑203万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X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12月挂，对冲应收163042.54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  <comment ref="A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西安往来支付河北90万，成都支付的15万</t>
        </r>
      </text>
    </comment>
  </commentList>
</comments>
</file>

<file path=xl/comments6.xml><?xml version="1.0" encoding="utf-8"?>
<comments xmlns="http://schemas.openxmlformats.org/spreadsheetml/2006/main">
  <authors>
    <author>xb21cn</author>
    <author>Administrator</author>
  </authors>
  <commentList>
    <comment ref="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
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U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N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AD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索赔费用，发票开后3月冲红</t>
        </r>
      </text>
    </comment>
    <comment ref="K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
</t>
        </r>
      </text>
    </comment>
    <comment ref="N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2022年9月挂账</t>
        </r>
      </text>
    </comment>
    <comment ref="U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V2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供应商退款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
4月挂账13万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F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大众直付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K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
</t>
        </r>
      </text>
    </comment>
    <comment ref="AL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U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J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K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N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P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AD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E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F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J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V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3月挂戝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V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M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N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S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2022年3月挂账</t>
        </r>
      </text>
    </comment>
    <comment ref="P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V4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T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索赔款</t>
        </r>
      </text>
    </comment>
    <comment ref="M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2022年1月挂账
</t>
        </r>
      </text>
    </comment>
    <comment ref="O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P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W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承兑汇票</t>
        </r>
      </text>
    </comment>
    <comment ref="AM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N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Q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S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U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N5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R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7月挂账</t>
        </r>
      </text>
    </comment>
    <comment ref="T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V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M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互冲351多万</t>
        </r>
      </text>
    </comment>
    <comment ref="O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P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S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E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质量索赔：2.68万，质量索赔发票退回</t>
        </r>
      </text>
    </comment>
  </commentList>
</comments>
</file>

<file path=xl/comments7.xml><?xml version="1.0" encoding="utf-8"?>
<comments xmlns="http://schemas.openxmlformats.org/spreadsheetml/2006/main">
  <authors>
    <author>Administrator</author>
    <author>xb21cn</author>
  </authors>
  <commentList>
    <comment ref="N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2月开票</t>
        </r>
      </text>
    </comment>
    <comment ref="X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AA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W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Y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Y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承兑汇票</t>
        </r>
      </text>
    </comment>
    <comment ref="AN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N11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T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V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Y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2023年2月挂账</t>
        </r>
      </text>
    </comment>
    <comment ref="X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2023年3月挂账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O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P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V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Y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N1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V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0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A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N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A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X22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Z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V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3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N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N2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Y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W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2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</t>
        </r>
      </text>
    </comment>
    <comment ref="Y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2023-6挂</t>
        </r>
      </text>
    </comment>
    <comment ref="S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V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W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V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成都开河北发票</t>
        </r>
      </text>
    </comment>
    <comment ref="Y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M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河北转成都34万</t>
        </r>
      </text>
    </comment>
    <comment ref="X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A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2023/6月挂</t>
        </r>
      </text>
    </comment>
    <comment ref="X3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6月挂</t>
        </r>
      </text>
    </comment>
    <comment ref="X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
</t>
        </r>
      </text>
    </comment>
    <comment ref="Y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X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56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23年5月挂</t>
        </r>
      </text>
    </comment>
    <comment ref="AA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U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2024年1月挂</t>
        </r>
      </text>
    </comment>
    <comment ref="V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2024.01挂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24年1月挂</t>
        </r>
      </text>
    </comment>
    <comment ref="V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</t>
        </r>
      </text>
    </comment>
    <comment ref="V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2024年1月挂</t>
        </r>
      </text>
    </comment>
    <comment ref="T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2024.01挂</t>
        </r>
      </text>
    </comment>
  </commentList>
</comments>
</file>

<file path=xl/sharedStrings.xml><?xml version="1.0" encoding="utf-8"?>
<sst xmlns="http://schemas.openxmlformats.org/spreadsheetml/2006/main" count="4631" uniqueCount="555">
  <si>
    <t>2020年2月应付帐款明细报表</t>
  </si>
  <si>
    <t>供货类别</t>
  </si>
  <si>
    <t>代码</t>
  </si>
  <si>
    <t>供应商名称</t>
  </si>
  <si>
    <t>2018年6月末应付款账面余额（元）</t>
  </si>
  <si>
    <t>2018年7月末应付款账面余额（元）</t>
  </si>
  <si>
    <t>2018年8月末应付款账面余额（元）</t>
  </si>
  <si>
    <t>2018年9月末应付款账面余额（元）</t>
  </si>
  <si>
    <t>2018年10月末应付款账面余额（元）</t>
  </si>
  <si>
    <t>2018年11月末应付款账面余额（元）</t>
  </si>
  <si>
    <t>2018年12月末应付款账面余额（元）</t>
  </si>
  <si>
    <t>2019年1月末应付款账面余额（元）</t>
  </si>
  <si>
    <t>2019年2月末应付款账面余额（元）</t>
  </si>
  <si>
    <t>2019年3月末应付款账面余额（元）</t>
  </si>
  <si>
    <t>2019年4月末应付款账面余额（元）</t>
  </si>
  <si>
    <t>2019年5月末应付款账面余额（元）</t>
  </si>
  <si>
    <t>2019年6月末应付款账面余额（元）</t>
  </si>
  <si>
    <t>2018.7月付款金额（元）</t>
  </si>
  <si>
    <t>2018.8月付款金额（元）</t>
  </si>
  <si>
    <t>2018.9月付款金额（元）</t>
  </si>
  <si>
    <t>2018.10月付款金额（元）</t>
  </si>
  <si>
    <t>2018.11月付款金额（元）</t>
  </si>
  <si>
    <t>2018.12月付款金额（元）</t>
  </si>
  <si>
    <t>2019.1月付款金额（元）</t>
  </si>
  <si>
    <t>2019.2月付款金额（元）</t>
  </si>
  <si>
    <t>2019.3月付款金额（元）</t>
  </si>
  <si>
    <t>2019.4月付款金额（元）</t>
  </si>
  <si>
    <t>2019.5月付款金额（元）</t>
  </si>
  <si>
    <t>2019.6月付款金额（元）</t>
  </si>
  <si>
    <t>2019.7月付款金额（元）</t>
  </si>
  <si>
    <t>2019.8月付款金额（元）</t>
  </si>
  <si>
    <t>2019.9月付款金额（元）</t>
  </si>
  <si>
    <t>2019.10月付款金额（元）</t>
  </si>
  <si>
    <t>2019.11月付款金额（元）</t>
  </si>
  <si>
    <t>发票挂账（元）</t>
  </si>
  <si>
    <t>扣点情况</t>
  </si>
  <si>
    <t>备注</t>
  </si>
  <si>
    <t>支付</t>
  </si>
  <si>
    <t>已支付</t>
  </si>
  <si>
    <t>待支付</t>
  </si>
  <si>
    <t>3月到期付款的</t>
  </si>
  <si>
    <t>账期</t>
  </si>
  <si>
    <t>截止2018年6月到期金额（元）</t>
  </si>
  <si>
    <t>截止2018年7月到期金额（元）</t>
  </si>
  <si>
    <t>截止2018年8月到期金额（元）</t>
  </si>
  <si>
    <t>截止2018年9月到期金额（元）</t>
  </si>
  <si>
    <t>截止2018年10月到期金额（元）</t>
  </si>
  <si>
    <t>截止2018年1月到期金额（元）</t>
  </si>
  <si>
    <t>截止2018年12月到期金额（元）</t>
  </si>
  <si>
    <t>截止2019年1月到期金额（元）</t>
  </si>
  <si>
    <t>截止2019年2月到期金额（元）</t>
  </si>
  <si>
    <t>截止2019年3月到期金额（元）</t>
  </si>
  <si>
    <t>截止2019年4月到期金额（元）</t>
  </si>
  <si>
    <t>截止2019年5月到期金额（元）</t>
  </si>
  <si>
    <t>截止2019年6月到期金额（元）</t>
  </si>
  <si>
    <t>2018年7月挂账金额（元）</t>
  </si>
  <si>
    <t>2018年8月挂账金额（元）</t>
  </si>
  <si>
    <t>2018年9月挂账金额（元）</t>
  </si>
  <si>
    <t>2018年10月挂账金额（元）</t>
  </si>
  <si>
    <t>2018年11月挂账金额（元）</t>
  </si>
  <si>
    <t>2018年12月挂账金额（元）</t>
  </si>
  <si>
    <t>2019年1月挂账金额（元）</t>
  </si>
  <si>
    <t>2019年2月挂账金额（元）</t>
  </si>
  <si>
    <t>2019年3月挂账金额（元）</t>
  </si>
  <si>
    <t>2019年4月挂账金额（元）</t>
  </si>
  <si>
    <t>2019年5月挂账金额（元）</t>
  </si>
  <si>
    <t>6月份挂账金额（元）</t>
  </si>
  <si>
    <t>7月份挂账金额（元）</t>
  </si>
  <si>
    <t>8月份挂账金额（元）</t>
  </si>
  <si>
    <t>9月份挂账金额（元）</t>
  </si>
  <si>
    <t>10月份挂账金额（元）</t>
  </si>
  <si>
    <t>11月份挂账金额（元）</t>
  </si>
  <si>
    <t>12月份挂账金额（元）</t>
  </si>
  <si>
    <t>01月份挂账金额（元）</t>
  </si>
  <si>
    <t>02月份挂账金额（元）</t>
  </si>
  <si>
    <t>合计（元）</t>
  </si>
  <si>
    <t>现金扣点</t>
  </si>
  <si>
    <t>承兑</t>
  </si>
  <si>
    <t>现金</t>
  </si>
  <si>
    <t>支付金额
（元）</t>
  </si>
  <si>
    <t>b</t>
  </si>
  <si>
    <t>货款</t>
  </si>
  <si>
    <t>1911151</t>
  </si>
  <si>
    <t>北京奇美玉隆商贸有限责任公司</t>
  </si>
  <si>
    <t>√</t>
  </si>
  <si>
    <t>60天</t>
  </si>
  <si>
    <t>1912022</t>
  </si>
  <si>
    <t>天津金发新材料有限公司</t>
  </si>
  <si>
    <t>1913118</t>
  </si>
  <si>
    <t>保定市宏腾科技有限公司</t>
  </si>
  <si>
    <t>1922339</t>
  </si>
  <si>
    <t>长春市夸克普精汽车电子有限责</t>
  </si>
  <si>
    <t>1931396A</t>
  </si>
  <si>
    <t>芜湖卓人汽车配件有限公司</t>
  </si>
  <si>
    <t>1931676</t>
  </si>
  <si>
    <t>上海普胜塑胶制品有限公司</t>
  </si>
  <si>
    <t>预付</t>
  </si>
  <si>
    <t>1931677</t>
  </si>
  <si>
    <t>上海鸿扬工贸有限公司</t>
  </si>
  <si>
    <t>1931684</t>
  </si>
  <si>
    <t>开德阜国际贸易（上海）有限公</t>
  </si>
  <si>
    <t>30天</t>
  </si>
  <si>
    <t>1932031</t>
  </si>
  <si>
    <t>江苏海德莱特汽车部件有限公司</t>
  </si>
  <si>
    <t>客户回款</t>
  </si>
  <si>
    <t>1933001</t>
  </si>
  <si>
    <t>宁波市北仑屹昌机械有限公司</t>
  </si>
  <si>
    <t>1933361</t>
  </si>
  <si>
    <t>宁波精成车业有限公司</t>
  </si>
  <si>
    <t>1933511</t>
  </si>
  <si>
    <t>温州万福机电有限公司</t>
  </si>
  <si>
    <t>票到付款</t>
  </si>
  <si>
    <t>1937045</t>
  </si>
  <si>
    <t>烟台美龙汽车部件有限公司</t>
  </si>
  <si>
    <t>1944520</t>
  </si>
  <si>
    <t>中山市华胜汽车部件有限公司</t>
  </si>
  <si>
    <t>1951014</t>
  </si>
  <si>
    <t>成都华力腾汽车部件有限公司</t>
  </si>
  <si>
    <t>L2112</t>
  </si>
  <si>
    <t>纳新塑化（上海）有限公司</t>
  </si>
  <si>
    <t>L2117</t>
  </si>
  <si>
    <t>天津利迪科技发展有限公司</t>
  </si>
  <si>
    <t>L4153</t>
  </si>
  <si>
    <t>上海发之源电器有限公司</t>
  </si>
  <si>
    <t>L4154</t>
  </si>
  <si>
    <t>抚州锐而简实业有限公司</t>
  </si>
  <si>
    <t>L4352</t>
  </si>
  <si>
    <t>上海奔流化工技术有限公司</t>
  </si>
  <si>
    <t>L4392</t>
  </si>
  <si>
    <t>阿诺德紧固件（沈阳）有限公司</t>
  </si>
  <si>
    <t>L4410</t>
  </si>
  <si>
    <t>上海坤达五金制品有限公司</t>
  </si>
  <si>
    <t>L4437</t>
  </si>
  <si>
    <t>法雷奥汽车内部控制（深圳）有</t>
  </si>
  <si>
    <t>加工费</t>
  </si>
  <si>
    <t>世纪华通</t>
  </si>
  <si>
    <t>L4617</t>
  </si>
  <si>
    <t>无锡市汇源机械科技有限公司</t>
  </si>
  <si>
    <t>L4622</t>
  </si>
  <si>
    <t>成都里恩电子科技有限公司</t>
  </si>
  <si>
    <t>1912605</t>
  </si>
  <si>
    <t>天津顺康国际</t>
  </si>
  <si>
    <t>合计</t>
  </si>
  <si>
    <t>制表：</t>
  </si>
  <si>
    <t>审核：</t>
  </si>
  <si>
    <t>已给</t>
  </si>
  <si>
    <t>基地</t>
  </si>
  <si>
    <t>差</t>
  </si>
  <si>
    <t>西安</t>
  </si>
  <si>
    <t>河北</t>
  </si>
  <si>
    <t>根据目前河北实际情况  还需另外增加  800万  因为9、10、11  三个月实际付了两个月的货款</t>
  </si>
  <si>
    <t>潍坊</t>
  </si>
  <si>
    <t>天津</t>
  </si>
  <si>
    <t>北京直接付，具体承兑与现金比例，由天津给北京输入</t>
  </si>
  <si>
    <t>总</t>
  </si>
  <si>
    <t xml:space="preserve"> </t>
  </si>
  <si>
    <t>12月份保证正常交付的前提下，按照杨总预计给河北的资金基础上需要新增800万，才能保证正常供货。</t>
  </si>
  <si>
    <t>2020年12月应付帐款明细报表</t>
  </si>
  <si>
    <t>3月付</t>
  </si>
  <si>
    <t>4月付</t>
  </si>
  <si>
    <t>5月付</t>
  </si>
  <si>
    <t>6月付</t>
  </si>
  <si>
    <t>7月付</t>
  </si>
  <si>
    <t>8月付</t>
  </si>
  <si>
    <t>9月付</t>
  </si>
  <si>
    <t>10月付</t>
  </si>
  <si>
    <t>11月付</t>
  </si>
  <si>
    <t>12月付</t>
  </si>
  <si>
    <t>12月到期付款的</t>
  </si>
  <si>
    <t>03月份挂账金额（元）</t>
  </si>
  <si>
    <t>04月份挂账金额（元）</t>
  </si>
  <si>
    <t>05月份挂账金额（元）</t>
  </si>
  <si>
    <t>06月份挂账金额（元）</t>
  </si>
  <si>
    <t>07月份挂账金额（元）</t>
  </si>
  <si>
    <t>08月份挂账金额（元）</t>
  </si>
  <si>
    <t>09月份挂账金额（元）</t>
  </si>
  <si>
    <t>成都龙洋科技有限公司（华力腾）</t>
  </si>
  <si>
    <t>L4857</t>
  </si>
  <si>
    <t>禹鹤贸易（上海）有限公司</t>
  </si>
  <si>
    <t>L4411</t>
  </si>
  <si>
    <t>北京博路荣国际贸易有限公司</t>
  </si>
  <si>
    <t>1931679</t>
  </si>
  <si>
    <t>上海金山张泾五金弹簧有限公司</t>
  </si>
  <si>
    <t xml:space="preserve">  预付</t>
  </si>
  <si>
    <t>L4878</t>
  </si>
  <si>
    <t>江阴宝曼电子科技有限公司</t>
  </si>
  <si>
    <t>1913037</t>
  </si>
  <si>
    <t>河北光华荣昌汽车部件有限公司</t>
  </si>
  <si>
    <t>2021年10月应付帐款明细报表</t>
  </si>
  <si>
    <t>2020年挂账</t>
  </si>
  <si>
    <t>2021年挂账</t>
  </si>
  <si>
    <t>2021年</t>
  </si>
  <si>
    <t>1月付</t>
  </si>
  <si>
    <t>2月付</t>
  </si>
  <si>
    <t>2020年期末挂账金额（元）</t>
  </si>
  <si>
    <t>202010月份挂账金额（元）</t>
  </si>
  <si>
    <t>202011月份挂账金额（元）</t>
  </si>
  <si>
    <t>202012月份挂账金额（元）</t>
  </si>
  <si>
    <t>2020年应付挂账金额（元）</t>
  </si>
  <si>
    <t>应付挂账金额</t>
  </si>
  <si>
    <t xml:space="preserve">  已付账款金额</t>
  </si>
  <si>
    <t>应付账款金额</t>
  </si>
  <si>
    <t>到期未支付金额</t>
  </si>
  <si>
    <t xml:space="preserve">  账期</t>
  </si>
  <si>
    <t>浙江万福机电科技有限公司</t>
  </si>
  <si>
    <t>成都龙洋科技有限公司</t>
  </si>
  <si>
    <t>成都世纪华通汽车部件有限公司</t>
  </si>
  <si>
    <t>L2076</t>
  </si>
  <si>
    <t>北京明科通业国际贸易有限责任</t>
  </si>
  <si>
    <t>1932596</t>
  </si>
  <si>
    <t>江阴市宏丰塑业有限公司</t>
  </si>
  <si>
    <t>1934710</t>
  </si>
  <si>
    <t>L4749</t>
  </si>
  <si>
    <t>麦格纳（太仓）汽车科技有限公</t>
  </si>
  <si>
    <t>苏州苏宁标准件有限公司</t>
  </si>
  <si>
    <t>1913023</t>
  </si>
  <si>
    <t>海兴中盛弹簧制品有限公司</t>
  </si>
  <si>
    <t>1951035</t>
  </si>
  <si>
    <t>长春力登维科技产业有限公司成都分公司</t>
  </si>
  <si>
    <t>东莞市瑞元工程塑料有限公司</t>
  </si>
  <si>
    <t>上海锦湖日丽</t>
  </si>
  <si>
    <t>2021年11月应付帐款明细报表</t>
  </si>
  <si>
    <t>90天</t>
  </si>
  <si>
    <t>长春力登维科技产业有限公司成</t>
  </si>
  <si>
    <t>1932034</t>
  </si>
  <si>
    <t>江苏福美汽车镜有限公司</t>
  </si>
  <si>
    <t>1912609</t>
  </si>
  <si>
    <t>多宾城汽车部件（天津）有限公</t>
  </si>
  <si>
    <t>1951047</t>
  </si>
  <si>
    <t>上海中鹏岳博实业发展有限公司</t>
  </si>
  <si>
    <t>1922009</t>
  </si>
  <si>
    <t>长春鸿德汽车照明有限公司</t>
  </si>
  <si>
    <t>客供件</t>
  </si>
  <si>
    <t>2021年12月应付帐款明细报表</t>
  </si>
  <si>
    <t>12月付款计划</t>
  </si>
  <si>
    <t>1月付款计划</t>
  </si>
  <si>
    <t>截止12月底应付金额</t>
  </si>
  <si>
    <t>1937004</t>
  </si>
  <si>
    <t>L5254</t>
  </si>
  <si>
    <t>L4409</t>
  </si>
  <si>
    <t>上海锦湖日丽塑料有限公司</t>
  </si>
  <si>
    <t>90天客供件</t>
  </si>
  <si>
    <t>2022年1月应付帐款明细报表</t>
  </si>
  <si>
    <t>2022年</t>
  </si>
  <si>
    <t>7月付款计划</t>
  </si>
  <si>
    <t>2021年期末挂账金额（元）</t>
  </si>
  <si>
    <t>202110月份挂账金额（元）</t>
  </si>
  <si>
    <t>202111月份挂账金额（元）</t>
  </si>
  <si>
    <t>202112月份挂账金额（元）</t>
  </si>
  <si>
    <t>2021年应付挂账金额（元）</t>
  </si>
  <si>
    <t>挂账金额合计</t>
  </si>
  <si>
    <t xml:space="preserve">  已付账款合计金额</t>
  </si>
  <si>
    <t>挂账款金额</t>
  </si>
  <si>
    <t>截止1月底应付金额</t>
  </si>
  <si>
    <t>截止2月底应付金额</t>
  </si>
  <si>
    <t>截止3月底应付金额</t>
  </si>
  <si>
    <t>截止4月底应付金额</t>
  </si>
  <si>
    <t>截止5月底应付金额</t>
  </si>
  <si>
    <t>截止6月底应付金额</t>
  </si>
  <si>
    <t>截止7月底应付金额</t>
  </si>
  <si>
    <t>截止8月底应付金额</t>
  </si>
  <si>
    <t>截止9月底应付金额</t>
  </si>
  <si>
    <t>截止10月底应付金额</t>
  </si>
  <si>
    <t>截止11月底应付金额</t>
  </si>
  <si>
    <r>
      <rPr>
        <sz val="10"/>
        <color theme="2"/>
        <rFont val="微软雅黑"/>
        <charset val="134"/>
      </rPr>
      <t>60天/</t>
    </r>
    <r>
      <rPr>
        <sz val="10"/>
        <rFont val="微软雅黑"/>
        <charset val="134"/>
      </rPr>
      <t>90天22年</t>
    </r>
  </si>
  <si>
    <t>41628-41628</t>
  </si>
  <si>
    <t xml:space="preserve"> 扣41628.00</t>
  </si>
  <si>
    <t>L5273</t>
  </si>
  <si>
    <t>江苏日盈电子股份有限公司</t>
  </si>
  <si>
    <t>会通新材料股份有限公司</t>
  </si>
  <si>
    <t>扣模具费：5500</t>
  </si>
  <si>
    <t>1931704</t>
  </si>
  <si>
    <t>上海努辰金属制品有限公司</t>
  </si>
  <si>
    <t>苏州智华汽车电子有限公司</t>
  </si>
  <si>
    <t>L5389</t>
  </si>
  <si>
    <t>上海博迩森汽车部件有限公司</t>
  </si>
  <si>
    <t>2023年  月应付帐款明细报表</t>
  </si>
  <si>
    <t>2022年挂账</t>
  </si>
  <si>
    <t>2023年挂账</t>
  </si>
  <si>
    <t>2023年</t>
  </si>
  <si>
    <t>月付款计划</t>
  </si>
  <si>
    <t>2022年期末挂账金额（元）</t>
  </si>
  <si>
    <t>202210月份挂账金额（元）</t>
  </si>
  <si>
    <t>202211月份挂账金额（元）</t>
  </si>
  <si>
    <t>202212月份挂账金额（元）</t>
  </si>
  <si>
    <t>2022年应付挂账金额（元）</t>
  </si>
  <si>
    <t/>
  </si>
  <si>
    <t>1935343</t>
  </si>
  <si>
    <t>泉州市福兴塑料五金有限公司</t>
  </si>
  <si>
    <t>L2124</t>
  </si>
  <si>
    <t>西安光华荣昌汽车部件有限公司</t>
  </si>
  <si>
    <t>L5211</t>
  </si>
  <si>
    <t>西安海容塑料制品有限责任公司</t>
  </si>
  <si>
    <t>1913730</t>
  </si>
  <si>
    <t>文安县恒德汽车座椅制造有限公</t>
  </si>
  <si>
    <t>L5258</t>
  </si>
  <si>
    <t>北京美好生活家居用品有限公司</t>
  </si>
  <si>
    <t>1911127</t>
  </si>
  <si>
    <t>北京浦东三浦标准件有限公司</t>
  </si>
  <si>
    <t>1911138</t>
  </si>
  <si>
    <t>北京瑞隆祥模具有限公司</t>
  </si>
  <si>
    <t>1933006</t>
  </si>
  <si>
    <t>杭州阳晨聚氨酯制品有限公司</t>
  </si>
  <si>
    <t>1913025A</t>
  </si>
  <si>
    <t>河北新强力机械制造有限公司</t>
  </si>
  <si>
    <t>黄骅市汇铭汽车部件有限公司</t>
  </si>
  <si>
    <t>1913101</t>
  </si>
  <si>
    <t>黄骅市建昌塑料制品有限公司</t>
  </si>
  <si>
    <t>1913734</t>
  </si>
  <si>
    <t>黄骅市旗锐塑料制品有限公司</t>
  </si>
  <si>
    <t>1913017</t>
  </si>
  <si>
    <t>黄骅市鑫祺汽车配件有限公司</t>
  </si>
  <si>
    <t>1913005</t>
  </si>
  <si>
    <t>黄骅市长生汽车灯镜有限公司</t>
  </si>
  <si>
    <t>L5488</t>
  </si>
  <si>
    <t>厦门市鑫荣飞工贸有限公司</t>
  </si>
  <si>
    <t>L5388</t>
  </si>
  <si>
    <t>上海绽奇汽车部件有限公司</t>
  </si>
  <si>
    <t>L5170</t>
  </si>
  <si>
    <t>上锐（常州）供应链管理有限公</t>
  </si>
  <si>
    <t>1912610</t>
  </si>
  <si>
    <t>天津生隆纤维材料股份有限公司</t>
  </si>
  <si>
    <t>L4896</t>
  </si>
  <si>
    <t>湘乡简美新材料科技有限公司</t>
  </si>
  <si>
    <t>1932348</t>
  </si>
  <si>
    <t>扬州市宏昌气动件制造有限公司</t>
  </si>
  <si>
    <t>1922338</t>
  </si>
  <si>
    <t>长春光华荣昌汽车部件有限公司</t>
  </si>
  <si>
    <t>文安县德实汽车</t>
  </si>
  <si>
    <t>福士汽车零部件（济南）有限公司</t>
  </si>
  <si>
    <t>0</t>
  </si>
  <si>
    <t>新梦顶（上海）贸易有限公司</t>
  </si>
  <si>
    <t>L5615</t>
  </si>
  <si>
    <t>成都康鸿塑胶制品有限公司</t>
  </si>
  <si>
    <t>河北利达金属制品集团有限公司</t>
  </si>
  <si>
    <t>长春市天利得科技有限公司</t>
  </si>
  <si>
    <t>江苏凌派通信科技有限公司</t>
  </si>
  <si>
    <t>吉林省智恒汽车零部件有限公司</t>
  </si>
  <si>
    <t>2023年6月应付帐款明细报表</t>
  </si>
  <si>
    <t>物料</t>
  </si>
  <si>
    <t>截止到2023年6月应付</t>
  </si>
  <si>
    <t>超期应付账款金额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</si>
  <si>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</si>
  <si>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</si>
  <si>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</si>
  <si>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</si>
  <si>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</si>
  <si>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</si>
  <si>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</si>
  <si>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</si>
  <si>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</si>
  <si>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</si>
  <si>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</si>
  <si>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</si>
  <si>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</si>
  <si>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</si>
  <si>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</si>
  <si>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</si>
  <si>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</si>
  <si>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</si>
  <si>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</si>
  <si>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</si>
  <si>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</si>
  <si>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</si>
  <si>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</si>
  <si>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</si>
  <si>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</si>
  <si>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</si>
  <si>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西安的付款方式</t>
  </si>
  <si>
    <t>河北的付款方式</t>
  </si>
  <si>
    <t>加热片</t>
  </si>
  <si>
    <t>三角垫</t>
  </si>
  <si>
    <t>现汇不扣点</t>
  </si>
  <si>
    <t>内镜镜杆、转轴</t>
  </si>
  <si>
    <t>商业承兑</t>
  </si>
  <si>
    <t>调节机芯</t>
  </si>
  <si>
    <t>铜螺母</t>
  </si>
  <si>
    <t>外镜镜片</t>
  </si>
  <si>
    <t>线束</t>
  </si>
  <si>
    <t>弹簧、阻尼片</t>
  </si>
  <si>
    <t xml:space="preserve"> 扣41628.00(一直未处理）</t>
  </si>
  <si>
    <t>螺钉</t>
  </si>
  <si>
    <t>球头弹卡</t>
  </si>
  <si>
    <t>转向灯照地灯LOGO灯</t>
  </si>
  <si>
    <t>客户直接付款</t>
  </si>
  <si>
    <t>摄像头</t>
  </si>
  <si>
    <t>高配转轴、三角座</t>
  </si>
  <si>
    <t>电折机芯</t>
  </si>
  <si>
    <t>弹簧</t>
  </si>
  <si>
    <t>昼夜安装弹片</t>
  </si>
  <si>
    <t>下镜壳合件</t>
  </si>
  <si>
    <t>大众指定供应商</t>
  </si>
  <si>
    <t>阻尼片、弹簧</t>
  </si>
  <si>
    <t>内镜镜片</t>
  </si>
  <si>
    <t>安全带</t>
  </si>
  <si>
    <t>座椅泡沫</t>
  </si>
  <si>
    <t>罩壳</t>
  </si>
  <si>
    <t>面罩、注塑件</t>
  </si>
  <si>
    <t xml:space="preserve"> 承兑或现汇 </t>
  </si>
  <si>
    <t>承兑/现汇</t>
  </si>
  <si>
    <t>现汇扣3%</t>
  </si>
  <si>
    <t xml:space="preserve"> 座椅底支架 </t>
  </si>
  <si>
    <t xml:space="preserve"> 现汇不折点 </t>
  </si>
  <si>
    <t>不扣点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</si>
  <si>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</si>
  <si>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</si>
  <si>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</si>
  <si>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</si>
  <si>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</si>
  <si>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</si>
  <si>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</si>
  <si>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</si>
  <si>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</si>
  <si>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</si>
  <si>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</si>
  <si>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</si>
  <si>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</si>
  <si>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</si>
  <si>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>现汇扣其他点</t>
  </si>
  <si>
    <t xml:space="preserve"> 布套 </t>
  </si>
  <si>
    <t xml:space="preserve"> 气弹簧总成 </t>
  </si>
  <si>
    <t>60/9022年</t>
  </si>
  <si>
    <t>2023年12月应付帐款明细报表</t>
  </si>
  <si>
    <t>分类</t>
  </si>
  <si>
    <t>集团付款规则</t>
  </si>
  <si>
    <t>截止到2023年12月应付</t>
  </si>
  <si>
    <t>后视镜</t>
  </si>
  <si>
    <t>内镜</t>
  </si>
  <si>
    <t>座椅</t>
  </si>
  <si>
    <t>后视镜/内镜/座椅</t>
  </si>
  <si>
    <t>安装弹片</t>
  </si>
  <si>
    <t>注塑件</t>
  </si>
  <si>
    <t>2024年应付帐款明细报表</t>
  </si>
  <si>
    <t>2024年挂账</t>
  </si>
  <si>
    <t>2024年付款</t>
  </si>
  <si>
    <t>2022年1月应付</t>
  </si>
  <si>
    <t>S413078</t>
  </si>
  <si>
    <t>文安县德实汽车配件有限公司</t>
  </si>
  <si>
    <t>1931024</t>
  </si>
  <si>
    <t>S413161</t>
  </si>
  <si>
    <t>1922374</t>
  </si>
  <si>
    <t>L5650</t>
  </si>
  <si>
    <t>L5597</t>
  </si>
  <si>
    <t>1913717</t>
  </si>
  <si>
    <t>黄骅汇铭汽车部件有限公司</t>
  </si>
  <si>
    <t>S437058</t>
  </si>
  <si>
    <t>福士洗车零部件（济南）有限公</t>
  </si>
  <si>
    <t>1913733</t>
  </si>
  <si>
    <t>廊坊市东平汽车配件有限公司</t>
  </si>
  <si>
    <t>L5672</t>
  </si>
  <si>
    <t>欣瑞联电子（肇庆）有限公司</t>
  </si>
  <si>
    <t>吉林省德邦汽车电子有限公司</t>
  </si>
  <si>
    <t>成都怡帆纸制品有限公司</t>
  </si>
  <si>
    <t>2024年3月应付帐款明细报表</t>
  </si>
  <si>
    <t>4月付款计划</t>
  </si>
  <si>
    <t>十分紧急</t>
  </si>
  <si>
    <t>月底前</t>
  </si>
  <si>
    <t>截止到2024年3月应付</t>
  </si>
  <si>
    <t>2024年1月应付</t>
  </si>
  <si>
    <t>2024年2月应付</t>
  </si>
  <si>
    <t>2024年3月应付</t>
  </si>
  <si>
    <t>2024年4月应付</t>
  </si>
  <si>
    <t>2024年5月应付</t>
  </si>
  <si>
    <t>2024年6月应付</t>
  </si>
  <si>
    <t>2024年7月应付</t>
  </si>
  <si>
    <t>2024年8月应付</t>
  </si>
  <si>
    <t>2024年9月应付</t>
  </si>
  <si>
    <t>2024年10月应付</t>
  </si>
  <si>
    <t>2024年11月应付</t>
  </si>
  <si>
    <t>2024年12月应付</t>
  </si>
  <si>
    <t>316后视镜电折机芯，超期时间太长，担心诉讼</t>
  </si>
  <si>
    <t>316后视镜线束，担心诉讼</t>
  </si>
  <si>
    <t>暂缓，货款用来解决发之源</t>
  </si>
  <si>
    <t>311已经影响河北生产</t>
  </si>
  <si>
    <t>河北B41，311后视镜共用，到期款支付后才给生产发货</t>
  </si>
  <si>
    <t>影响河北生产</t>
  </si>
  <si>
    <t>有诉讼风险，影响河北311生产</t>
  </si>
  <si>
    <t>扣除完模具款再支付，郭林凤周一确认金额</t>
  </si>
  <si>
    <t>支付到期款后，才给河北发货涉及到B40 311</t>
  </si>
  <si>
    <t>支付15万才给排产发货，影响河北生产</t>
  </si>
  <si>
    <t>大众指定供应商，客户直接付</t>
  </si>
  <si>
    <t>有涉诉风险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</si>
  <si>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</si>
  <si>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</si>
  <si>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</si>
  <si>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</si>
  <si>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</si>
  <si>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</si>
  <si>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</si>
  <si>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</si>
  <si>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</si>
  <si>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</si>
  <si>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</si>
  <si>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</si>
  <si>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</si>
  <si>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2202</t>
  </si>
  <si>
    <t>应付账款</t>
  </si>
  <si>
    <t>CNY</t>
  </si>
  <si>
    <t>贷</t>
  </si>
  <si>
    <t>北京光华荣昌汽车部件有限公司</t>
  </si>
  <si>
    <t>平</t>
  </si>
  <si>
    <t>北京东方华康自动化设备有限公</t>
  </si>
  <si>
    <t>宝瑞龙高分子材料（天津）股份</t>
  </si>
  <si>
    <t>天津市天龙得冷成型部件有限公</t>
  </si>
  <si>
    <t>天津光华智能汽车科技有限公司</t>
  </si>
  <si>
    <t>上海协佑国际贸易有限公司</t>
  </si>
  <si>
    <t>江苏海德莱特智能科技股份有限</t>
  </si>
  <si>
    <t>徐州华夏电子有限公司</t>
  </si>
  <si>
    <t>浙江松原汽车安全系统股份有限</t>
  </si>
  <si>
    <t>重庆和悦塑胶有限公司</t>
  </si>
  <si>
    <t>重庆澳普包装有限公司</t>
  </si>
  <si>
    <t>成都市鑫利环保设备有限公司</t>
  </si>
  <si>
    <t>四川创利达机械设备有限公司</t>
  </si>
  <si>
    <t>成都永鑫新材料有限公司</t>
  </si>
  <si>
    <t>成都丽锦光华包装材料有限公司</t>
  </si>
  <si>
    <t>北京长飞亚机械销售有限公</t>
  </si>
  <si>
    <t>宁波大榭开发区港盛物流有限公</t>
  </si>
  <si>
    <t>四川吉尔思金属制品有限公司</t>
  </si>
  <si>
    <t>东莞市正亚机械设备有限公司</t>
  </si>
  <si>
    <t>上海量光科技有限公司</t>
  </si>
  <si>
    <t>成都海塑机械有限公司</t>
  </si>
  <si>
    <t>天津市信易电热设备有限公司</t>
  </si>
  <si>
    <t>宁波华川物流有限公司</t>
  </si>
  <si>
    <t>成都丹珠智能仓储设备有限公司</t>
  </si>
  <si>
    <t>成都瑞特斯机电工程有限公司</t>
  </si>
  <si>
    <t>上海斯奉电子科技有限公司</t>
  </si>
  <si>
    <t>成都军航包装有限公司</t>
  </si>
  <si>
    <t>四川华宸宇建筑有限公司</t>
  </si>
  <si>
    <t>成都广泓进商贸有限公司</t>
  </si>
  <si>
    <t>成都京之东电器销售有限责任公</t>
  </si>
  <si>
    <t>成都德生源商贸有限公司</t>
  </si>
  <si>
    <t>四川顺丰速运有限公司</t>
  </si>
  <si>
    <t>成都泽奇汽车零部件有限公司</t>
  </si>
  <si>
    <t>上海华夏邓白氏商业信息咨询有</t>
  </si>
  <si>
    <t>天津融通凤达电线电缆销售有限</t>
  </si>
  <si>
    <t>龙泉驿区西河镇九彩建材商贸行</t>
  </si>
  <si>
    <t>成都森宝利商贸有限公司</t>
  </si>
  <si>
    <t>成都腾达跃电子科技有限公司</t>
  </si>
  <si>
    <t>重庆胜伟维德赫华翔汽车零部件</t>
  </si>
  <si>
    <t>东莞市樟木头瑞祥塑胶原料</t>
  </si>
  <si>
    <t>深圳市晶立泰机械配件有限公司</t>
  </si>
  <si>
    <t>成都兴德隆科技有限公司</t>
  </si>
  <si>
    <t>上海绒彧贸易有限公司</t>
  </si>
  <si>
    <t>常州市鹏逸汽车附件有限公司</t>
  </si>
  <si>
    <t>220201</t>
  </si>
  <si>
    <t>应付账款-暂估</t>
  </si>
  <si>
    <t>BC02</t>
  </si>
  <si>
    <t>CH30</t>
  </si>
  <si>
    <t>CH33</t>
  </si>
  <si>
    <t>CH41</t>
  </si>
  <si>
    <t>CH43</t>
  </si>
  <si>
    <t>CH44</t>
  </si>
  <si>
    <t>YC02</t>
  </si>
  <si>
    <t>YC06</t>
  </si>
  <si>
    <t>YC09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</si>
</sst>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,##0.00"/>
    <numFmt numFmtId="177" formatCode="General&quot;天&quot;"/>
    <numFmt numFmtId="178" formatCode="#,##0.00_ "/>
    <numFmt numFmtId="179" formatCode="#,##0.00_);[Red]\(#,##0.00\)"/>
    <numFmt numFmtId="180" formatCode="_-* #,##0.00_-;\-* #,##0.00_-;_-* &quot;-&quot;??_-;_-@_-"/>
    <numFmt numFmtId="181" formatCode="&quot;索赔&quot;_ * #,##0.00_ ;_ * \-#,##0.00_ ;_ * &quot;-&quot;??_ ;_ @_ "/>
    <numFmt numFmtId="182" formatCode="#,###,###,###.00"/>
  </numFmts>
  <fonts count="54">
    <font>
      <sz val="11"/>
      <color theme="1"/>
      <name val="宋体"/>
      <charset val="134"/>
      <scheme val="minor"/>
    </font>
    <font>
      <sz val="10"/>
      <color indexed="0"/>
      <name val="Arial"/>
      <charset val="134"/>
    </font>
    <font>
      <sz val="8.25"/>
      <color indexed="0"/>
      <name val="Microsoft Sans Serif"/>
      <charset val="134"/>
    </font>
    <font>
      <sz val="8.25"/>
      <color indexed="4"/>
      <name val="Microsoft Sans Serif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b/>
      <sz val="16"/>
      <name val="微软雅黑"/>
      <charset val="134"/>
    </font>
    <font>
      <b/>
      <sz val="10"/>
      <name val="微软雅黑"/>
      <charset val="134"/>
    </font>
    <font>
      <b/>
      <sz val="10"/>
      <color rgb="FF002060"/>
      <name val="微软雅黑"/>
      <charset val="134"/>
    </font>
    <font>
      <sz val="11"/>
      <name val="宋体"/>
      <charset val="134"/>
      <scheme val="minor"/>
    </font>
    <font>
      <b/>
      <sz val="10"/>
      <color rgb="FFFF0000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0"/>
      <color theme="9" tint="-0.499984740745262"/>
      <name val="微软雅黑"/>
      <charset val="134"/>
    </font>
    <font>
      <sz val="11"/>
      <name val="微软雅黑"/>
      <charset val="134"/>
    </font>
    <font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name val="微软雅黑"/>
      <charset val="134"/>
    </font>
    <font>
      <b/>
      <sz val="8"/>
      <name val="微软雅黑"/>
      <charset val="134"/>
    </font>
    <font>
      <b/>
      <sz val="8"/>
      <color rgb="FF002060"/>
      <name val="微软雅黑"/>
      <charset val="134"/>
    </font>
    <font>
      <sz val="8"/>
      <name val="宋体"/>
      <charset val="134"/>
      <scheme val="minor"/>
    </font>
    <font>
      <sz val="8"/>
      <color rgb="FFFF0000"/>
      <name val="微软雅黑"/>
      <charset val="134"/>
    </font>
    <font>
      <b/>
      <sz val="8"/>
      <color rgb="FFFF0000"/>
      <name val="宋体"/>
      <charset val="134"/>
      <scheme val="minor"/>
    </font>
    <font>
      <sz val="8"/>
      <color theme="1"/>
      <name val="微软雅黑"/>
      <charset val="134"/>
    </font>
    <font>
      <b/>
      <sz val="8"/>
      <color theme="9" tint="-0.499984740745262"/>
      <name val="微软雅黑"/>
      <charset val="134"/>
    </font>
    <font>
      <b/>
      <sz val="8"/>
      <color rgb="FFFF0000"/>
      <name val="微软雅黑"/>
      <charset val="134"/>
    </font>
    <font>
      <b/>
      <sz val="8"/>
      <color theme="1"/>
      <name val="宋体"/>
      <charset val="134"/>
      <scheme val="minor"/>
    </font>
    <font>
      <sz val="10"/>
      <color rgb="FF002060"/>
      <name val="微软雅黑"/>
      <charset val="134"/>
    </font>
    <font>
      <sz val="11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2"/>
      <name val="微软雅黑"/>
      <charset val="134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rgb="FF93E31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6" borderId="5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56" applyNumberFormat="0" applyFill="0" applyAlignment="0" applyProtection="0">
      <alignment vertical="center"/>
    </xf>
    <xf numFmtId="0" fontId="38" fillId="0" borderId="56" applyNumberFormat="0" applyFill="0" applyAlignment="0" applyProtection="0">
      <alignment vertical="center"/>
    </xf>
    <xf numFmtId="0" fontId="39" fillId="0" borderId="5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7" borderId="58" applyNumberFormat="0" applyAlignment="0" applyProtection="0">
      <alignment vertical="center"/>
    </xf>
    <xf numFmtId="0" fontId="41" fillId="18" borderId="59" applyNumberFormat="0" applyAlignment="0" applyProtection="0">
      <alignment vertical="center"/>
    </xf>
    <xf numFmtId="0" fontId="42" fillId="18" borderId="58" applyNumberFormat="0" applyAlignment="0" applyProtection="0">
      <alignment vertical="center"/>
    </xf>
    <xf numFmtId="0" fontId="43" fillId="19" borderId="60" applyNumberFormat="0" applyAlignment="0" applyProtection="0">
      <alignment vertical="center"/>
    </xf>
    <xf numFmtId="0" fontId="44" fillId="0" borderId="61" applyNumberFormat="0" applyFill="0" applyAlignment="0" applyProtection="0">
      <alignment vertical="center"/>
    </xf>
    <xf numFmtId="0" fontId="45" fillId="0" borderId="62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0" fillId="0" borderId="0" applyFont="0" applyFill="0" applyBorder="0" applyAlignment="0" applyProtection="0">
      <alignment vertical="center"/>
    </xf>
  </cellStyleXfs>
  <cellXfs count="463">
    <xf numFmtId="0" fontId="0" fillId="0" borderId="0" xfId="0">
      <alignment vertical="center"/>
    </xf>
    <xf numFmtId="0" fontId="1" fillId="0" borderId="0" xfId="0" applyFont="1" applyAlignment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76" fontId="2" fillId="0" borderId="2" xfId="0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176" fontId="2" fillId="2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shrinkToFit="1"/>
    </xf>
    <xf numFmtId="0" fontId="4" fillId="3" borderId="0" xfId="0" applyFont="1" applyFill="1" applyAlignment="1">
      <alignment horizontal="left" vertical="center"/>
    </xf>
    <xf numFmtId="177" fontId="4" fillId="3" borderId="0" xfId="0" applyNumberFormat="1" applyFont="1" applyFill="1" applyAlignment="1">
      <alignment horizontal="left" vertical="center"/>
    </xf>
    <xf numFmtId="178" fontId="4" fillId="3" borderId="0" xfId="0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 wrapText="1"/>
    </xf>
    <xf numFmtId="43" fontId="4" fillId="3" borderId="0" xfId="0" applyNumberFormat="1" applyFont="1" applyFill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7" fontId="8" fillId="3" borderId="0" xfId="1" applyNumberFormat="1" applyFont="1" applyFill="1" applyBorder="1" applyAlignment="1">
      <alignment horizontal="center" vertical="center"/>
    </xf>
    <xf numFmtId="178" fontId="7" fillId="3" borderId="0" xfId="0" applyNumberFormat="1" applyFont="1" applyFill="1" applyAlignment="1">
      <alignment horizontal="right" vertical="center"/>
    </xf>
    <xf numFmtId="49" fontId="4" fillId="4" borderId="4" xfId="0" applyNumberFormat="1" applyFont="1" applyFill="1" applyBorder="1" applyAlignment="1">
      <alignment horizontal="center" vertical="center" wrapText="1" shrinkToFi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6" xfId="0" applyNumberFormat="1" applyFont="1" applyFill="1" applyBorder="1" applyAlignment="1">
      <alignment horizontal="center" vertical="center" wrapText="1"/>
    </xf>
    <xf numFmtId="177" fontId="4" fillId="4" borderId="7" xfId="0" applyNumberFormat="1" applyFont="1" applyFill="1" applyBorder="1" applyAlignment="1">
      <alignment horizontal="center" vertical="center" wrapText="1"/>
    </xf>
    <xf numFmtId="179" fontId="4" fillId="4" borderId="8" xfId="0" applyNumberFormat="1" applyFont="1" applyFill="1" applyBorder="1" applyAlignment="1">
      <alignment horizontal="center" vertical="center" wrapText="1"/>
    </xf>
    <xf numFmtId="178" fontId="4" fillId="4" borderId="8" xfId="0" applyNumberFormat="1" applyFont="1" applyFill="1" applyBorder="1" applyAlignment="1">
      <alignment horizontal="right" vertical="center" wrapText="1"/>
    </xf>
    <xf numFmtId="49" fontId="4" fillId="4" borderId="9" xfId="0" applyNumberFormat="1" applyFont="1" applyFill="1" applyBorder="1" applyAlignment="1">
      <alignment horizontal="center" vertical="center" wrapText="1" shrinkToFi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177" fontId="4" fillId="4" borderId="12" xfId="1" applyNumberFormat="1" applyFont="1" applyFill="1" applyBorder="1" applyAlignment="1">
      <alignment horizontal="center" vertical="center" wrapText="1"/>
    </xf>
    <xf numFmtId="179" fontId="8" fillId="5" borderId="13" xfId="0" applyNumberFormat="1" applyFont="1" applyFill="1" applyBorder="1" applyAlignment="1">
      <alignment horizontal="center" vertical="center" wrapText="1"/>
    </xf>
    <xf numFmtId="178" fontId="4" fillId="4" borderId="13" xfId="0" applyNumberFormat="1" applyFont="1" applyFill="1" applyBorder="1" applyAlignment="1">
      <alignment horizontal="right" vertical="center" wrapText="1"/>
    </xf>
    <xf numFmtId="43" fontId="4" fillId="4" borderId="14" xfId="1" applyFont="1" applyFill="1" applyBorder="1" applyAlignment="1">
      <alignment horizontal="center" vertical="center" wrapText="1"/>
    </xf>
    <xf numFmtId="179" fontId="8" fillId="5" borderId="15" xfId="0" applyNumberFormat="1" applyFont="1" applyFill="1" applyBorder="1" applyAlignment="1">
      <alignment horizontal="center" vertical="center" wrapText="1"/>
    </xf>
    <xf numFmtId="178" fontId="4" fillId="4" borderId="15" xfId="0" applyNumberFormat="1" applyFont="1" applyFill="1" applyBorder="1" applyAlignment="1">
      <alignment horizontal="right" vertical="center" wrapText="1"/>
    </xf>
    <xf numFmtId="0" fontId="4" fillId="6" borderId="11" xfId="0" applyFont="1" applyFill="1" applyBorder="1" applyAlignment="1">
      <alignment horizontal="center" vertical="center" shrinkToFit="1"/>
    </xf>
    <xf numFmtId="0" fontId="4" fillId="6" borderId="11" xfId="0" applyFont="1" applyFill="1" applyBorder="1" applyAlignment="1">
      <alignment horizontal="left" vertical="center"/>
    </xf>
    <xf numFmtId="177" fontId="4" fillId="0" borderId="16" xfId="0" applyNumberFormat="1" applyFont="1" applyBorder="1" applyAlignment="1">
      <alignment horizontal="left" vertical="center"/>
    </xf>
    <xf numFmtId="180" fontId="8" fillId="7" borderId="11" xfId="0" applyNumberFormat="1" applyFont="1" applyFill="1" applyBorder="1" applyAlignment="1">
      <alignment horizontal="center" vertical="center" wrapText="1"/>
    </xf>
    <xf numFmtId="178" fontId="8" fillId="0" borderId="11" xfId="0" applyNumberFormat="1" applyFont="1" applyBorder="1" applyAlignment="1">
      <alignment horizontal="right" vertical="center" wrapText="1"/>
    </xf>
    <xf numFmtId="43" fontId="9" fillId="8" borderId="11" xfId="0" applyNumberFormat="1" applyFont="1" applyFill="1" applyBorder="1" applyAlignment="1">
      <alignment horizontal="left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/>
    </xf>
    <xf numFmtId="177" fontId="10" fillId="0" borderId="16" xfId="5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shrinkToFit="1"/>
    </xf>
    <xf numFmtId="177" fontId="4" fillId="0" borderId="17" xfId="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left" vertical="center"/>
    </xf>
    <xf numFmtId="177" fontId="5" fillId="0" borderId="16" xfId="0" applyNumberFormat="1" applyFont="1" applyBorder="1" applyAlignment="1">
      <alignment horizontal="left" vertical="center"/>
    </xf>
    <xf numFmtId="180" fontId="11" fillId="7" borderId="11" xfId="0" applyNumberFormat="1" applyFont="1" applyFill="1" applyBorder="1" applyAlignment="1">
      <alignment horizontal="center" vertical="center" wrapText="1"/>
    </xf>
    <xf numFmtId="178" fontId="11" fillId="0" borderId="11" xfId="0" applyNumberFormat="1" applyFont="1" applyBorder="1" applyAlignment="1">
      <alignment horizontal="right" vertical="center" wrapText="1"/>
    </xf>
    <xf numFmtId="0" fontId="4" fillId="0" borderId="18" xfId="0" applyFont="1" applyBorder="1" applyAlignment="1">
      <alignment horizontal="left" vertical="center"/>
    </xf>
    <xf numFmtId="177" fontId="12" fillId="6" borderId="16" xfId="50" applyNumberFormat="1" applyFont="1" applyFill="1" applyBorder="1" applyAlignment="1">
      <alignment vertical="center"/>
    </xf>
    <xf numFmtId="0" fontId="4" fillId="0" borderId="19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left" vertical="center"/>
    </xf>
    <xf numFmtId="177" fontId="4" fillId="0" borderId="20" xfId="0" applyNumberFormat="1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43" fontId="13" fillId="0" borderId="23" xfId="0" applyNumberFormat="1" applyFont="1" applyBorder="1" applyAlignment="1">
      <alignment horizontal="left" vertical="center"/>
    </xf>
    <xf numFmtId="177" fontId="4" fillId="3" borderId="0" xfId="1" applyNumberFormat="1" applyFont="1" applyFill="1" applyBorder="1" applyAlignment="1">
      <alignment horizontal="center" vertical="center" wrapText="1"/>
    </xf>
    <xf numFmtId="43" fontId="4" fillId="3" borderId="0" xfId="1" applyFont="1" applyFill="1" applyBorder="1" applyAlignment="1">
      <alignment horizontal="center" vertical="center" wrapText="1"/>
    </xf>
    <xf numFmtId="178" fontId="4" fillId="3" borderId="0" xfId="1" applyNumberFormat="1" applyFont="1" applyFill="1" applyBorder="1" applyAlignment="1">
      <alignment horizontal="right" vertical="center" wrapText="1"/>
    </xf>
    <xf numFmtId="0" fontId="14" fillId="3" borderId="0" xfId="0" applyFont="1" applyFill="1" applyAlignment="1">
      <alignment horizontal="left" vertical="center"/>
    </xf>
    <xf numFmtId="177" fontId="14" fillId="3" borderId="0" xfId="0" applyNumberFormat="1" applyFont="1" applyFill="1" applyAlignment="1">
      <alignment horizontal="left" vertical="center"/>
    </xf>
    <xf numFmtId="43" fontId="8" fillId="3" borderId="0" xfId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center" vertical="center" wrapText="1"/>
    </xf>
    <xf numFmtId="43" fontId="4" fillId="8" borderId="14" xfId="1" applyFont="1" applyFill="1" applyBorder="1" applyAlignment="1">
      <alignment horizontal="center" vertical="center" wrapText="1"/>
    </xf>
    <xf numFmtId="43" fontId="4" fillId="0" borderId="20" xfId="0" applyNumberFormat="1" applyFont="1" applyBorder="1" applyAlignment="1">
      <alignment horizontal="center" vertical="center" wrapText="1"/>
    </xf>
    <xf numFmtId="43" fontId="4" fillId="8" borderId="0" xfId="1" applyFont="1" applyFill="1" applyBorder="1" applyAlignment="1">
      <alignment horizontal="center" vertical="center" wrapText="1"/>
    </xf>
    <xf numFmtId="43" fontId="8" fillId="3" borderId="0" xfId="1" applyFont="1" applyFill="1" applyAlignment="1">
      <alignment horizontal="center" vertical="center"/>
    </xf>
    <xf numFmtId="43" fontId="4" fillId="9" borderId="14" xfId="1" applyFont="1" applyFill="1" applyBorder="1" applyAlignment="1">
      <alignment horizontal="center" vertical="center" wrapText="1"/>
    </xf>
    <xf numFmtId="43" fontId="4" fillId="3" borderId="0" xfId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/>
    </xf>
    <xf numFmtId="180" fontId="8" fillId="0" borderId="26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horizontal="center" vertical="center"/>
    </xf>
    <xf numFmtId="43" fontId="4" fillId="0" borderId="25" xfId="0" applyNumberFormat="1" applyFont="1" applyBorder="1" applyAlignment="1">
      <alignment horizontal="center" vertical="center" wrapText="1"/>
    </xf>
    <xf numFmtId="180" fontId="8" fillId="0" borderId="18" xfId="0" applyNumberFormat="1" applyFont="1" applyBorder="1" applyAlignment="1">
      <alignment horizontal="center" vertical="center" wrapText="1"/>
    </xf>
    <xf numFmtId="43" fontId="4" fillId="0" borderId="19" xfId="0" applyNumberFormat="1" applyFont="1" applyBorder="1" applyAlignment="1">
      <alignment horizontal="center" vertical="center" wrapText="1"/>
    </xf>
    <xf numFmtId="43" fontId="4" fillId="0" borderId="28" xfId="0" applyNumberFormat="1" applyFont="1" applyBorder="1" applyAlignment="1">
      <alignment horizontal="center" vertical="center" wrapText="1"/>
    </xf>
    <xf numFmtId="43" fontId="4" fillId="10" borderId="27" xfId="0" applyNumberFormat="1" applyFont="1" applyFill="1" applyBorder="1" applyAlignment="1">
      <alignment horizontal="center" vertical="center"/>
    </xf>
    <xf numFmtId="180" fontId="11" fillId="0" borderId="18" xfId="0" applyNumberFormat="1" applyFont="1" applyBorder="1" applyAlignment="1">
      <alignment horizontal="center" vertical="center" wrapText="1"/>
    </xf>
    <xf numFmtId="43" fontId="5" fillId="0" borderId="19" xfId="0" applyNumberFormat="1" applyFont="1" applyBorder="1" applyAlignment="1">
      <alignment horizontal="center" vertical="center" wrapText="1"/>
    </xf>
    <xf numFmtId="178" fontId="5" fillId="0" borderId="27" xfId="0" applyNumberFormat="1" applyFont="1" applyBorder="1" applyAlignment="1">
      <alignment horizontal="center" vertical="center"/>
    </xf>
    <xf numFmtId="43" fontId="5" fillId="0" borderId="28" xfId="0" applyNumberFormat="1" applyFont="1" applyBorder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/>
    </xf>
    <xf numFmtId="43" fontId="4" fillId="10" borderId="0" xfId="0" applyNumberFormat="1" applyFont="1" applyFill="1" applyAlignment="1">
      <alignment horizontal="center" vertical="center"/>
    </xf>
    <xf numFmtId="43" fontId="4" fillId="10" borderId="29" xfId="0" applyNumberFormat="1" applyFont="1" applyFill="1" applyBorder="1" applyAlignment="1">
      <alignment horizontal="center" vertical="center"/>
    </xf>
    <xf numFmtId="180" fontId="6" fillId="7" borderId="23" xfId="1" applyNumberFormat="1" applyFont="1" applyFill="1" applyBorder="1" applyAlignment="1">
      <alignment horizontal="center" vertical="center" wrapText="1"/>
    </xf>
    <xf numFmtId="43" fontId="4" fillId="10" borderId="30" xfId="0" applyNumberFormat="1" applyFont="1" applyFill="1" applyBorder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43" fontId="5" fillId="10" borderId="27" xfId="0" applyNumberFormat="1" applyFont="1" applyFill="1" applyBorder="1" applyAlignment="1">
      <alignment horizontal="center" vertical="center"/>
    </xf>
    <xf numFmtId="43" fontId="5" fillId="0" borderId="0" xfId="0" applyNumberFormat="1" applyFont="1" applyAlignment="1">
      <alignment horizontal="center" vertical="center"/>
    </xf>
    <xf numFmtId="177" fontId="4" fillId="3" borderId="0" xfId="0" applyNumberFormat="1" applyFont="1" applyFill="1" applyAlignment="1">
      <alignment horizontal="center" vertical="center"/>
    </xf>
    <xf numFmtId="43" fontId="4" fillId="3" borderId="0" xfId="0" applyNumberFormat="1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15" fillId="0" borderId="0" xfId="0" applyFont="1">
      <alignment vertical="center"/>
    </xf>
    <xf numFmtId="0" fontId="15" fillId="11" borderId="0" xfId="0" applyFont="1" applyFill="1">
      <alignment vertical="center"/>
    </xf>
    <xf numFmtId="0" fontId="16" fillId="0" borderId="0" xfId="0" applyFont="1" applyAlignment="1">
      <alignment vertical="center" wrapText="1"/>
    </xf>
    <xf numFmtId="43" fontId="17" fillId="11" borderId="0" xfId="0" applyNumberFormat="1" applyFont="1" applyFill="1">
      <alignment vertical="center"/>
    </xf>
    <xf numFmtId="43" fontId="17" fillId="6" borderId="0" xfId="0" applyNumberFormat="1" applyFont="1" applyFill="1">
      <alignment vertical="center"/>
    </xf>
    <xf numFmtId="0" fontId="18" fillId="3" borderId="0" xfId="0" applyFont="1" applyFill="1" applyAlignment="1">
      <alignment horizontal="center" vertical="center"/>
    </xf>
    <xf numFmtId="49" fontId="18" fillId="4" borderId="9" xfId="0" applyNumberFormat="1" applyFont="1" applyFill="1" applyBorder="1" applyAlignment="1">
      <alignment horizontal="center" vertical="center" wrapText="1" shrinkToFit="1"/>
    </xf>
    <xf numFmtId="49" fontId="18" fillId="4" borderId="10" xfId="0" applyNumberFormat="1" applyFont="1" applyFill="1" applyBorder="1" applyAlignment="1">
      <alignment horizontal="center" vertical="center" wrapText="1"/>
    </xf>
    <xf numFmtId="49" fontId="18" fillId="4" borderId="11" xfId="0" applyNumberFormat="1" applyFont="1" applyFill="1" applyBorder="1" applyAlignment="1">
      <alignment horizontal="center" vertical="center" wrapText="1"/>
    </xf>
    <xf numFmtId="177" fontId="18" fillId="4" borderId="12" xfId="1" applyNumberFormat="1" applyFont="1" applyFill="1" applyBorder="1" applyAlignment="1">
      <alignment horizontal="center" vertical="center" wrapText="1"/>
    </xf>
    <xf numFmtId="179" fontId="19" fillId="5" borderId="13" xfId="0" applyNumberFormat="1" applyFont="1" applyFill="1" applyBorder="1" applyAlignment="1">
      <alignment horizontal="center" vertical="center" wrapText="1"/>
    </xf>
    <xf numFmtId="178" fontId="18" fillId="4" borderId="13" xfId="0" applyNumberFormat="1" applyFont="1" applyFill="1" applyBorder="1" applyAlignment="1">
      <alignment horizontal="right" vertical="center" wrapText="1"/>
    </xf>
    <xf numFmtId="43" fontId="18" fillId="4" borderId="14" xfId="1" applyFont="1" applyFill="1" applyBorder="1" applyAlignment="1">
      <alignment horizontal="center" vertical="center" wrapText="1"/>
    </xf>
    <xf numFmtId="179" fontId="19" fillId="5" borderId="15" xfId="0" applyNumberFormat="1" applyFont="1" applyFill="1" applyBorder="1" applyAlignment="1">
      <alignment horizontal="center" vertical="center" wrapText="1"/>
    </xf>
    <xf numFmtId="178" fontId="18" fillId="4" borderId="15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 vertical="center"/>
    </xf>
    <xf numFmtId="0" fontId="18" fillId="6" borderId="11" xfId="0" applyFont="1" applyFill="1" applyBorder="1" applyAlignment="1">
      <alignment horizontal="center" vertical="center" shrinkToFit="1"/>
    </xf>
    <xf numFmtId="0" fontId="18" fillId="6" borderId="11" xfId="0" applyFont="1" applyFill="1" applyBorder="1" applyAlignment="1">
      <alignment horizontal="left" vertical="center"/>
    </xf>
    <xf numFmtId="177" fontId="18" fillId="0" borderId="16" xfId="0" applyNumberFormat="1" applyFont="1" applyBorder="1" applyAlignment="1">
      <alignment horizontal="left" vertical="center"/>
    </xf>
    <xf numFmtId="180" fontId="19" fillId="7" borderId="11" xfId="0" applyNumberFormat="1" applyFont="1" applyFill="1" applyBorder="1" applyAlignment="1">
      <alignment horizontal="center" vertical="center" wrapText="1"/>
    </xf>
    <xf numFmtId="178" fontId="19" fillId="0" borderId="11" xfId="0" applyNumberFormat="1" applyFont="1" applyBorder="1" applyAlignment="1">
      <alignment horizontal="right" vertical="center" wrapText="1"/>
    </xf>
    <xf numFmtId="43" fontId="20" fillId="8" borderId="11" xfId="0" applyNumberFormat="1" applyFont="1" applyFill="1" applyBorder="1" applyAlignment="1">
      <alignment horizontal="left" vertical="center"/>
    </xf>
    <xf numFmtId="0" fontId="18" fillId="0" borderId="11" xfId="0" applyFont="1" applyBorder="1" applyAlignment="1">
      <alignment horizontal="center" vertical="center" shrinkToFit="1"/>
    </xf>
    <xf numFmtId="0" fontId="18" fillId="0" borderId="11" xfId="0" applyFont="1" applyBorder="1" applyAlignment="1">
      <alignment horizontal="left" vertical="center"/>
    </xf>
    <xf numFmtId="177" fontId="21" fillId="0" borderId="16" xfId="50" applyNumberFormat="1" applyFont="1" applyBorder="1" applyAlignment="1">
      <alignment horizontal="left" vertical="center"/>
    </xf>
    <xf numFmtId="0" fontId="18" fillId="11" borderId="0" xfId="0" applyFont="1" applyFill="1" applyAlignment="1">
      <alignment horizontal="center" vertical="center"/>
    </xf>
    <xf numFmtId="0" fontId="18" fillId="11" borderId="9" xfId="0" applyFont="1" applyFill="1" applyBorder="1" applyAlignment="1">
      <alignment horizontal="center" vertical="center" shrinkToFit="1"/>
    </xf>
    <xf numFmtId="0" fontId="18" fillId="11" borderId="11" xfId="0" applyFont="1" applyFill="1" applyBorder="1" applyAlignment="1">
      <alignment horizontal="left" vertical="center"/>
    </xf>
    <xf numFmtId="177" fontId="18" fillId="11" borderId="16" xfId="0" applyNumberFormat="1" applyFont="1" applyFill="1" applyBorder="1" applyAlignment="1">
      <alignment horizontal="left" vertical="center"/>
    </xf>
    <xf numFmtId="180" fontId="19" fillId="11" borderId="11" xfId="0" applyNumberFormat="1" applyFont="1" applyFill="1" applyBorder="1" applyAlignment="1">
      <alignment horizontal="center" vertical="center" wrapText="1"/>
    </xf>
    <xf numFmtId="178" fontId="19" fillId="11" borderId="11" xfId="0" applyNumberFormat="1" applyFont="1" applyFill="1" applyBorder="1" applyAlignment="1">
      <alignment horizontal="right" vertical="center" wrapText="1"/>
    </xf>
    <xf numFmtId="43" fontId="20" fillId="11" borderId="11" xfId="0" applyNumberFormat="1" applyFont="1" applyFill="1" applyBorder="1" applyAlignment="1">
      <alignment horizontal="left" vertical="center"/>
    </xf>
    <xf numFmtId="0" fontId="18" fillId="0" borderId="9" xfId="0" applyFont="1" applyBorder="1" applyAlignment="1">
      <alignment horizontal="center" vertical="center" shrinkToFit="1"/>
    </xf>
    <xf numFmtId="177" fontId="18" fillId="11" borderId="17" xfId="0" applyNumberFormat="1" applyFont="1" applyFill="1" applyBorder="1" applyAlignment="1">
      <alignment horizontal="left" vertical="center"/>
    </xf>
    <xf numFmtId="177" fontId="18" fillId="0" borderId="17" xfId="0" applyNumberFormat="1" applyFont="1" applyBorder="1" applyAlignment="1">
      <alignment horizontal="left" vertical="center"/>
    </xf>
    <xf numFmtId="0" fontId="18" fillId="11" borderId="11" xfId="0" applyFont="1" applyFill="1" applyBorder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0" fontId="22" fillId="0" borderId="11" xfId="0" applyFont="1" applyBorder="1" applyAlignment="1">
      <alignment horizontal="center" vertical="center" shrinkToFit="1"/>
    </xf>
    <xf numFmtId="0" fontId="22" fillId="0" borderId="11" xfId="0" applyFont="1" applyBorder="1" applyAlignment="1">
      <alignment horizontal="left" vertical="center"/>
    </xf>
    <xf numFmtId="177" fontId="22" fillId="0" borderId="16" xfId="0" applyNumberFormat="1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177" fontId="23" fillId="6" borderId="16" xfId="50" applyNumberFormat="1" applyFont="1" applyFill="1" applyBorder="1" applyAlignment="1">
      <alignment vertical="center"/>
    </xf>
    <xf numFmtId="0" fontId="18" fillId="0" borderId="20" xfId="0" applyFont="1" applyBorder="1" applyAlignment="1">
      <alignment horizontal="left" vertical="center"/>
    </xf>
    <xf numFmtId="0" fontId="18" fillId="0" borderId="19" xfId="0" applyFont="1" applyBorder="1" applyAlignment="1">
      <alignment horizontal="center" vertical="center" shrinkToFit="1"/>
    </xf>
    <xf numFmtId="177" fontId="18" fillId="0" borderId="20" xfId="0" applyNumberFormat="1" applyFont="1" applyBorder="1" applyAlignment="1">
      <alignment horizontal="left" vertical="center"/>
    </xf>
    <xf numFmtId="43" fontId="20" fillId="8" borderId="20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21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left" vertical="center"/>
    </xf>
    <xf numFmtId="43" fontId="25" fillId="0" borderId="23" xfId="0" applyNumberFormat="1" applyFont="1" applyBorder="1" applyAlignment="1">
      <alignment horizontal="left" vertical="center"/>
    </xf>
    <xf numFmtId="0" fontId="18" fillId="3" borderId="0" xfId="0" applyFont="1" applyFill="1" applyAlignment="1">
      <alignment horizontal="center" vertical="center" shrinkToFit="1"/>
    </xf>
    <xf numFmtId="0" fontId="18" fillId="3" borderId="0" xfId="0" applyFont="1" applyFill="1" applyAlignment="1">
      <alignment horizontal="left" vertical="center"/>
    </xf>
    <xf numFmtId="177" fontId="18" fillId="3" borderId="0" xfId="1" applyNumberFormat="1" applyFont="1" applyFill="1" applyBorder="1" applyAlignment="1">
      <alignment horizontal="center" vertical="center" wrapText="1"/>
    </xf>
    <xf numFmtId="43" fontId="18" fillId="3" borderId="0" xfId="1" applyFont="1" applyFill="1" applyBorder="1" applyAlignment="1">
      <alignment horizontal="center" vertical="center" wrapText="1"/>
    </xf>
    <xf numFmtId="178" fontId="18" fillId="3" borderId="0" xfId="1" applyNumberFormat="1" applyFont="1" applyFill="1" applyBorder="1" applyAlignment="1">
      <alignment horizontal="right" vertical="center" wrapText="1"/>
    </xf>
    <xf numFmtId="43" fontId="18" fillId="8" borderId="14" xfId="1" applyFont="1" applyFill="1" applyBorder="1" applyAlignment="1">
      <alignment horizontal="center" vertical="center" wrapText="1"/>
    </xf>
    <xf numFmtId="43" fontId="18" fillId="0" borderId="20" xfId="0" applyNumberFormat="1" applyFont="1" applyBorder="1" applyAlignment="1">
      <alignment horizontal="center" vertical="center" wrapText="1"/>
    </xf>
    <xf numFmtId="43" fontId="18" fillId="8" borderId="0" xfId="1" applyFont="1" applyFill="1" applyBorder="1" applyAlignment="1">
      <alignment horizontal="center" vertical="center" wrapText="1"/>
    </xf>
    <xf numFmtId="43" fontId="18" fillId="9" borderId="14" xfId="1" applyFont="1" applyFill="1" applyBorder="1" applyAlignment="1">
      <alignment horizontal="center" vertical="center" wrapText="1"/>
    </xf>
    <xf numFmtId="43" fontId="20" fillId="8" borderId="27" xfId="0" applyNumberFormat="1" applyFont="1" applyFill="1" applyBorder="1" applyAlignment="1">
      <alignment horizontal="left" vertical="center"/>
    </xf>
    <xf numFmtId="43" fontId="20" fillId="11" borderId="27" xfId="0" applyNumberFormat="1" applyFont="1" applyFill="1" applyBorder="1" applyAlignment="1">
      <alignment horizontal="left" vertical="center"/>
    </xf>
    <xf numFmtId="43" fontId="25" fillId="0" borderId="30" xfId="0" applyNumberFormat="1" applyFont="1" applyBorder="1" applyAlignment="1">
      <alignment horizontal="left" vertical="center"/>
    </xf>
    <xf numFmtId="43" fontId="18" fillId="3" borderId="0" xfId="1" applyFont="1" applyFill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 wrapText="1"/>
    </xf>
    <xf numFmtId="0" fontId="18" fillId="4" borderId="25" xfId="0" applyFont="1" applyFill="1" applyBorder="1" applyAlignment="1">
      <alignment horizontal="center" vertical="center"/>
    </xf>
    <xf numFmtId="180" fontId="19" fillId="0" borderId="11" xfId="0" applyNumberFormat="1" applyFont="1" applyBorder="1" applyAlignment="1">
      <alignment horizontal="center" vertical="center" wrapText="1"/>
    </xf>
    <xf numFmtId="43" fontId="18" fillId="0" borderId="9" xfId="0" applyNumberFormat="1" applyFont="1" applyBorder="1" applyAlignment="1">
      <alignment horizontal="center" vertical="center" wrapText="1"/>
    </xf>
    <xf numFmtId="178" fontId="18" fillId="0" borderId="27" xfId="0" applyNumberFormat="1" applyFont="1" applyBorder="1" applyAlignment="1">
      <alignment horizontal="center" vertical="center"/>
    </xf>
    <xf numFmtId="180" fontId="19" fillId="0" borderId="26" xfId="0" applyNumberFormat="1" applyFont="1" applyBorder="1" applyAlignment="1">
      <alignment horizontal="center" vertical="center" wrapText="1"/>
    </xf>
    <xf numFmtId="180" fontId="19" fillId="11" borderId="26" xfId="0" applyNumberFormat="1" applyFont="1" applyFill="1" applyBorder="1" applyAlignment="1">
      <alignment horizontal="center" vertical="center" wrapText="1"/>
    </xf>
    <xf numFmtId="43" fontId="18" fillId="11" borderId="9" xfId="0" applyNumberFormat="1" applyFont="1" applyFill="1" applyBorder="1" applyAlignment="1">
      <alignment horizontal="center" vertical="center" wrapText="1"/>
    </xf>
    <xf numFmtId="178" fontId="18" fillId="11" borderId="27" xfId="0" applyNumberFormat="1" applyFont="1" applyFill="1" applyBorder="1" applyAlignment="1">
      <alignment horizontal="center" vertical="center"/>
    </xf>
    <xf numFmtId="43" fontId="18" fillId="0" borderId="25" xfId="0" applyNumberFormat="1" applyFont="1" applyBorder="1" applyAlignment="1">
      <alignment horizontal="center" vertical="center" wrapText="1"/>
    </xf>
    <xf numFmtId="180" fontId="19" fillId="0" borderId="18" xfId="0" applyNumberFormat="1" applyFont="1" applyBorder="1" applyAlignment="1">
      <alignment horizontal="center" vertical="center" wrapText="1"/>
    </xf>
    <xf numFmtId="43" fontId="18" fillId="0" borderId="19" xfId="0" applyNumberFormat="1" applyFont="1" applyBorder="1" applyAlignment="1">
      <alignment horizontal="center" vertical="center" wrapText="1"/>
    </xf>
    <xf numFmtId="43" fontId="18" fillId="0" borderId="28" xfId="0" applyNumberFormat="1" applyFont="1" applyBorder="1" applyAlignment="1">
      <alignment horizontal="center" vertical="center" wrapText="1"/>
    </xf>
    <xf numFmtId="180" fontId="19" fillId="11" borderId="18" xfId="0" applyNumberFormat="1" applyFont="1" applyFill="1" applyBorder="1" applyAlignment="1">
      <alignment horizontal="center" vertical="center" wrapText="1"/>
    </xf>
    <xf numFmtId="43" fontId="18" fillId="11" borderId="19" xfId="0" applyNumberFormat="1" applyFont="1" applyFill="1" applyBorder="1" applyAlignment="1">
      <alignment horizontal="center" vertical="center" wrapText="1"/>
    </xf>
    <xf numFmtId="180" fontId="26" fillId="0" borderId="18" xfId="0" applyNumberFormat="1" applyFont="1" applyBorder="1" applyAlignment="1">
      <alignment horizontal="center" vertical="center" wrapText="1"/>
    </xf>
    <xf numFmtId="43" fontId="22" fillId="0" borderId="19" xfId="0" applyNumberFormat="1" applyFont="1" applyBorder="1" applyAlignment="1">
      <alignment horizontal="center" vertical="center" wrapText="1"/>
    </xf>
    <xf numFmtId="43" fontId="22" fillId="0" borderId="28" xfId="0" applyNumberFormat="1" applyFont="1" applyBorder="1" applyAlignment="1">
      <alignment horizontal="center" vertical="center" wrapText="1"/>
    </xf>
    <xf numFmtId="180" fontId="19" fillId="0" borderId="20" xfId="0" applyNumberFormat="1" applyFont="1" applyBorder="1" applyAlignment="1">
      <alignment horizontal="center" vertical="center" wrapText="1"/>
    </xf>
    <xf numFmtId="43" fontId="18" fillId="0" borderId="18" xfId="0" applyNumberFormat="1" applyFont="1" applyBorder="1" applyAlignment="1">
      <alignment horizontal="center" vertical="center" wrapText="1"/>
    </xf>
    <xf numFmtId="178" fontId="18" fillId="0" borderId="29" xfId="0" applyNumberFormat="1" applyFont="1" applyBorder="1" applyAlignment="1">
      <alignment horizontal="center" vertical="center"/>
    </xf>
    <xf numFmtId="180" fontId="24" fillId="7" borderId="23" xfId="1" applyNumberFormat="1" applyFont="1" applyFill="1" applyBorder="1" applyAlignment="1">
      <alignment horizontal="center" vertical="center" wrapText="1"/>
    </xf>
    <xf numFmtId="43" fontId="18" fillId="10" borderId="30" xfId="0" applyNumberFormat="1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 vertical="center" wrapText="1"/>
    </xf>
    <xf numFmtId="43" fontId="17" fillId="11" borderId="0" xfId="0" applyNumberFormat="1" applyFont="1" applyFill="1" applyAlignment="1">
      <alignment horizontal="center" vertical="center"/>
    </xf>
    <xf numFmtId="43" fontId="17" fillId="6" borderId="0" xfId="0" applyNumberFormat="1" applyFont="1" applyFill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16" fillId="0" borderId="27" xfId="0" applyFont="1" applyBorder="1" applyAlignment="1">
      <alignment horizontal="center" vertical="center" wrapText="1"/>
    </xf>
    <xf numFmtId="43" fontId="17" fillId="11" borderId="27" xfId="0" applyNumberFormat="1" applyFont="1" applyFill="1" applyBorder="1" applyAlignment="1">
      <alignment horizontal="center" vertical="center"/>
    </xf>
    <xf numFmtId="43" fontId="17" fillId="6" borderId="27" xfId="0" applyNumberFormat="1" applyFont="1" applyFill="1" applyBorder="1" applyAlignment="1">
      <alignment horizontal="center" vertical="center"/>
    </xf>
    <xf numFmtId="0" fontId="18" fillId="4" borderId="9" xfId="0" applyFont="1" applyFill="1" applyBorder="1" applyAlignment="1">
      <alignment horizontal="center" vertical="center"/>
    </xf>
    <xf numFmtId="43" fontId="18" fillId="10" borderId="11" xfId="0" applyNumberFormat="1" applyFont="1" applyFill="1" applyBorder="1" applyAlignment="1">
      <alignment horizontal="center" vertical="center"/>
    </xf>
    <xf numFmtId="0" fontId="27" fillId="0" borderId="27" xfId="0" applyFont="1" applyBorder="1" applyAlignment="1">
      <alignment vertical="center" wrapText="1"/>
    </xf>
    <xf numFmtId="43" fontId="17" fillId="11" borderId="27" xfId="0" applyNumberFormat="1" applyFont="1" applyFill="1" applyBorder="1">
      <alignment vertical="center"/>
    </xf>
    <xf numFmtId="43" fontId="17" fillId="6" borderId="27" xfId="0" applyNumberFormat="1" applyFont="1" applyFill="1" applyBorder="1">
      <alignment vertical="center"/>
    </xf>
    <xf numFmtId="43" fontId="18" fillId="11" borderId="11" xfId="0" applyNumberFormat="1" applyFont="1" applyFill="1" applyBorder="1" applyAlignment="1">
      <alignment horizontal="center" vertical="center"/>
    </xf>
    <xf numFmtId="0" fontId="27" fillId="11" borderId="27" xfId="0" applyFont="1" applyFill="1" applyBorder="1" applyAlignment="1">
      <alignment vertical="center" wrapText="1"/>
    </xf>
    <xf numFmtId="43" fontId="22" fillId="10" borderId="11" xfId="0" applyNumberFormat="1" applyFont="1" applyFill="1" applyBorder="1" applyAlignment="1">
      <alignment horizontal="center" vertical="center"/>
    </xf>
    <xf numFmtId="43" fontId="18" fillId="10" borderId="20" xfId="0" applyNumberFormat="1" applyFont="1" applyFill="1" applyBorder="1" applyAlignment="1">
      <alignment horizontal="center" vertical="center"/>
    </xf>
    <xf numFmtId="43" fontId="18" fillId="10" borderId="23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 wrapText="1"/>
    </xf>
    <xf numFmtId="177" fontId="18" fillId="3" borderId="0" xfId="0" applyNumberFormat="1" applyFont="1" applyFill="1" applyAlignment="1">
      <alignment horizontal="left" vertical="center"/>
    </xf>
    <xf numFmtId="178" fontId="18" fillId="3" borderId="0" xfId="0" applyNumberFormat="1" applyFont="1" applyFill="1" applyAlignment="1">
      <alignment horizontal="right" vertical="center"/>
    </xf>
    <xf numFmtId="43" fontId="4" fillId="3" borderId="0" xfId="1" applyFont="1" applyFill="1" applyAlignment="1">
      <alignment horizontal="center" vertical="center"/>
    </xf>
    <xf numFmtId="43" fontId="4" fillId="3" borderId="0" xfId="1" applyFont="1" applyFill="1" applyAlignment="1">
      <alignment horizontal="left" vertical="center"/>
    </xf>
    <xf numFmtId="43" fontId="4" fillId="0" borderId="11" xfId="0" applyNumberFormat="1" applyFont="1" applyBorder="1" applyAlignment="1">
      <alignment horizontal="center" vertical="center" wrapText="1"/>
    </xf>
    <xf numFmtId="43" fontId="5" fillId="0" borderId="11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shrinkToFit="1"/>
    </xf>
    <xf numFmtId="0" fontId="14" fillId="0" borderId="0" xfId="0" applyFont="1">
      <alignment vertical="center"/>
    </xf>
    <xf numFmtId="43" fontId="28" fillId="8" borderId="11" xfId="0" applyNumberFormat="1" applyFont="1" applyFill="1" applyBorder="1" applyAlignment="1">
      <alignment horizontal="left" vertical="center"/>
    </xf>
    <xf numFmtId="43" fontId="5" fillId="8" borderId="11" xfId="0" applyNumberFormat="1" applyFont="1" applyFill="1" applyBorder="1" applyAlignment="1">
      <alignment horizontal="left" vertical="center"/>
    </xf>
    <xf numFmtId="43" fontId="11" fillId="8" borderId="11" xfId="0" applyNumberFormat="1" applyFont="1" applyFill="1" applyBorder="1" applyAlignment="1">
      <alignment horizontal="left" vertical="center"/>
    </xf>
    <xf numFmtId="43" fontId="28" fillId="8" borderId="20" xfId="0" applyNumberFormat="1" applyFont="1" applyFill="1" applyBorder="1" applyAlignment="1">
      <alignment horizontal="left" vertical="center"/>
    </xf>
    <xf numFmtId="43" fontId="9" fillId="8" borderId="20" xfId="0" applyNumberFormat="1" applyFont="1" applyFill="1" applyBorder="1" applyAlignment="1">
      <alignment horizontal="left" vertical="center"/>
    </xf>
    <xf numFmtId="43" fontId="4" fillId="4" borderId="4" xfId="1" applyFont="1" applyFill="1" applyBorder="1" applyAlignment="1">
      <alignment horizontal="center" vertical="center" wrapText="1"/>
    </xf>
    <xf numFmtId="43" fontId="4" fillId="4" borderId="8" xfId="1" applyFont="1" applyFill="1" applyBorder="1" applyAlignment="1">
      <alignment horizontal="center" vertical="center" wrapText="1"/>
    </xf>
    <xf numFmtId="43" fontId="4" fillId="4" borderId="31" xfId="1" applyFont="1" applyFill="1" applyBorder="1" applyAlignment="1">
      <alignment horizontal="center" vertical="center" wrapText="1"/>
    </xf>
    <xf numFmtId="43" fontId="4" fillId="4" borderId="29" xfId="1" applyFont="1" applyFill="1" applyBorder="1" applyAlignment="1">
      <alignment horizontal="center" vertical="center" wrapText="1"/>
    </xf>
    <xf numFmtId="43" fontId="4" fillId="4" borderId="32" xfId="1" applyFont="1" applyFill="1" applyBorder="1" applyAlignment="1">
      <alignment horizontal="center" vertical="center" wrapText="1"/>
    </xf>
    <xf numFmtId="43" fontId="4" fillId="4" borderId="33" xfId="1" applyFont="1" applyFill="1" applyBorder="1" applyAlignment="1">
      <alignment horizontal="center" vertical="center" wrapText="1"/>
    </xf>
    <xf numFmtId="43" fontId="4" fillId="12" borderId="10" xfId="1" applyFont="1" applyFill="1" applyBorder="1" applyAlignment="1">
      <alignment horizontal="center" vertical="center" wrapText="1"/>
    </xf>
    <xf numFmtId="43" fontId="4" fillId="12" borderId="27" xfId="1" applyFont="1" applyFill="1" applyBorder="1" applyAlignment="1">
      <alignment horizontal="center" vertical="center" wrapText="1"/>
    </xf>
    <xf numFmtId="43" fontId="4" fillId="12" borderId="14" xfId="1" applyFont="1" applyFill="1" applyBorder="1" applyAlignment="1">
      <alignment horizontal="center" vertical="center" wrapText="1"/>
    </xf>
    <xf numFmtId="43" fontId="4" fillId="12" borderId="31" xfId="1" applyFont="1" applyFill="1" applyBorder="1" applyAlignment="1">
      <alignment horizontal="center" vertical="center" wrapText="1"/>
    </xf>
    <xf numFmtId="43" fontId="4" fillId="12" borderId="29" xfId="1" applyFont="1" applyFill="1" applyBorder="1" applyAlignment="1">
      <alignment horizontal="center" vertical="center" wrapText="1"/>
    </xf>
    <xf numFmtId="43" fontId="5" fillId="12" borderId="10" xfId="1" applyFont="1" applyFill="1" applyBorder="1" applyAlignment="1">
      <alignment horizontal="center" vertical="center" wrapText="1"/>
    </xf>
    <xf numFmtId="43" fontId="5" fillId="12" borderId="27" xfId="1" applyFont="1" applyFill="1" applyBorder="1" applyAlignment="1">
      <alignment horizontal="center" vertical="center" wrapText="1"/>
    </xf>
    <xf numFmtId="43" fontId="4" fillId="12" borderId="18" xfId="1" applyFont="1" applyFill="1" applyBorder="1" applyAlignment="1">
      <alignment horizontal="center" vertical="center" wrapText="1"/>
    </xf>
    <xf numFmtId="43" fontId="4" fillId="12" borderId="20" xfId="1" applyFont="1" applyFill="1" applyBorder="1" applyAlignment="1">
      <alignment horizontal="center" vertical="center" wrapText="1"/>
    </xf>
    <xf numFmtId="43" fontId="11" fillId="12" borderId="27" xfId="1" applyFont="1" applyFill="1" applyBorder="1" applyAlignment="1">
      <alignment horizontal="center" vertical="center" wrapText="1"/>
    </xf>
    <xf numFmtId="43" fontId="5" fillId="12" borderId="29" xfId="1" applyFont="1" applyFill="1" applyBorder="1" applyAlignment="1">
      <alignment horizontal="center" vertical="center" wrapText="1"/>
    </xf>
    <xf numFmtId="49" fontId="4" fillId="4" borderId="26" xfId="0" applyNumberFormat="1" applyFont="1" applyFill="1" applyBorder="1" applyAlignment="1">
      <alignment horizontal="center" vertical="center" wrapText="1"/>
    </xf>
    <xf numFmtId="43" fontId="4" fillId="4" borderId="34" xfId="1" applyFont="1" applyFill="1" applyBorder="1" applyAlignment="1">
      <alignment horizontal="center" vertical="center"/>
    </xf>
    <xf numFmtId="43" fontId="4" fillId="4" borderId="35" xfId="1" applyFont="1" applyFill="1" applyBorder="1" applyAlignment="1">
      <alignment horizontal="center" vertical="center"/>
    </xf>
    <xf numFmtId="43" fontId="4" fillId="4" borderId="36" xfId="1" applyFont="1" applyFill="1" applyBorder="1" applyAlignment="1">
      <alignment horizontal="center" vertical="center"/>
    </xf>
    <xf numFmtId="43" fontId="4" fillId="4" borderId="27" xfId="1" applyFont="1" applyFill="1" applyBorder="1" applyAlignment="1">
      <alignment horizontal="center" vertical="center"/>
    </xf>
    <xf numFmtId="0" fontId="14" fillId="0" borderId="26" xfId="0" applyFont="1" applyBorder="1">
      <alignment vertical="center"/>
    </xf>
    <xf numFmtId="43" fontId="4" fillId="13" borderId="36" xfId="1" applyFont="1" applyFill="1" applyBorder="1" applyAlignment="1">
      <alignment horizontal="left" vertical="center"/>
    </xf>
    <xf numFmtId="43" fontId="4" fillId="13" borderId="27" xfId="1" applyFont="1" applyFill="1" applyBorder="1" applyAlignment="1">
      <alignment horizontal="left" vertical="center"/>
    </xf>
    <xf numFmtId="43" fontId="5" fillId="13" borderId="27" xfId="1" applyFont="1" applyFill="1" applyBorder="1" applyAlignment="1">
      <alignment horizontal="left" vertical="center"/>
    </xf>
    <xf numFmtId="0" fontId="14" fillId="0" borderId="18" xfId="0" applyFont="1" applyBorder="1">
      <alignment vertical="center"/>
    </xf>
    <xf numFmtId="43" fontId="4" fillId="13" borderId="37" xfId="1" applyFont="1" applyFill="1" applyBorder="1" applyAlignment="1">
      <alignment horizontal="left" vertical="center"/>
    </xf>
    <xf numFmtId="43" fontId="4" fillId="13" borderId="29" xfId="1" applyFont="1" applyFill="1" applyBorder="1" applyAlignment="1">
      <alignment horizontal="left" vertical="center"/>
    </xf>
    <xf numFmtId="43" fontId="5" fillId="13" borderId="29" xfId="1" applyFont="1" applyFill="1" applyBorder="1" applyAlignment="1">
      <alignment horizontal="left" vertical="center"/>
    </xf>
    <xf numFmtId="181" fontId="4" fillId="13" borderId="29" xfId="1" applyNumberFormat="1" applyFont="1" applyFill="1" applyBorder="1" applyAlignment="1">
      <alignment horizontal="left" vertical="center"/>
    </xf>
    <xf numFmtId="0" fontId="29" fillId="0" borderId="18" xfId="0" applyFont="1" applyBorder="1">
      <alignment vertical="center"/>
    </xf>
    <xf numFmtId="43" fontId="5" fillId="13" borderId="37" xfId="1" applyFont="1" applyFill="1" applyBorder="1" applyAlignment="1">
      <alignment horizontal="left" vertical="center"/>
    </xf>
    <xf numFmtId="43" fontId="4" fillId="13" borderId="38" xfId="1" applyFont="1" applyFill="1" applyBorder="1" applyAlignment="1">
      <alignment horizontal="left" vertical="center"/>
    </xf>
    <xf numFmtId="43" fontId="4" fillId="13" borderId="20" xfId="1" applyFont="1" applyFill="1" applyBorder="1" applyAlignment="1">
      <alignment horizontal="left" vertical="center"/>
    </xf>
    <xf numFmtId="43" fontId="13" fillId="0" borderId="39" xfId="0" applyNumberFormat="1" applyFont="1" applyBorder="1" applyAlignment="1">
      <alignment horizontal="left" vertical="center"/>
    </xf>
    <xf numFmtId="43" fontId="4" fillId="4" borderId="35" xfId="1" applyFont="1" applyFill="1" applyBorder="1" applyAlignment="1">
      <alignment vertical="center"/>
    </xf>
    <xf numFmtId="49" fontId="4" fillId="4" borderId="4" xfId="0" applyNumberFormat="1" applyFont="1" applyFill="1" applyBorder="1" applyAlignment="1">
      <alignment horizontal="center" vertical="center" wrapText="1"/>
    </xf>
    <xf numFmtId="43" fontId="4" fillId="4" borderId="10" xfId="1" applyFont="1" applyFill="1" applyBorder="1" applyAlignment="1">
      <alignment horizontal="center" vertical="center" wrapText="1"/>
    </xf>
    <xf numFmtId="43" fontId="4" fillId="13" borderId="16" xfId="1" applyFont="1" applyFill="1" applyBorder="1" applyAlignment="1">
      <alignment horizontal="left" vertical="center"/>
    </xf>
    <xf numFmtId="43" fontId="4" fillId="12" borderId="10" xfId="0" applyNumberFormat="1" applyFont="1" applyFill="1" applyBorder="1" applyAlignment="1">
      <alignment horizontal="left" vertical="center"/>
    </xf>
    <xf numFmtId="43" fontId="4" fillId="13" borderId="17" xfId="1" applyFont="1" applyFill="1" applyBorder="1" applyAlignment="1">
      <alignment horizontal="left" vertical="center"/>
    </xf>
    <xf numFmtId="43" fontId="5" fillId="13" borderId="17" xfId="1" applyFont="1" applyFill="1" applyBorder="1" applyAlignment="1">
      <alignment horizontal="left" vertical="center"/>
    </xf>
    <xf numFmtId="43" fontId="5" fillId="12" borderId="10" xfId="0" applyNumberFormat="1" applyFont="1" applyFill="1" applyBorder="1" applyAlignment="1">
      <alignment horizontal="left" vertical="center"/>
    </xf>
    <xf numFmtId="43" fontId="5" fillId="13" borderId="20" xfId="1" applyFont="1" applyFill="1" applyBorder="1" applyAlignment="1">
      <alignment horizontal="left" vertical="center"/>
    </xf>
    <xf numFmtId="49" fontId="4" fillId="4" borderId="7" xfId="0" applyNumberFormat="1" applyFont="1" applyFill="1" applyBorder="1" applyAlignment="1">
      <alignment horizontal="center" vertical="center" wrapText="1"/>
    </xf>
    <xf numFmtId="43" fontId="13" fillId="4" borderId="14" xfId="1" applyFont="1" applyFill="1" applyBorder="1" applyAlignment="1">
      <alignment horizontal="center" vertical="center" wrapText="1"/>
    </xf>
    <xf numFmtId="43" fontId="4" fillId="4" borderId="12" xfId="1" applyFont="1" applyFill="1" applyBorder="1" applyAlignment="1">
      <alignment horizontal="center" vertical="center" wrapText="1"/>
    </xf>
    <xf numFmtId="43" fontId="4" fillId="13" borderId="27" xfId="0" applyNumberFormat="1" applyFont="1" applyFill="1" applyBorder="1" applyAlignment="1">
      <alignment horizontal="left" vertical="center"/>
    </xf>
    <xf numFmtId="43" fontId="13" fillId="14" borderId="11" xfId="0" applyNumberFormat="1" applyFont="1" applyFill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43" fontId="4" fillId="0" borderId="25" xfId="0" applyNumberFormat="1" applyFont="1" applyBorder="1" applyAlignment="1">
      <alignment horizontal="center" vertical="center"/>
    </xf>
    <xf numFmtId="0" fontId="10" fillId="0" borderId="16" xfId="50" applyFont="1" applyBorder="1" applyAlignment="1">
      <alignment horizontal="left" vertical="center"/>
    </xf>
    <xf numFmtId="43" fontId="4" fillId="0" borderId="28" xfId="0" applyNumberFormat="1" applyFont="1" applyBorder="1" applyAlignment="1">
      <alignment horizontal="center" vertical="center"/>
    </xf>
    <xf numFmtId="0" fontId="12" fillId="6" borderId="16" xfId="50" applyFont="1" applyFill="1" applyBorder="1" applyAlignment="1">
      <alignment vertical="center"/>
    </xf>
    <xf numFmtId="0" fontId="10" fillId="0" borderId="17" xfId="50" applyFont="1" applyBorder="1" applyAlignment="1">
      <alignment horizontal="left" vertical="center"/>
    </xf>
    <xf numFmtId="43" fontId="5" fillId="13" borderId="27" xfId="0" applyNumberFormat="1" applyFont="1" applyFill="1" applyBorder="1" applyAlignment="1">
      <alignment horizontal="left" vertical="center"/>
    </xf>
    <xf numFmtId="43" fontId="11" fillId="14" borderId="11" xfId="0" applyNumberFormat="1" applyFont="1" applyFill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43" fontId="5" fillId="0" borderId="28" xfId="0" applyNumberFormat="1" applyFont="1" applyBorder="1" applyAlignment="1">
      <alignment horizontal="center" vertical="center"/>
    </xf>
    <xf numFmtId="0" fontId="30" fillId="0" borderId="16" xfId="5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180" fontId="6" fillId="0" borderId="41" xfId="1" applyNumberFormat="1" applyFont="1" applyFill="1" applyBorder="1" applyAlignment="1">
      <alignment horizontal="center" vertical="center" wrapText="1"/>
    </xf>
    <xf numFmtId="178" fontId="4" fillId="3" borderId="0" xfId="0" applyNumberFormat="1" applyFont="1" applyFill="1" applyAlignment="1">
      <alignment horizontal="center" vertical="center"/>
    </xf>
    <xf numFmtId="180" fontId="8" fillId="0" borderId="11" xfId="0" applyNumberFormat="1" applyFont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shrinkToFit="1"/>
    </xf>
    <xf numFmtId="177" fontId="30" fillId="0" borderId="16" xfId="50" applyNumberFormat="1" applyFont="1" applyBorder="1" applyAlignment="1">
      <alignment horizontal="left" vertical="center"/>
    </xf>
    <xf numFmtId="177" fontId="30" fillId="0" borderId="17" xfId="50" applyNumberFormat="1" applyFont="1" applyBorder="1" applyAlignment="1">
      <alignment horizontal="left" vertical="center"/>
    </xf>
    <xf numFmtId="177" fontId="10" fillId="0" borderId="17" xfId="50" applyNumberFormat="1" applyFont="1" applyBorder="1" applyAlignment="1">
      <alignment horizontal="left" vertical="center"/>
    </xf>
    <xf numFmtId="180" fontId="8" fillId="0" borderId="20" xfId="0" applyNumberFormat="1" applyFont="1" applyBorder="1" applyAlignment="1">
      <alignment horizontal="center" vertical="center" wrapText="1"/>
    </xf>
    <xf numFmtId="180" fontId="6" fillId="0" borderId="23" xfId="1" applyNumberFormat="1" applyFont="1" applyFill="1" applyBorder="1" applyAlignment="1">
      <alignment horizontal="center" vertical="center" wrapText="1"/>
    </xf>
    <xf numFmtId="180" fontId="4" fillId="0" borderId="11" xfId="0" applyNumberFormat="1" applyFont="1" applyBorder="1" applyAlignment="1">
      <alignment horizontal="center" vertical="center" wrapText="1"/>
    </xf>
    <xf numFmtId="180" fontId="4" fillId="0" borderId="20" xfId="0" applyNumberFormat="1" applyFont="1" applyBorder="1" applyAlignment="1">
      <alignment horizontal="center" vertical="center" wrapText="1"/>
    </xf>
    <xf numFmtId="179" fontId="4" fillId="4" borderId="5" xfId="0" applyNumberFormat="1" applyFont="1" applyFill="1" applyBorder="1" applyAlignment="1">
      <alignment horizontal="center" vertical="center" wrapText="1"/>
    </xf>
    <xf numFmtId="179" fontId="4" fillId="4" borderId="35" xfId="0" applyNumberFormat="1" applyFont="1" applyFill="1" applyBorder="1" applyAlignment="1">
      <alignment horizontal="center" vertical="center" wrapText="1"/>
    </xf>
    <xf numFmtId="179" fontId="4" fillId="4" borderId="42" xfId="0" applyNumberFormat="1" applyFont="1" applyFill="1" applyBorder="1" applyAlignment="1">
      <alignment horizontal="center" vertical="center" wrapText="1"/>
    </xf>
    <xf numFmtId="43" fontId="4" fillId="4" borderId="26" xfId="1" applyFont="1" applyFill="1" applyBorder="1" applyAlignment="1">
      <alignment horizontal="center" vertical="center" wrapText="1"/>
    </xf>
    <xf numFmtId="179" fontId="4" fillId="4" borderId="10" xfId="0" applyNumberFormat="1" applyFont="1" applyFill="1" applyBorder="1" applyAlignment="1">
      <alignment horizontal="center" vertical="center" wrapText="1"/>
    </xf>
    <xf numFmtId="179" fontId="4" fillId="4" borderId="29" xfId="0" applyNumberFormat="1" applyFont="1" applyFill="1" applyBorder="1" applyAlignment="1">
      <alignment horizontal="center" vertical="center" wrapText="1"/>
    </xf>
    <xf numFmtId="179" fontId="4" fillId="4" borderId="17" xfId="0" applyNumberFormat="1" applyFont="1" applyFill="1" applyBorder="1" applyAlignment="1">
      <alignment horizontal="center" vertical="center" wrapText="1"/>
    </xf>
    <xf numFmtId="179" fontId="4" fillId="4" borderId="33" xfId="0" applyNumberFormat="1" applyFont="1" applyFill="1" applyBorder="1" applyAlignment="1">
      <alignment horizontal="center" vertical="center" wrapText="1"/>
    </xf>
    <xf numFmtId="179" fontId="4" fillId="4" borderId="43" xfId="0" applyNumberFormat="1" applyFont="1" applyFill="1" applyBorder="1" applyAlignment="1">
      <alignment horizontal="center" vertical="center" wrapText="1"/>
    </xf>
    <xf numFmtId="180" fontId="8" fillId="0" borderId="10" xfId="0" applyNumberFormat="1" applyFont="1" applyBorder="1" applyAlignment="1">
      <alignment horizontal="center" vertical="center" wrapText="1"/>
    </xf>
    <xf numFmtId="180" fontId="8" fillId="0" borderId="27" xfId="0" applyNumberFormat="1" applyFont="1" applyBorder="1" applyAlignment="1">
      <alignment horizontal="center" vertical="center" wrapText="1"/>
    </xf>
    <xf numFmtId="180" fontId="8" fillId="0" borderId="16" xfId="0" applyNumberFormat="1" applyFont="1" applyBorder="1" applyAlignment="1">
      <alignment horizontal="center" vertical="center" wrapText="1"/>
    </xf>
    <xf numFmtId="180" fontId="8" fillId="0" borderId="31" xfId="0" applyNumberFormat="1" applyFont="1" applyBorder="1" applyAlignment="1">
      <alignment horizontal="center" vertical="center" wrapText="1"/>
    </xf>
    <xf numFmtId="180" fontId="8" fillId="0" borderId="29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/>
    </xf>
    <xf numFmtId="43" fontId="4" fillId="0" borderId="19" xfId="0" applyNumberFormat="1" applyFont="1" applyBorder="1" applyAlignment="1">
      <alignment horizontal="center" vertical="center"/>
    </xf>
    <xf numFmtId="43" fontId="4" fillId="0" borderId="18" xfId="0" applyNumberFormat="1" applyFont="1" applyBorder="1" applyAlignment="1">
      <alignment horizontal="center" vertical="center"/>
    </xf>
    <xf numFmtId="179" fontId="4" fillId="4" borderId="13" xfId="0" applyNumberFormat="1" applyFont="1" applyFill="1" applyBorder="1" applyAlignment="1">
      <alignment horizontal="center" vertical="center" wrapText="1"/>
    </xf>
    <xf numFmtId="179" fontId="4" fillId="4" borderId="15" xfId="0" applyNumberFormat="1" applyFont="1" applyFill="1" applyBorder="1" applyAlignment="1">
      <alignment horizontal="center" vertical="center" wrapText="1"/>
    </xf>
    <xf numFmtId="49" fontId="31" fillId="0" borderId="31" xfId="0" applyNumberFormat="1" applyFont="1" applyBorder="1" applyAlignment="1">
      <alignment horizontal="left" vertical="center"/>
    </xf>
    <xf numFmtId="49" fontId="4" fillId="0" borderId="31" xfId="0" applyNumberFormat="1" applyFont="1" applyBorder="1" applyAlignment="1">
      <alignment horizontal="left" vertical="center"/>
    </xf>
    <xf numFmtId="177" fontId="6" fillId="0" borderId="40" xfId="0" applyNumberFormat="1" applyFont="1" applyBorder="1" applyAlignment="1">
      <alignment horizontal="left" vertical="center"/>
    </xf>
    <xf numFmtId="43" fontId="9" fillId="0" borderId="20" xfId="0" applyNumberFormat="1" applyFont="1" applyBorder="1" applyAlignment="1">
      <alignment horizontal="left" vertical="center"/>
    </xf>
    <xf numFmtId="43" fontId="9" fillId="0" borderId="11" xfId="0" applyNumberFormat="1" applyFont="1" applyBorder="1" applyAlignment="1">
      <alignment horizontal="left" vertical="center"/>
    </xf>
    <xf numFmtId="180" fontId="8" fillId="0" borderId="17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left" vertical="center"/>
    </xf>
    <xf numFmtId="43" fontId="4" fillId="10" borderId="10" xfId="1" applyFont="1" applyFill="1" applyBorder="1" applyAlignment="1">
      <alignment horizontal="center" vertical="center" wrapText="1"/>
    </xf>
    <xf numFmtId="49" fontId="31" fillId="0" borderId="10" xfId="0" applyNumberFormat="1" applyFont="1" applyBorder="1" applyAlignment="1">
      <alignment horizontal="left" vertical="center"/>
    </xf>
    <xf numFmtId="0" fontId="10" fillId="0" borderId="11" xfId="50" applyFont="1" applyBorder="1" applyAlignment="1">
      <alignment horizontal="left" vertical="center"/>
    </xf>
    <xf numFmtId="0" fontId="10" fillId="0" borderId="20" xfId="50" applyFont="1" applyBorder="1" applyAlignment="1">
      <alignment horizontal="left" vertical="center"/>
    </xf>
    <xf numFmtId="43" fontId="4" fillId="10" borderId="31" xfId="1" applyFont="1" applyFill="1" applyBorder="1" applyAlignment="1">
      <alignment horizontal="center" vertical="center" wrapText="1"/>
    </xf>
    <xf numFmtId="180" fontId="6" fillId="10" borderId="22" xfId="1" applyNumberFormat="1" applyFont="1" applyFill="1" applyBorder="1" applyAlignment="1">
      <alignment horizontal="center" vertical="center" wrapText="1"/>
    </xf>
    <xf numFmtId="43" fontId="4" fillId="10" borderId="14" xfId="1" applyFont="1" applyFill="1" applyBorder="1" applyAlignment="1">
      <alignment horizontal="center" vertical="center" wrapText="1"/>
    </xf>
    <xf numFmtId="43" fontId="4" fillId="10" borderId="27" xfId="1" applyFont="1" applyFill="1" applyBorder="1" applyAlignment="1">
      <alignment horizontal="center" vertical="center" wrapText="1"/>
    </xf>
    <xf numFmtId="43" fontId="4" fillId="10" borderId="13" xfId="1" applyFont="1" applyFill="1" applyBorder="1" applyAlignment="1">
      <alignment horizontal="center" vertical="center" wrapText="1"/>
    </xf>
    <xf numFmtId="43" fontId="4" fillId="10" borderId="29" xfId="1" applyFont="1" applyFill="1" applyBorder="1" applyAlignment="1">
      <alignment horizontal="center" vertical="center" wrapText="1"/>
    </xf>
    <xf numFmtId="180" fontId="6" fillId="10" borderId="44" xfId="1" applyNumberFormat="1" applyFont="1" applyFill="1" applyBorder="1" applyAlignment="1">
      <alignment horizontal="center" vertical="center" wrapText="1"/>
    </xf>
    <xf numFmtId="180" fontId="6" fillId="10" borderId="30" xfId="1" applyNumberFormat="1" applyFont="1" applyFill="1" applyBorder="1" applyAlignment="1">
      <alignment horizontal="center" vertical="center" wrapText="1"/>
    </xf>
    <xf numFmtId="43" fontId="4" fillId="4" borderId="45" xfId="1" applyFont="1" applyFill="1" applyBorder="1" applyAlignment="1">
      <alignment horizontal="center" vertical="center" wrapText="1"/>
    </xf>
    <xf numFmtId="43" fontId="4" fillId="4" borderId="46" xfId="1" applyFont="1" applyFill="1" applyBorder="1" applyAlignment="1">
      <alignment horizontal="center" vertical="center" wrapText="1"/>
    </xf>
    <xf numFmtId="43" fontId="4" fillId="4" borderId="47" xfId="1" applyFont="1" applyFill="1" applyBorder="1" applyAlignment="1">
      <alignment horizontal="center" vertical="center" wrapText="1"/>
    </xf>
    <xf numFmtId="43" fontId="4" fillId="4" borderId="48" xfId="1" applyFont="1" applyFill="1" applyBorder="1" applyAlignment="1">
      <alignment horizontal="center" vertical="center" wrapText="1"/>
    </xf>
    <xf numFmtId="43" fontId="4" fillId="4" borderId="43" xfId="1" applyFont="1" applyFill="1" applyBorder="1" applyAlignment="1">
      <alignment horizontal="center" vertical="center" wrapText="1"/>
    </xf>
    <xf numFmtId="43" fontId="4" fillId="10" borderId="16" xfId="1" applyFont="1" applyFill="1" applyBorder="1" applyAlignment="1">
      <alignment horizontal="center" vertical="center" wrapText="1"/>
    </xf>
    <xf numFmtId="43" fontId="5" fillId="10" borderId="27" xfId="1" applyFont="1" applyFill="1" applyBorder="1" applyAlignment="1">
      <alignment horizontal="center" vertical="center" wrapText="1"/>
    </xf>
    <xf numFmtId="182" fontId="2" fillId="10" borderId="27" xfId="0" applyNumberFormat="1" applyFont="1" applyFill="1" applyBorder="1" applyAlignment="1">
      <alignment horizontal="right" vertical="center"/>
    </xf>
    <xf numFmtId="182" fontId="2" fillId="10" borderId="29" xfId="0" applyNumberFormat="1" applyFont="1" applyFill="1" applyBorder="1" applyAlignment="1">
      <alignment horizontal="right" vertical="center"/>
    </xf>
    <xf numFmtId="43" fontId="4" fillId="10" borderId="17" xfId="1" applyFont="1" applyFill="1" applyBorder="1" applyAlignment="1">
      <alignment horizontal="center" vertical="center" wrapText="1"/>
    </xf>
    <xf numFmtId="43" fontId="4" fillId="12" borderId="13" xfId="1" applyFont="1" applyFill="1" applyBorder="1" applyAlignment="1">
      <alignment horizontal="center" vertical="center" wrapText="1"/>
    </xf>
    <xf numFmtId="180" fontId="6" fillId="10" borderId="40" xfId="1" applyNumberFormat="1" applyFont="1" applyFill="1" applyBorder="1" applyAlignment="1">
      <alignment horizontal="center" vertical="center" wrapText="1"/>
    </xf>
    <xf numFmtId="180" fontId="6" fillId="12" borderId="30" xfId="1" applyNumberFormat="1" applyFont="1" applyFill="1" applyBorder="1" applyAlignment="1">
      <alignment horizontal="center" vertical="center" wrapText="1"/>
    </xf>
    <xf numFmtId="49" fontId="4" fillId="4" borderId="49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179" fontId="4" fillId="4" borderId="27" xfId="0" applyNumberFormat="1" applyFont="1" applyFill="1" applyBorder="1" applyAlignment="1">
      <alignment horizontal="center" vertical="center" wrapText="1"/>
    </xf>
    <xf numFmtId="0" fontId="14" fillId="0" borderId="14" xfId="0" applyFont="1" applyBorder="1">
      <alignment vertical="center"/>
    </xf>
    <xf numFmtId="0" fontId="14" fillId="0" borderId="13" xfId="0" applyFont="1" applyBorder="1">
      <alignment vertical="center"/>
    </xf>
    <xf numFmtId="0" fontId="14" fillId="0" borderId="27" xfId="0" applyFont="1" applyBorder="1">
      <alignment vertical="center"/>
    </xf>
    <xf numFmtId="43" fontId="4" fillId="4" borderId="42" xfId="1" applyFont="1" applyFill="1" applyBorder="1" applyAlignment="1">
      <alignment horizontal="center" vertical="center"/>
    </xf>
    <xf numFmtId="43" fontId="4" fillId="4" borderId="16" xfId="1" applyFont="1" applyFill="1" applyBorder="1" applyAlignment="1">
      <alignment horizontal="center" vertical="center"/>
    </xf>
    <xf numFmtId="43" fontId="13" fillId="0" borderId="11" xfId="0" applyNumberFormat="1" applyFont="1" applyBorder="1" applyAlignment="1">
      <alignment horizontal="left" vertical="center"/>
    </xf>
    <xf numFmtId="43" fontId="4" fillId="0" borderId="11" xfId="0" applyNumberFormat="1" applyFont="1" applyBorder="1" applyAlignment="1">
      <alignment horizontal="left" vertical="center"/>
    </xf>
    <xf numFmtId="43" fontId="13" fillId="0" borderId="20" xfId="0" applyNumberFormat="1" applyFont="1" applyBorder="1" applyAlignment="1">
      <alignment horizontal="left" vertical="center"/>
    </xf>
    <xf numFmtId="43" fontId="4" fillId="0" borderId="20" xfId="0" applyNumberFormat="1" applyFont="1" applyBorder="1" applyAlignment="1">
      <alignment horizontal="left" vertical="center"/>
    </xf>
    <xf numFmtId="43" fontId="4" fillId="4" borderId="50" xfId="1" applyFont="1" applyFill="1" applyBorder="1" applyAlignment="1">
      <alignment horizontal="center" vertical="center" wrapText="1"/>
    </xf>
    <xf numFmtId="180" fontId="6" fillId="12" borderId="22" xfId="1" applyNumberFormat="1" applyFont="1" applyFill="1" applyBorder="1" applyAlignment="1">
      <alignment horizontal="center" vertical="center" wrapText="1"/>
    </xf>
    <xf numFmtId="180" fontId="6" fillId="0" borderId="44" xfId="1" applyNumberFormat="1" applyFont="1" applyFill="1" applyBorder="1" applyAlignment="1">
      <alignment horizontal="center" vertical="center" wrapText="1"/>
    </xf>
    <xf numFmtId="180" fontId="6" fillId="0" borderId="30" xfId="1" applyNumberFormat="1" applyFont="1" applyFill="1" applyBorder="1" applyAlignment="1">
      <alignment horizontal="center" vertical="center" wrapText="1"/>
    </xf>
    <xf numFmtId="180" fontId="6" fillId="0" borderId="40" xfId="1" applyNumberFormat="1" applyFont="1" applyFill="1" applyBorder="1" applyAlignment="1">
      <alignment horizontal="center" vertical="center" wrapText="1"/>
    </xf>
    <xf numFmtId="43" fontId="6" fillId="12" borderId="22" xfId="0" applyNumberFormat="1" applyFont="1" applyFill="1" applyBorder="1" applyAlignment="1">
      <alignment horizontal="left" vertical="center"/>
    </xf>
    <xf numFmtId="43" fontId="6" fillId="13" borderId="30" xfId="0" applyNumberFormat="1" applyFont="1" applyFill="1" applyBorder="1" applyAlignment="1">
      <alignment horizontal="left" vertical="center"/>
    </xf>
    <xf numFmtId="43" fontId="13" fillId="14" borderId="23" xfId="0" applyNumberFormat="1" applyFont="1" applyFill="1" applyBorder="1" applyAlignment="1">
      <alignment horizontal="left" vertical="center"/>
    </xf>
    <xf numFmtId="0" fontId="4" fillId="10" borderId="27" xfId="0" applyFont="1" applyFill="1" applyBorder="1" applyAlignment="1">
      <alignment horizontal="center" vertical="center"/>
    </xf>
    <xf numFmtId="4" fontId="4" fillId="10" borderId="27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3" fontId="6" fillId="0" borderId="23" xfId="0" applyNumberFormat="1" applyFont="1" applyBorder="1" applyAlignment="1">
      <alignment horizontal="left" vertical="center"/>
    </xf>
    <xf numFmtId="43" fontId="4" fillId="0" borderId="0" xfId="1" applyFont="1" applyFill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 wrapText="1" shrinkToFit="1"/>
    </xf>
    <xf numFmtId="49" fontId="4" fillId="4" borderId="35" xfId="0" applyNumberFormat="1" applyFont="1" applyFill="1" applyBorder="1" applyAlignment="1">
      <alignment horizontal="center" vertical="center" wrapText="1"/>
    </xf>
    <xf numFmtId="178" fontId="4" fillId="4" borderId="35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 shrinkToFit="1"/>
    </xf>
    <xf numFmtId="49" fontId="4" fillId="4" borderId="27" xfId="0" applyNumberFormat="1" applyFont="1" applyFill="1" applyBorder="1" applyAlignment="1">
      <alignment horizontal="center" vertical="center" wrapText="1"/>
    </xf>
    <xf numFmtId="178" fontId="4" fillId="4" borderId="27" xfId="0" applyNumberFormat="1" applyFont="1" applyFill="1" applyBorder="1" applyAlignment="1">
      <alignment horizontal="center" vertical="center" wrapText="1"/>
    </xf>
    <xf numFmtId="43" fontId="4" fillId="4" borderId="27" xfId="1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shrinkToFit="1"/>
    </xf>
    <xf numFmtId="49" fontId="4" fillId="0" borderId="27" xfId="0" applyNumberFormat="1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4" fontId="4" fillId="0" borderId="27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6" borderId="27" xfId="0" applyFont="1" applyFill="1" applyBorder="1" applyAlignment="1">
      <alignment horizontal="left" vertical="center"/>
    </xf>
    <xf numFmtId="49" fontId="31" fillId="0" borderId="27" xfId="0" applyNumberFormat="1" applyFont="1" applyBorder="1" applyAlignment="1">
      <alignment horizontal="left" vertical="center"/>
    </xf>
    <xf numFmtId="0" fontId="10" fillId="0" borderId="27" xfId="50" applyFont="1" applyBorder="1" applyAlignment="1">
      <alignment horizontal="left" vertical="center"/>
    </xf>
    <xf numFmtId="49" fontId="31" fillId="0" borderId="29" xfId="0" applyNumberFormat="1" applyFont="1" applyBorder="1" applyAlignment="1">
      <alignment horizontal="left" vertical="center"/>
    </xf>
    <xf numFmtId="0" fontId="4" fillId="0" borderId="3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/>
    </xf>
    <xf numFmtId="0" fontId="6" fillId="0" borderId="27" xfId="0" applyFont="1" applyBorder="1" applyAlignment="1">
      <alignment horizontal="left" vertical="center"/>
    </xf>
    <xf numFmtId="180" fontId="6" fillId="0" borderId="27" xfId="1" applyNumberFormat="1" applyFont="1" applyFill="1" applyBorder="1" applyAlignment="1">
      <alignment horizontal="center" vertical="center" wrapText="1"/>
    </xf>
    <xf numFmtId="180" fontId="4" fillId="3" borderId="0" xfId="1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4" fontId="4" fillId="0" borderId="27" xfId="0" applyNumberFormat="1" applyFont="1" applyBorder="1" applyAlignment="1">
      <alignment horizontal="center" vertical="center" wrapText="1"/>
    </xf>
    <xf numFmtId="43" fontId="4" fillId="0" borderId="27" xfId="0" applyNumberFormat="1" applyFont="1" applyBorder="1" applyAlignment="1">
      <alignment horizontal="center" vertical="center"/>
    </xf>
    <xf numFmtId="3" fontId="4" fillId="0" borderId="27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 wrapText="1"/>
    </xf>
    <xf numFmtId="4" fontId="6" fillId="0" borderId="27" xfId="0" applyNumberFormat="1" applyFont="1" applyBorder="1" applyAlignment="1">
      <alignment horizontal="center" vertical="center"/>
    </xf>
    <xf numFmtId="178" fontId="4" fillId="0" borderId="35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vertical="center" wrapText="1"/>
    </xf>
    <xf numFmtId="43" fontId="4" fillId="0" borderId="27" xfId="1" applyFont="1" applyFill="1" applyBorder="1" applyAlignment="1">
      <alignment horizontal="center" vertical="center" wrapText="1"/>
    </xf>
    <xf numFmtId="178" fontId="4" fillId="0" borderId="35" xfId="0" applyNumberFormat="1" applyFont="1" applyBorder="1" applyAlignment="1">
      <alignment vertical="center" wrapText="1"/>
    </xf>
    <xf numFmtId="180" fontId="6" fillId="0" borderId="27" xfId="0" applyNumberFormat="1" applyFont="1" applyBorder="1" applyAlignment="1">
      <alignment horizontal="center" vertical="center" wrapText="1"/>
    </xf>
    <xf numFmtId="43" fontId="8" fillId="0" borderId="0" xfId="1" applyFont="1" applyFill="1" applyBorder="1" applyAlignment="1">
      <alignment horizontal="center" vertical="center"/>
    </xf>
    <xf numFmtId="43" fontId="4" fillId="0" borderId="35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 wrapText="1"/>
    </xf>
    <xf numFmtId="43" fontId="4" fillId="4" borderId="35" xfId="1" applyFont="1" applyFill="1" applyBorder="1" applyAlignment="1">
      <alignment horizontal="center" vertical="center" wrapText="1"/>
    </xf>
    <xf numFmtId="43" fontId="4" fillId="0" borderId="27" xfId="1" applyFont="1" applyFill="1" applyBorder="1" applyAlignment="1">
      <alignment horizontal="center" vertical="center"/>
    </xf>
    <xf numFmtId="43" fontId="4" fillId="6" borderId="27" xfId="1" applyFont="1" applyFill="1" applyBorder="1" applyAlignment="1">
      <alignment horizontal="center" vertical="center" wrapText="1"/>
    </xf>
    <xf numFmtId="43" fontId="4" fillId="3" borderId="27" xfId="1" applyFont="1" applyFill="1" applyBorder="1" applyAlignment="1">
      <alignment horizontal="center" vertical="center"/>
    </xf>
    <xf numFmtId="43" fontId="4" fillId="3" borderId="11" xfId="1" applyFont="1" applyFill="1" applyBorder="1" applyAlignment="1">
      <alignment horizontal="center" vertical="center"/>
    </xf>
    <xf numFmtId="43" fontId="4" fillId="3" borderId="27" xfId="1" applyFont="1" applyFill="1" applyBorder="1" applyAlignment="1">
      <alignment vertical="center"/>
    </xf>
    <xf numFmtId="43" fontId="4" fillId="3" borderId="20" xfId="1" applyFont="1" applyFill="1" applyBorder="1" applyAlignment="1">
      <alignment horizontal="center" vertical="center"/>
    </xf>
    <xf numFmtId="43" fontId="4" fillId="3" borderId="3" xfId="1" applyFont="1" applyFill="1" applyBorder="1" applyAlignment="1">
      <alignment horizontal="center" vertical="center"/>
    </xf>
    <xf numFmtId="43" fontId="4" fillId="3" borderId="51" xfId="1" applyFont="1" applyFill="1" applyBorder="1" applyAlignment="1">
      <alignment horizontal="center" vertical="center"/>
    </xf>
    <xf numFmtId="43" fontId="4" fillId="3" borderId="27" xfId="1" applyFont="1" applyFill="1" applyBorder="1" applyAlignment="1">
      <alignment horizontal="left" vertical="center"/>
    </xf>
    <xf numFmtId="43" fontId="5" fillId="3" borderId="20" xfId="1" applyFont="1" applyFill="1" applyBorder="1" applyAlignment="1">
      <alignment horizontal="center" vertical="center"/>
    </xf>
    <xf numFmtId="43" fontId="5" fillId="3" borderId="18" xfId="1" applyFont="1" applyFill="1" applyBorder="1" applyAlignment="1">
      <alignment horizontal="center" vertical="center"/>
    </xf>
    <xf numFmtId="43" fontId="5" fillId="3" borderId="51" xfId="1" applyFont="1" applyFill="1" applyBorder="1" applyAlignment="1">
      <alignment horizontal="center" vertical="center"/>
    </xf>
    <xf numFmtId="43" fontId="5" fillId="3" borderId="52" xfId="1" applyFont="1" applyFill="1" applyBorder="1" applyAlignment="1">
      <alignment horizontal="center" vertical="center"/>
    </xf>
    <xf numFmtId="182" fontId="2" fillId="0" borderId="27" xfId="0" applyNumberFormat="1" applyFont="1" applyBorder="1" applyAlignment="1">
      <alignment horizontal="right" vertical="center"/>
    </xf>
    <xf numFmtId="43" fontId="4" fillId="0" borderId="27" xfId="0" applyNumberFormat="1" applyFont="1" applyBorder="1">
      <alignment vertical="center"/>
    </xf>
    <xf numFmtId="43" fontId="4" fillId="0" borderId="29" xfId="1" applyFont="1" applyFill="1" applyBorder="1" applyAlignment="1">
      <alignment horizontal="center" vertical="center" wrapText="1"/>
    </xf>
    <xf numFmtId="43" fontId="4" fillId="3" borderId="26" xfId="1" applyFont="1" applyFill="1" applyBorder="1" applyAlignment="1">
      <alignment horizontal="center" vertical="center"/>
    </xf>
    <xf numFmtId="43" fontId="4" fillId="15" borderId="20" xfId="1" applyFont="1" applyFill="1" applyBorder="1" applyAlignment="1">
      <alignment horizontal="center" vertical="center" wrapText="1"/>
    </xf>
    <xf numFmtId="43" fontId="4" fillId="15" borderId="18" xfId="1" applyFont="1" applyFill="1" applyBorder="1" applyAlignment="1">
      <alignment horizontal="center" vertical="center" wrapText="1"/>
    </xf>
    <xf numFmtId="43" fontId="4" fillId="15" borderId="3" xfId="1" applyFont="1" applyFill="1" applyBorder="1" applyAlignment="1">
      <alignment horizontal="center" vertical="center" wrapText="1"/>
    </xf>
    <xf numFmtId="43" fontId="4" fillId="15" borderId="0" xfId="1" applyFont="1" applyFill="1" applyBorder="1" applyAlignment="1">
      <alignment horizontal="center" vertical="center" wrapText="1"/>
    </xf>
    <xf numFmtId="43" fontId="4" fillId="15" borderId="51" xfId="1" applyFont="1" applyFill="1" applyBorder="1" applyAlignment="1">
      <alignment horizontal="center" vertical="center" wrapText="1"/>
    </xf>
    <xf numFmtId="43" fontId="4" fillId="15" borderId="52" xfId="1" applyFont="1" applyFill="1" applyBorder="1" applyAlignment="1">
      <alignment horizontal="center" vertical="center" wrapText="1"/>
    </xf>
    <xf numFmtId="43" fontId="4" fillId="4" borderId="27" xfId="1" applyFont="1" applyFill="1" applyBorder="1" applyAlignment="1">
      <alignment horizontal="left" vertical="center" wrapText="1"/>
    </xf>
    <xf numFmtId="43" fontId="4" fillId="4" borderId="27" xfId="1" applyFont="1" applyFill="1" applyBorder="1" applyAlignment="1">
      <alignment horizontal="left" vertical="center"/>
    </xf>
    <xf numFmtId="43" fontId="4" fillId="0" borderId="27" xfId="1" applyFont="1" applyFill="1" applyBorder="1" applyAlignment="1">
      <alignment horizontal="left" vertical="center"/>
    </xf>
    <xf numFmtId="0" fontId="14" fillId="0" borderId="29" xfId="0" applyFont="1" applyBorder="1">
      <alignment vertical="center"/>
    </xf>
    <xf numFmtId="43" fontId="4" fillId="0" borderId="29" xfId="1" applyFont="1" applyFill="1" applyBorder="1" applyAlignment="1">
      <alignment horizontal="left" vertical="center"/>
    </xf>
    <xf numFmtId="179" fontId="4" fillId="3" borderId="0" xfId="0" applyNumberFormat="1" applyFont="1" applyFill="1" applyAlignment="1">
      <alignment horizontal="center" vertical="center" wrapText="1"/>
    </xf>
    <xf numFmtId="43" fontId="4" fillId="3" borderId="14" xfId="1" applyFont="1" applyFill="1" applyBorder="1" applyAlignment="1">
      <alignment horizontal="center" vertical="center"/>
    </xf>
    <xf numFmtId="43" fontId="4" fillId="15" borderId="13" xfId="1" applyFont="1" applyFill="1" applyBorder="1" applyAlignment="1">
      <alignment horizontal="center" vertical="center" wrapText="1"/>
    </xf>
    <xf numFmtId="43" fontId="4" fillId="15" borderId="53" xfId="1" applyFont="1" applyFill="1" applyBorder="1" applyAlignment="1">
      <alignment horizontal="center" vertical="center" wrapText="1"/>
    </xf>
    <xf numFmtId="43" fontId="4" fillId="15" borderId="15" xfId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/>
    </xf>
    <xf numFmtId="43" fontId="5" fillId="3" borderId="13" xfId="1" applyFont="1" applyFill="1" applyBorder="1" applyAlignment="1">
      <alignment horizontal="center" vertical="center"/>
    </xf>
    <xf numFmtId="43" fontId="5" fillId="3" borderId="15" xfId="1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50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43" fontId="4" fillId="0" borderId="16" xfId="0" applyNumberFormat="1" applyFont="1" applyBorder="1" applyAlignment="1">
      <alignment horizontal="center" vertical="center"/>
    </xf>
    <xf numFmtId="43" fontId="4" fillId="0" borderId="17" xfId="0" applyNumberFormat="1" applyFont="1" applyBorder="1" applyAlignment="1">
      <alignment horizontal="center" vertical="center"/>
    </xf>
    <xf numFmtId="179" fontId="4" fillId="3" borderId="0" xfId="0" applyNumberFormat="1" applyFont="1" applyFill="1" applyAlignment="1">
      <alignment horizontal="center" vertical="center"/>
    </xf>
    <xf numFmtId="7" fontId="4" fillId="3" borderId="0" xfId="0" applyNumberFormat="1" applyFont="1" applyFill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94" xfId="50"/>
    <cellStyle name="常规 3" xfId="51"/>
    <cellStyle name="千位分隔 5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&#26700;&#38754;\5-11&#263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核算项目余额表"/>
      <sheetName val="Sheet3"/>
      <sheetName val="Sheet1"/>
      <sheetName val="6期末"/>
      <sheetName val="10付款"/>
      <sheetName val="11付款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期间</v>
          </cell>
          <cell r="B1" t="str">
            <v>2019.6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  <cell r="C4" t="str">
            <v>求和项:本期贷方</v>
          </cell>
          <cell r="D4" t="str">
            <v>求和项:期末贷方余额</v>
          </cell>
        </row>
        <row r="5">
          <cell r="A5" t="str">
            <v>SMC（中国）有限公司</v>
          </cell>
          <cell r="B5">
            <v>0</v>
          </cell>
          <cell r="C5">
            <v>0</v>
          </cell>
          <cell r="D5">
            <v>0</v>
          </cell>
        </row>
        <row r="6">
          <cell r="A6" t="str">
            <v>阿克苏诺贝尔涂料（天津）有限公司</v>
          </cell>
          <cell r="B6">
            <v>0</v>
          </cell>
          <cell r="C6">
            <v>84210.99</v>
          </cell>
          <cell r="D6">
            <v>243405.56</v>
          </cell>
        </row>
        <row r="7">
          <cell r="A7" t="str">
            <v>艾马斯润滑科技（天津）有限公司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安徽博朗凯德织物有限公司</v>
          </cell>
          <cell r="B8">
            <v>0</v>
          </cell>
          <cell r="C8">
            <v>0</v>
          </cell>
          <cell r="D8">
            <v>3646.55</v>
          </cell>
        </row>
        <row r="9">
          <cell r="A9" t="str">
            <v>安徽汉升工业部件股份有限公司</v>
          </cell>
          <cell r="B9">
            <v>16000</v>
          </cell>
          <cell r="C9">
            <v>17479.28</v>
          </cell>
          <cell r="D9">
            <v>40939.3</v>
          </cell>
        </row>
        <row r="10">
          <cell r="A10" t="str">
            <v>安徽汉升新金属技术有限公司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安徽力鼎机械设备有限公司</v>
          </cell>
          <cell r="B11">
            <v>0</v>
          </cell>
          <cell r="C11">
            <v>0</v>
          </cell>
          <cell r="D11">
            <v>0</v>
          </cell>
        </row>
        <row r="12">
          <cell r="A12" t="str">
            <v>安吉县创鸿家具有限公司</v>
          </cell>
          <cell r="B12">
            <v>0</v>
          </cell>
          <cell r="C12">
            <v>0</v>
          </cell>
          <cell r="D12">
            <v>900</v>
          </cell>
        </row>
        <row r="13">
          <cell r="A13" t="str">
            <v>安路普（北京）汽车技术有限公司昌平分公司</v>
          </cell>
          <cell r="B13">
            <v>0</v>
          </cell>
          <cell r="C13">
            <v>551815.62</v>
          </cell>
          <cell r="D13">
            <v>7026328.29</v>
          </cell>
        </row>
        <row r="14">
          <cell r="A14" t="str">
            <v>霸州市广生冷弯机械有限公司</v>
          </cell>
          <cell r="B14">
            <v>0</v>
          </cell>
          <cell r="C14">
            <v>0</v>
          </cell>
          <cell r="D14">
            <v>0</v>
          </cell>
        </row>
        <row r="15">
          <cell r="A15" t="str">
            <v>霸州市宏海塑料制品有限公司</v>
          </cell>
          <cell r="B15">
            <v>0</v>
          </cell>
          <cell r="C15">
            <v>0</v>
          </cell>
          <cell r="D15">
            <v>5579.03</v>
          </cell>
        </row>
        <row r="16">
          <cell r="A16" t="str">
            <v>霸州市自强汽车零部件厂</v>
          </cell>
          <cell r="B16">
            <v>0</v>
          </cell>
          <cell r="C16">
            <v>0</v>
          </cell>
          <cell r="D16">
            <v>0</v>
          </cell>
        </row>
        <row r="17">
          <cell r="A17" t="str">
            <v>百事腾（天津）国际贸易有限公司</v>
          </cell>
          <cell r="B17">
            <v>0</v>
          </cell>
          <cell r="C17">
            <v>0</v>
          </cell>
          <cell r="D17">
            <v>4600</v>
          </cell>
        </row>
        <row r="18">
          <cell r="A18" t="str">
            <v>包头市万佳信息工程有限公司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>保定市枞彬商贸有限公司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保定市佳奇整流器制造有限公司</v>
          </cell>
          <cell r="B20">
            <v>0</v>
          </cell>
          <cell r="C20">
            <v>0</v>
          </cell>
          <cell r="D20">
            <v>0</v>
          </cell>
        </row>
        <row r="21">
          <cell r="A21" t="str">
            <v>保定市京苑汽车装饰配件厂</v>
          </cell>
          <cell r="B21">
            <v>0</v>
          </cell>
          <cell r="C21">
            <v>0</v>
          </cell>
          <cell r="D21">
            <v>308985.57</v>
          </cell>
        </row>
        <row r="22">
          <cell r="A22" t="str">
            <v>保定市源之枝商贸有限公司</v>
          </cell>
          <cell r="B22">
            <v>0</v>
          </cell>
          <cell r="C22">
            <v>0</v>
          </cell>
          <cell r="D22">
            <v>370000</v>
          </cell>
        </row>
        <row r="23">
          <cell r="A23" t="str">
            <v>北京百联星纸业有限公司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北京百仕特非织造布有限公司</v>
          </cell>
          <cell r="B24">
            <v>0</v>
          </cell>
          <cell r="C24">
            <v>0</v>
          </cell>
          <cell r="D24">
            <v>48092.95</v>
          </cell>
        </row>
        <row r="25">
          <cell r="A25" t="str">
            <v>北京北鸿科科技发展有限公司</v>
          </cell>
          <cell r="B25">
            <v>0</v>
          </cell>
          <cell r="C25">
            <v>36000</v>
          </cell>
          <cell r="D25">
            <v>36000</v>
          </cell>
        </row>
        <row r="26">
          <cell r="A26" t="str">
            <v>北京博雅恒欣贸易有限公司</v>
          </cell>
          <cell r="B26">
            <v>0</v>
          </cell>
          <cell r="C26">
            <v>0</v>
          </cell>
          <cell r="D26">
            <v>0</v>
          </cell>
        </row>
        <row r="27">
          <cell r="A27" t="str">
            <v>北京昌隆永顺物资有限公司</v>
          </cell>
          <cell r="B27">
            <v>0</v>
          </cell>
          <cell r="C27">
            <v>0</v>
          </cell>
          <cell r="D27">
            <v>0</v>
          </cell>
        </row>
        <row r="28">
          <cell r="A28" t="str">
            <v>北京长宏建翔科技发展有限公司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北京超凡志成知识产权代理事务所（普通合伙）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北京朝阳隆华电线电缆有限公司</v>
          </cell>
          <cell r="B30">
            <v>0</v>
          </cell>
          <cell r="C30">
            <v>0</v>
          </cell>
          <cell r="D30">
            <v>0</v>
          </cell>
        </row>
        <row r="31">
          <cell r="A31" t="str">
            <v>北京德实汽车饰件有限公司</v>
          </cell>
          <cell r="B31">
            <v>180000</v>
          </cell>
          <cell r="C31">
            <v>0</v>
          </cell>
          <cell r="D31">
            <v>617701.63</v>
          </cell>
        </row>
        <row r="32">
          <cell r="A32" t="str">
            <v>北京迪阳自动化设备有限公司</v>
          </cell>
          <cell r="B32">
            <v>0</v>
          </cell>
          <cell r="C32">
            <v>0</v>
          </cell>
          <cell r="D32">
            <v>1950</v>
          </cell>
        </row>
        <row r="33">
          <cell r="A33" t="str">
            <v>北京东方华康自动化有限公司</v>
          </cell>
          <cell r="B33">
            <v>0</v>
          </cell>
          <cell r="C33">
            <v>0</v>
          </cell>
          <cell r="D33">
            <v>0</v>
          </cell>
        </row>
        <row r="34">
          <cell r="A34" t="str">
            <v>北京多宾城建筑机械有限公司</v>
          </cell>
          <cell r="B34">
            <v>250000</v>
          </cell>
          <cell r="C34">
            <v>180858.35</v>
          </cell>
          <cell r="D34">
            <v>1332552.93</v>
          </cell>
        </row>
        <row r="35">
          <cell r="A35" t="str">
            <v>北京伏牛山纸业有限公司</v>
          </cell>
          <cell r="B35">
            <v>0</v>
          </cell>
          <cell r="C35">
            <v>0</v>
          </cell>
          <cell r="D35">
            <v>0</v>
          </cell>
        </row>
        <row r="36">
          <cell r="A36" t="str">
            <v>北京福田戴姆勒汽车有限公司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北京格兰力士机电技术有限责任公司</v>
          </cell>
          <cell r="B37">
            <v>0</v>
          </cell>
          <cell r="C37">
            <v>0</v>
          </cell>
          <cell r="D37">
            <v>0</v>
          </cell>
        </row>
        <row r="38">
          <cell r="A38" t="str">
            <v>北京光华荣昌汽车部件有限公司</v>
          </cell>
          <cell r="B38">
            <v>0</v>
          </cell>
          <cell r="C38">
            <v>0</v>
          </cell>
          <cell r="D38">
            <v>0</v>
          </cell>
        </row>
        <row r="39">
          <cell r="A39" t="str">
            <v>北京国大联创科技发展有限公司</v>
          </cell>
          <cell r="B39">
            <v>0</v>
          </cell>
          <cell r="C39">
            <v>0</v>
          </cell>
          <cell r="D39">
            <v>33800</v>
          </cell>
        </row>
        <row r="40">
          <cell r="A40" t="str">
            <v>北京航天融合环境科技发展有限公司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北京航源鑫物资有限公司</v>
          </cell>
          <cell r="B41">
            <v>0</v>
          </cell>
          <cell r="C41">
            <v>0</v>
          </cell>
          <cell r="D41">
            <v>0</v>
          </cell>
        </row>
        <row r="42">
          <cell r="A42" t="str">
            <v>北京好伯特科技有限公司</v>
          </cell>
          <cell r="B42">
            <v>2000</v>
          </cell>
          <cell r="C42">
            <v>2000</v>
          </cell>
          <cell r="D42">
            <v>0</v>
          </cell>
        </row>
        <row r="43">
          <cell r="A43" t="str">
            <v>北京恒大隆压缩机制造厂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北京宏达佳诚劳务派遣有限公司</v>
          </cell>
          <cell r="B44">
            <v>0</v>
          </cell>
          <cell r="C44">
            <v>0</v>
          </cell>
          <cell r="D44">
            <v>0</v>
          </cell>
        </row>
        <row r="45">
          <cell r="A45" t="str">
            <v>北京宏达翔科技有限公司</v>
          </cell>
          <cell r="B45">
            <v>75259.5</v>
          </cell>
          <cell r="C45">
            <v>75259.5</v>
          </cell>
          <cell r="D45">
            <v>0</v>
          </cell>
        </row>
        <row r="46">
          <cell r="A46" t="str">
            <v>北京华北轻合金有限公司</v>
          </cell>
          <cell r="B46">
            <v>0</v>
          </cell>
          <cell r="C46">
            <v>0</v>
          </cell>
          <cell r="D46">
            <v>17534.44</v>
          </cell>
        </row>
        <row r="47">
          <cell r="A47" t="str">
            <v>北京华伟汇腾汽车部件有限公司</v>
          </cell>
          <cell r="B47">
            <v>0</v>
          </cell>
          <cell r="C47">
            <v>0</v>
          </cell>
          <cell r="D47">
            <v>0</v>
          </cell>
        </row>
        <row r="48">
          <cell r="A48" t="str">
            <v>北京机电研究所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>北京吉泰基业科技有限公司</v>
          </cell>
          <cell r="B49">
            <v>0</v>
          </cell>
          <cell r="C49">
            <v>0</v>
          </cell>
          <cell r="D49">
            <v>0</v>
          </cell>
        </row>
        <row r="50">
          <cell r="A50" t="str">
            <v>北京佳伟广源商贸有限公司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北京嘉威达商贸有限公司</v>
          </cell>
          <cell r="B51">
            <v>0</v>
          </cell>
          <cell r="C51">
            <v>0</v>
          </cell>
          <cell r="D51">
            <v>3020</v>
          </cell>
        </row>
        <row r="52">
          <cell r="A52" t="str">
            <v>北京捷安思丽技术开发有限公司</v>
          </cell>
          <cell r="B52">
            <v>50000</v>
          </cell>
          <cell r="C52">
            <v>13622.4</v>
          </cell>
          <cell r="D52">
            <v>134635.83</v>
          </cell>
        </row>
        <row r="53">
          <cell r="A53" t="str">
            <v>北京科创京成科技股份有限公司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北京跨越速递有限公司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北京力源恒胜仓储设备有限公司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北京流遍润滑机械销售有限公司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北京龙利弘达机械设备起重搬运有限公司</v>
          </cell>
          <cell r="B57">
            <v>0</v>
          </cell>
          <cell r="C57">
            <v>0</v>
          </cell>
          <cell r="D57">
            <v>0</v>
          </cell>
        </row>
        <row r="58">
          <cell r="A58" t="str">
            <v>北京浦东三浦标准件有限公司</v>
          </cell>
          <cell r="B58">
            <v>120000</v>
          </cell>
          <cell r="C58">
            <v>156904.39</v>
          </cell>
          <cell r="D58">
            <v>1066783.5</v>
          </cell>
        </row>
        <row r="59">
          <cell r="A59" t="str">
            <v>北京奇美玉隆商贸有限公司</v>
          </cell>
          <cell r="B59">
            <v>0</v>
          </cell>
          <cell r="C59">
            <v>0</v>
          </cell>
          <cell r="D59">
            <v>0</v>
          </cell>
        </row>
        <row r="60">
          <cell r="A60" t="str">
            <v>北京奇美玉隆商贸有限责任公司</v>
          </cell>
          <cell r="B60">
            <v>570000</v>
          </cell>
          <cell r="C60">
            <v>185000</v>
          </cell>
          <cell r="D60">
            <v>367125</v>
          </cell>
        </row>
        <row r="61">
          <cell r="A61" t="str">
            <v>北京前哨青业科技发展有限公司</v>
          </cell>
          <cell r="B61">
            <v>0</v>
          </cell>
          <cell r="C61">
            <v>0</v>
          </cell>
          <cell r="D61">
            <v>0</v>
          </cell>
        </row>
        <row r="62">
          <cell r="A62" t="str">
            <v>北京瑞德佑业经贸有限责任公司</v>
          </cell>
          <cell r="B62">
            <v>0</v>
          </cell>
          <cell r="C62">
            <v>0</v>
          </cell>
          <cell r="D62">
            <v>0</v>
          </cell>
        </row>
        <row r="63">
          <cell r="A63" t="str">
            <v>北京瑞德佑业科技有限公司</v>
          </cell>
          <cell r="B63">
            <v>0</v>
          </cell>
          <cell r="C63">
            <v>0</v>
          </cell>
          <cell r="D63">
            <v>0</v>
          </cell>
        </row>
        <row r="64">
          <cell r="A64" t="str">
            <v>北京瑞林兴物资有限公司</v>
          </cell>
          <cell r="B64">
            <v>0</v>
          </cell>
          <cell r="C64">
            <v>0</v>
          </cell>
          <cell r="D64">
            <v>0</v>
          </cell>
        </row>
        <row r="65">
          <cell r="A65" t="str">
            <v>北京瑞隆祥科技有限公司</v>
          </cell>
          <cell r="B65">
            <v>0</v>
          </cell>
          <cell r="C65">
            <v>0</v>
          </cell>
          <cell r="D65">
            <v>0</v>
          </cell>
        </row>
        <row r="66">
          <cell r="A66" t="str">
            <v>北京瑞隆祥模具有限公司</v>
          </cell>
          <cell r="B66">
            <v>0</v>
          </cell>
          <cell r="C66">
            <v>0</v>
          </cell>
          <cell r="D66">
            <v>576021.76</v>
          </cell>
        </row>
        <row r="67">
          <cell r="A67" t="str">
            <v>北京赛奥讯电梯安装工程有限公司</v>
          </cell>
          <cell r="B67">
            <v>0</v>
          </cell>
          <cell r="C67">
            <v>0</v>
          </cell>
          <cell r="D67">
            <v>0</v>
          </cell>
        </row>
        <row r="68">
          <cell r="A68" t="str">
            <v>北京赛博瑞鑫科技有限公司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北京申汉机电设备有限公司</v>
          </cell>
          <cell r="B69">
            <v>0</v>
          </cell>
          <cell r="C69">
            <v>0</v>
          </cell>
          <cell r="D69">
            <v>0</v>
          </cell>
        </row>
        <row r="70">
          <cell r="A70" t="str">
            <v>北京盛奥金华包装有限公司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北京盛大利诚科技有限公司</v>
          </cell>
          <cell r="B71">
            <v>0</v>
          </cell>
          <cell r="C71">
            <v>0</v>
          </cell>
          <cell r="D71">
            <v>0</v>
          </cell>
        </row>
        <row r="72">
          <cell r="A72" t="str">
            <v>北京世松机械制造有限公司</v>
          </cell>
          <cell r="B72">
            <v>0</v>
          </cell>
          <cell r="C72">
            <v>0</v>
          </cell>
          <cell r="D72">
            <v>3000</v>
          </cell>
        </row>
        <row r="73">
          <cell r="A73" t="str">
            <v>北京市金京成条码印刷有限公司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>北京市橡塑减震器材厂</v>
          </cell>
          <cell r="B74">
            <v>0</v>
          </cell>
          <cell r="C74">
            <v>0</v>
          </cell>
          <cell r="D74">
            <v>2369.86</v>
          </cell>
        </row>
        <row r="75">
          <cell r="A75" t="str">
            <v>北京泰双英商贸有限公司</v>
          </cell>
          <cell r="B75">
            <v>0</v>
          </cell>
          <cell r="C75">
            <v>0</v>
          </cell>
          <cell r="D75">
            <v>0</v>
          </cell>
        </row>
        <row r="76">
          <cell r="A76" t="str">
            <v>北京腾达新秀科技有限公司</v>
          </cell>
          <cell r="B76">
            <v>0</v>
          </cell>
          <cell r="C76">
            <v>0</v>
          </cell>
          <cell r="D76">
            <v>0</v>
          </cell>
        </row>
        <row r="77">
          <cell r="A77" t="str">
            <v>北京喜得利自动门技术有限公司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北京小箱环保科技有限公司</v>
          </cell>
          <cell r="B78">
            <v>0</v>
          </cell>
          <cell r="C78">
            <v>0</v>
          </cell>
          <cell r="D78">
            <v>0</v>
          </cell>
        </row>
        <row r="79">
          <cell r="A79" t="str">
            <v>北京新天兴业科技有限公司</v>
          </cell>
          <cell r="B79">
            <v>0</v>
          </cell>
          <cell r="C79">
            <v>0</v>
          </cell>
          <cell r="D79">
            <v>0</v>
          </cell>
        </row>
        <row r="80">
          <cell r="A80" t="str">
            <v>北京鑫葆海商贸有限公司</v>
          </cell>
          <cell r="B80">
            <v>0</v>
          </cell>
          <cell r="C80">
            <v>0</v>
          </cell>
          <cell r="D80">
            <v>0</v>
          </cell>
        </row>
        <row r="81">
          <cell r="A81" t="str">
            <v>北京鑫乐工服装设备有限公司</v>
          </cell>
          <cell r="B81">
            <v>0</v>
          </cell>
          <cell r="C81">
            <v>0</v>
          </cell>
          <cell r="D81">
            <v>0</v>
          </cell>
        </row>
        <row r="82">
          <cell r="A82" t="str">
            <v>北京鑫隆仁景塑胶材料科技有限公司</v>
          </cell>
          <cell r="B82">
            <v>0</v>
          </cell>
          <cell r="C82">
            <v>0</v>
          </cell>
          <cell r="D82">
            <v>297502.8</v>
          </cell>
        </row>
        <row r="83">
          <cell r="A83" t="str">
            <v>北京信恒佳诚商贸有限公司</v>
          </cell>
          <cell r="B83">
            <v>0</v>
          </cell>
          <cell r="C83">
            <v>0</v>
          </cell>
          <cell r="D83">
            <v>0</v>
          </cell>
        </row>
        <row r="84">
          <cell r="A84" t="str">
            <v>北京兴达恒源商贸有限公司</v>
          </cell>
          <cell r="B84">
            <v>0</v>
          </cell>
          <cell r="C84">
            <v>0</v>
          </cell>
          <cell r="D84">
            <v>0</v>
          </cell>
        </row>
        <row r="85">
          <cell r="A85" t="str">
            <v>北京逸伦众程自动化控制设备有限公司</v>
          </cell>
          <cell r="B85">
            <v>0</v>
          </cell>
          <cell r="C85">
            <v>0</v>
          </cell>
          <cell r="D85">
            <v>88805.97</v>
          </cell>
        </row>
        <row r="86">
          <cell r="A86" t="str">
            <v>北京永安城机电设备有限公司</v>
          </cell>
          <cell r="B86">
            <v>0</v>
          </cell>
          <cell r="C86">
            <v>0</v>
          </cell>
          <cell r="D86">
            <v>0</v>
          </cell>
        </row>
        <row r="87">
          <cell r="A87" t="str">
            <v>北京正保远见教育科技有限公司</v>
          </cell>
          <cell r="B87">
            <v>0</v>
          </cell>
          <cell r="C87">
            <v>0</v>
          </cell>
          <cell r="D87">
            <v>0</v>
          </cell>
        </row>
        <row r="88">
          <cell r="A88" t="str">
            <v>北京中恒海润金铭科技设备有限公司</v>
          </cell>
          <cell r="B88">
            <v>0</v>
          </cell>
          <cell r="C88">
            <v>0</v>
          </cell>
          <cell r="D88">
            <v>0</v>
          </cell>
        </row>
        <row r="89">
          <cell r="A89" t="str">
            <v>北汽福田汽车股份有限公司诸城奥铃汽车厂</v>
          </cell>
          <cell r="B89">
            <v>0</v>
          </cell>
          <cell r="C89">
            <v>0</v>
          </cell>
          <cell r="D89">
            <v>0</v>
          </cell>
        </row>
        <row r="90">
          <cell r="A90" t="str">
            <v>滨州炬能电源有限公司</v>
          </cell>
          <cell r="B90">
            <v>0</v>
          </cell>
          <cell r="C90">
            <v>0</v>
          </cell>
          <cell r="D90">
            <v>0</v>
          </cell>
        </row>
        <row r="91">
          <cell r="A91" t="str">
            <v>泊头市路通机床工具有限公司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泊头市如意五金冲压有限公司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泊头市胜宏五金冲压有限公司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泊头市通科机械设备有限公司</v>
          </cell>
          <cell r="B94">
            <v>0</v>
          </cell>
          <cell r="C94">
            <v>0</v>
          </cell>
          <cell r="D94">
            <v>0</v>
          </cell>
        </row>
        <row r="95">
          <cell r="A95" t="str">
            <v>泊头市鑫洪金属制品有限公司</v>
          </cell>
          <cell r="B95">
            <v>0</v>
          </cell>
          <cell r="C95">
            <v>0</v>
          </cell>
          <cell r="D95">
            <v>63202.7</v>
          </cell>
        </row>
        <row r="96">
          <cell r="A96" t="str">
            <v>泊头市志诚模具厂</v>
          </cell>
          <cell r="B96">
            <v>0</v>
          </cell>
          <cell r="C96">
            <v>0</v>
          </cell>
          <cell r="D96">
            <v>0</v>
          </cell>
        </row>
        <row r="97">
          <cell r="A97" t="str">
            <v>博山供水泵厂</v>
          </cell>
          <cell r="B97">
            <v>0</v>
          </cell>
          <cell r="C97">
            <v>0</v>
          </cell>
          <cell r="D97">
            <v>0</v>
          </cell>
        </row>
        <row r="98">
          <cell r="A98" t="str">
            <v>沧县同硕焊接安装门市部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沧县星宇精密铸造有限公司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沧州澳航电子有限公司</v>
          </cell>
          <cell r="B100">
            <v>0</v>
          </cell>
          <cell r="C100">
            <v>0</v>
          </cell>
          <cell r="D100">
            <v>0</v>
          </cell>
        </row>
        <row r="101">
          <cell r="A101" t="str">
            <v>沧州渤海新区长宏货物运输有限公司</v>
          </cell>
          <cell r="B101">
            <v>0</v>
          </cell>
          <cell r="C101">
            <v>0</v>
          </cell>
          <cell r="D101">
            <v>0</v>
          </cell>
        </row>
        <row r="102">
          <cell r="A102" t="str">
            <v>沧州长河机电设备安装工程有限公司</v>
          </cell>
          <cell r="B102">
            <v>0</v>
          </cell>
          <cell r="C102">
            <v>0</v>
          </cell>
          <cell r="D102">
            <v>0</v>
          </cell>
        </row>
        <row r="103">
          <cell r="A103" t="str">
            <v>沧州超杰纺织品有限公司</v>
          </cell>
          <cell r="B103">
            <v>0</v>
          </cell>
          <cell r="C103">
            <v>0</v>
          </cell>
          <cell r="D103">
            <v>7405.95</v>
          </cell>
        </row>
        <row r="104">
          <cell r="A104" t="str">
            <v>沧州鼎辉五金制造有限公司</v>
          </cell>
          <cell r="B104">
            <v>300000</v>
          </cell>
          <cell r="C104">
            <v>0</v>
          </cell>
          <cell r="D104">
            <v>72290.61</v>
          </cell>
        </row>
        <row r="105">
          <cell r="A105" t="str">
            <v>沧州广洋模具配件有限公司</v>
          </cell>
          <cell r="B105">
            <v>50000</v>
          </cell>
          <cell r="C105">
            <v>0</v>
          </cell>
          <cell r="D105">
            <v>68496.71</v>
          </cell>
        </row>
        <row r="106">
          <cell r="A106" t="str">
            <v>沧州华通电器部件有限公司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沧州冀道商贸有限公司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沧州经济开发区起点办公用品商行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沧州靖丰塑料有限公司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沧州坤翔化工机电有限公司</v>
          </cell>
          <cell r="B110">
            <v>4226</v>
          </cell>
          <cell r="C110">
            <v>0</v>
          </cell>
          <cell r="D110">
            <v>0</v>
          </cell>
        </row>
        <row r="111">
          <cell r="A111" t="str">
            <v>沧州临港京捷金属材料热处理厂</v>
          </cell>
          <cell r="B111">
            <v>0</v>
          </cell>
          <cell r="C111">
            <v>0</v>
          </cell>
          <cell r="D111">
            <v>0</v>
          </cell>
        </row>
        <row r="112">
          <cell r="A112" t="str">
            <v>沧州临港明康汽车配件有限公司</v>
          </cell>
          <cell r="B112">
            <v>250000</v>
          </cell>
          <cell r="C112">
            <v>31114.7</v>
          </cell>
          <cell r="D112">
            <v>221593.89</v>
          </cell>
        </row>
        <row r="113">
          <cell r="A113" t="str">
            <v>沧州茂源电器部件有限公司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沧州梦依恋商贸有限公司</v>
          </cell>
          <cell r="B114">
            <v>0</v>
          </cell>
          <cell r="C114">
            <v>0</v>
          </cell>
          <cell r="D114">
            <v>40</v>
          </cell>
        </row>
        <row r="115">
          <cell r="A115" t="str">
            <v>沧州其源盛环保设备有限公司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沧州强宇五金制造有限公司</v>
          </cell>
          <cell r="B116">
            <v>555000</v>
          </cell>
          <cell r="C116">
            <v>313004.6</v>
          </cell>
          <cell r="D116">
            <v>1821267.89</v>
          </cell>
        </row>
        <row r="117">
          <cell r="A117" t="str">
            <v>沧州瑞海油脂化工有限公司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沧州施普模具制造有限公司</v>
          </cell>
          <cell r="B118">
            <v>0</v>
          </cell>
          <cell r="C118">
            <v>0</v>
          </cell>
          <cell r="D118">
            <v>21800</v>
          </cell>
        </row>
        <row r="119">
          <cell r="A119" t="str">
            <v>沧州市长隆金属制品有限公司</v>
          </cell>
          <cell r="B119">
            <v>0</v>
          </cell>
          <cell r="C119">
            <v>0</v>
          </cell>
          <cell r="D119">
            <v>0</v>
          </cell>
        </row>
        <row r="120">
          <cell r="A120" t="str">
            <v>沧州市达盛化工产品有限公司</v>
          </cell>
          <cell r="B120">
            <v>0</v>
          </cell>
          <cell r="C120">
            <v>0</v>
          </cell>
          <cell r="D120">
            <v>0</v>
          </cell>
        </row>
        <row r="121">
          <cell r="A121" t="str">
            <v>沧州市华联钢管有限公司</v>
          </cell>
          <cell r="B121">
            <v>0</v>
          </cell>
          <cell r="C121">
            <v>0</v>
          </cell>
          <cell r="D121">
            <v>0</v>
          </cell>
        </row>
        <row r="122">
          <cell r="A122" t="str">
            <v>沧州市利昌汽车部件有限公司</v>
          </cell>
          <cell r="B122">
            <v>100000</v>
          </cell>
          <cell r="C122">
            <v>4715.21</v>
          </cell>
          <cell r="D122">
            <v>351347.26</v>
          </cell>
        </row>
        <row r="123">
          <cell r="A123" t="str">
            <v>沧州市任沧机电有限公司</v>
          </cell>
          <cell r="B123">
            <v>86050</v>
          </cell>
          <cell r="C123">
            <v>16762.5</v>
          </cell>
          <cell r="D123">
            <v>210173.68</v>
          </cell>
        </row>
        <row r="124">
          <cell r="A124" t="str">
            <v>沧州市润泽建筑涂装有限公司</v>
          </cell>
          <cell r="B124">
            <v>0</v>
          </cell>
          <cell r="C124">
            <v>0</v>
          </cell>
          <cell r="D124">
            <v>0</v>
          </cell>
        </row>
        <row r="125">
          <cell r="A125" t="str">
            <v>沧州市顺通五金有限公司</v>
          </cell>
          <cell r="B125">
            <v>0</v>
          </cell>
          <cell r="C125">
            <v>0</v>
          </cell>
          <cell r="D125">
            <v>0</v>
          </cell>
        </row>
        <row r="126">
          <cell r="A126" t="str">
            <v>沧州市万威物流有限公司</v>
          </cell>
          <cell r="B126">
            <v>0</v>
          </cell>
          <cell r="C126">
            <v>0</v>
          </cell>
          <cell r="D126">
            <v>0</v>
          </cell>
        </row>
        <row r="127">
          <cell r="A127" t="str">
            <v>沧州市维克机械设备有限公司</v>
          </cell>
          <cell r="B127">
            <v>0</v>
          </cell>
          <cell r="C127">
            <v>0</v>
          </cell>
          <cell r="D127">
            <v>28470</v>
          </cell>
        </row>
        <row r="128">
          <cell r="A128" t="str">
            <v>沧州市翔圣会计服务有限公司</v>
          </cell>
          <cell r="B128">
            <v>0</v>
          </cell>
          <cell r="C128">
            <v>0</v>
          </cell>
          <cell r="D128">
            <v>0</v>
          </cell>
        </row>
        <row r="129">
          <cell r="A129" t="str">
            <v>沧州市鑫发缝纫机有限公司</v>
          </cell>
          <cell r="B129">
            <v>30701</v>
          </cell>
          <cell r="C129">
            <v>0</v>
          </cell>
          <cell r="D129">
            <v>0</v>
          </cell>
        </row>
        <row r="130">
          <cell r="A130" t="str">
            <v>沧州市徐锻机床销售有限公司</v>
          </cell>
          <cell r="B130">
            <v>0</v>
          </cell>
          <cell r="C130">
            <v>0</v>
          </cell>
          <cell r="D130">
            <v>0</v>
          </cell>
        </row>
        <row r="131">
          <cell r="A131" t="str">
            <v>沧州市永佳物业服务有限公司</v>
          </cell>
          <cell r="B131">
            <v>0</v>
          </cell>
          <cell r="C131">
            <v>0</v>
          </cell>
          <cell r="D131">
            <v>0</v>
          </cell>
        </row>
        <row r="132">
          <cell r="A132" t="str">
            <v>沧州市远东缝纫机有限公司</v>
          </cell>
          <cell r="B132">
            <v>0</v>
          </cell>
          <cell r="C132">
            <v>0</v>
          </cell>
          <cell r="D132">
            <v>0</v>
          </cell>
        </row>
        <row r="133">
          <cell r="A133" t="str">
            <v>沧州市运河区建新广告装饰文化传媒中心</v>
          </cell>
          <cell r="B133">
            <v>0</v>
          </cell>
          <cell r="C133">
            <v>0</v>
          </cell>
          <cell r="D133">
            <v>0</v>
          </cell>
        </row>
        <row r="134">
          <cell r="A134" t="str">
            <v>沧州斯克艾商贸有限公司</v>
          </cell>
          <cell r="B134">
            <v>0</v>
          </cell>
          <cell r="C134">
            <v>0</v>
          </cell>
          <cell r="D134">
            <v>0</v>
          </cell>
        </row>
        <row r="135">
          <cell r="A135" t="str">
            <v>沧州天祥塑料制品有限公司</v>
          </cell>
          <cell r="B135">
            <v>0</v>
          </cell>
          <cell r="C135">
            <v>0</v>
          </cell>
          <cell r="D135">
            <v>33078.67</v>
          </cell>
        </row>
        <row r="136">
          <cell r="A136" t="str">
            <v>沧州同城信息技术有限公司</v>
          </cell>
          <cell r="B136">
            <v>0</v>
          </cell>
          <cell r="C136">
            <v>0</v>
          </cell>
          <cell r="D136">
            <v>0</v>
          </cell>
        </row>
        <row r="137">
          <cell r="A137" t="str">
            <v>沧州威达聚氨酯高科股份有限公司</v>
          </cell>
          <cell r="B137">
            <v>0</v>
          </cell>
          <cell r="C137">
            <v>0</v>
          </cell>
          <cell r="D137">
            <v>0</v>
          </cell>
        </row>
        <row r="138">
          <cell r="A138" t="str">
            <v>沧州鑫晟纸制品有限公司</v>
          </cell>
          <cell r="B138">
            <v>30000</v>
          </cell>
          <cell r="C138">
            <v>0</v>
          </cell>
          <cell r="D138">
            <v>187558.06</v>
          </cell>
        </row>
        <row r="139">
          <cell r="A139" t="str">
            <v>沧州益昌汽车销售服务有限公司</v>
          </cell>
          <cell r="B139">
            <v>0</v>
          </cell>
          <cell r="C139">
            <v>0</v>
          </cell>
          <cell r="D139">
            <v>0</v>
          </cell>
        </row>
        <row r="140">
          <cell r="A140" t="str">
            <v>沧州宇诺五金制造有限公司</v>
          </cell>
          <cell r="B140">
            <v>180000</v>
          </cell>
          <cell r="C140">
            <v>71383.26</v>
          </cell>
          <cell r="D140">
            <v>419082.81</v>
          </cell>
        </row>
        <row r="141">
          <cell r="A141" t="str">
            <v>沧州云庆标准件有限公司</v>
          </cell>
          <cell r="B141">
            <v>0</v>
          </cell>
          <cell r="C141">
            <v>0</v>
          </cell>
          <cell r="D141">
            <v>0</v>
          </cell>
        </row>
        <row r="142">
          <cell r="A142" t="str">
            <v>沧州众智鑫成人力资源服务有限公司</v>
          </cell>
          <cell r="B142">
            <v>144115.43</v>
          </cell>
          <cell r="C142">
            <v>144115.43</v>
          </cell>
          <cell r="D142">
            <v>0</v>
          </cell>
        </row>
        <row r="143">
          <cell r="A143" t="str">
            <v>昌乐天齐色织布有限公司</v>
          </cell>
          <cell r="B143">
            <v>0</v>
          </cell>
          <cell r="C143">
            <v>0</v>
          </cell>
          <cell r="D143">
            <v>206017.7</v>
          </cell>
        </row>
        <row r="144">
          <cell r="A144" t="str">
            <v>昌乐县天源色织布有限公司</v>
          </cell>
          <cell r="B144">
            <v>0</v>
          </cell>
          <cell r="C144">
            <v>0</v>
          </cell>
          <cell r="D144">
            <v>0</v>
          </cell>
        </row>
        <row r="145">
          <cell r="A145" t="str">
            <v>长春旷达汽车织物有限公司</v>
          </cell>
          <cell r="B145">
            <v>0</v>
          </cell>
          <cell r="C145">
            <v>0</v>
          </cell>
          <cell r="D145">
            <v>0</v>
          </cell>
        </row>
        <row r="146">
          <cell r="A146" t="str">
            <v>长春市新科试验仪器设备有限公司</v>
          </cell>
          <cell r="B146">
            <v>0</v>
          </cell>
          <cell r="C146">
            <v>0</v>
          </cell>
          <cell r="D146">
            <v>0</v>
          </cell>
        </row>
        <row r="147">
          <cell r="A147" t="str">
            <v>长春市沅呈汽车饰件有限公司</v>
          </cell>
          <cell r="B147">
            <v>0</v>
          </cell>
          <cell r="C147">
            <v>0</v>
          </cell>
          <cell r="D147">
            <v>0</v>
          </cell>
        </row>
        <row r="148">
          <cell r="A148" t="str">
            <v>长春天利得科技有限公司</v>
          </cell>
          <cell r="B148">
            <v>250000</v>
          </cell>
          <cell r="C148">
            <v>0</v>
          </cell>
          <cell r="D148">
            <v>955722.41</v>
          </cell>
        </row>
        <row r="149">
          <cell r="A149" t="str">
            <v>长春亚大汽车零件制造有限公司</v>
          </cell>
          <cell r="B149">
            <v>0</v>
          </cell>
          <cell r="C149">
            <v>0</v>
          </cell>
          <cell r="D149">
            <v>0</v>
          </cell>
        </row>
        <row r="150">
          <cell r="A150" t="str">
            <v>长沙皓翰贸易有限公司</v>
          </cell>
          <cell r="B150">
            <v>0</v>
          </cell>
          <cell r="C150">
            <v>0</v>
          </cell>
          <cell r="D150">
            <v>0</v>
          </cell>
        </row>
        <row r="151">
          <cell r="A151" t="str">
            <v>长园和鹰智能设备有限公司</v>
          </cell>
          <cell r="B151">
            <v>0</v>
          </cell>
          <cell r="C151">
            <v>0</v>
          </cell>
          <cell r="D151">
            <v>0</v>
          </cell>
        </row>
        <row r="152">
          <cell r="A152" t="str">
            <v>常熟市创新电器厂</v>
          </cell>
          <cell r="B152">
            <v>3747.2</v>
          </cell>
          <cell r="C152">
            <v>3747.2</v>
          </cell>
          <cell r="D152">
            <v>0</v>
          </cell>
        </row>
        <row r="153">
          <cell r="A153" t="str">
            <v>常州国誉减速机厂</v>
          </cell>
          <cell r="B153">
            <v>0</v>
          </cell>
          <cell r="C153">
            <v>0</v>
          </cell>
          <cell r="D153">
            <v>0</v>
          </cell>
        </row>
        <row r="154">
          <cell r="A154" t="str">
            <v>常州华阳万联汽车附件有限公司</v>
          </cell>
          <cell r="B154">
            <v>600000</v>
          </cell>
          <cell r="C154">
            <v>363135.69</v>
          </cell>
          <cell r="D154">
            <v>2641841.15</v>
          </cell>
        </row>
        <row r="155">
          <cell r="A155" t="str">
            <v>常州恺杰塑料模具有限公司</v>
          </cell>
          <cell r="B155">
            <v>0</v>
          </cell>
          <cell r="C155">
            <v>0</v>
          </cell>
          <cell r="D155">
            <v>0</v>
          </cell>
        </row>
        <row r="156">
          <cell r="A156" t="str">
            <v>常州市拓洋减速机厂</v>
          </cell>
          <cell r="B156">
            <v>0</v>
          </cell>
          <cell r="C156">
            <v>0</v>
          </cell>
          <cell r="D156">
            <v>0</v>
          </cell>
        </row>
        <row r="157">
          <cell r="A157" t="str">
            <v>常州市武进创新模具注塑有限公司</v>
          </cell>
          <cell r="B157">
            <v>250000</v>
          </cell>
          <cell r="C157">
            <v>82022.93</v>
          </cell>
          <cell r="D157">
            <v>1097130.86</v>
          </cell>
        </row>
        <row r="158">
          <cell r="A158" t="str">
            <v>春雨（东莞）五金制品有限公司</v>
          </cell>
          <cell r="B158">
            <v>52884</v>
          </cell>
          <cell r="C158">
            <v>52884</v>
          </cell>
          <cell r="D158">
            <v>0</v>
          </cell>
        </row>
        <row r="159">
          <cell r="A159" t="str">
            <v>大连吉田拉链有限公司北京分公司</v>
          </cell>
          <cell r="B159">
            <v>0</v>
          </cell>
          <cell r="C159">
            <v>0</v>
          </cell>
          <cell r="D159">
            <v>0</v>
          </cell>
        </row>
        <row r="160">
          <cell r="A160" t="str">
            <v>丹阳市神州电器部件厂</v>
          </cell>
          <cell r="B160">
            <v>0</v>
          </cell>
          <cell r="C160">
            <v>0</v>
          </cell>
          <cell r="D160">
            <v>0</v>
          </cell>
        </row>
        <row r="161">
          <cell r="A161" t="str">
            <v>德清三和塑胶有限公司</v>
          </cell>
          <cell r="B161">
            <v>0</v>
          </cell>
          <cell r="C161">
            <v>0</v>
          </cell>
          <cell r="D161">
            <v>6723.98</v>
          </cell>
        </row>
        <row r="162">
          <cell r="A162" t="str">
            <v>德州三志塑胶有限公司</v>
          </cell>
          <cell r="B162">
            <v>0</v>
          </cell>
          <cell r="C162">
            <v>0</v>
          </cell>
          <cell r="D162">
            <v>0</v>
          </cell>
        </row>
        <row r="163">
          <cell r="A163" t="str">
            <v>德州志鹏海绵制品有限公司</v>
          </cell>
          <cell r="B163">
            <v>70000</v>
          </cell>
          <cell r="C163">
            <v>0</v>
          </cell>
          <cell r="D163">
            <v>436319</v>
          </cell>
        </row>
        <row r="164">
          <cell r="A164" t="str">
            <v>邓景亮</v>
          </cell>
          <cell r="B164">
            <v>1000000</v>
          </cell>
          <cell r="C164">
            <v>0</v>
          </cell>
          <cell r="D164">
            <v>559318</v>
          </cell>
        </row>
        <row r="165">
          <cell r="A165" t="str">
            <v>东光县汽车减震器厂</v>
          </cell>
          <cell r="B165">
            <v>0</v>
          </cell>
          <cell r="C165">
            <v>0</v>
          </cell>
          <cell r="D165">
            <v>18714.75</v>
          </cell>
        </row>
        <row r="166">
          <cell r="A166" t="str">
            <v>东来涂料技术（上海）股份有限公司</v>
          </cell>
          <cell r="B166">
            <v>0</v>
          </cell>
          <cell r="C166">
            <v>70060.6</v>
          </cell>
          <cell r="D166">
            <v>70060.6</v>
          </cell>
        </row>
        <row r="167">
          <cell r="A167" t="str">
            <v>东莞市嘉刚机电科技发展有限公司</v>
          </cell>
          <cell r="B167">
            <v>0</v>
          </cell>
          <cell r="C167">
            <v>0</v>
          </cell>
          <cell r="D167">
            <v>0</v>
          </cell>
        </row>
        <row r="168">
          <cell r="A168" t="str">
            <v>东莞市卡索电子科技有限公司</v>
          </cell>
          <cell r="B168">
            <v>16000</v>
          </cell>
          <cell r="C168">
            <v>16000</v>
          </cell>
          <cell r="D168">
            <v>0</v>
          </cell>
        </row>
        <row r="169">
          <cell r="A169" t="str">
            <v>东莞市联恒自动化设备有限公司</v>
          </cell>
          <cell r="B169">
            <v>0</v>
          </cell>
          <cell r="C169">
            <v>0</v>
          </cell>
          <cell r="D169">
            <v>0</v>
          </cell>
        </row>
        <row r="170">
          <cell r="A170" t="str">
            <v>东莞市瑞辉机械制造有限公司</v>
          </cell>
          <cell r="B170">
            <v>0</v>
          </cell>
          <cell r="C170">
            <v>0</v>
          </cell>
          <cell r="D170">
            <v>0</v>
          </cell>
        </row>
        <row r="171">
          <cell r="A171" t="str">
            <v>东莞市深川工业设备有限公司</v>
          </cell>
          <cell r="B171">
            <v>3087326.6</v>
          </cell>
          <cell r="C171">
            <v>3087326.6</v>
          </cell>
          <cell r="D171">
            <v>0</v>
          </cell>
        </row>
        <row r="172">
          <cell r="A172" t="str">
            <v>东莞市双和机车拉索有限公司</v>
          </cell>
          <cell r="B172">
            <v>0</v>
          </cell>
          <cell r="C172">
            <v>0</v>
          </cell>
          <cell r="D172">
            <v>1615.32</v>
          </cell>
        </row>
        <row r="173">
          <cell r="A173" t="str">
            <v>杜奥尔汽车技术（上海）有限公司</v>
          </cell>
          <cell r="B173">
            <v>0</v>
          </cell>
          <cell r="C173">
            <v>0</v>
          </cell>
          <cell r="D173">
            <v>0</v>
          </cell>
        </row>
        <row r="174">
          <cell r="A174" t="str">
            <v>杜倍汽车技术（上海）有限公司</v>
          </cell>
          <cell r="B174">
            <v>0</v>
          </cell>
          <cell r="C174">
            <v>0</v>
          </cell>
          <cell r="D174">
            <v>3374.75</v>
          </cell>
        </row>
        <row r="175">
          <cell r="A175" t="str">
            <v>多科迪（北京）塑胶颜料有限公司</v>
          </cell>
          <cell r="B175">
            <v>4400</v>
          </cell>
          <cell r="C175">
            <v>4400</v>
          </cell>
          <cell r="D175">
            <v>0</v>
          </cell>
        </row>
        <row r="176">
          <cell r="A176" t="str">
            <v>丰电科技集团股份有限公司</v>
          </cell>
          <cell r="B176">
            <v>0</v>
          </cell>
          <cell r="C176">
            <v>0</v>
          </cell>
          <cell r="D176">
            <v>0</v>
          </cell>
        </row>
        <row r="177">
          <cell r="A177" t="str">
            <v>佛吉亚（无锡）座椅部件有限公司</v>
          </cell>
          <cell r="B177">
            <v>0</v>
          </cell>
          <cell r="C177">
            <v>1060473.36</v>
          </cell>
          <cell r="D177">
            <v>2281849.77</v>
          </cell>
        </row>
        <row r="178">
          <cell r="A178" t="str">
            <v>佛山冈联汽车模具配件有限公司</v>
          </cell>
          <cell r="B178">
            <v>0</v>
          </cell>
          <cell r="C178">
            <v>0</v>
          </cell>
          <cell r="D178">
            <v>0.01</v>
          </cell>
        </row>
        <row r="179">
          <cell r="A179" t="str">
            <v>佛山市立久光电科技有限公司</v>
          </cell>
          <cell r="B179">
            <v>43900.5</v>
          </cell>
          <cell r="C179">
            <v>43900.5</v>
          </cell>
          <cell r="D179">
            <v>0</v>
          </cell>
        </row>
        <row r="180">
          <cell r="A180" t="str">
            <v>佛山市顺德区聚达汽车部件有限公司</v>
          </cell>
          <cell r="B180">
            <v>50000</v>
          </cell>
          <cell r="C180">
            <v>87254.08</v>
          </cell>
          <cell r="D180">
            <v>252700.4</v>
          </cell>
        </row>
        <row r="181">
          <cell r="A181" t="str">
            <v>佛山市益鑫禾机械自动化装备有限公司</v>
          </cell>
          <cell r="B181">
            <v>0</v>
          </cell>
          <cell r="C181">
            <v>0</v>
          </cell>
          <cell r="D181">
            <v>0</v>
          </cell>
        </row>
        <row r="182">
          <cell r="A182" t="str">
            <v>福跃五金制品厂</v>
          </cell>
          <cell r="B182">
            <v>0</v>
          </cell>
          <cell r="C182">
            <v>0</v>
          </cell>
          <cell r="D182">
            <v>0</v>
          </cell>
        </row>
        <row r="183">
          <cell r="A183" t="str">
            <v>福州聚博机电设备有限公司</v>
          </cell>
          <cell r="B183">
            <v>0</v>
          </cell>
          <cell r="C183">
            <v>0</v>
          </cell>
          <cell r="D183">
            <v>0</v>
          </cell>
        </row>
        <row r="184">
          <cell r="A184" t="str">
            <v>富港科技天津有限公司</v>
          </cell>
          <cell r="B184">
            <v>0</v>
          </cell>
          <cell r="C184">
            <v>0</v>
          </cell>
          <cell r="D184">
            <v>0</v>
          </cell>
        </row>
        <row r="185">
          <cell r="A185" t="str">
            <v>高碑店市晨奥汽车部件有限公司</v>
          </cell>
          <cell r="B185">
            <v>0</v>
          </cell>
          <cell r="C185">
            <v>0</v>
          </cell>
          <cell r="D185">
            <v>0</v>
          </cell>
        </row>
        <row r="186">
          <cell r="A186" t="str">
            <v>高碑店市晨奥五金制品有限公司</v>
          </cell>
          <cell r="B186">
            <v>0</v>
          </cell>
          <cell r="C186">
            <v>0</v>
          </cell>
          <cell r="D186">
            <v>0</v>
          </cell>
        </row>
        <row r="187">
          <cell r="A187" t="str">
            <v>高碑店市信德百利革业有限公司</v>
          </cell>
          <cell r="B187">
            <v>0</v>
          </cell>
          <cell r="C187">
            <v>0</v>
          </cell>
          <cell r="D187">
            <v>100034.53</v>
          </cell>
        </row>
        <row r="188">
          <cell r="A188" t="str">
            <v>高唐强盛机械有限公司</v>
          </cell>
          <cell r="B188">
            <v>0</v>
          </cell>
          <cell r="C188">
            <v>86849</v>
          </cell>
          <cell r="D188">
            <v>722033.35</v>
          </cell>
        </row>
        <row r="189">
          <cell r="A189" t="str">
            <v>共和兴塑胶（廊坊）有限公司</v>
          </cell>
          <cell r="B189">
            <v>0</v>
          </cell>
          <cell r="C189">
            <v>0</v>
          </cell>
          <cell r="D189">
            <v>0</v>
          </cell>
        </row>
        <row r="190">
          <cell r="A190" t="str">
            <v>古特曼商贸（上海）有限公司</v>
          </cell>
          <cell r="B190">
            <v>0</v>
          </cell>
          <cell r="C190">
            <v>0</v>
          </cell>
          <cell r="D190">
            <v>0</v>
          </cell>
        </row>
        <row r="191">
          <cell r="A191" t="str">
            <v>固安县乐通塑料中空板有限公司</v>
          </cell>
          <cell r="B191">
            <v>0</v>
          </cell>
          <cell r="C191">
            <v>0</v>
          </cell>
          <cell r="D191">
            <v>0</v>
          </cell>
        </row>
        <row r="192">
          <cell r="A192" t="str">
            <v>故城县智华再生海绵有限公司</v>
          </cell>
          <cell r="B192">
            <v>0</v>
          </cell>
          <cell r="C192">
            <v>0</v>
          </cell>
          <cell r="D192">
            <v>0</v>
          </cell>
        </row>
        <row r="193">
          <cell r="A193" t="str">
            <v>广东新金山环保材料股份有限公司</v>
          </cell>
          <cell r="B193">
            <v>500000</v>
          </cell>
          <cell r="C193">
            <v>0</v>
          </cell>
          <cell r="D193">
            <v>170802.26</v>
          </cell>
        </row>
        <row r="194">
          <cell r="A194" t="str">
            <v>广州富士机工汽车部件有限公司</v>
          </cell>
          <cell r="B194">
            <v>800000</v>
          </cell>
          <cell r="C194">
            <v>0</v>
          </cell>
          <cell r="D194">
            <v>0</v>
          </cell>
        </row>
        <row r="195">
          <cell r="A195" t="str">
            <v>广州吉中汽车内饰系统有限公司</v>
          </cell>
          <cell r="B195">
            <v>0</v>
          </cell>
          <cell r="C195">
            <v>0</v>
          </cell>
          <cell r="D195">
            <v>0</v>
          </cell>
        </row>
        <row r="196">
          <cell r="A196" t="str">
            <v>广州欧尼克焊接科技有限公司</v>
          </cell>
          <cell r="B196">
            <v>0</v>
          </cell>
          <cell r="C196">
            <v>0</v>
          </cell>
          <cell r="D196">
            <v>400</v>
          </cell>
        </row>
        <row r="197">
          <cell r="A197" t="str">
            <v>广州普华灵动机器人技术有限公司</v>
          </cell>
          <cell r="B197">
            <v>0</v>
          </cell>
          <cell r="C197">
            <v>0</v>
          </cell>
          <cell r="D197">
            <v>4000</v>
          </cell>
        </row>
        <row r="198">
          <cell r="A198" t="str">
            <v>广州市奔途尔商贸有限公司</v>
          </cell>
          <cell r="B198">
            <v>0</v>
          </cell>
          <cell r="C198">
            <v>0</v>
          </cell>
          <cell r="D198">
            <v>0</v>
          </cell>
        </row>
        <row r="199">
          <cell r="A199" t="str">
            <v>广州市火龙焊接设备有限公司</v>
          </cell>
          <cell r="B199">
            <v>0</v>
          </cell>
          <cell r="C199">
            <v>0</v>
          </cell>
          <cell r="D199">
            <v>0</v>
          </cell>
        </row>
        <row r="200">
          <cell r="A200" t="str">
            <v>广州市盟力线业有限公司</v>
          </cell>
          <cell r="B200">
            <v>0</v>
          </cell>
          <cell r="C200">
            <v>249.4</v>
          </cell>
          <cell r="D200">
            <v>61267.77</v>
          </cell>
        </row>
        <row r="201">
          <cell r="A201" t="str">
            <v>广州市朋普机电技术有限公司</v>
          </cell>
          <cell r="B201">
            <v>0</v>
          </cell>
          <cell r="C201">
            <v>0</v>
          </cell>
          <cell r="D201">
            <v>0</v>
          </cell>
        </row>
        <row r="202">
          <cell r="A202" t="str">
            <v>广州熙锐自动化设备有限公司</v>
          </cell>
          <cell r="B202">
            <v>0</v>
          </cell>
          <cell r="C202">
            <v>0</v>
          </cell>
          <cell r="D202">
            <v>0</v>
          </cell>
        </row>
        <row r="203">
          <cell r="A203" t="str">
            <v>圭尔夫(天津)工业门有限公司</v>
          </cell>
          <cell r="B203">
            <v>18550</v>
          </cell>
          <cell r="C203">
            <v>0</v>
          </cell>
          <cell r="D203">
            <v>3065</v>
          </cell>
        </row>
        <row r="204">
          <cell r="A204" t="str">
            <v>国网河北省电力有限公司沧州供电分公司</v>
          </cell>
          <cell r="B204">
            <v>0</v>
          </cell>
          <cell r="C204">
            <v>0</v>
          </cell>
          <cell r="D204">
            <v>0</v>
          </cell>
        </row>
        <row r="205">
          <cell r="A205" t="str">
            <v>海安县绿色清洗剂厂</v>
          </cell>
          <cell r="B205">
            <v>0</v>
          </cell>
          <cell r="C205">
            <v>0</v>
          </cell>
          <cell r="D205">
            <v>0</v>
          </cell>
        </row>
        <row r="206">
          <cell r="A206" t="str">
            <v>海天塑机集团有限公司</v>
          </cell>
          <cell r="B206">
            <v>0</v>
          </cell>
          <cell r="C206">
            <v>0</v>
          </cell>
          <cell r="D206">
            <v>0</v>
          </cell>
        </row>
        <row r="207">
          <cell r="A207" t="str">
            <v>海兴中盛弹簧有限公司</v>
          </cell>
          <cell r="B207">
            <v>250000</v>
          </cell>
          <cell r="C207">
            <v>130024.76</v>
          </cell>
          <cell r="D207">
            <v>1467824.44</v>
          </cell>
        </row>
        <row r="208">
          <cell r="A208" t="str">
            <v>韩竹林</v>
          </cell>
          <cell r="B208">
            <v>0</v>
          </cell>
          <cell r="C208">
            <v>0</v>
          </cell>
          <cell r="D208">
            <v>0</v>
          </cell>
        </row>
        <row r="209">
          <cell r="A209" t="str">
            <v>杭州金士顿实业有限公司</v>
          </cell>
          <cell r="B209">
            <v>0</v>
          </cell>
          <cell r="C209">
            <v>0</v>
          </cell>
          <cell r="D209">
            <v>0</v>
          </cell>
        </row>
        <row r="210">
          <cell r="A210" t="str">
            <v>杭州迈斯嘉电子科技有限公司</v>
          </cell>
          <cell r="B210">
            <v>0</v>
          </cell>
          <cell r="C210">
            <v>0</v>
          </cell>
          <cell r="D210">
            <v>0</v>
          </cell>
        </row>
        <row r="211">
          <cell r="A211" t="str">
            <v>杭州迈图贸易有限公司</v>
          </cell>
          <cell r="B211">
            <v>0</v>
          </cell>
          <cell r="C211">
            <v>0</v>
          </cell>
          <cell r="D211">
            <v>0</v>
          </cell>
        </row>
        <row r="212">
          <cell r="A212" t="str">
            <v>合肥光码商贸有限公司</v>
          </cell>
          <cell r="B212">
            <v>0</v>
          </cell>
          <cell r="C212">
            <v>0</v>
          </cell>
          <cell r="D212">
            <v>41192.5</v>
          </cell>
        </row>
        <row r="213">
          <cell r="A213" t="str">
            <v>合肥洁邦清洁设备有限公司</v>
          </cell>
          <cell r="B213">
            <v>0</v>
          </cell>
          <cell r="C213">
            <v>0</v>
          </cell>
          <cell r="D213">
            <v>0</v>
          </cell>
        </row>
        <row r="214">
          <cell r="A214" t="str">
            <v>何香存</v>
          </cell>
          <cell r="B214">
            <v>0</v>
          </cell>
          <cell r="C214">
            <v>0</v>
          </cell>
          <cell r="D214">
            <v>0</v>
          </cell>
        </row>
        <row r="215">
          <cell r="A215" t="str">
            <v>和和机械（张家港）有限公司</v>
          </cell>
          <cell r="B215">
            <v>0</v>
          </cell>
          <cell r="C215">
            <v>0</v>
          </cell>
          <cell r="D215">
            <v>0</v>
          </cell>
        </row>
        <row r="216">
          <cell r="A216" t="str">
            <v>河北安闻汽车零部件有限公司</v>
          </cell>
          <cell r="B216">
            <v>0</v>
          </cell>
          <cell r="C216">
            <v>0</v>
          </cell>
          <cell r="D216">
            <v>0</v>
          </cell>
        </row>
        <row r="217">
          <cell r="A217" t="str">
            <v>河北长河税务师事务所有限公司</v>
          </cell>
          <cell r="B217">
            <v>0</v>
          </cell>
          <cell r="C217">
            <v>0</v>
          </cell>
          <cell r="D217">
            <v>0</v>
          </cell>
        </row>
        <row r="218">
          <cell r="A218" t="str">
            <v>河北辰丰制管有限公司</v>
          </cell>
          <cell r="B218">
            <v>750000</v>
          </cell>
          <cell r="C218">
            <v>307809.4</v>
          </cell>
          <cell r="D218">
            <v>970967.72</v>
          </cell>
        </row>
        <row r="219">
          <cell r="A219" t="str">
            <v>河北宏广橡塑金属制品有限公司</v>
          </cell>
          <cell r="B219">
            <v>0</v>
          </cell>
          <cell r="C219">
            <v>0</v>
          </cell>
          <cell r="D219">
            <v>0</v>
          </cell>
        </row>
        <row r="220">
          <cell r="A220" t="str">
            <v>河北互通网络技术有限公司</v>
          </cell>
          <cell r="B220">
            <v>0</v>
          </cell>
          <cell r="C220">
            <v>0</v>
          </cell>
          <cell r="D220">
            <v>0</v>
          </cell>
        </row>
        <row r="221">
          <cell r="A221" t="str">
            <v>河北佳佰工程咨询有限公司</v>
          </cell>
          <cell r="B221">
            <v>0</v>
          </cell>
          <cell r="C221">
            <v>0</v>
          </cell>
          <cell r="D221">
            <v>0</v>
          </cell>
        </row>
        <row r="222">
          <cell r="A222" t="str">
            <v>河北聚福家用电器有限公司</v>
          </cell>
          <cell r="B222">
            <v>0</v>
          </cell>
          <cell r="C222">
            <v>0</v>
          </cell>
          <cell r="D222">
            <v>0</v>
          </cell>
        </row>
        <row r="223">
          <cell r="A223" t="str">
            <v>河北联庆五金制品有限公司</v>
          </cell>
          <cell r="B223">
            <v>113588.64</v>
          </cell>
          <cell r="C223">
            <v>123947.84</v>
          </cell>
          <cell r="D223">
            <v>93631.21</v>
          </cell>
        </row>
        <row r="224">
          <cell r="A224" t="str">
            <v>河北量子环境检测有限公司</v>
          </cell>
          <cell r="B224">
            <v>0</v>
          </cell>
          <cell r="C224">
            <v>0</v>
          </cell>
          <cell r="D224">
            <v>0</v>
          </cell>
        </row>
        <row r="225">
          <cell r="A225" t="str">
            <v>河北美杭电梯安装有限公司</v>
          </cell>
          <cell r="B225">
            <v>0</v>
          </cell>
          <cell r="C225">
            <v>0</v>
          </cell>
          <cell r="D225">
            <v>0</v>
          </cell>
        </row>
        <row r="226">
          <cell r="A226" t="str">
            <v>河北耐力驰地坪装饰工程有限公司</v>
          </cell>
          <cell r="B226">
            <v>12943</v>
          </cell>
          <cell r="C226">
            <v>0</v>
          </cell>
          <cell r="D226">
            <v>0</v>
          </cell>
        </row>
        <row r="227">
          <cell r="A227" t="str">
            <v>河北锐翰汽车零部件有限公司</v>
          </cell>
          <cell r="B227">
            <v>450000</v>
          </cell>
          <cell r="C227">
            <v>377213.75</v>
          </cell>
          <cell r="D227">
            <v>1560168.6</v>
          </cell>
        </row>
        <row r="228">
          <cell r="A228" t="str">
            <v>河北润辉化工有限公司</v>
          </cell>
          <cell r="B228">
            <v>0</v>
          </cell>
          <cell r="C228">
            <v>0</v>
          </cell>
          <cell r="D228">
            <v>0</v>
          </cell>
        </row>
        <row r="229">
          <cell r="A229" t="str">
            <v>河北森凯环保科技有限公司</v>
          </cell>
          <cell r="B229">
            <v>0</v>
          </cell>
          <cell r="C229">
            <v>0</v>
          </cell>
          <cell r="D229">
            <v>0</v>
          </cell>
        </row>
        <row r="230">
          <cell r="A230" t="str">
            <v>河北圣洁环境生物科技工程有限公司</v>
          </cell>
          <cell r="B230">
            <v>0</v>
          </cell>
          <cell r="C230">
            <v>0</v>
          </cell>
          <cell r="D230">
            <v>82800</v>
          </cell>
        </row>
        <row r="231">
          <cell r="A231" t="str">
            <v>河北盛德燃气有限公司</v>
          </cell>
          <cell r="B231">
            <v>0</v>
          </cell>
          <cell r="C231">
            <v>0</v>
          </cell>
          <cell r="D231">
            <v>1.2</v>
          </cell>
        </row>
        <row r="232">
          <cell r="A232" t="str">
            <v>河北双力起重机械有限公司</v>
          </cell>
          <cell r="B232">
            <v>0</v>
          </cell>
          <cell r="C232">
            <v>0</v>
          </cell>
          <cell r="D232">
            <v>17700</v>
          </cell>
        </row>
        <row r="233">
          <cell r="A233" t="str">
            <v>河北顺和职业卫生技术服务有限公司</v>
          </cell>
          <cell r="B233">
            <v>0</v>
          </cell>
          <cell r="C233">
            <v>0</v>
          </cell>
          <cell r="D233">
            <v>0</v>
          </cell>
        </row>
        <row r="234">
          <cell r="A234" t="str">
            <v>河北伟业聚氨酯泡绵有限公司</v>
          </cell>
          <cell r="B234">
            <v>0</v>
          </cell>
          <cell r="C234">
            <v>0</v>
          </cell>
          <cell r="D234">
            <v>0</v>
          </cell>
        </row>
        <row r="235">
          <cell r="A235" t="str">
            <v>河北新强力机械制造有限公司</v>
          </cell>
          <cell r="B235">
            <v>800000</v>
          </cell>
          <cell r="C235">
            <v>0</v>
          </cell>
          <cell r="D235">
            <v>4106238.14</v>
          </cell>
        </row>
        <row r="236">
          <cell r="A236" t="str">
            <v>河北新世泰机械有限公司</v>
          </cell>
          <cell r="B236">
            <v>0</v>
          </cell>
          <cell r="C236">
            <v>0</v>
          </cell>
          <cell r="D236">
            <v>0</v>
          </cell>
        </row>
        <row r="237">
          <cell r="A237" t="str">
            <v>河北艺能锅炉有限责任公司</v>
          </cell>
          <cell r="B237">
            <v>50000</v>
          </cell>
          <cell r="C237">
            <v>0</v>
          </cell>
          <cell r="D237">
            <v>0</v>
          </cell>
        </row>
        <row r="238">
          <cell r="A238" t="str">
            <v>河北媛皓建筑机械科技有限公司</v>
          </cell>
          <cell r="B238">
            <v>0</v>
          </cell>
          <cell r="C238">
            <v>0</v>
          </cell>
          <cell r="D238">
            <v>0</v>
          </cell>
        </row>
        <row r="239">
          <cell r="A239" t="str">
            <v>河北岳钢数控设备有限公司</v>
          </cell>
          <cell r="B239">
            <v>523000</v>
          </cell>
          <cell r="C239">
            <v>1522060.39</v>
          </cell>
          <cell r="D239">
            <v>0</v>
          </cell>
        </row>
        <row r="240">
          <cell r="A240" t="str">
            <v>河北泽沃钢管制造有限公司</v>
          </cell>
          <cell r="B240">
            <v>0</v>
          </cell>
          <cell r="C240">
            <v>0</v>
          </cell>
          <cell r="D240">
            <v>0</v>
          </cell>
        </row>
        <row r="241">
          <cell r="A241" t="str">
            <v>河北智友机电制造有限公司</v>
          </cell>
          <cell r="B241">
            <v>0</v>
          </cell>
          <cell r="C241">
            <v>0</v>
          </cell>
          <cell r="D241">
            <v>0</v>
          </cell>
        </row>
        <row r="242">
          <cell r="A242" t="str">
            <v>河间市祥龙崇光电缆厂</v>
          </cell>
          <cell r="B242">
            <v>0</v>
          </cell>
          <cell r="C242">
            <v>0</v>
          </cell>
          <cell r="D242">
            <v>0</v>
          </cell>
        </row>
        <row r="243">
          <cell r="A243" t="str">
            <v>河间市正邦橡胶制品有限公司</v>
          </cell>
          <cell r="B243">
            <v>0</v>
          </cell>
          <cell r="C243">
            <v>0</v>
          </cell>
          <cell r="D243">
            <v>0</v>
          </cell>
        </row>
        <row r="244">
          <cell r="A244" t="str">
            <v>鹤壁市天星电器厂</v>
          </cell>
          <cell r="B244">
            <v>0</v>
          </cell>
          <cell r="C244">
            <v>0</v>
          </cell>
          <cell r="D244">
            <v>0</v>
          </cell>
        </row>
        <row r="245">
          <cell r="A245" t="str">
            <v>鹤山市润源化工有限公司</v>
          </cell>
          <cell r="B245">
            <v>0</v>
          </cell>
          <cell r="C245">
            <v>0</v>
          </cell>
          <cell r="D245">
            <v>0</v>
          </cell>
        </row>
        <row r="246">
          <cell r="A246" t="str">
            <v>恒华包装材料销售有限公司</v>
          </cell>
          <cell r="B246">
            <v>0</v>
          </cell>
          <cell r="C246">
            <v>0</v>
          </cell>
          <cell r="D246">
            <v>0</v>
          </cell>
        </row>
        <row r="247">
          <cell r="A247" t="str">
            <v>衡水鑫智汽车零部件有限公司</v>
          </cell>
          <cell r="B247">
            <v>0</v>
          </cell>
          <cell r="C247">
            <v>0</v>
          </cell>
          <cell r="D247">
            <v>0</v>
          </cell>
        </row>
        <row r="248">
          <cell r="A248" t="str">
            <v>湖北航嘉麦格纳座椅系统有限公司</v>
          </cell>
          <cell r="B248">
            <v>0</v>
          </cell>
          <cell r="C248">
            <v>0</v>
          </cell>
          <cell r="D248">
            <v>0</v>
          </cell>
        </row>
        <row r="249">
          <cell r="A249" t="str">
            <v>湖北中航精机科技有限公司</v>
          </cell>
          <cell r="B249">
            <v>0</v>
          </cell>
          <cell r="C249">
            <v>0</v>
          </cell>
          <cell r="D249">
            <v>0</v>
          </cell>
        </row>
        <row r="250">
          <cell r="A250" t="str">
            <v>湖北钟祥市正宏玻璃制品厂</v>
          </cell>
          <cell r="B250">
            <v>0</v>
          </cell>
          <cell r="C250">
            <v>0</v>
          </cell>
          <cell r="D250">
            <v>0</v>
          </cell>
        </row>
        <row r="251">
          <cell r="A251" t="str">
            <v>湖南光华荣昌汽车部件有限公司</v>
          </cell>
          <cell r="B251">
            <v>0</v>
          </cell>
          <cell r="C251">
            <v>0</v>
          </cell>
          <cell r="D251">
            <v>0</v>
          </cell>
        </row>
        <row r="252">
          <cell r="A252" t="str">
            <v>湖南精正设备制造有限公司</v>
          </cell>
          <cell r="B252">
            <v>0</v>
          </cell>
          <cell r="C252">
            <v>0</v>
          </cell>
          <cell r="D252">
            <v>948500</v>
          </cell>
        </row>
        <row r="253">
          <cell r="A253" t="str">
            <v>华瑞志勤科技发展（北京）有限公司</v>
          </cell>
          <cell r="B253">
            <v>0</v>
          </cell>
          <cell r="C253">
            <v>0</v>
          </cell>
          <cell r="D253">
            <v>37000</v>
          </cell>
        </row>
        <row r="254">
          <cell r="A254" t="str">
            <v>淮铭机械设备(上海)有限公司</v>
          </cell>
          <cell r="B254">
            <v>0</v>
          </cell>
          <cell r="C254">
            <v>0</v>
          </cell>
          <cell r="D254">
            <v>0</v>
          </cell>
        </row>
        <row r="255">
          <cell r="A255" t="str">
            <v>黄骅骅泰机动车配件有限公司</v>
          </cell>
          <cell r="B255">
            <v>0</v>
          </cell>
          <cell r="C255">
            <v>0</v>
          </cell>
          <cell r="D255">
            <v>0</v>
          </cell>
        </row>
        <row r="256">
          <cell r="A256" t="str">
            <v>黄骅市邦博五金电料经销部</v>
          </cell>
          <cell r="B256">
            <v>0</v>
          </cell>
          <cell r="C256">
            <v>0</v>
          </cell>
          <cell r="D256">
            <v>0</v>
          </cell>
        </row>
        <row r="257">
          <cell r="A257" t="str">
            <v>黄骅市宝丽洁家政有限公司</v>
          </cell>
          <cell r="B257">
            <v>0</v>
          </cell>
          <cell r="C257">
            <v>0</v>
          </cell>
          <cell r="D257">
            <v>0</v>
          </cell>
        </row>
        <row r="258">
          <cell r="A258" t="str">
            <v>黄骅市保俊成复合彩印厂</v>
          </cell>
          <cell r="B258">
            <v>0</v>
          </cell>
          <cell r="C258">
            <v>1283.54</v>
          </cell>
          <cell r="D258">
            <v>29568.13</v>
          </cell>
        </row>
        <row r="259">
          <cell r="A259" t="str">
            <v>黄骅市斌盛包装制品厂</v>
          </cell>
          <cell r="B259">
            <v>0</v>
          </cell>
          <cell r="C259">
            <v>0</v>
          </cell>
          <cell r="D259">
            <v>0</v>
          </cell>
        </row>
        <row r="260">
          <cell r="A260" t="str">
            <v>黄骅市滨海车业有限公司</v>
          </cell>
          <cell r="B260">
            <v>0</v>
          </cell>
          <cell r="C260">
            <v>0</v>
          </cell>
          <cell r="D260">
            <v>3500</v>
          </cell>
        </row>
        <row r="261">
          <cell r="A261" t="str">
            <v>黄骅市博杰汽车部件有限公司</v>
          </cell>
          <cell r="B261">
            <v>120000</v>
          </cell>
          <cell r="C261">
            <v>0</v>
          </cell>
          <cell r="D261">
            <v>110289.99</v>
          </cell>
        </row>
        <row r="262">
          <cell r="A262" t="str">
            <v>黄骅市渤海汽车摩托车配件有限公司</v>
          </cell>
          <cell r="B262">
            <v>0</v>
          </cell>
          <cell r="C262">
            <v>0</v>
          </cell>
          <cell r="D262">
            <v>0</v>
          </cell>
        </row>
        <row r="263">
          <cell r="A263" t="str">
            <v>黄骅市渤海庆丰车辆灯镜厂</v>
          </cell>
          <cell r="B263">
            <v>90000</v>
          </cell>
          <cell r="C263">
            <v>57754.65</v>
          </cell>
          <cell r="D263">
            <v>429968.51</v>
          </cell>
        </row>
        <row r="264">
          <cell r="A264" t="str">
            <v>黄骅市昌城网子经销部</v>
          </cell>
          <cell r="B264">
            <v>0</v>
          </cell>
          <cell r="C264">
            <v>0</v>
          </cell>
          <cell r="D264">
            <v>0</v>
          </cell>
        </row>
        <row r="265">
          <cell r="A265" t="str">
            <v>黄骅市长江塑料制品有限公司</v>
          </cell>
          <cell r="B265">
            <v>0</v>
          </cell>
          <cell r="C265">
            <v>0</v>
          </cell>
          <cell r="D265">
            <v>0</v>
          </cell>
        </row>
        <row r="266">
          <cell r="A266" t="str">
            <v>黄骅市长生汽车灯镜有限公司</v>
          </cell>
          <cell r="B266">
            <v>90000</v>
          </cell>
          <cell r="C266">
            <v>326330.53</v>
          </cell>
          <cell r="D266">
            <v>1864831.82</v>
          </cell>
        </row>
        <row r="267">
          <cell r="A267" t="str">
            <v>黄骅市常郭镇街西纸箱厂</v>
          </cell>
          <cell r="B267">
            <v>180000</v>
          </cell>
          <cell r="C267">
            <v>72231.45</v>
          </cell>
          <cell r="D267">
            <v>1203797.31</v>
          </cell>
        </row>
        <row r="268">
          <cell r="A268" t="str">
            <v>黄骅市常郭镇前尚永胜五金加工厂</v>
          </cell>
          <cell r="B268">
            <v>0</v>
          </cell>
          <cell r="C268">
            <v>0</v>
          </cell>
          <cell r="D268">
            <v>0</v>
          </cell>
        </row>
        <row r="269">
          <cell r="A269" t="str">
            <v>黄骅市超飞商贸有限公司有限公司</v>
          </cell>
          <cell r="B269">
            <v>0</v>
          </cell>
          <cell r="C269">
            <v>0</v>
          </cell>
          <cell r="D269">
            <v>0</v>
          </cell>
        </row>
        <row r="270">
          <cell r="A270" t="str">
            <v>黄骅市成卓汽车部件厂</v>
          </cell>
          <cell r="B270">
            <v>350000</v>
          </cell>
          <cell r="C270">
            <v>177068.9</v>
          </cell>
          <cell r="D270">
            <v>1683846.38</v>
          </cell>
        </row>
        <row r="271">
          <cell r="A271" t="str">
            <v>黄骅市达旺机动车配件厂</v>
          </cell>
          <cell r="B271">
            <v>0</v>
          </cell>
          <cell r="C271">
            <v>0</v>
          </cell>
          <cell r="D271">
            <v>0</v>
          </cell>
        </row>
        <row r="272">
          <cell r="A272" t="str">
            <v>黄骅市大新模具有限公司</v>
          </cell>
          <cell r="B272">
            <v>0</v>
          </cell>
          <cell r="C272">
            <v>0</v>
          </cell>
          <cell r="D272">
            <v>0</v>
          </cell>
        </row>
        <row r="273">
          <cell r="A273" t="str">
            <v>黄骅市弹簧厂</v>
          </cell>
          <cell r="B273">
            <v>0</v>
          </cell>
          <cell r="C273">
            <v>0</v>
          </cell>
          <cell r="D273">
            <v>0</v>
          </cell>
        </row>
        <row r="274">
          <cell r="A274" t="str">
            <v>黄骅市德信成家具经销部</v>
          </cell>
          <cell r="B274">
            <v>0</v>
          </cell>
          <cell r="C274">
            <v>0</v>
          </cell>
          <cell r="D274">
            <v>0</v>
          </cell>
        </row>
        <row r="275">
          <cell r="A275" t="str">
            <v>黄骅市鼎盾电力工程有限公司</v>
          </cell>
          <cell r="B275">
            <v>0</v>
          </cell>
          <cell r="C275">
            <v>0</v>
          </cell>
          <cell r="D275">
            <v>0</v>
          </cell>
        </row>
        <row r="276">
          <cell r="A276" t="str">
            <v>黄骅市方达泵阀有限公司</v>
          </cell>
          <cell r="B276">
            <v>0</v>
          </cell>
          <cell r="C276">
            <v>0</v>
          </cell>
          <cell r="D276">
            <v>0</v>
          </cell>
        </row>
        <row r="277">
          <cell r="A277" t="str">
            <v>黄骅市方正五金机电责任有限公司</v>
          </cell>
          <cell r="B277">
            <v>0</v>
          </cell>
          <cell r="C277">
            <v>0</v>
          </cell>
          <cell r="D277">
            <v>0</v>
          </cell>
        </row>
        <row r="278">
          <cell r="A278" t="str">
            <v>黄骅市飞扬办公用品经营部</v>
          </cell>
          <cell r="B278">
            <v>0</v>
          </cell>
          <cell r="C278">
            <v>0</v>
          </cell>
          <cell r="D278">
            <v>0</v>
          </cell>
        </row>
        <row r="279">
          <cell r="A279" t="str">
            <v>黄骅市富康静电喷涂厂</v>
          </cell>
          <cell r="B279">
            <v>0</v>
          </cell>
          <cell r="C279">
            <v>0</v>
          </cell>
          <cell r="D279">
            <v>0</v>
          </cell>
        </row>
        <row r="280">
          <cell r="A280" t="str">
            <v>黄骅市富丽达不锈钢制品经销处</v>
          </cell>
          <cell r="B280">
            <v>0</v>
          </cell>
          <cell r="C280">
            <v>0</v>
          </cell>
          <cell r="D280">
            <v>0</v>
          </cell>
        </row>
        <row r="281">
          <cell r="A281" t="str">
            <v>黄骅市港骅工业气体销售有限公司</v>
          </cell>
          <cell r="B281">
            <v>0</v>
          </cell>
          <cell r="C281">
            <v>0</v>
          </cell>
          <cell r="D281">
            <v>0</v>
          </cell>
        </row>
        <row r="282">
          <cell r="A282" t="str">
            <v>黄骅市功盛五金电料经销处</v>
          </cell>
          <cell r="B282">
            <v>0</v>
          </cell>
          <cell r="C282">
            <v>0</v>
          </cell>
          <cell r="D282">
            <v>0</v>
          </cell>
        </row>
        <row r="283">
          <cell r="A283" t="str">
            <v>黄骅市固诺装饰工程有限公司</v>
          </cell>
          <cell r="B283">
            <v>0</v>
          </cell>
          <cell r="C283">
            <v>0</v>
          </cell>
          <cell r="D283">
            <v>9435.25</v>
          </cell>
        </row>
        <row r="284">
          <cell r="A284" t="str">
            <v>黄骅市故县国福汽车灯厂</v>
          </cell>
          <cell r="B284">
            <v>0</v>
          </cell>
          <cell r="C284">
            <v>0</v>
          </cell>
          <cell r="D284">
            <v>0</v>
          </cell>
        </row>
        <row r="285">
          <cell r="A285" t="str">
            <v>黄骅市光大橡胶制品厂</v>
          </cell>
          <cell r="B285">
            <v>0</v>
          </cell>
          <cell r="C285">
            <v>0</v>
          </cell>
          <cell r="D285">
            <v>0</v>
          </cell>
        </row>
        <row r="286">
          <cell r="A286" t="str">
            <v>黄骅市广际五金产品销售有限公司</v>
          </cell>
          <cell r="B286">
            <v>0</v>
          </cell>
          <cell r="C286">
            <v>0</v>
          </cell>
          <cell r="D286">
            <v>0</v>
          </cell>
        </row>
        <row r="287">
          <cell r="A287" t="str">
            <v>黄骅市广亿汽车部件有限公司</v>
          </cell>
          <cell r="B287">
            <v>1400000</v>
          </cell>
          <cell r="C287">
            <v>210215.11</v>
          </cell>
          <cell r="D287">
            <v>4351997.25</v>
          </cell>
        </row>
        <row r="288">
          <cell r="A288" t="str">
            <v>黄骅市国贸物资有限公司</v>
          </cell>
          <cell r="B288">
            <v>0</v>
          </cell>
          <cell r="C288">
            <v>0</v>
          </cell>
          <cell r="D288">
            <v>0</v>
          </cell>
        </row>
        <row r="289">
          <cell r="A289" t="str">
            <v>黄骅市海举五金加工厂</v>
          </cell>
          <cell r="B289">
            <v>0</v>
          </cell>
          <cell r="C289">
            <v>0</v>
          </cell>
          <cell r="D289">
            <v>0</v>
          </cell>
        </row>
        <row r="290">
          <cell r="A290" t="str">
            <v>黄骅市海良汽车摩托车配件有限公司</v>
          </cell>
          <cell r="B290">
            <v>0</v>
          </cell>
          <cell r="C290">
            <v>0</v>
          </cell>
          <cell r="D290">
            <v>0</v>
          </cell>
        </row>
        <row r="291">
          <cell r="A291" t="str">
            <v>黄骅市海生五金模具厂</v>
          </cell>
          <cell r="B291">
            <v>0</v>
          </cell>
          <cell r="C291">
            <v>0</v>
          </cell>
          <cell r="D291">
            <v>0</v>
          </cell>
        </row>
        <row r="292">
          <cell r="A292" t="str">
            <v>黄骅市海泰祥钢材贸易有限公司</v>
          </cell>
          <cell r="B292">
            <v>0</v>
          </cell>
          <cell r="C292">
            <v>0</v>
          </cell>
          <cell r="D292">
            <v>0</v>
          </cell>
        </row>
        <row r="293">
          <cell r="A293" t="str">
            <v>黄骅市氦普气体销售有限公司</v>
          </cell>
          <cell r="B293">
            <v>0</v>
          </cell>
          <cell r="C293">
            <v>0</v>
          </cell>
          <cell r="D293">
            <v>352615</v>
          </cell>
        </row>
        <row r="294">
          <cell r="A294" t="str">
            <v>黄骅市和顺易大件吊装搬运有限公司</v>
          </cell>
          <cell r="B294">
            <v>0</v>
          </cell>
          <cell r="C294">
            <v>40000</v>
          </cell>
          <cell r="D294">
            <v>40000</v>
          </cell>
        </row>
        <row r="295">
          <cell r="A295" t="str">
            <v>黄骅市恒基五金轴承工具有限公司</v>
          </cell>
          <cell r="B295">
            <v>0</v>
          </cell>
          <cell r="C295">
            <v>0</v>
          </cell>
          <cell r="D295">
            <v>0</v>
          </cell>
        </row>
        <row r="296">
          <cell r="A296" t="str">
            <v>黄骅市恒茂土产门市部</v>
          </cell>
          <cell r="B296">
            <v>0</v>
          </cell>
          <cell r="C296">
            <v>0</v>
          </cell>
          <cell r="D296">
            <v>0</v>
          </cell>
        </row>
        <row r="297">
          <cell r="A297" t="str">
            <v>黄骅市恒顺昌商贸有限公司</v>
          </cell>
          <cell r="B297">
            <v>0</v>
          </cell>
          <cell r="C297">
            <v>0</v>
          </cell>
          <cell r="D297">
            <v>0</v>
          </cell>
        </row>
        <row r="298">
          <cell r="A298" t="str">
            <v>黄骅市恒通土产劳保门市部</v>
          </cell>
          <cell r="B298">
            <v>0</v>
          </cell>
          <cell r="C298">
            <v>0</v>
          </cell>
          <cell r="D298">
            <v>0</v>
          </cell>
        </row>
        <row r="299">
          <cell r="A299" t="str">
            <v>黄骅市恒伟五金制品有限公司</v>
          </cell>
          <cell r="B299">
            <v>447212</v>
          </cell>
          <cell r="C299">
            <v>287154.53</v>
          </cell>
          <cell r="D299">
            <v>2273901.08</v>
          </cell>
        </row>
        <row r="300">
          <cell r="A300" t="str">
            <v>黄骅市衡星计量仪器有限公司</v>
          </cell>
          <cell r="B300">
            <v>0</v>
          </cell>
          <cell r="C300">
            <v>0</v>
          </cell>
          <cell r="D300">
            <v>0</v>
          </cell>
        </row>
        <row r="301">
          <cell r="A301" t="str">
            <v>黄骅市宏成五金制品有限公司</v>
          </cell>
          <cell r="B301">
            <v>0</v>
          </cell>
          <cell r="C301">
            <v>0</v>
          </cell>
          <cell r="D301">
            <v>0</v>
          </cell>
        </row>
        <row r="302">
          <cell r="A302" t="str">
            <v>黄骅市宏辉运输队</v>
          </cell>
          <cell r="B302">
            <v>0</v>
          </cell>
          <cell r="C302">
            <v>0</v>
          </cell>
          <cell r="D302">
            <v>0</v>
          </cell>
        </row>
        <row r="303">
          <cell r="A303" t="str">
            <v>黄骅市宏顺模具厂</v>
          </cell>
          <cell r="B303">
            <v>0</v>
          </cell>
          <cell r="C303">
            <v>0</v>
          </cell>
          <cell r="D303">
            <v>0</v>
          </cell>
        </row>
        <row r="304">
          <cell r="A304" t="str">
            <v>黄骅市宏信五金交电门市部</v>
          </cell>
          <cell r="B304">
            <v>50000</v>
          </cell>
          <cell r="C304">
            <v>0</v>
          </cell>
          <cell r="D304">
            <v>43541</v>
          </cell>
        </row>
        <row r="305">
          <cell r="A305" t="str">
            <v>黄骅市洪赫五金加工厂</v>
          </cell>
          <cell r="B305">
            <v>0</v>
          </cell>
          <cell r="C305">
            <v>0</v>
          </cell>
          <cell r="D305">
            <v>0</v>
          </cell>
        </row>
        <row r="306">
          <cell r="A306" t="str">
            <v>黄骅市鸿鹄线缆经销部</v>
          </cell>
          <cell r="B306">
            <v>0</v>
          </cell>
          <cell r="C306">
            <v>0</v>
          </cell>
          <cell r="D306">
            <v>0</v>
          </cell>
        </row>
        <row r="307">
          <cell r="A307" t="str">
            <v>黄骅市鸿基盛业地面工程有限公司</v>
          </cell>
          <cell r="B307">
            <v>0</v>
          </cell>
          <cell r="C307">
            <v>0</v>
          </cell>
          <cell r="D307">
            <v>2660</v>
          </cell>
        </row>
        <row r="308">
          <cell r="A308" t="str">
            <v>黄骅市鸿晟伟业电脑经营部</v>
          </cell>
          <cell r="B308">
            <v>0</v>
          </cell>
          <cell r="C308">
            <v>0</v>
          </cell>
          <cell r="D308">
            <v>0</v>
          </cell>
        </row>
        <row r="309">
          <cell r="A309" t="str">
            <v>黄骅市厚德建筑队</v>
          </cell>
          <cell r="B309">
            <v>0</v>
          </cell>
          <cell r="C309">
            <v>0</v>
          </cell>
          <cell r="D309">
            <v>155020</v>
          </cell>
        </row>
        <row r="310">
          <cell r="A310" t="str">
            <v>黄骅市辉煌建筑队</v>
          </cell>
          <cell r="B310">
            <v>0</v>
          </cell>
          <cell r="C310">
            <v>110000</v>
          </cell>
          <cell r="D310">
            <v>250224</v>
          </cell>
        </row>
        <row r="311">
          <cell r="A311" t="str">
            <v>黄骅市汇铭汽车部件有限公司</v>
          </cell>
          <cell r="B311">
            <v>450000</v>
          </cell>
          <cell r="C311">
            <v>218466.5</v>
          </cell>
          <cell r="D311">
            <v>1665355.93</v>
          </cell>
        </row>
        <row r="312">
          <cell r="A312" t="str">
            <v>黄骅市慧勤五金电料经销处</v>
          </cell>
          <cell r="B312">
            <v>10971</v>
          </cell>
          <cell r="C312">
            <v>0</v>
          </cell>
          <cell r="D312">
            <v>0</v>
          </cell>
        </row>
        <row r="313">
          <cell r="A313" t="str">
            <v>黄骅市慧仁纵横电脑销售有限公司</v>
          </cell>
          <cell r="B313">
            <v>13248.7</v>
          </cell>
          <cell r="C313">
            <v>0</v>
          </cell>
          <cell r="D313">
            <v>0</v>
          </cell>
        </row>
        <row r="314">
          <cell r="A314" t="str">
            <v>黄骅市佳佰工程咨询有限公司</v>
          </cell>
          <cell r="B314">
            <v>0</v>
          </cell>
          <cell r="C314">
            <v>0</v>
          </cell>
          <cell r="D314">
            <v>0</v>
          </cell>
        </row>
        <row r="315">
          <cell r="A315" t="str">
            <v>黄骅市佳祥五金制品有限公司</v>
          </cell>
          <cell r="B315">
            <v>180000</v>
          </cell>
          <cell r="C315">
            <v>56365.74</v>
          </cell>
          <cell r="D315">
            <v>484520.6</v>
          </cell>
        </row>
        <row r="316">
          <cell r="A316" t="str">
            <v>黄骅市建昌塑料制品有限公司</v>
          </cell>
          <cell r="B316">
            <v>250000</v>
          </cell>
          <cell r="C316">
            <v>103669.77</v>
          </cell>
          <cell r="D316">
            <v>531500.22</v>
          </cell>
        </row>
        <row r="317">
          <cell r="A317" t="str">
            <v>黄骅市建华液压配件销售服务中心</v>
          </cell>
          <cell r="B317">
            <v>0</v>
          </cell>
          <cell r="C317">
            <v>0</v>
          </cell>
          <cell r="D317">
            <v>0</v>
          </cell>
        </row>
        <row r="318">
          <cell r="A318" t="str">
            <v>黄骅市建伟五金制品厂</v>
          </cell>
          <cell r="B318">
            <v>0</v>
          </cell>
          <cell r="C318">
            <v>0</v>
          </cell>
          <cell r="D318">
            <v>0</v>
          </cell>
        </row>
        <row r="319">
          <cell r="A319" t="str">
            <v>黄骅市洁霸汽车零部件制造有限公司</v>
          </cell>
          <cell r="B319">
            <v>0</v>
          </cell>
          <cell r="C319">
            <v>0</v>
          </cell>
          <cell r="D319">
            <v>125233.7</v>
          </cell>
        </row>
        <row r="320">
          <cell r="A320" t="str">
            <v>黄骅市金宝成钢材经销有限公司</v>
          </cell>
          <cell r="B320">
            <v>0</v>
          </cell>
          <cell r="C320">
            <v>0</v>
          </cell>
          <cell r="D320">
            <v>0</v>
          </cell>
        </row>
        <row r="321">
          <cell r="A321" t="str">
            <v>黄骅市金城五金制品厂</v>
          </cell>
          <cell r="B321">
            <v>0</v>
          </cell>
          <cell r="C321">
            <v>0</v>
          </cell>
          <cell r="D321">
            <v>0</v>
          </cell>
        </row>
        <row r="322">
          <cell r="A322" t="str">
            <v>黄骅市金华保温材料有限公司</v>
          </cell>
          <cell r="B322">
            <v>0</v>
          </cell>
          <cell r="C322">
            <v>0</v>
          </cell>
          <cell r="D322">
            <v>0</v>
          </cell>
        </row>
        <row r="323">
          <cell r="A323" t="str">
            <v>黄骅市金月五金制品厂</v>
          </cell>
          <cell r="B323">
            <v>0</v>
          </cell>
          <cell r="C323">
            <v>0</v>
          </cell>
          <cell r="D323">
            <v>0</v>
          </cell>
        </row>
        <row r="324">
          <cell r="A324" t="str">
            <v>黄骅市津华汽车部件有限公司</v>
          </cell>
          <cell r="B324">
            <v>122400</v>
          </cell>
          <cell r="C324">
            <v>84256.81</v>
          </cell>
          <cell r="D324">
            <v>761113.79</v>
          </cell>
        </row>
        <row r="325">
          <cell r="A325" t="str">
            <v>黄骅市锦绣制衣部</v>
          </cell>
          <cell r="B325">
            <v>0</v>
          </cell>
          <cell r="C325">
            <v>0</v>
          </cell>
          <cell r="D325">
            <v>0</v>
          </cell>
        </row>
        <row r="326">
          <cell r="A326" t="str">
            <v>黄骅市京港机电设备有限公司</v>
          </cell>
          <cell r="B326">
            <v>607051.51</v>
          </cell>
          <cell r="C326">
            <v>113485.57</v>
          </cell>
          <cell r="D326">
            <v>1445476.51</v>
          </cell>
        </row>
        <row r="327">
          <cell r="A327" t="str">
            <v>黄骅市久峰五金制品有限公司</v>
          </cell>
          <cell r="B327">
            <v>0</v>
          </cell>
          <cell r="C327">
            <v>0</v>
          </cell>
          <cell r="D327">
            <v>14122.31</v>
          </cell>
        </row>
        <row r="328">
          <cell r="A328" t="str">
            <v>黄骅市俊隆五金包装有限公司</v>
          </cell>
          <cell r="B328">
            <v>90000</v>
          </cell>
          <cell r="C328">
            <v>0</v>
          </cell>
          <cell r="D328">
            <v>138379.43</v>
          </cell>
        </row>
        <row r="329">
          <cell r="A329" t="str">
            <v>黄骅市俊有塑染经销处</v>
          </cell>
          <cell r="B329">
            <v>1500</v>
          </cell>
          <cell r="C329">
            <v>1500</v>
          </cell>
          <cell r="D329">
            <v>0</v>
          </cell>
        </row>
        <row r="330">
          <cell r="A330" t="str">
            <v>黄骅市凯翔车业有限公司</v>
          </cell>
          <cell r="B330">
            <v>0</v>
          </cell>
          <cell r="C330">
            <v>0</v>
          </cell>
          <cell r="D330">
            <v>0</v>
          </cell>
        </row>
        <row r="331">
          <cell r="A331" t="str">
            <v>黄骅市康宁街光华化工门市部</v>
          </cell>
          <cell r="B331">
            <v>0</v>
          </cell>
          <cell r="C331">
            <v>0</v>
          </cell>
          <cell r="D331">
            <v>6240</v>
          </cell>
        </row>
        <row r="332">
          <cell r="A332" t="str">
            <v>黄骅市科友汇商贸有限公司</v>
          </cell>
          <cell r="B332">
            <v>0</v>
          </cell>
          <cell r="C332">
            <v>0</v>
          </cell>
          <cell r="D332">
            <v>0</v>
          </cell>
        </row>
        <row r="333">
          <cell r="A333" t="str">
            <v>黄骅市联视电子科技有限公司</v>
          </cell>
          <cell r="B333">
            <v>0</v>
          </cell>
          <cell r="C333">
            <v>0</v>
          </cell>
          <cell r="D333">
            <v>13800</v>
          </cell>
        </row>
        <row r="334">
          <cell r="A334" t="str">
            <v>黄骅市龙腾五金机电门市部</v>
          </cell>
          <cell r="B334">
            <v>0</v>
          </cell>
          <cell r="C334">
            <v>0</v>
          </cell>
          <cell r="D334">
            <v>0</v>
          </cell>
        </row>
        <row r="335">
          <cell r="A335" t="str">
            <v>黄骅市隆盛达车业有限公司</v>
          </cell>
          <cell r="B335">
            <v>0</v>
          </cell>
          <cell r="C335">
            <v>0</v>
          </cell>
          <cell r="D335">
            <v>0</v>
          </cell>
        </row>
        <row r="336">
          <cell r="A336" t="str">
            <v>黄骅市隆鑫五金制品有限公司</v>
          </cell>
          <cell r="B336">
            <v>0</v>
          </cell>
          <cell r="C336">
            <v>1384</v>
          </cell>
          <cell r="D336">
            <v>143496</v>
          </cell>
        </row>
        <row r="337">
          <cell r="A337" t="str">
            <v>黄骅市美家隆商贸有限公司</v>
          </cell>
          <cell r="B337">
            <v>0</v>
          </cell>
          <cell r="C337">
            <v>0</v>
          </cell>
          <cell r="D337">
            <v>0</v>
          </cell>
        </row>
        <row r="338">
          <cell r="A338" t="str">
            <v>黄骅市明昶电料门市部</v>
          </cell>
          <cell r="B338">
            <v>0</v>
          </cell>
          <cell r="C338">
            <v>0</v>
          </cell>
          <cell r="D338">
            <v>0</v>
          </cell>
        </row>
        <row r="339">
          <cell r="A339" t="str">
            <v>黄骅市宁鑫商贸有限公司</v>
          </cell>
          <cell r="B339">
            <v>0</v>
          </cell>
          <cell r="C339">
            <v>0</v>
          </cell>
          <cell r="D339">
            <v>16470.66</v>
          </cell>
        </row>
        <row r="340">
          <cell r="A340" t="str">
            <v>黄骅市齐西纺织五金配件厂</v>
          </cell>
          <cell r="B340">
            <v>0</v>
          </cell>
          <cell r="C340">
            <v>0</v>
          </cell>
          <cell r="D340">
            <v>4270.66</v>
          </cell>
        </row>
        <row r="341">
          <cell r="A341" t="str">
            <v>黄骅市乾泰祥五金制品厂</v>
          </cell>
          <cell r="B341">
            <v>0</v>
          </cell>
          <cell r="C341">
            <v>0</v>
          </cell>
          <cell r="D341">
            <v>0</v>
          </cell>
        </row>
        <row r="342">
          <cell r="A342" t="str">
            <v>黄骅市庆华机动车配件有限公司</v>
          </cell>
          <cell r="B342">
            <v>0</v>
          </cell>
          <cell r="C342">
            <v>0</v>
          </cell>
          <cell r="D342">
            <v>0</v>
          </cell>
        </row>
        <row r="343">
          <cell r="A343" t="str">
            <v>黄骅市庆军五金制品有限公司</v>
          </cell>
          <cell r="B343">
            <v>0</v>
          </cell>
          <cell r="C343">
            <v>0</v>
          </cell>
          <cell r="D343">
            <v>0</v>
          </cell>
        </row>
        <row r="344">
          <cell r="A344" t="str">
            <v>黄骅市荣邦汽车部件有限公司</v>
          </cell>
          <cell r="B344">
            <v>0</v>
          </cell>
          <cell r="C344">
            <v>0</v>
          </cell>
          <cell r="D344">
            <v>30000</v>
          </cell>
        </row>
        <row r="345">
          <cell r="A345" t="str">
            <v>黄骅市荣达工业气体销售有限公司</v>
          </cell>
          <cell r="B345">
            <v>0</v>
          </cell>
          <cell r="C345">
            <v>0</v>
          </cell>
          <cell r="D345">
            <v>0</v>
          </cell>
        </row>
        <row r="346">
          <cell r="A346" t="str">
            <v>黄骅市荣丰塑料模具有限公司</v>
          </cell>
          <cell r="B346">
            <v>0</v>
          </cell>
          <cell r="C346">
            <v>0</v>
          </cell>
          <cell r="D346">
            <v>0</v>
          </cell>
        </row>
        <row r="347">
          <cell r="A347" t="str">
            <v>黄骅市瑞达塑料模具有限公司</v>
          </cell>
          <cell r="B347">
            <v>0</v>
          </cell>
          <cell r="C347">
            <v>0</v>
          </cell>
          <cell r="D347">
            <v>0</v>
          </cell>
        </row>
        <row r="348">
          <cell r="A348" t="str">
            <v>黄骅市瑞丰五金制品有限公司</v>
          </cell>
          <cell r="B348">
            <v>120000</v>
          </cell>
          <cell r="C348">
            <v>28250.06</v>
          </cell>
          <cell r="D348">
            <v>470339.85</v>
          </cell>
        </row>
        <row r="349">
          <cell r="A349" t="str">
            <v>黄骅市三江商贸有限公司</v>
          </cell>
          <cell r="B349">
            <v>0</v>
          </cell>
          <cell r="C349">
            <v>0</v>
          </cell>
          <cell r="D349">
            <v>0</v>
          </cell>
        </row>
        <row r="350">
          <cell r="A350" t="str">
            <v>黄骅市三姐五金经销部</v>
          </cell>
          <cell r="B350">
            <v>3680</v>
          </cell>
          <cell r="C350">
            <v>3680</v>
          </cell>
          <cell r="D350">
            <v>0</v>
          </cell>
        </row>
        <row r="351">
          <cell r="A351" t="str">
            <v>黄骅市三星电脑科技有限公司</v>
          </cell>
          <cell r="B351">
            <v>0</v>
          </cell>
          <cell r="C351">
            <v>0</v>
          </cell>
          <cell r="D351">
            <v>0</v>
          </cell>
        </row>
        <row r="352">
          <cell r="A352" t="str">
            <v>黄骅市神农百草堂药品连锁有限公司</v>
          </cell>
          <cell r="B352">
            <v>0</v>
          </cell>
          <cell r="C352">
            <v>0</v>
          </cell>
          <cell r="D352">
            <v>0</v>
          </cell>
        </row>
        <row r="353">
          <cell r="A353" t="str">
            <v>黄骅市盛发五金制品有限公司</v>
          </cell>
          <cell r="B353">
            <v>0</v>
          </cell>
          <cell r="C353">
            <v>0</v>
          </cell>
          <cell r="D353">
            <v>0</v>
          </cell>
        </row>
        <row r="354">
          <cell r="A354" t="str">
            <v>黄骅市盛荣汽车零部件制造有限公司</v>
          </cell>
          <cell r="B354">
            <v>0</v>
          </cell>
          <cell r="C354">
            <v>0</v>
          </cell>
          <cell r="D354">
            <v>23941.4</v>
          </cell>
        </row>
        <row r="355">
          <cell r="A355" t="str">
            <v>黄骅市盛泰五金制品厂</v>
          </cell>
          <cell r="B355">
            <v>0</v>
          </cell>
          <cell r="C355">
            <v>0</v>
          </cell>
          <cell r="D355">
            <v>0</v>
          </cell>
        </row>
        <row r="356">
          <cell r="A356" t="str">
            <v>黄骅市石港路兆荣装饰家园</v>
          </cell>
          <cell r="B356">
            <v>0</v>
          </cell>
          <cell r="C356">
            <v>0</v>
          </cell>
          <cell r="D356">
            <v>0</v>
          </cell>
        </row>
        <row r="357">
          <cell r="A357" t="str">
            <v>黄骅市双得金属制品销售有限公司</v>
          </cell>
          <cell r="B357">
            <v>44928</v>
          </cell>
          <cell r="C357">
            <v>0</v>
          </cell>
          <cell r="D357">
            <v>0</v>
          </cell>
        </row>
        <row r="358">
          <cell r="A358" t="str">
            <v>黄骅市顺驰车业配件有限公司</v>
          </cell>
          <cell r="B358">
            <v>0</v>
          </cell>
          <cell r="C358">
            <v>0</v>
          </cell>
          <cell r="D358">
            <v>0</v>
          </cell>
        </row>
        <row r="359">
          <cell r="A359" t="str">
            <v>黄骅市四通模具厂</v>
          </cell>
          <cell r="B359">
            <v>0</v>
          </cell>
          <cell r="C359">
            <v>0</v>
          </cell>
          <cell r="D359">
            <v>0</v>
          </cell>
        </row>
        <row r="360">
          <cell r="A360" t="str">
            <v>黄骅市泰坤五金机电经销部</v>
          </cell>
          <cell r="B360">
            <v>0</v>
          </cell>
          <cell r="C360">
            <v>0</v>
          </cell>
          <cell r="D360">
            <v>0</v>
          </cell>
        </row>
        <row r="361">
          <cell r="A361" t="str">
            <v>黄骅市泰行汽车配件厂</v>
          </cell>
          <cell r="B361">
            <v>120000</v>
          </cell>
          <cell r="C361">
            <v>0</v>
          </cell>
          <cell r="D361">
            <v>425161.6</v>
          </cell>
        </row>
        <row r="362">
          <cell r="A362" t="str">
            <v>黄骅市唐氏焊割设备经销处</v>
          </cell>
          <cell r="B362">
            <v>0</v>
          </cell>
          <cell r="C362">
            <v>0</v>
          </cell>
          <cell r="D362">
            <v>0</v>
          </cell>
        </row>
        <row r="363">
          <cell r="A363" t="str">
            <v>黄骅市天丰汽车配件有限公司</v>
          </cell>
          <cell r="B363">
            <v>500000</v>
          </cell>
          <cell r="C363">
            <v>305488.1</v>
          </cell>
          <cell r="D363">
            <v>3003734.49</v>
          </cell>
        </row>
        <row r="364">
          <cell r="A364" t="str">
            <v>黄骅市通和五金制品有限公司</v>
          </cell>
          <cell r="B364">
            <v>70000</v>
          </cell>
          <cell r="C364">
            <v>0</v>
          </cell>
          <cell r="D364">
            <v>113966.94</v>
          </cell>
        </row>
        <row r="365">
          <cell r="A365" t="str">
            <v>黄骅市通乐贸易有限公司</v>
          </cell>
          <cell r="B365">
            <v>23617</v>
          </cell>
          <cell r="C365">
            <v>10170</v>
          </cell>
          <cell r="D365">
            <v>22764</v>
          </cell>
        </row>
        <row r="366">
          <cell r="A366" t="str">
            <v>黄骅市通顺五金机电商店</v>
          </cell>
          <cell r="B366">
            <v>0</v>
          </cell>
          <cell r="C366">
            <v>0</v>
          </cell>
          <cell r="D366">
            <v>0</v>
          </cell>
        </row>
        <row r="367">
          <cell r="A367" t="str">
            <v>黄骅市通祥模具厂</v>
          </cell>
          <cell r="B367">
            <v>0</v>
          </cell>
          <cell r="C367">
            <v>0</v>
          </cell>
          <cell r="D367">
            <v>0</v>
          </cell>
        </row>
        <row r="368">
          <cell r="A368" t="str">
            <v>黄骅市同德商贸有限公司</v>
          </cell>
          <cell r="B368">
            <v>0</v>
          </cell>
          <cell r="C368">
            <v>0</v>
          </cell>
          <cell r="D368">
            <v>0</v>
          </cell>
        </row>
        <row r="369">
          <cell r="A369" t="str">
            <v>黄骅市同辉汽车配件有限公司</v>
          </cell>
          <cell r="B369">
            <v>0</v>
          </cell>
          <cell r="C369">
            <v>0</v>
          </cell>
          <cell r="D369">
            <v>108120.94</v>
          </cell>
        </row>
        <row r="370">
          <cell r="A370" t="str">
            <v>黄骅市屯鑫五金经销部</v>
          </cell>
          <cell r="B370">
            <v>1020</v>
          </cell>
          <cell r="C370">
            <v>0</v>
          </cell>
          <cell r="D370">
            <v>0</v>
          </cell>
        </row>
        <row r="371">
          <cell r="A371" t="str">
            <v>黄骅市万安挂车配件有限公司</v>
          </cell>
          <cell r="B371">
            <v>0</v>
          </cell>
          <cell r="C371">
            <v>0</v>
          </cell>
          <cell r="D371">
            <v>0</v>
          </cell>
        </row>
        <row r="372">
          <cell r="A372" t="str">
            <v>黄骅市万昌五金制品有限公司</v>
          </cell>
          <cell r="B372">
            <v>0</v>
          </cell>
          <cell r="C372">
            <v>249561.62</v>
          </cell>
          <cell r="D372">
            <v>1644134.13</v>
          </cell>
        </row>
        <row r="373">
          <cell r="A373" t="str">
            <v>黄骅市万方五金塑料制品有限公司</v>
          </cell>
          <cell r="B373">
            <v>0</v>
          </cell>
          <cell r="C373">
            <v>0</v>
          </cell>
          <cell r="D373">
            <v>0</v>
          </cell>
        </row>
        <row r="374">
          <cell r="A374" t="str">
            <v>黄骅市万寿汽车配件有限公司</v>
          </cell>
          <cell r="B374">
            <v>180000</v>
          </cell>
          <cell r="C374">
            <v>344403.08</v>
          </cell>
          <cell r="D374">
            <v>1072353.07</v>
          </cell>
        </row>
        <row r="375">
          <cell r="A375" t="str">
            <v>黄骅市魏波五金制品经营部</v>
          </cell>
          <cell r="B375">
            <v>0</v>
          </cell>
          <cell r="C375">
            <v>0</v>
          </cell>
          <cell r="D375">
            <v>0</v>
          </cell>
        </row>
        <row r="376">
          <cell r="A376" t="str">
            <v>黄骅市西环路宏大电热仪表电器经销处</v>
          </cell>
          <cell r="B376">
            <v>0</v>
          </cell>
          <cell r="C376">
            <v>0</v>
          </cell>
          <cell r="D376">
            <v>0</v>
          </cell>
        </row>
        <row r="377">
          <cell r="A377" t="str">
            <v>黄骅市祥义塑料模具有限公司</v>
          </cell>
          <cell r="B377">
            <v>24400</v>
          </cell>
          <cell r="C377">
            <v>0</v>
          </cell>
          <cell r="D377">
            <v>0</v>
          </cell>
        </row>
        <row r="378">
          <cell r="A378" t="str">
            <v>黄骅市翔华电子设备经销处</v>
          </cell>
          <cell r="B378">
            <v>0</v>
          </cell>
          <cell r="C378">
            <v>0</v>
          </cell>
          <cell r="D378">
            <v>24000</v>
          </cell>
        </row>
        <row r="379">
          <cell r="A379" t="str">
            <v>黄骅市筱楠五金门市部</v>
          </cell>
          <cell r="B379">
            <v>0</v>
          </cell>
          <cell r="C379">
            <v>0</v>
          </cell>
          <cell r="D379">
            <v>0</v>
          </cell>
        </row>
        <row r="380">
          <cell r="A380" t="str">
            <v>黄骅市新暖汽车座垫加工厂</v>
          </cell>
          <cell r="B380">
            <v>0</v>
          </cell>
          <cell r="C380">
            <v>0</v>
          </cell>
          <cell r="D380">
            <v>0</v>
          </cell>
        </row>
        <row r="381">
          <cell r="A381" t="str">
            <v>黄骅市新智环保技术有限公司</v>
          </cell>
          <cell r="B381">
            <v>18967</v>
          </cell>
          <cell r="C381">
            <v>0</v>
          </cell>
          <cell r="D381">
            <v>0</v>
          </cell>
        </row>
        <row r="382">
          <cell r="A382" t="str">
            <v>黄骅市鑫昌五金制品厂</v>
          </cell>
          <cell r="B382">
            <v>700000</v>
          </cell>
          <cell r="C382">
            <v>477973.1</v>
          </cell>
          <cell r="D382">
            <v>4171066.37</v>
          </cell>
        </row>
        <row r="383">
          <cell r="A383" t="str">
            <v>黄骅市鑫宏祥电器门市部</v>
          </cell>
          <cell r="B383">
            <v>0</v>
          </cell>
          <cell r="C383">
            <v>0</v>
          </cell>
          <cell r="D383">
            <v>0</v>
          </cell>
        </row>
        <row r="384">
          <cell r="A384" t="str">
            <v>黄骅市鑫骅金属制品有限公司</v>
          </cell>
          <cell r="B384">
            <v>0</v>
          </cell>
          <cell r="C384">
            <v>0</v>
          </cell>
          <cell r="D384">
            <v>0</v>
          </cell>
        </row>
        <row r="385">
          <cell r="A385" t="str">
            <v>黄骅市鑫汇商贸有限公司</v>
          </cell>
          <cell r="B385">
            <v>0</v>
          </cell>
          <cell r="C385">
            <v>0</v>
          </cell>
          <cell r="D385">
            <v>0</v>
          </cell>
        </row>
        <row r="386">
          <cell r="A386" t="str">
            <v>黄骅市鑫亮五金制品厂</v>
          </cell>
          <cell r="B386">
            <v>0</v>
          </cell>
          <cell r="C386">
            <v>0</v>
          </cell>
          <cell r="D386">
            <v>0</v>
          </cell>
        </row>
        <row r="387">
          <cell r="A387" t="str">
            <v>黄骅市鑫鹏商贸有限公司</v>
          </cell>
          <cell r="B387">
            <v>0</v>
          </cell>
          <cell r="C387">
            <v>0</v>
          </cell>
          <cell r="D387">
            <v>0</v>
          </cell>
        </row>
        <row r="388">
          <cell r="A388" t="str">
            <v>黄骅市鑫祺汽车配件有限公司</v>
          </cell>
          <cell r="B388">
            <v>450000</v>
          </cell>
          <cell r="C388">
            <v>69634.35</v>
          </cell>
          <cell r="D388">
            <v>1232425.5</v>
          </cell>
        </row>
        <row r="389">
          <cell r="A389" t="str">
            <v>黄骅市鑫盛物业服务有限公司</v>
          </cell>
          <cell r="B389">
            <v>0</v>
          </cell>
          <cell r="C389">
            <v>0</v>
          </cell>
          <cell r="D389">
            <v>0</v>
          </cell>
        </row>
        <row r="390">
          <cell r="A390" t="str">
            <v>黄骅市鑫宇五金制品厂</v>
          </cell>
          <cell r="B390">
            <v>0</v>
          </cell>
          <cell r="C390">
            <v>0</v>
          </cell>
          <cell r="D390">
            <v>5854.69</v>
          </cell>
        </row>
        <row r="391">
          <cell r="A391" t="str">
            <v>黄骅市鑫源五金制品有限公司</v>
          </cell>
          <cell r="B391">
            <v>0</v>
          </cell>
          <cell r="C391">
            <v>0</v>
          </cell>
          <cell r="D391">
            <v>0</v>
          </cell>
        </row>
        <row r="392">
          <cell r="A392" t="str">
            <v>黄骅市兴朋包装材料有限公司</v>
          </cell>
          <cell r="B392">
            <v>0</v>
          </cell>
          <cell r="C392">
            <v>0</v>
          </cell>
          <cell r="D392">
            <v>0</v>
          </cell>
        </row>
        <row r="393">
          <cell r="A393" t="str">
            <v>黄骅市兴田弹簧有限公司</v>
          </cell>
          <cell r="B393">
            <v>0</v>
          </cell>
          <cell r="C393">
            <v>0</v>
          </cell>
          <cell r="D393">
            <v>140162.2</v>
          </cell>
        </row>
        <row r="394">
          <cell r="A394" t="str">
            <v>黄骅市兴玉五金制品有限公司</v>
          </cell>
          <cell r="B394">
            <v>0</v>
          </cell>
          <cell r="C394">
            <v>0</v>
          </cell>
          <cell r="D394">
            <v>0</v>
          </cell>
        </row>
        <row r="395">
          <cell r="A395" t="str">
            <v>黄骅市亚星玻璃钢有限公司</v>
          </cell>
          <cell r="B395">
            <v>0</v>
          </cell>
          <cell r="C395">
            <v>0</v>
          </cell>
          <cell r="D395">
            <v>0</v>
          </cell>
        </row>
        <row r="396">
          <cell r="A396" t="str">
            <v>黄骅市亚征汽车配件有限公司</v>
          </cell>
          <cell r="B396">
            <v>250000</v>
          </cell>
          <cell r="C396">
            <v>0</v>
          </cell>
          <cell r="D396">
            <v>959200.18</v>
          </cell>
        </row>
        <row r="397">
          <cell r="A397" t="str">
            <v>黄骅市亿顺五金制品有限公司</v>
          </cell>
          <cell r="B397">
            <v>0</v>
          </cell>
          <cell r="C397">
            <v>0</v>
          </cell>
          <cell r="D397">
            <v>0</v>
          </cell>
        </row>
        <row r="398">
          <cell r="A398" t="str">
            <v>黄骅市益成五金门市部</v>
          </cell>
          <cell r="B398">
            <v>0</v>
          </cell>
          <cell r="C398">
            <v>0</v>
          </cell>
          <cell r="D398">
            <v>0</v>
          </cell>
        </row>
        <row r="399">
          <cell r="A399" t="str">
            <v>黄骅市益丰橡胶制品有限公司</v>
          </cell>
          <cell r="B399">
            <v>90000</v>
          </cell>
          <cell r="C399">
            <v>32076.37</v>
          </cell>
          <cell r="D399">
            <v>297308.44</v>
          </cell>
        </row>
        <row r="400">
          <cell r="A400" t="str">
            <v>黄骅市益海五金制造有限公司</v>
          </cell>
          <cell r="B400">
            <v>0</v>
          </cell>
          <cell r="C400">
            <v>0</v>
          </cell>
          <cell r="D400">
            <v>0</v>
          </cell>
        </row>
        <row r="401">
          <cell r="A401" t="str">
            <v>黄骅市雍丰塑料制品有限公司</v>
          </cell>
          <cell r="B401">
            <v>450000</v>
          </cell>
          <cell r="C401">
            <v>440294.21</v>
          </cell>
          <cell r="D401">
            <v>2827844.14</v>
          </cell>
        </row>
        <row r="402">
          <cell r="A402" t="str">
            <v>黄骅市友联嘉悦商贸有限公司</v>
          </cell>
          <cell r="B402">
            <v>29700</v>
          </cell>
          <cell r="C402">
            <v>29700</v>
          </cell>
          <cell r="D402">
            <v>0</v>
          </cell>
        </row>
        <row r="403">
          <cell r="A403" t="str">
            <v>黄骅市宇丰运输有限公司</v>
          </cell>
          <cell r="B403">
            <v>0</v>
          </cell>
          <cell r="C403">
            <v>0</v>
          </cell>
          <cell r="D403">
            <v>0</v>
          </cell>
        </row>
        <row r="404">
          <cell r="A404" t="str">
            <v>黄骅市玉明五金模标门市部</v>
          </cell>
          <cell r="B404">
            <v>0</v>
          </cell>
          <cell r="C404">
            <v>0</v>
          </cell>
          <cell r="D404">
            <v>0</v>
          </cell>
        </row>
        <row r="405">
          <cell r="A405" t="str">
            <v>黄骅市誉焱制衣厂</v>
          </cell>
          <cell r="B405">
            <v>0</v>
          </cell>
          <cell r="C405">
            <v>0</v>
          </cell>
          <cell r="D405">
            <v>0</v>
          </cell>
        </row>
        <row r="406">
          <cell r="A406" t="str">
            <v>黄骅市元周五金制品有限公司</v>
          </cell>
          <cell r="B406">
            <v>85000</v>
          </cell>
          <cell r="C406">
            <v>13352.91</v>
          </cell>
          <cell r="D406">
            <v>70022.66</v>
          </cell>
        </row>
        <row r="407">
          <cell r="A407" t="str">
            <v>黄骅市月军五金制品厂</v>
          </cell>
          <cell r="B407">
            <v>0</v>
          </cell>
          <cell r="C407">
            <v>0</v>
          </cell>
          <cell r="D407">
            <v>0</v>
          </cell>
        </row>
        <row r="408">
          <cell r="A408" t="str">
            <v>黄骅市运输总公司华宇汽修厂</v>
          </cell>
          <cell r="B408">
            <v>0</v>
          </cell>
          <cell r="C408">
            <v>0</v>
          </cell>
          <cell r="D408">
            <v>0</v>
          </cell>
        </row>
        <row r="409">
          <cell r="A409" t="str">
            <v>黄骅市再兴汽车配件有限公司</v>
          </cell>
          <cell r="B409">
            <v>120000</v>
          </cell>
          <cell r="C409">
            <v>0</v>
          </cell>
          <cell r="D409">
            <v>466409.62</v>
          </cell>
        </row>
        <row r="410">
          <cell r="A410" t="str">
            <v>黄骅市泽方模具有限公司</v>
          </cell>
          <cell r="B410">
            <v>0</v>
          </cell>
          <cell r="C410">
            <v>0</v>
          </cell>
          <cell r="D410">
            <v>194800</v>
          </cell>
        </row>
        <row r="411">
          <cell r="A411" t="str">
            <v>黄骅市增鑫五金制品有限公司</v>
          </cell>
          <cell r="B411">
            <v>0</v>
          </cell>
          <cell r="C411">
            <v>0</v>
          </cell>
          <cell r="D411">
            <v>19045</v>
          </cell>
        </row>
        <row r="412">
          <cell r="A412" t="str">
            <v>黄骅市兆展铁艺加工厂</v>
          </cell>
          <cell r="B412">
            <v>17160</v>
          </cell>
          <cell r="C412">
            <v>499.81</v>
          </cell>
          <cell r="D412">
            <v>0</v>
          </cell>
        </row>
        <row r="413">
          <cell r="A413" t="str">
            <v>黄骅市振兴汽车灯镜厂</v>
          </cell>
          <cell r="B413">
            <v>0</v>
          </cell>
          <cell r="C413">
            <v>0</v>
          </cell>
          <cell r="D413">
            <v>0</v>
          </cell>
        </row>
        <row r="414">
          <cell r="A414" t="str">
            <v>黄骅市振兴五金制品厂</v>
          </cell>
          <cell r="B414">
            <v>40000</v>
          </cell>
          <cell r="C414">
            <v>44220.34</v>
          </cell>
          <cell r="D414">
            <v>122656.29</v>
          </cell>
        </row>
        <row r="415">
          <cell r="A415" t="str">
            <v>黄骅市震飞塑机辅机有限公司</v>
          </cell>
          <cell r="B415">
            <v>0</v>
          </cell>
          <cell r="C415">
            <v>0</v>
          </cell>
          <cell r="D415">
            <v>0</v>
          </cell>
        </row>
        <row r="416">
          <cell r="A416" t="str">
            <v>黄骅市震宇机动配件有限公司</v>
          </cell>
          <cell r="B416">
            <v>0</v>
          </cell>
          <cell r="C416">
            <v>0</v>
          </cell>
          <cell r="D416">
            <v>0</v>
          </cell>
        </row>
        <row r="417">
          <cell r="A417" t="str">
            <v>黄骅市正大纺织机械配件厂</v>
          </cell>
          <cell r="B417">
            <v>250000</v>
          </cell>
          <cell r="C417">
            <v>92838.96</v>
          </cell>
          <cell r="D417">
            <v>741916.46</v>
          </cell>
        </row>
        <row r="418">
          <cell r="A418" t="str">
            <v>黄骅市正发五金机电经销处</v>
          </cell>
          <cell r="B418">
            <v>0</v>
          </cell>
          <cell r="C418">
            <v>0</v>
          </cell>
          <cell r="D418">
            <v>0</v>
          </cell>
        </row>
        <row r="419">
          <cell r="A419" t="str">
            <v>黄骅市正祥车辆部件有限公司</v>
          </cell>
          <cell r="B419">
            <v>50000</v>
          </cell>
          <cell r="C419">
            <v>150785.48</v>
          </cell>
          <cell r="D419">
            <v>244979.27</v>
          </cell>
        </row>
        <row r="420">
          <cell r="A420" t="str">
            <v>黄骅市志承车业有限公司</v>
          </cell>
          <cell r="B420">
            <v>0</v>
          </cell>
          <cell r="C420">
            <v>0</v>
          </cell>
          <cell r="D420">
            <v>0</v>
          </cell>
        </row>
        <row r="421">
          <cell r="A421" t="str">
            <v>黄骅市致远摩托车配件有限公司</v>
          </cell>
          <cell r="B421">
            <v>66878.58</v>
          </cell>
          <cell r="C421">
            <v>0</v>
          </cell>
          <cell r="D421">
            <v>0</v>
          </cell>
        </row>
        <row r="422">
          <cell r="A422" t="str">
            <v>黄骅市智美办公用品门市部</v>
          </cell>
          <cell r="B422">
            <v>0</v>
          </cell>
          <cell r="C422">
            <v>0</v>
          </cell>
          <cell r="D422">
            <v>0</v>
          </cell>
        </row>
        <row r="423">
          <cell r="A423" t="str">
            <v>黄骅市中医医院</v>
          </cell>
          <cell r="B423">
            <v>0</v>
          </cell>
          <cell r="C423">
            <v>0</v>
          </cell>
          <cell r="D423">
            <v>0</v>
          </cell>
        </row>
        <row r="424">
          <cell r="A424" t="str">
            <v>黄骅信誉楼百货集团有限公司黄骅信誉楼商厦</v>
          </cell>
          <cell r="B424">
            <v>0</v>
          </cell>
          <cell r="C424">
            <v>0</v>
          </cell>
          <cell r="D424">
            <v>0</v>
          </cell>
        </row>
        <row r="425">
          <cell r="A425" t="str">
            <v>吉林省国际仓储运输有限公司</v>
          </cell>
          <cell r="B425">
            <v>0</v>
          </cell>
          <cell r="C425">
            <v>0</v>
          </cell>
          <cell r="D425">
            <v>0</v>
          </cell>
        </row>
        <row r="426">
          <cell r="A426" t="str">
            <v>吉林省裕隆机电设备零部件有限公司</v>
          </cell>
          <cell r="B426">
            <v>0</v>
          </cell>
          <cell r="C426">
            <v>0</v>
          </cell>
          <cell r="D426">
            <v>0</v>
          </cell>
        </row>
        <row r="427">
          <cell r="A427" t="str">
            <v>济南广武数控设备有限公司</v>
          </cell>
          <cell r="B427">
            <v>0</v>
          </cell>
          <cell r="C427">
            <v>0</v>
          </cell>
          <cell r="D427">
            <v>0</v>
          </cell>
        </row>
        <row r="428">
          <cell r="A428" t="str">
            <v>济南恒发一诚聚氨酯有限公司</v>
          </cell>
          <cell r="B428">
            <v>0</v>
          </cell>
          <cell r="C428">
            <v>0</v>
          </cell>
          <cell r="D428">
            <v>0</v>
          </cell>
        </row>
        <row r="429">
          <cell r="A429" t="str">
            <v>济南时代试金试验机有限公司</v>
          </cell>
          <cell r="B429">
            <v>0</v>
          </cell>
          <cell r="C429">
            <v>0</v>
          </cell>
          <cell r="D429">
            <v>0</v>
          </cell>
        </row>
        <row r="430">
          <cell r="A430" t="str">
            <v>济南岩安电子科技有限公司</v>
          </cell>
          <cell r="B430">
            <v>0</v>
          </cell>
          <cell r="C430">
            <v>0</v>
          </cell>
          <cell r="D430">
            <v>0</v>
          </cell>
        </row>
        <row r="431">
          <cell r="A431" t="str">
            <v>冀州市北内汽车座椅有限公司</v>
          </cell>
          <cell r="B431">
            <v>0</v>
          </cell>
          <cell r="C431">
            <v>0</v>
          </cell>
          <cell r="D431">
            <v>0</v>
          </cell>
        </row>
        <row r="432">
          <cell r="A432" t="str">
            <v>佳化化学（滨州）有限公司</v>
          </cell>
          <cell r="B432">
            <v>900000</v>
          </cell>
          <cell r="C432">
            <v>1025630.6</v>
          </cell>
          <cell r="D432">
            <v>2330693.1</v>
          </cell>
        </row>
        <row r="433">
          <cell r="A433" t="str">
            <v>嘉兴市南湖区东栅街道嘉环中电子产品经营部</v>
          </cell>
          <cell r="B433">
            <v>418</v>
          </cell>
          <cell r="C433">
            <v>418</v>
          </cell>
          <cell r="D433">
            <v>0</v>
          </cell>
        </row>
        <row r="434">
          <cell r="A434" t="str">
            <v>嘉兴市松玖机电设备有限公司</v>
          </cell>
          <cell r="B434">
            <v>0</v>
          </cell>
          <cell r="C434">
            <v>0</v>
          </cell>
          <cell r="D434">
            <v>0</v>
          </cell>
        </row>
        <row r="435">
          <cell r="A435" t="str">
            <v>建生裕科（上海）贸易有限公司</v>
          </cell>
          <cell r="B435">
            <v>113500</v>
          </cell>
          <cell r="C435">
            <v>113500</v>
          </cell>
          <cell r="D435">
            <v>0</v>
          </cell>
        </row>
        <row r="436">
          <cell r="A436" t="str">
            <v>江苏艾文德悦达汽车内饰有限公司</v>
          </cell>
          <cell r="B436">
            <v>0</v>
          </cell>
          <cell r="C436">
            <v>580890.45</v>
          </cell>
          <cell r="D436">
            <v>580890.45</v>
          </cell>
        </row>
        <row r="437">
          <cell r="A437" t="str">
            <v>江苏力乐汽车部件股份有限公司</v>
          </cell>
          <cell r="B437">
            <v>705000</v>
          </cell>
          <cell r="C437">
            <v>173917.32</v>
          </cell>
          <cell r="D437">
            <v>528239.74</v>
          </cell>
        </row>
        <row r="438">
          <cell r="A438" t="str">
            <v>江苏申牌万向轮有限公司</v>
          </cell>
          <cell r="B438">
            <v>0</v>
          </cell>
          <cell r="C438">
            <v>0</v>
          </cell>
          <cell r="D438">
            <v>0</v>
          </cell>
        </row>
        <row r="439">
          <cell r="A439" t="str">
            <v>江苏万金汽车零部件制造有限公司</v>
          </cell>
          <cell r="B439">
            <v>250000</v>
          </cell>
          <cell r="C439">
            <v>126686.76</v>
          </cell>
          <cell r="D439">
            <v>1278798.83</v>
          </cell>
        </row>
        <row r="440">
          <cell r="A440" t="str">
            <v>江苏扬力集团有限公司</v>
          </cell>
          <cell r="B440">
            <v>0</v>
          </cell>
          <cell r="C440">
            <v>0</v>
          </cell>
          <cell r="D440">
            <v>46540</v>
          </cell>
        </row>
        <row r="441">
          <cell r="A441" t="str">
            <v>江苏忠明祥和精工股份有限公司</v>
          </cell>
          <cell r="B441">
            <v>20733.68</v>
          </cell>
          <cell r="C441">
            <v>0</v>
          </cell>
          <cell r="D441">
            <v>0</v>
          </cell>
        </row>
        <row r="442">
          <cell r="A442" t="str">
            <v>江阴长青工艺品有限公司</v>
          </cell>
          <cell r="B442">
            <v>0</v>
          </cell>
          <cell r="C442">
            <v>0</v>
          </cell>
          <cell r="D442">
            <v>481000</v>
          </cell>
        </row>
        <row r="443">
          <cell r="A443" t="str">
            <v>江阴市诚信模具有限公司</v>
          </cell>
          <cell r="B443">
            <v>0</v>
          </cell>
          <cell r="C443">
            <v>0</v>
          </cell>
          <cell r="D443">
            <v>0</v>
          </cell>
        </row>
        <row r="444">
          <cell r="A444" t="str">
            <v>江阴市达安汽车零部件有限公司</v>
          </cell>
          <cell r="B444">
            <v>0</v>
          </cell>
          <cell r="C444">
            <v>0</v>
          </cell>
          <cell r="D444">
            <v>4462.56</v>
          </cell>
        </row>
        <row r="445">
          <cell r="A445" t="str">
            <v>江阴市利剑金刚石工磨具有限公司</v>
          </cell>
          <cell r="B445">
            <v>0</v>
          </cell>
          <cell r="C445">
            <v>0</v>
          </cell>
          <cell r="D445">
            <v>5000</v>
          </cell>
        </row>
        <row r="446">
          <cell r="A446" t="str">
            <v>江阴市信佳科贸有限公司</v>
          </cell>
          <cell r="B446">
            <v>450000</v>
          </cell>
          <cell r="C446">
            <v>178705</v>
          </cell>
          <cell r="D446">
            <v>519525</v>
          </cell>
        </row>
        <row r="447">
          <cell r="A447" t="str">
            <v>金丰（中国）机械工业有限公司</v>
          </cell>
          <cell r="B447">
            <v>0</v>
          </cell>
          <cell r="C447">
            <v>0</v>
          </cell>
          <cell r="D447">
            <v>0</v>
          </cell>
        </row>
        <row r="448">
          <cell r="A448" t="str">
            <v>金世纪电缆集团有限公司</v>
          </cell>
          <cell r="B448">
            <v>0</v>
          </cell>
          <cell r="C448">
            <v>0</v>
          </cell>
          <cell r="D448">
            <v>0</v>
          </cell>
        </row>
        <row r="449">
          <cell r="A449" t="str">
            <v>景德镇景兴物流有限公司</v>
          </cell>
          <cell r="B449">
            <v>0</v>
          </cell>
          <cell r="C449">
            <v>0</v>
          </cell>
          <cell r="D449">
            <v>0</v>
          </cell>
        </row>
        <row r="450">
          <cell r="A450" t="str">
            <v>孔令兰</v>
          </cell>
          <cell r="B450">
            <v>0</v>
          </cell>
          <cell r="C450">
            <v>0</v>
          </cell>
          <cell r="D450">
            <v>0</v>
          </cell>
        </row>
        <row r="451">
          <cell r="A451" t="str">
            <v>旷达汽车饰件系统有限公司</v>
          </cell>
          <cell r="B451">
            <v>500000</v>
          </cell>
          <cell r="C451">
            <v>2052907.5</v>
          </cell>
          <cell r="D451">
            <v>1552907.5</v>
          </cell>
        </row>
        <row r="452">
          <cell r="A452" t="str">
            <v>旷达汽车饰件有限公司</v>
          </cell>
          <cell r="B452">
            <v>2052907.5</v>
          </cell>
          <cell r="C452">
            <v>0</v>
          </cell>
          <cell r="D452">
            <v>0</v>
          </cell>
        </row>
        <row r="453">
          <cell r="A453" t="str">
            <v>昆山福如斯精密机械有限公司</v>
          </cell>
          <cell r="B453">
            <v>0</v>
          </cell>
          <cell r="C453">
            <v>0</v>
          </cell>
          <cell r="D453">
            <v>14500</v>
          </cell>
        </row>
        <row r="454">
          <cell r="A454" t="str">
            <v>昆山鸿毅达精密模具有限公司</v>
          </cell>
          <cell r="B454">
            <v>0</v>
          </cell>
          <cell r="C454">
            <v>0</v>
          </cell>
          <cell r="D454">
            <v>24291.84</v>
          </cell>
        </row>
        <row r="455">
          <cell r="A455" t="str">
            <v>昆山瑞翔自动化科技有限公司</v>
          </cell>
          <cell r="B455">
            <v>0</v>
          </cell>
          <cell r="C455">
            <v>0</v>
          </cell>
          <cell r="D455">
            <v>0</v>
          </cell>
        </row>
        <row r="456">
          <cell r="A456" t="str">
            <v>昆山市永盛制线有限公司</v>
          </cell>
          <cell r="B456">
            <v>0</v>
          </cell>
          <cell r="C456">
            <v>0</v>
          </cell>
          <cell r="D456">
            <v>0</v>
          </cell>
        </row>
        <row r="457">
          <cell r="A457" t="str">
            <v>昆山市玉山镇钛晶邦机电商行</v>
          </cell>
          <cell r="B457">
            <v>0</v>
          </cell>
          <cell r="C457">
            <v>0</v>
          </cell>
          <cell r="D457">
            <v>0</v>
          </cell>
        </row>
        <row r="458">
          <cell r="A458" t="str">
            <v>昆山维尔利环保科技有限公司</v>
          </cell>
          <cell r="B458">
            <v>0</v>
          </cell>
          <cell r="C458">
            <v>19639.4</v>
          </cell>
          <cell r="D458">
            <v>124816.9</v>
          </cell>
        </row>
        <row r="459">
          <cell r="A459" t="str">
            <v>莱茵贝格电梯（北京）有限公司第六分公司</v>
          </cell>
          <cell r="B459">
            <v>0</v>
          </cell>
          <cell r="C459">
            <v>0</v>
          </cell>
          <cell r="D459">
            <v>0</v>
          </cell>
        </row>
        <row r="460">
          <cell r="A460" t="str">
            <v>廊坊华文机电设备有限公司</v>
          </cell>
          <cell r="B460">
            <v>48244.44</v>
          </cell>
          <cell r="C460">
            <v>0</v>
          </cell>
          <cell r="D460">
            <v>0</v>
          </cell>
        </row>
        <row r="461">
          <cell r="A461" t="str">
            <v>廊坊开发区浩泰机械制造有限公司</v>
          </cell>
          <cell r="B461">
            <v>0</v>
          </cell>
          <cell r="C461">
            <v>0</v>
          </cell>
          <cell r="D461">
            <v>0</v>
          </cell>
        </row>
        <row r="462">
          <cell r="A462" t="str">
            <v>廊坊市烁鑫汽车配件有限公司</v>
          </cell>
          <cell r="B462">
            <v>0</v>
          </cell>
          <cell r="C462">
            <v>106838.62</v>
          </cell>
          <cell r="D462">
            <v>501853.89</v>
          </cell>
        </row>
        <row r="463">
          <cell r="A463" t="str">
            <v>廊坊一凡水处理工程有限公司</v>
          </cell>
          <cell r="B463">
            <v>0</v>
          </cell>
          <cell r="C463">
            <v>0</v>
          </cell>
          <cell r="D463">
            <v>0</v>
          </cell>
        </row>
        <row r="464">
          <cell r="A464" t="str">
            <v>廊坊中德汽车座椅制造有限公司</v>
          </cell>
          <cell r="B464">
            <v>0</v>
          </cell>
          <cell r="C464">
            <v>0</v>
          </cell>
          <cell r="D464">
            <v>4922.38</v>
          </cell>
        </row>
        <row r="465">
          <cell r="A465" t="str">
            <v>李春林</v>
          </cell>
          <cell r="B465">
            <v>0</v>
          </cell>
          <cell r="C465">
            <v>0</v>
          </cell>
          <cell r="D465">
            <v>0</v>
          </cell>
        </row>
        <row r="466">
          <cell r="A466" t="str">
            <v>溧阳市鑫岩车辆配件厂</v>
          </cell>
          <cell r="B466">
            <v>50092</v>
          </cell>
          <cell r="C466">
            <v>0</v>
          </cell>
          <cell r="D466">
            <v>0</v>
          </cell>
        </row>
        <row r="467">
          <cell r="A467" t="str">
            <v>溧阳万金汽车配件有限公司</v>
          </cell>
          <cell r="B467">
            <v>0</v>
          </cell>
          <cell r="C467">
            <v>0</v>
          </cell>
          <cell r="D467">
            <v>0</v>
          </cell>
        </row>
        <row r="468">
          <cell r="A468" t="str">
            <v>溧阳鑫岩汽车零部件有限公司</v>
          </cell>
          <cell r="B468">
            <v>0</v>
          </cell>
          <cell r="C468">
            <v>0</v>
          </cell>
          <cell r="D468">
            <v>0</v>
          </cell>
        </row>
        <row r="469">
          <cell r="A469" t="str">
            <v>辽源市佳林造革有限责任公司</v>
          </cell>
          <cell r="B469">
            <v>0</v>
          </cell>
          <cell r="C469">
            <v>0</v>
          </cell>
          <cell r="D469">
            <v>0</v>
          </cell>
        </row>
        <row r="470">
          <cell r="A470" t="str">
            <v>刘东德</v>
          </cell>
          <cell r="B470">
            <v>0</v>
          </cell>
          <cell r="C470">
            <v>0</v>
          </cell>
          <cell r="D470">
            <v>0</v>
          </cell>
        </row>
        <row r="471">
          <cell r="A471" t="str">
            <v>刘金亮</v>
          </cell>
          <cell r="B471">
            <v>0</v>
          </cell>
          <cell r="C471">
            <v>0</v>
          </cell>
          <cell r="D471">
            <v>0</v>
          </cell>
        </row>
        <row r="472">
          <cell r="A472" t="str">
            <v>刘荣辉</v>
          </cell>
          <cell r="B472">
            <v>0</v>
          </cell>
          <cell r="C472">
            <v>0</v>
          </cell>
          <cell r="D472">
            <v>0</v>
          </cell>
        </row>
        <row r="473">
          <cell r="A473" t="str">
            <v>洛阳宏润塑业有限公司</v>
          </cell>
          <cell r="B473">
            <v>90000</v>
          </cell>
          <cell r="C473">
            <v>90000</v>
          </cell>
          <cell r="D473">
            <v>90000</v>
          </cell>
        </row>
        <row r="474">
          <cell r="A474" t="str">
            <v>马英强</v>
          </cell>
          <cell r="B474">
            <v>0</v>
          </cell>
          <cell r="C474">
            <v>0</v>
          </cell>
          <cell r="D474">
            <v>0</v>
          </cell>
        </row>
        <row r="475">
          <cell r="A475" t="str">
            <v>马志云</v>
          </cell>
          <cell r="B475">
            <v>0</v>
          </cell>
          <cell r="C475">
            <v>0</v>
          </cell>
          <cell r="D475">
            <v>1163</v>
          </cell>
        </row>
        <row r="476">
          <cell r="A476" t="str">
            <v>美视伊汽车镜控（苏州）有限公司</v>
          </cell>
          <cell r="B476">
            <v>238913.64</v>
          </cell>
          <cell r="C476">
            <v>238913.64</v>
          </cell>
          <cell r="D476">
            <v>0</v>
          </cell>
        </row>
        <row r="477">
          <cell r="A477" t="str">
            <v>孟村回族自治县旭日汽车配件厂</v>
          </cell>
          <cell r="B477">
            <v>0</v>
          </cell>
          <cell r="C477">
            <v>3020</v>
          </cell>
          <cell r="D477">
            <v>3020</v>
          </cell>
        </row>
        <row r="478">
          <cell r="A478" t="str">
            <v>米思米（中国）精密机械贸易有限公司</v>
          </cell>
          <cell r="B478">
            <v>0</v>
          </cell>
          <cell r="C478">
            <v>0</v>
          </cell>
          <cell r="D478">
            <v>0</v>
          </cell>
        </row>
        <row r="479">
          <cell r="A479" t="str">
            <v>密佳达（北京）塑料机械设备有限公司</v>
          </cell>
          <cell r="B479">
            <v>0</v>
          </cell>
          <cell r="C479">
            <v>0</v>
          </cell>
          <cell r="D479">
            <v>33600</v>
          </cell>
        </row>
        <row r="480">
          <cell r="A480" t="str">
            <v>密山市龙兴制革有限公司</v>
          </cell>
          <cell r="B480">
            <v>0</v>
          </cell>
          <cell r="C480">
            <v>0</v>
          </cell>
          <cell r="D480">
            <v>0</v>
          </cell>
        </row>
        <row r="481">
          <cell r="A481" t="str">
            <v>明邦（天津）科技有限公司</v>
          </cell>
          <cell r="B481">
            <v>0</v>
          </cell>
          <cell r="C481">
            <v>0</v>
          </cell>
          <cell r="D481">
            <v>0</v>
          </cell>
        </row>
        <row r="482">
          <cell r="A482" t="str">
            <v>铭涛五金(苏州)有限公司</v>
          </cell>
          <cell r="B482">
            <v>0</v>
          </cell>
          <cell r="C482">
            <v>0</v>
          </cell>
          <cell r="D482">
            <v>0</v>
          </cell>
        </row>
        <row r="483">
          <cell r="A483" t="str">
            <v>纳拓润滑技术（上海）有限公司</v>
          </cell>
          <cell r="B483">
            <v>0</v>
          </cell>
          <cell r="C483">
            <v>0</v>
          </cell>
          <cell r="D483">
            <v>0</v>
          </cell>
        </row>
        <row r="484">
          <cell r="A484" t="str">
            <v>纳新塑化（上海）有限公司</v>
          </cell>
          <cell r="B484">
            <v>0</v>
          </cell>
          <cell r="C484">
            <v>40454</v>
          </cell>
          <cell r="D484">
            <v>40454</v>
          </cell>
        </row>
        <row r="485">
          <cell r="A485" t="str">
            <v>南方中金环境股份有限公司</v>
          </cell>
          <cell r="B485">
            <v>0</v>
          </cell>
          <cell r="C485">
            <v>0</v>
          </cell>
          <cell r="D485">
            <v>0</v>
          </cell>
        </row>
        <row r="486">
          <cell r="A486" t="str">
            <v>南京聚隆科技股份有限公司</v>
          </cell>
          <cell r="B486">
            <v>0</v>
          </cell>
          <cell r="C486">
            <v>0</v>
          </cell>
          <cell r="D486">
            <v>0</v>
          </cell>
        </row>
        <row r="487">
          <cell r="A487" t="str">
            <v>南京磐纳科技发展有限公司</v>
          </cell>
          <cell r="B487">
            <v>1000</v>
          </cell>
          <cell r="C487">
            <v>0</v>
          </cell>
          <cell r="D487">
            <v>0</v>
          </cell>
        </row>
        <row r="488">
          <cell r="A488" t="str">
            <v>南皮县聚金五金制品有限公司</v>
          </cell>
          <cell r="B488">
            <v>0</v>
          </cell>
          <cell r="C488">
            <v>0</v>
          </cell>
          <cell r="D488">
            <v>0</v>
          </cell>
        </row>
        <row r="489">
          <cell r="A489" t="str">
            <v>南皮县利辉五金接插件厂</v>
          </cell>
          <cell r="B489">
            <v>0</v>
          </cell>
          <cell r="C489">
            <v>0</v>
          </cell>
          <cell r="D489">
            <v>0</v>
          </cell>
        </row>
        <row r="490">
          <cell r="A490" t="str">
            <v>南皮县明光五金机电有限公司</v>
          </cell>
          <cell r="B490">
            <v>0</v>
          </cell>
          <cell r="C490">
            <v>0</v>
          </cell>
          <cell r="D490">
            <v>0</v>
          </cell>
        </row>
        <row r="491">
          <cell r="A491" t="str">
            <v>南皮县泰航五金制造有限公司</v>
          </cell>
          <cell r="B491">
            <v>0</v>
          </cell>
          <cell r="C491">
            <v>0</v>
          </cell>
          <cell r="D491">
            <v>0</v>
          </cell>
        </row>
        <row r="492">
          <cell r="A492" t="str">
            <v>南皮县望生金属材料有限公司</v>
          </cell>
          <cell r="B492">
            <v>0</v>
          </cell>
          <cell r="C492">
            <v>0</v>
          </cell>
          <cell r="D492">
            <v>0</v>
          </cell>
        </row>
        <row r="493">
          <cell r="A493" t="str">
            <v>南通南亚汽车新材料有限公司</v>
          </cell>
          <cell r="B493">
            <v>0</v>
          </cell>
          <cell r="C493">
            <v>0</v>
          </cell>
          <cell r="D493">
            <v>0</v>
          </cell>
        </row>
        <row r="494">
          <cell r="A494" t="str">
            <v>宁波精成车业有限公司</v>
          </cell>
          <cell r="B494">
            <v>300000</v>
          </cell>
          <cell r="C494">
            <v>765952.86</v>
          </cell>
          <cell r="D494">
            <v>1853243.62</v>
          </cell>
        </row>
        <row r="495">
          <cell r="A495" t="str">
            <v>宁波瑞元模塑有限公司</v>
          </cell>
          <cell r="B495">
            <v>0</v>
          </cell>
          <cell r="C495">
            <v>0</v>
          </cell>
          <cell r="D495">
            <v>0</v>
          </cell>
        </row>
        <row r="496">
          <cell r="A496" t="str">
            <v>宁波正耀汽车电器有限公司</v>
          </cell>
          <cell r="B496">
            <v>15985</v>
          </cell>
          <cell r="C496">
            <v>0</v>
          </cell>
          <cell r="D496">
            <v>0</v>
          </cell>
        </row>
        <row r="497">
          <cell r="A497" t="str">
            <v>派博乐安全设备有限公司</v>
          </cell>
          <cell r="B497">
            <v>0</v>
          </cell>
          <cell r="C497">
            <v>0</v>
          </cell>
          <cell r="D497">
            <v>0</v>
          </cell>
        </row>
        <row r="498">
          <cell r="A498" t="str">
            <v>濮阳市汉克斯机械有限公司</v>
          </cell>
          <cell r="B498">
            <v>0</v>
          </cell>
          <cell r="C498">
            <v>0</v>
          </cell>
          <cell r="D498">
            <v>0</v>
          </cell>
        </row>
        <row r="499">
          <cell r="A499" t="str">
            <v>普罗名特贸易（大连）有限公司</v>
          </cell>
          <cell r="B499">
            <v>0</v>
          </cell>
          <cell r="C499">
            <v>0</v>
          </cell>
          <cell r="D499">
            <v>0</v>
          </cell>
        </row>
        <row r="500">
          <cell r="A500" t="str">
            <v>秦皇岛高鹏泡沫塑料有限公司</v>
          </cell>
          <cell r="B500">
            <v>0</v>
          </cell>
          <cell r="C500">
            <v>0</v>
          </cell>
          <cell r="D500">
            <v>0</v>
          </cell>
        </row>
        <row r="501">
          <cell r="A501" t="str">
            <v>青岛澳海源国际贸易有限公司</v>
          </cell>
          <cell r="B501">
            <v>0</v>
          </cell>
          <cell r="C501">
            <v>0</v>
          </cell>
          <cell r="D501">
            <v>0</v>
          </cell>
        </row>
        <row r="502">
          <cell r="A502" t="str">
            <v>青岛福基纺织有限公司</v>
          </cell>
          <cell r="B502">
            <v>650000</v>
          </cell>
          <cell r="C502">
            <v>635066.03</v>
          </cell>
          <cell r="D502">
            <v>7495456.12</v>
          </cell>
        </row>
        <row r="503">
          <cell r="A503" t="str">
            <v>青岛银泰洁净设备有限公司</v>
          </cell>
          <cell r="B503">
            <v>0</v>
          </cell>
          <cell r="C503">
            <v>0</v>
          </cell>
          <cell r="D503">
            <v>20000</v>
          </cell>
        </row>
        <row r="504">
          <cell r="A504" t="str">
            <v>青县永胜焊接材料厂</v>
          </cell>
          <cell r="B504">
            <v>0</v>
          </cell>
          <cell r="C504">
            <v>0</v>
          </cell>
          <cell r="D504">
            <v>0</v>
          </cell>
        </row>
        <row r="505">
          <cell r="A505" t="str">
            <v>曲阜陆航座椅辅料有限公司</v>
          </cell>
          <cell r="B505">
            <v>61200</v>
          </cell>
          <cell r="C505">
            <v>0</v>
          </cell>
          <cell r="D505">
            <v>0</v>
          </cell>
        </row>
        <row r="506">
          <cell r="A506" t="str">
            <v>人民电器集团黄骅销售有限公司</v>
          </cell>
          <cell r="B506">
            <v>0</v>
          </cell>
          <cell r="C506">
            <v>0</v>
          </cell>
          <cell r="D506">
            <v>23500</v>
          </cell>
        </row>
        <row r="507">
          <cell r="A507" t="str">
            <v>任丘市力洋压缩机制造有限公司</v>
          </cell>
          <cell r="B507">
            <v>0</v>
          </cell>
          <cell r="C507">
            <v>0</v>
          </cell>
          <cell r="D507">
            <v>0</v>
          </cell>
        </row>
        <row r="508">
          <cell r="A508" t="str">
            <v>三门县伟狄交通设施厂</v>
          </cell>
          <cell r="B508">
            <v>0</v>
          </cell>
          <cell r="C508">
            <v>0</v>
          </cell>
          <cell r="D508">
            <v>0</v>
          </cell>
        </row>
        <row r="509">
          <cell r="A509" t="str">
            <v>森织汽车内饰（武汉）有限公司</v>
          </cell>
          <cell r="B509">
            <v>0</v>
          </cell>
          <cell r="C509">
            <v>0</v>
          </cell>
          <cell r="D509">
            <v>0</v>
          </cell>
        </row>
        <row r="510">
          <cell r="A510" t="str">
            <v>山东东塑机械制造有限公司</v>
          </cell>
          <cell r="B510">
            <v>0</v>
          </cell>
          <cell r="C510">
            <v>0</v>
          </cell>
          <cell r="D510">
            <v>0</v>
          </cell>
        </row>
        <row r="511">
          <cell r="A511" t="str">
            <v>山东丰泽源皮革有限公司</v>
          </cell>
          <cell r="B511">
            <v>0</v>
          </cell>
          <cell r="C511">
            <v>0</v>
          </cell>
          <cell r="D511">
            <v>0</v>
          </cell>
        </row>
        <row r="512">
          <cell r="A512" t="str">
            <v>山东格瑞蓝热能设备有限公司</v>
          </cell>
          <cell r="B512">
            <v>0</v>
          </cell>
          <cell r="C512">
            <v>0</v>
          </cell>
          <cell r="D512">
            <v>0</v>
          </cell>
        </row>
        <row r="513">
          <cell r="A513" t="str">
            <v>山东金达汽车部件制造股份有限公司</v>
          </cell>
          <cell r="B513">
            <v>2000000</v>
          </cell>
          <cell r="C513">
            <v>1320136.73</v>
          </cell>
          <cell r="D513">
            <v>4713273.94</v>
          </cell>
        </row>
        <row r="514">
          <cell r="A514" t="str">
            <v>山东力丰重型机床有限公司</v>
          </cell>
          <cell r="B514">
            <v>0</v>
          </cell>
          <cell r="C514">
            <v>0</v>
          </cell>
          <cell r="D514">
            <v>0</v>
          </cell>
        </row>
        <row r="515">
          <cell r="A515" t="str">
            <v>山东隆华新材料股份有限公司</v>
          </cell>
          <cell r="B515">
            <v>0</v>
          </cell>
          <cell r="C515">
            <v>0</v>
          </cell>
          <cell r="D515">
            <v>0</v>
          </cell>
        </row>
        <row r="516">
          <cell r="A516" t="str">
            <v>山东浅海电气有限公司</v>
          </cell>
          <cell r="B516">
            <v>0</v>
          </cell>
          <cell r="C516">
            <v>0</v>
          </cell>
          <cell r="D516">
            <v>0</v>
          </cell>
        </row>
        <row r="517">
          <cell r="A517" t="str">
            <v>山东省禹城市阳光化工有限公司</v>
          </cell>
          <cell r="B517">
            <v>0</v>
          </cell>
          <cell r="C517">
            <v>0</v>
          </cell>
          <cell r="D517">
            <v>1380</v>
          </cell>
        </row>
        <row r="518">
          <cell r="A518" t="str">
            <v>山东施密特热能设备有限公司</v>
          </cell>
          <cell r="B518">
            <v>0</v>
          </cell>
          <cell r="C518">
            <v>0</v>
          </cell>
          <cell r="D518">
            <v>0</v>
          </cell>
        </row>
        <row r="519">
          <cell r="A519" t="str">
            <v>山东泰鹏新材料有限公司</v>
          </cell>
          <cell r="B519">
            <v>0</v>
          </cell>
          <cell r="C519">
            <v>0</v>
          </cell>
          <cell r="D519">
            <v>0</v>
          </cell>
        </row>
        <row r="520">
          <cell r="A520" t="str">
            <v>商玉才</v>
          </cell>
          <cell r="B520">
            <v>0</v>
          </cell>
          <cell r="C520">
            <v>0</v>
          </cell>
          <cell r="D520">
            <v>0</v>
          </cell>
        </row>
        <row r="521">
          <cell r="A521" t="str">
            <v>上工富怡智能制造（天津）有限公司</v>
          </cell>
          <cell r="B521">
            <v>0</v>
          </cell>
          <cell r="C521">
            <v>0</v>
          </cell>
          <cell r="D521">
            <v>0</v>
          </cell>
        </row>
        <row r="522">
          <cell r="A522" t="str">
            <v>上海芭仲实业发展有限公司</v>
          </cell>
          <cell r="B522">
            <v>0</v>
          </cell>
          <cell r="C522">
            <v>0</v>
          </cell>
          <cell r="D522">
            <v>0</v>
          </cell>
        </row>
        <row r="523">
          <cell r="A523" t="str">
            <v>上海奔德汽车零部件有限公司</v>
          </cell>
          <cell r="B523">
            <v>0</v>
          </cell>
          <cell r="C523">
            <v>95291</v>
          </cell>
          <cell r="D523">
            <v>339500.08</v>
          </cell>
        </row>
        <row r="524">
          <cell r="A524" t="str">
            <v>上海边锋实业有限公司</v>
          </cell>
          <cell r="B524">
            <v>0</v>
          </cell>
          <cell r="C524">
            <v>0</v>
          </cell>
          <cell r="D524">
            <v>360</v>
          </cell>
        </row>
        <row r="525">
          <cell r="A525" t="str">
            <v>上海畅聊网络科技有限公司</v>
          </cell>
          <cell r="B525">
            <v>0</v>
          </cell>
          <cell r="C525">
            <v>0</v>
          </cell>
          <cell r="D525">
            <v>0</v>
          </cell>
        </row>
        <row r="526">
          <cell r="A526" t="str">
            <v>上海导全自动化设备有限公司</v>
          </cell>
          <cell r="B526">
            <v>0</v>
          </cell>
          <cell r="C526">
            <v>0</v>
          </cell>
          <cell r="D526">
            <v>0</v>
          </cell>
        </row>
        <row r="527">
          <cell r="A527" t="str">
            <v>上海工博商贸有限公司</v>
          </cell>
          <cell r="B527">
            <v>0</v>
          </cell>
          <cell r="C527">
            <v>0</v>
          </cell>
          <cell r="D527">
            <v>0</v>
          </cell>
        </row>
        <row r="528">
          <cell r="A528" t="str">
            <v>上海购福电子商务有限公司</v>
          </cell>
          <cell r="B528">
            <v>0</v>
          </cell>
          <cell r="C528">
            <v>0</v>
          </cell>
          <cell r="D528">
            <v>0</v>
          </cell>
        </row>
        <row r="529">
          <cell r="A529" t="str">
            <v>上海昊诚泵阀有限公司</v>
          </cell>
          <cell r="B529">
            <v>0</v>
          </cell>
          <cell r="C529">
            <v>0</v>
          </cell>
          <cell r="D529">
            <v>1980</v>
          </cell>
        </row>
        <row r="530">
          <cell r="A530" t="str">
            <v>上海和鹰机电设备有限公司</v>
          </cell>
          <cell r="B530">
            <v>0</v>
          </cell>
          <cell r="C530">
            <v>0</v>
          </cell>
          <cell r="D530">
            <v>0</v>
          </cell>
        </row>
        <row r="531">
          <cell r="A531" t="str">
            <v>上海亨斯迈聚氨酯有限公司</v>
          </cell>
          <cell r="B531">
            <v>0</v>
          </cell>
          <cell r="C531">
            <v>0</v>
          </cell>
          <cell r="D531">
            <v>0</v>
          </cell>
        </row>
        <row r="532">
          <cell r="A532" t="str">
            <v>上海怀德五金机电有限公司</v>
          </cell>
          <cell r="B532">
            <v>0</v>
          </cell>
          <cell r="C532">
            <v>0</v>
          </cell>
          <cell r="D532">
            <v>0</v>
          </cell>
        </row>
        <row r="533">
          <cell r="A533" t="str">
            <v>上海金力泰化工股份有限公司</v>
          </cell>
          <cell r="B533">
            <v>0</v>
          </cell>
          <cell r="C533">
            <v>0</v>
          </cell>
          <cell r="D533">
            <v>0</v>
          </cell>
        </row>
        <row r="534">
          <cell r="A534" t="str">
            <v>上海克来机电自动化工程有限公司</v>
          </cell>
          <cell r="B534">
            <v>0</v>
          </cell>
          <cell r="C534">
            <v>0</v>
          </cell>
          <cell r="D534">
            <v>0</v>
          </cell>
        </row>
        <row r="535">
          <cell r="A535" t="str">
            <v>上海利用锁具有限公司</v>
          </cell>
          <cell r="B535">
            <v>0</v>
          </cell>
          <cell r="C535">
            <v>0</v>
          </cell>
          <cell r="D535">
            <v>0</v>
          </cell>
        </row>
        <row r="536">
          <cell r="A536" t="str">
            <v>上海名华悬挂输送机有限公司</v>
          </cell>
          <cell r="B536">
            <v>0</v>
          </cell>
          <cell r="C536">
            <v>0</v>
          </cell>
          <cell r="D536">
            <v>19500</v>
          </cell>
        </row>
        <row r="537">
          <cell r="A537" t="str">
            <v>上海明芳汽车零件有限公司</v>
          </cell>
          <cell r="B537">
            <v>800000</v>
          </cell>
          <cell r="C537">
            <v>0</v>
          </cell>
          <cell r="D537">
            <v>952448</v>
          </cell>
        </row>
        <row r="538">
          <cell r="A538" t="str">
            <v>上海腾基机械设备有限公司</v>
          </cell>
          <cell r="B538">
            <v>0</v>
          </cell>
          <cell r="C538">
            <v>0</v>
          </cell>
          <cell r="D538">
            <v>0</v>
          </cell>
        </row>
        <row r="539">
          <cell r="A539" t="str">
            <v>上海旭伽贸易有限公司</v>
          </cell>
          <cell r="B539">
            <v>0</v>
          </cell>
          <cell r="C539">
            <v>0</v>
          </cell>
          <cell r="D539">
            <v>0</v>
          </cell>
        </row>
        <row r="540">
          <cell r="A540" t="str">
            <v>上海研润光机科技有限公司</v>
          </cell>
          <cell r="B540">
            <v>0</v>
          </cell>
          <cell r="C540">
            <v>0</v>
          </cell>
          <cell r="D540">
            <v>0</v>
          </cell>
        </row>
        <row r="541">
          <cell r="A541" t="str">
            <v>上海奕盛信息技术有限公司</v>
          </cell>
          <cell r="B541">
            <v>0</v>
          </cell>
          <cell r="C541">
            <v>0</v>
          </cell>
          <cell r="D541">
            <v>0</v>
          </cell>
        </row>
        <row r="542">
          <cell r="A542" t="str">
            <v>上海优诺特实业股份有限公司</v>
          </cell>
          <cell r="B542">
            <v>0</v>
          </cell>
          <cell r="C542">
            <v>0</v>
          </cell>
          <cell r="D542">
            <v>5600</v>
          </cell>
        </row>
        <row r="543">
          <cell r="A543" t="str">
            <v>上海誉星电子有限公司</v>
          </cell>
          <cell r="B543">
            <v>0</v>
          </cell>
          <cell r="C543">
            <v>0</v>
          </cell>
          <cell r="D543">
            <v>0</v>
          </cell>
        </row>
        <row r="544">
          <cell r="A544" t="str">
            <v>上海绽奇工贸有限公司</v>
          </cell>
          <cell r="B544">
            <v>44858.9</v>
          </cell>
          <cell r="C544">
            <v>8080.4</v>
          </cell>
          <cell r="D544">
            <v>8080.4</v>
          </cell>
        </row>
        <row r="545">
          <cell r="A545" t="str">
            <v>深圳市固特灵胶业有限公司</v>
          </cell>
          <cell r="B545">
            <v>0</v>
          </cell>
          <cell r="C545">
            <v>0</v>
          </cell>
          <cell r="D545">
            <v>0</v>
          </cell>
        </row>
        <row r="546">
          <cell r="A546" t="str">
            <v>深圳市互成自动化设备有限公司</v>
          </cell>
          <cell r="B546">
            <v>0</v>
          </cell>
          <cell r="C546">
            <v>0</v>
          </cell>
          <cell r="D546">
            <v>0</v>
          </cell>
        </row>
        <row r="547">
          <cell r="A547" t="str">
            <v>深圳市华亚数控机床有限公司</v>
          </cell>
          <cell r="B547">
            <v>0</v>
          </cell>
          <cell r="C547">
            <v>0</v>
          </cell>
          <cell r="D547">
            <v>0</v>
          </cell>
        </row>
        <row r="548">
          <cell r="A548" t="str">
            <v>深圳市立恒视觉技术有限公司</v>
          </cell>
          <cell r="B548">
            <v>0</v>
          </cell>
          <cell r="C548">
            <v>0</v>
          </cell>
          <cell r="D548">
            <v>0</v>
          </cell>
        </row>
        <row r="549">
          <cell r="A549" t="str">
            <v>深圳市森瑞普电子有限公司</v>
          </cell>
          <cell r="B549">
            <v>0</v>
          </cell>
          <cell r="C549">
            <v>0</v>
          </cell>
          <cell r="D549">
            <v>0</v>
          </cell>
        </row>
        <row r="550">
          <cell r="A550" t="str">
            <v>深圳市顺镒五金机电有限公司</v>
          </cell>
          <cell r="B550">
            <v>0</v>
          </cell>
          <cell r="C550">
            <v>0</v>
          </cell>
          <cell r="D550">
            <v>0</v>
          </cell>
        </row>
        <row r="551">
          <cell r="A551" t="str">
            <v>深圳市万泉河科技有限公司</v>
          </cell>
          <cell r="B551">
            <v>0</v>
          </cell>
          <cell r="C551">
            <v>0</v>
          </cell>
          <cell r="D551">
            <v>0</v>
          </cell>
        </row>
        <row r="552">
          <cell r="A552" t="str">
            <v>深州市安广顺机械配件有限公司</v>
          </cell>
          <cell r="B552">
            <v>50000</v>
          </cell>
          <cell r="C552">
            <v>7485.37</v>
          </cell>
          <cell r="D552">
            <v>123142.27</v>
          </cell>
        </row>
        <row r="553">
          <cell r="A553" t="str">
            <v>深州市华星塑胶制品有限公司</v>
          </cell>
          <cell r="B553">
            <v>0</v>
          </cell>
          <cell r="C553">
            <v>0</v>
          </cell>
          <cell r="D553">
            <v>0</v>
          </cell>
        </row>
        <row r="554">
          <cell r="A554" t="str">
            <v>深州市卓伦橡塑磨具有限公司</v>
          </cell>
          <cell r="B554">
            <v>550000</v>
          </cell>
          <cell r="C554">
            <v>267321.03</v>
          </cell>
          <cell r="D554">
            <v>2344089.4</v>
          </cell>
        </row>
        <row r="555">
          <cell r="A555" t="str">
            <v>沈阳市鼎华机械设备制造厂</v>
          </cell>
          <cell r="B555">
            <v>0</v>
          </cell>
          <cell r="C555">
            <v>0</v>
          </cell>
          <cell r="D555">
            <v>4080</v>
          </cell>
        </row>
        <row r="556">
          <cell r="A556" t="str">
            <v>石家庄霍克叉车设备有限公司</v>
          </cell>
          <cell r="B556">
            <v>0</v>
          </cell>
          <cell r="C556">
            <v>0</v>
          </cell>
          <cell r="D556">
            <v>0</v>
          </cell>
        </row>
        <row r="557">
          <cell r="A557" t="str">
            <v>石家庄金盾安全技术工程有限公司沧州分公司</v>
          </cell>
          <cell r="B557">
            <v>0</v>
          </cell>
          <cell r="C557">
            <v>0</v>
          </cell>
          <cell r="D557">
            <v>112870</v>
          </cell>
        </row>
        <row r="558">
          <cell r="A558" t="str">
            <v>石家庄松樾机械设备销售有限公司</v>
          </cell>
          <cell r="B558">
            <v>0</v>
          </cell>
          <cell r="C558">
            <v>0</v>
          </cell>
          <cell r="D558">
            <v>0</v>
          </cell>
        </row>
        <row r="559">
          <cell r="A559" t="str">
            <v>市场采购</v>
          </cell>
          <cell r="B559">
            <v>0</v>
          </cell>
          <cell r="C559">
            <v>0</v>
          </cell>
          <cell r="D559">
            <v>0</v>
          </cell>
        </row>
        <row r="560">
          <cell r="A560" t="str">
            <v>沭阳县嘉福商贸中心</v>
          </cell>
          <cell r="B560">
            <v>0</v>
          </cell>
          <cell r="C560">
            <v>0</v>
          </cell>
          <cell r="D560">
            <v>0</v>
          </cell>
        </row>
        <row r="561">
          <cell r="A561" t="str">
            <v>苏瑞电子设备（北京）有限公司</v>
          </cell>
          <cell r="B561">
            <v>0</v>
          </cell>
          <cell r="C561">
            <v>0</v>
          </cell>
          <cell r="D561">
            <v>0</v>
          </cell>
        </row>
        <row r="562">
          <cell r="A562" t="str">
            <v>苏州高登威科技股份有限公司</v>
          </cell>
          <cell r="B562">
            <v>0</v>
          </cell>
          <cell r="C562">
            <v>0</v>
          </cell>
          <cell r="D562">
            <v>0</v>
          </cell>
        </row>
        <row r="563">
          <cell r="A563" t="str">
            <v>苏州高新区旭达输送机械有限公司</v>
          </cell>
          <cell r="B563">
            <v>0</v>
          </cell>
          <cell r="C563">
            <v>0</v>
          </cell>
          <cell r="D563">
            <v>48800</v>
          </cell>
        </row>
        <row r="564">
          <cell r="A564" t="str">
            <v>苏州格力富机电科技有限公司</v>
          </cell>
          <cell r="B564">
            <v>0</v>
          </cell>
          <cell r="C564">
            <v>0</v>
          </cell>
          <cell r="D564">
            <v>0</v>
          </cell>
        </row>
        <row r="565">
          <cell r="A565" t="str">
            <v>苏州华尔普机械有限公司</v>
          </cell>
          <cell r="B565">
            <v>0</v>
          </cell>
          <cell r="C565">
            <v>0</v>
          </cell>
          <cell r="D565">
            <v>0</v>
          </cell>
        </row>
        <row r="566">
          <cell r="A566" t="str">
            <v>苏州瑞尔福精密模具有限公司</v>
          </cell>
          <cell r="B566">
            <v>0</v>
          </cell>
          <cell r="C566">
            <v>0</v>
          </cell>
          <cell r="D566">
            <v>0</v>
          </cell>
        </row>
        <row r="567">
          <cell r="A567" t="str">
            <v>苏州市荣威模具有限公司</v>
          </cell>
          <cell r="B567">
            <v>0</v>
          </cell>
          <cell r="C567">
            <v>0</v>
          </cell>
          <cell r="D567">
            <v>0</v>
          </cell>
        </row>
        <row r="568">
          <cell r="A568" t="str">
            <v>苏州泰克优自动化科技有限公司</v>
          </cell>
          <cell r="B568">
            <v>0</v>
          </cell>
          <cell r="C568">
            <v>0</v>
          </cell>
          <cell r="D568">
            <v>0</v>
          </cell>
        </row>
        <row r="569">
          <cell r="A569" t="str">
            <v>苏州耀腾光电有限公司</v>
          </cell>
          <cell r="B569">
            <v>0</v>
          </cell>
          <cell r="C569">
            <v>0</v>
          </cell>
          <cell r="D569">
            <v>247237.09</v>
          </cell>
        </row>
        <row r="570">
          <cell r="A570" t="str">
            <v>宿迁京狗电子商务有限公司</v>
          </cell>
          <cell r="B570">
            <v>0</v>
          </cell>
          <cell r="C570">
            <v>0</v>
          </cell>
          <cell r="D570">
            <v>0</v>
          </cell>
        </row>
        <row r="571">
          <cell r="A571" t="str">
            <v>塑宝环保机械（太仓）有限公司</v>
          </cell>
          <cell r="B571">
            <v>0</v>
          </cell>
          <cell r="C571">
            <v>0</v>
          </cell>
          <cell r="D571">
            <v>0</v>
          </cell>
        </row>
        <row r="572">
          <cell r="A572" t="str">
            <v>泰州市罡阳龙宇机械厂</v>
          </cell>
          <cell r="B572">
            <v>0</v>
          </cell>
          <cell r="C572">
            <v>0</v>
          </cell>
          <cell r="D572">
            <v>0</v>
          </cell>
        </row>
        <row r="573">
          <cell r="A573" t="str">
            <v>唐山京联制线有限公司</v>
          </cell>
          <cell r="B573">
            <v>0</v>
          </cell>
          <cell r="C573">
            <v>0</v>
          </cell>
          <cell r="D573">
            <v>0</v>
          </cell>
        </row>
        <row r="574">
          <cell r="A574" t="str">
            <v>唐山市丰润区报喜坨扁钢厂（普通合伙）</v>
          </cell>
          <cell r="B574">
            <v>46648.8</v>
          </cell>
          <cell r="C574">
            <v>46648.8</v>
          </cell>
          <cell r="D574">
            <v>0</v>
          </cell>
        </row>
        <row r="575">
          <cell r="A575" t="str">
            <v>唐山松下产业机器有限公司</v>
          </cell>
          <cell r="B575">
            <v>0</v>
          </cell>
          <cell r="C575">
            <v>0</v>
          </cell>
          <cell r="D575">
            <v>0</v>
          </cell>
        </row>
        <row r="576">
          <cell r="A576" t="str">
            <v>唐兴压缩技术（昆山）有限公司</v>
          </cell>
          <cell r="B576">
            <v>0</v>
          </cell>
          <cell r="C576">
            <v>0</v>
          </cell>
          <cell r="D576">
            <v>0</v>
          </cell>
        </row>
        <row r="577">
          <cell r="A577" t="str">
            <v>天津安美润滑科技有限公司</v>
          </cell>
          <cell r="B577">
            <v>0</v>
          </cell>
          <cell r="C577">
            <v>0</v>
          </cell>
          <cell r="D577">
            <v>0</v>
          </cell>
        </row>
        <row r="578">
          <cell r="A578" t="str">
            <v>天津澳晨科技有限公司</v>
          </cell>
          <cell r="B578">
            <v>0</v>
          </cell>
          <cell r="C578">
            <v>0</v>
          </cell>
          <cell r="D578">
            <v>0</v>
          </cell>
        </row>
        <row r="579">
          <cell r="A579" t="str">
            <v>天津宝盈电脑机械有限公司</v>
          </cell>
          <cell r="B579">
            <v>0</v>
          </cell>
          <cell r="C579">
            <v>0</v>
          </cell>
          <cell r="D579">
            <v>0</v>
          </cell>
        </row>
        <row r="580">
          <cell r="A580" t="str">
            <v>天津北方合力叉车有限公司石家庄分公司</v>
          </cell>
          <cell r="B580">
            <v>0</v>
          </cell>
          <cell r="C580">
            <v>0</v>
          </cell>
          <cell r="D580">
            <v>0</v>
          </cell>
        </row>
        <row r="581">
          <cell r="A581" t="str">
            <v>天津冠崴精密机械有限公司</v>
          </cell>
          <cell r="B581">
            <v>0</v>
          </cell>
          <cell r="C581">
            <v>0</v>
          </cell>
          <cell r="D581">
            <v>0</v>
          </cell>
        </row>
        <row r="582">
          <cell r="A582" t="str">
            <v>天津恒昌达绝缘材料有限公司</v>
          </cell>
          <cell r="B582">
            <v>0</v>
          </cell>
          <cell r="C582">
            <v>0</v>
          </cell>
          <cell r="D582">
            <v>0</v>
          </cell>
        </row>
        <row r="583">
          <cell r="A583" t="str">
            <v>天津华钢投资发展有限公司</v>
          </cell>
          <cell r="B583">
            <v>0</v>
          </cell>
          <cell r="C583">
            <v>0</v>
          </cell>
          <cell r="D583">
            <v>0</v>
          </cell>
        </row>
        <row r="584">
          <cell r="A584" t="str">
            <v>天津华兰文鑫文化用品商贸有限公司</v>
          </cell>
          <cell r="B584">
            <v>0</v>
          </cell>
          <cell r="C584">
            <v>0</v>
          </cell>
          <cell r="D584">
            <v>0</v>
          </cell>
        </row>
        <row r="585">
          <cell r="A585" t="str">
            <v>天津金发新材料有限公司</v>
          </cell>
          <cell r="B585">
            <v>250000</v>
          </cell>
          <cell r="C585">
            <v>0</v>
          </cell>
          <cell r="D585">
            <v>395000</v>
          </cell>
        </row>
        <row r="586">
          <cell r="A586" t="str">
            <v>天津精美特表面技术有限公司</v>
          </cell>
          <cell r="B586">
            <v>0</v>
          </cell>
          <cell r="C586">
            <v>260408.72</v>
          </cell>
          <cell r="D586">
            <v>2229775.46</v>
          </cell>
        </row>
        <row r="587">
          <cell r="A587" t="str">
            <v>天津景宝田金属材料贸易有限公司</v>
          </cell>
          <cell r="B587">
            <v>0</v>
          </cell>
          <cell r="C587">
            <v>0</v>
          </cell>
          <cell r="D587">
            <v>0</v>
          </cell>
        </row>
        <row r="588">
          <cell r="A588" t="str">
            <v>天津开山金属模具科技有限公司</v>
          </cell>
          <cell r="B588">
            <v>0</v>
          </cell>
          <cell r="C588">
            <v>0</v>
          </cell>
          <cell r="D588">
            <v>0</v>
          </cell>
        </row>
        <row r="589">
          <cell r="A589" t="str">
            <v>天津科特迪涂装设备有限公司</v>
          </cell>
          <cell r="B589">
            <v>0</v>
          </cell>
          <cell r="C589">
            <v>0</v>
          </cell>
          <cell r="D589">
            <v>13675.21</v>
          </cell>
        </row>
        <row r="590">
          <cell r="A590" t="str">
            <v>天津利迪科技发展有限公司</v>
          </cell>
          <cell r="B590">
            <v>0</v>
          </cell>
          <cell r="C590">
            <v>41000</v>
          </cell>
          <cell r="D590">
            <v>63000</v>
          </cell>
        </row>
        <row r="591">
          <cell r="A591" t="str">
            <v>天津尼嘉斯机械设备销售有限公司</v>
          </cell>
          <cell r="B591">
            <v>0</v>
          </cell>
          <cell r="C591">
            <v>0</v>
          </cell>
          <cell r="D591">
            <v>14336</v>
          </cell>
        </row>
        <row r="592">
          <cell r="A592" t="str">
            <v>天津欧尔派斯环保科技发展有限公司</v>
          </cell>
          <cell r="B592">
            <v>250000</v>
          </cell>
          <cell r="C592">
            <v>189917.68</v>
          </cell>
          <cell r="D592">
            <v>1106719.01</v>
          </cell>
        </row>
        <row r="593">
          <cell r="A593" t="str">
            <v>天津霹雳马商贸有限公司</v>
          </cell>
          <cell r="B593">
            <v>0</v>
          </cell>
          <cell r="C593">
            <v>0</v>
          </cell>
          <cell r="D593">
            <v>0</v>
          </cell>
        </row>
        <row r="594">
          <cell r="A594" t="str">
            <v>天津市奥特威德焊接技术有限公司</v>
          </cell>
          <cell r="B594">
            <v>0</v>
          </cell>
          <cell r="C594">
            <v>0</v>
          </cell>
          <cell r="D594">
            <v>42000</v>
          </cell>
        </row>
        <row r="595">
          <cell r="A595" t="str">
            <v>天津市佰盟科技发展有限公司</v>
          </cell>
          <cell r="B595">
            <v>0</v>
          </cell>
          <cell r="C595">
            <v>0</v>
          </cell>
          <cell r="D595">
            <v>0</v>
          </cell>
        </row>
        <row r="596">
          <cell r="A596" t="str">
            <v>天津市柏韦特润滑油脂有限公司</v>
          </cell>
          <cell r="B596">
            <v>0</v>
          </cell>
          <cell r="C596">
            <v>0</v>
          </cell>
          <cell r="D596">
            <v>0</v>
          </cell>
        </row>
        <row r="597">
          <cell r="A597" t="str">
            <v>天津市宝信达工贸有限公司</v>
          </cell>
          <cell r="B597">
            <v>0</v>
          </cell>
          <cell r="C597">
            <v>0</v>
          </cell>
          <cell r="D597">
            <v>0</v>
          </cell>
        </row>
        <row r="598">
          <cell r="A598" t="str">
            <v>天津市滨达五金交电有限公司</v>
          </cell>
          <cell r="B598">
            <v>0</v>
          </cell>
          <cell r="C598">
            <v>0</v>
          </cell>
          <cell r="D598">
            <v>0</v>
          </cell>
        </row>
        <row r="599">
          <cell r="A599" t="str">
            <v>天津市大港区宏达五金冲压厂（刘炳淮）</v>
          </cell>
          <cell r="B599">
            <v>0</v>
          </cell>
          <cell r="C599">
            <v>0</v>
          </cell>
          <cell r="D599">
            <v>0</v>
          </cell>
        </row>
        <row r="600">
          <cell r="A600" t="str">
            <v>天津市富安捷泡沫塑料制品有限公司</v>
          </cell>
          <cell r="B600">
            <v>0</v>
          </cell>
          <cell r="C600">
            <v>0</v>
          </cell>
          <cell r="D600">
            <v>0</v>
          </cell>
        </row>
        <row r="601">
          <cell r="A601" t="str">
            <v>天津市金晶气体压缩机制造有限公司</v>
          </cell>
          <cell r="B601">
            <v>0</v>
          </cell>
          <cell r="C601">
            <v>0</v>
          </cell>
          <cell r="D601">
            <v>0</v>
          </cell>
        </row>
        <row r="602">
          <cell r="A602" t="str">
            <v>天津市津荣兴钢铁贸易有限公司</v>
          </cell>
          <cell r="B602">
            <v>37008.62</v>
          </cell>
          <cell r="C602">
            <v>0</v>
          </cell>
          <cell r="D602">
            <v>51943.5</v>
          </cell>
        </row>
        <row r="603">
          <cell r="A603" t="str">
            <v>天津市科利达塑料制品有限公司</v>
          </cell>
          <cell r="B603">
            <v>0</v>
          </cell>
          <cell r="C603">
            <v>0</v>
          </cell>
          <cell r="D603">
            <v>0</v>
          </cell>
        </row>
        <row r="604">
          <cell r="A604" t="str">
            <v>天津市旷达汽车织物有限公司</v>
          </cell>
          <cell r="B604">
            <v>0</v>
          </cell>
          <cell r="C604">
            <v>0</v>
          </cell>
          <cell r="D604">
            <v>0</v>
          </cell>
        </row>
        <row r="605">
          <cell r="A605" t="str">
            <v>天津市鹏升汽车部件有限公司</v>
          </cell>
          <cell r="B605">
            <v>2000000</v>
          </cell>
          <cell r="C605">
            <v>995826.46</v>
          </cell>
          <cell r="D605">
            <v>10308303.89</v>
          </cell>
        </row>
        <row r="606">
          <cell r="A606" t="str">
            <v>天津市平江工贸有限公司</v>
          </cell>
          <cell r="B606">
            <v>0</v>
          </cell>
          <cell r="C606">
            <v>0</v>
          </cell>
          <cell r="D606">
            <v>0</v>
          </cell>
        </row>
        <row r="607">
          <cell r="A607" t="str">
            <v>天津市双得利金属制品有限公司</v>
          </cell>
          <cell r="B607">
            <v>0</v>
          </cell>
          <cell r="C607">
            <v>0</v>
          </cell>
          <cell r="D607">
            <v>0</v>
          </cell>
        </row>
        <row r="608">
          <cell r="A608" t="str">
            <v>天津市腾达宇恒科技有限公司</v>
          </cell>
          <cell r="B608">
            <v>102712.74</v>
          </cell>
          <cell r="C608">
            <v>0</v>
          </cell>
          <cell r="D608">
            <v>0</v>
          </cell>
        </row>
        <row r="609">
          <cell r="A609" t="str">
            <v>天津市天龙得冷成型部件有限公司</v>
          </cell>
          <cell r="B609">
            <v>0</v>
          </cell>
          <cell r="C609">
            <v>0</v>
          </cell>
          <cell r="D609">
            <v>0</v>
          </cell>
        </row>
        <row r="610">
          <cell r="A610" t="str">
            <v>天津市天一科技有限公司</v>
          </cell>
          <cell r="B610">
            <v>0</v>
          </cell>
          <cell r="C610">
            <v>0</v>
          </cell>
          <cell r="D610">
            <v>0</v>
          </cell>
        </row>
        <row r="611">
          <cell r="A611" t="str">
            <v>天津市先瑞科技有限公司</v>
          </cell>
          <cell r="B611">
            <v>0</v>
          </cell>
          <cell r="C611">
            <v>0</v>
          </cell>
          <cell r="D611">
            <v>0</v>
          </cell>
        </row>
        <row r="612">
          <cell r="A612" t="str">
            <v>天津速凯科技发展有限公司</v>
          </cell>
          <cell r="B612">
            <v>0</v>
          </cell>
          <cell r="C612">
            <v>0</v>
          </cell>
          <cell r="D612">
            <v>0</v>
          </cell>
        </row>
        <row r="613">
          <cell r="A613" t="str">
            <v>天津万塑新材料科技有限公司</v>
          </cell>
          <cell r="B613">
            <v>35600</v>
          </cell>
          <cell r="C613">
            <v>35600</v>
          </cell>
          <cell r="D613">
            <v>0</v>
          </cell>
        </row>
        <row r="614">
          <cell r="A614" t="str">
            <v>天津祥顺科技发展有限公司沧州分公司</v>
          </cell>
          <cell r="B614">
            <v>0</v>
          </cell>
          <cell r="C614">
            <v>0</v>
          </cell>
          <cell r="D614">
            <v>0</v>
          </cell>
        </row>
        <row r="615">
          <cell r="A615" t="str">
            <v>天津鑫强达工贸有限公司</v>
          </cell>
          <cell r="B615">
            <v>0</v>
          </cell>
          <cell r="C615">
            <v>0</v>
          </cell>
          <cell r="D615">
            <v>0</v>
          </cell>
        </row>
        <row r="616">
          <cell r="A616" t="str">
            <v>天津亚铁商贸有限公司</v>
          </cell>
          <cell r="B616">
            <v>1000000</v>
          </cell>
          <cell r="C616">
            <v>498125.35</v>
          </cell>
          <cell r="D616">
            <v>2727562.65</v>
          </cell>
        </row>
        <row r="617">
          <cell r="A617" t="str">
            <v>天津一番荣科技有限公司</v>
          </cell>
          <cell r="B617">
            <v>0</v>
          </cell>
          <cell r="C617">
            <v>0</v>
          </cell>
          <cell r="D617">
            <v>0</v>
          </cell>
        </row>
        <row r="618">
          <cell r="A618" t="str">
            <v>天津优普达特科技有限公司</v>
          </cell>
          <cell r="B618">
            <v>0</v>
          </cell>
          <cell r="C618">
            <v>0</v>
          </cell>
          <cell r="D618">
            <v>5100</v>
          </cell>
        </row>
        <row r="619">
          <cell r="A619" t="str">
            <v>天津舟洲劳务派遣有限公司</v>
          </cell>
          <cell r="B619">
            <v>0</v>
          </cell>
          <cell r="C619">
            <v>0</v>
          </cell>
          <cell r="D619">
            <v>0</v>
          </cell>
        </row>
        <row r="620">
          <cell r="A620" t="str">
            <v>天津洲海科技发展有限公司</v>
          </cell>
          <cell r="B620">
            <v>0</v>
          </cell>
          <cell r="C620">
            <v>98251.86</v>
          </cell>
          <cell r="D620">
            <v>731495.33</v>
          </cell>
        </row>
        <row r="621">
          <cell r="A621" t="str">
            <v>天津卓灿商贸有限公司</v>
          </cell>
          <cell r="B621">
            <v>0</v>
          </cell>
          <cell r="C621">
            <v>0</v>
          </cell>
          <cell r="D621">
            <v>0</v>
          </cell>
        </row>
        <row r="622">
          <cell r="A622" t="str">
            <v>万华化学（北京）有限公司</v>
          </cell>
          <cell r="B622">
            <v>0</v>
          </cell>
          <cell r="C622">
            <v>0</v>
          </cell>
          <cell r="D622">
            <v>0</v>
          </cell>
        </row>
        <row r="623">
          <cell r="A623" t="str">
            <v>万华化学（烟台）销售有限公司</v>
          </cell>
          <cell r="B623">
            <v>500000</v>
          </cell>
          <cell r="C623">
            <v>1137500</v>
          </cell>
          <cell r="D623">
            <v>4824176.67</v>
          </cell>
        </row>
        <row r="624">
          <cell r="A624" t="str">
            <v>王景辉</v>
          </cell>
          <cell r="B624">
            <v>0</v>
          </cell>
          <cell r="C624">
            <v>0</v>
          </cell>
          <cell r="D624">
            <v>0</v>
          </cell>
        </row>
        <row r="625">
          <cell r="A625" t="str">
            <v>王连营</v>
          </cell>
          <cell r="B625">
            <v>30000</v>
          </cell>
          <cell r="C625">
            <v>39770</v>
          </cell>
          <cell r="D625">
            <v>103910</v>
          </cell>
        </row>
        <row r="626">
          <cell r="A626" t="str">
            <v>网银在线（北京）科技有限公司客户备付金</v>
          </cell>
          <cell r="B626">
            <v>0</v>
          </cell>
          <cell r="C626">
            <v>0</v>
          </cell>
          <cell r="D626">
            <v>0</v>
          </cell>
        </row>
        <row r="627">
          <cell r="A627" t="str">
            <v>威县永盛汽车配件制造有限公司</v>
          </cell>
          <cell r="B627">
            <v>0</v>
          </cell>
          <cell r="C627">
            <v>0</v>
          </cell>
          <cell r="D627">
            <v>11220.07</v>
          </cell>
        </row>
        <row r="628">
          <cell r="A628" t="str">
            <v>潍坊光华荣昌汽车技术有限公司</v>
          </cell>
          <cell r="B628">
            <v>3083819.49</v>
          </cell>
          <cell r="C628">
            <v>3570190.45</v>
          </cell>
          <cell r="D628">
            <v>4417194.21</v>
          </cell>
        </row>
        <row r="629">
          <cell r="A629" t="str">
            <v>温州市瓯海茶山同悦海绵制品厂</v>
          </cell>
          <cell r="B629">
            <v>0</v>
          </cell>
          <cell r="C629">
            <v>0</v>
          </cell>
          <cell r="D629">
            <v>0</v>
          </cell>
        </row>
        <row r="630">
          <cell r="A630" t="str">
            <v>温州万福机电有限公司</v>
          </cell>
          <cell r="B630">
            <v>10230</v>
          </cell>
          <cell r="C630">
            <v>10230</v>
          </cell>
          <cell r="D630">
            <v>10230</v>
          </cell>
        </row>
        <row r="631">
          <cell r="A631" t="str">
            <v>温州万泰橡塑股份有限公司</v>
          </cell>
          <cell r="B631">
            <v>144</v>
          </cell>
          <cell r="C631">
            <v>144</v>
          </cell>
          <cell r="D631">
            <v>0</v>
          </cell>
        </row>
        <row r="632">
          <cell r="A632" t="str">
            <v>文安县鲍氏模具皮纹加工有限公司</v>
          </cell>
          <cell r="B632">
            <v>0</v>
          </cell>
          <cell r="C632">
            <v>0</v>
          </cell>
          <cell r="D632">
            <v>0</v>
          </cell>
        </row>
        <row r="633">
          <cell r="A633" t="str">
            <v>文安县德实汽车配件有限公司</v>
          </cell>
          <cell r="B633">
            <v>180000</v>
          </cell>
          <cell r="C633">
            <v>0</v>
          </cell>
          <cell r="D633">
            <v>328664.16</v>
          </cell>
        </row>
        <row r="634">
          <cell r="A634" t="str">
            <v>文登市凤凰婷装饰有限公司</v>
          </cell>
          <cell r="B634">
            <v>0</v>
          </cell>
          <cell r="C634">
            <v>0</v>
          </cell>
          <cell r="D634">
            <v>314.6</v>
          </cell>
        </row>
        <row r="635">
          <cell r="A635" t="str">
            <v>文登太成电子有限公司</v>
          </cell>
          <cell r="B635">
            <v>50000</v>
          </cell>
          <cell r="C635">
            <v>48276</v>
          </cell>
          <cell r="D635">
            <v>117333</v>
          </cell>
        </row>
        <row r="636">
          <cell r="A636" t="str">
            <v>沃尔瓦格涂料（廊坊）有限公司</v>
          </cell>
          <cell r="B636">
            <v>0</v>
          </cell>
          <cell r="C636">
            <v>21056.42</v>
          </cell>
          <cell r="D636">
            <v>288304.33</v>
          </cell>
        </row>
        <row r="637">
          <cell r="A637" t="str">
            <v>无极县淼海皮革制品有限公司</v>
          </cell>
          <cell r="B637">
            <v>0</v>
          </cell>
          <cell r="C637">
            <v>0</v>
          </cell>
          <cell r="D637">
            <v>0</v>
          </cell>
        </row>
        <row r="638">
          <cell r="A638" t="str">
            <v>无锡赛典高频电子设备有限公司</v>
          </cell>
          <cell r="B638">
            <v>0</v>
          </cell>
          <cell r="C638">
            <v>0</v>
          </cell>
          <cell r="D638">
            <v>0</v>
          </cell>
        </row>
        <row r="639">
          <cell r="A639" t="str">
            <v>无锡市宏伟彩印包装有限公司</v>
          </cell>
          <cell r="B639">
            <v>0</v>
          </cell>
          <cell r="C639">
            <v>0</v>
          </cell>
          <cell r="D639">
            <v>0</v>
          </cell>
        </row>
        <row r="640">
          <cell r="A640" t="str">
            <v>无锡苏辰汽车部件有限公司</v>
          </cell>
          <cell r="B640">
            <v>65503.8</v>
          </cell>
          <cell r="C640">
            <v>65503.8</v>
          </cell>
          <cell r="D640">
            <v>0</v>
          </cell>
        </row>
        <row r="641">
          <cell r="A641" t="str">
            <v>芜湖市卓人汽车配件有限公司</v>
          </cell>
          <cell r="B641">
            <v>0</v>
          </cell>
          <cell r="C641">
            <v>27637.6</v>
          </cell>
          <cell r="D641">
            <v>172978.56</v>
          </cell>
        </row>
        <row r="642">
          <cell r="A642" t="str">
            <v>芜湖星火软轴控制索制造有限公司</v>
          </cell>
          <cell r="B642">
            <v>50000</v>
          </cell>
          <cell r="C642">
            <v>0</v>
          </cell>
          <cell r="D642">
            <v>107110.53</v>
          </cell>
        </row>
        <row r="643">
          <cell r="A643" t="str">
            <v>武汉恒新国仪科技有限公司</v>
          </cell>
          <cell r="B643">
            <v>0</v>
          </cell>
          <cell r="C643">
            <v>0</v>
          </cell>
          <cell r="D643">
            <v>0</v>
          </cell>
        </row>
        <row r="644">
          <cell r="A644" t="str">
            <v>西安光华荣昌汽车部件有限公司</v>
          </cell>
          <cell r="B644">
            <v>3947.9</v>
          </cell>
          <cell r="C644">
            <v>3947.9</v>
          </cell>
          <cell r="D644">
            <v>0</v>
          </cell>
        </row>
        <row r="645">
          <cell r="A645" t="str">
            <v>西安海容塑料制品有限责任公司</v>
          </cell>
          <cell r="B645">
            <v>14400</v>
          </cell>
          <cell r="C645">
            <v>0</v>
          </cell>
          <cell r="D645">
            <v>0</v>
          </cell>
        </row>
        <row r="646">
          <cell r="A646" t="str">
            <v>厦门劲亨五金工业有限公司</v>
          </cell>
          <cell r="B646">
            <v>0</v>
          </cell>
          <cell r="C646">
            <v>0</v>
          </cell>
          <cell r="D646">
            <v>19024</v>
          </cell>
        </row>
        <row r="647">
          <cell r="A647" t="str">
            <v>厦门凯平化工有限公司</v>
          </cell>
          <cell r="B647">
            <v>0</v>
          </cell>
          <cell r="C647">
            <v>25904.69</v>
          </cell>
          <cell r="D647">
            <v>25904.69</v>
          </cell>
        </row>
        <row r="648">
          <cell r="A648" t="str">
            <v>厦门市三友和机械有限公司</v>
          </cell>
          <cell r="B648">
            <v>0</v>
          </cell>
          <cell r="C648">
            <v>184376.12</v>
          </cell>
          <cell r="D648">
            <v>469106.12</v>
          </cell>
        </row>
        <row r="649">
          <cell r="A649" t="str">
            <v>厦门中惠达贸易有限公司</v>
          </cell>
          <cell r="B649">
            <v>0</v>
          </cell>
          <cell r="C649">
            <v>0</v>
          </cell>
          <cell r="D649">
            <v>0</v>
          </cell>
        </row>
        <row r="650">
          <cell r="A650" t="str">
            <v>湘乡简美汽车部件有限公司</v>
          </cell>
          <cell r="B650">
            <v>0</v>
          </cell>
          <cell r="C650">
            <v>0</v>
          </cell>
          <cell r="D650">
            <v>79839.87</v>
          </cell>
        </row>
        <row r="651">
          <cell r="A651" t="str">
            <v>襄阳杰创化工新材料有限公司</v>
          </cell>
          <cell r="B651">
            <v>200000</v>
          </cell>
          <cell r="C651">
            <v>112955</v>
          </cell>
          <cell r="D651">
            <v>617456.5</v>
          </cell>
        </row>
        <row r="652">
          <cell r="A652" t="str">
            <v>辛集市兴恒福利海绵复合厂</v>
          </cell>
          <cell r="B652">
            <v>0</v>
          </cell>
          <cell r="C652">
            <v>0</v>
          </cell>
          <cell r="D652">
            <v>40038.37</v>
          </cell>
        </row>
        <row r="653">
          <cell r="A653" t="str">
            <v>新梦顶（上海）贸易有限公司</v>
          </cell>
          <cell r="B653">
            <v>0</v>
          </cell>
          <cell r="C653">
            <v>0</v>
          </cell>
          <cell r="D653">
            <v>100797.89</v>
          </cell>
        </row>
        <row r="654">
          <cell r="A654" t="str">
            <v>新乡市中原起重机设备总厂有限公司</v>
          </cell>
          <cell r="B654">
            <v>0</v>
          </cell>
          <cell r="C654">
            <v>0</v>
          </cell>
          <cell r="D654">
            <v>0</v>
          </cell>
        </row>
        <row r="655">
          <cell r="A655" t="str">
            <v>雄县华增汽车饰件有限公司</v>
          </cell>
          <cell r="B655">
            <v>200000</v>
          </cell>
          <cell r="C655">
            <v>41002.48</v>
          </cell>
          <cell r="D655">
            <v>488170.53</v>
          </cell>
        </row>
        <row r="656">
          <cell r="A656" t="str">
            <v>雄县五顺革塑有限公司</v>
          </cell>
          <cell r="B656">
            <v>0</v>
          </cell>
          <cell r="C656">
            <v>0</v>
          </cell>
          <cell r="D656">
            <v>0</v>
          </cell>
        </row>
        <row r="657">
          <cell r="A657" t="str">
            <v>徐林强</v>
          </cell>
          <cell r="B657">
            <v>0</v>
          </cell>
          <cell r="C657">
            <v>0</v>
          </cell>
          <cell r="D657">
            <v>0</v>
          </cell>
        </row>
        <row r="658">
          <cell r="A658" t="str">
            <v>徐州华夏电子有限公司</v>
          </cell>
          <cell r="B658">
            <v>0</v>
          </cell>
          <cell r="C658">
            <v>161000.15</v>
          </cell>
          <cell r="D658">
            <v>228544.21</v>
          </cell>
        </row>
        <row r="659">
          <cell r="A659" t="str">
            <v>亚德客（天津）智能科技有限公司</v>
          </cell>
          <cell r="B659">
            <v>0</v>
          </cell>
          <cell r="C659">
            <v>0</v>
          </cell>
          <cell r="D659">
            <v>0</v>
          </cell>
        </row>
        <row r="660">
          <cell r="A660" t="str">
            <v>亚德客（中国）有限公司石家庄分公司</v>
          </cell>
          <cell r="B660">
            <v>0</v>
          </cell>
          <cell r="C660">
            <v>0</v>
          </cell>
          <cell r="D660">
            <v>0</v>
          </cell>
        </row>
        <row r="661">
          <cell r="A661" t="str">
            <v>烟台青沪纸业有限公司</v>
          </cell>
          <cell r="B661">
            <v>0</v>
          </cell>
          <cell r="C661">
            <v>0</v>
          </cell>
          <cell r="D661">
            <v>13560</v>
          </cell>
        </row>
        <row r="662">
          <cell r="A662" t="str">
            <v>盐城恒明弹簧有限公司</v>
          </cell>
          <cell r="B662">
            <v>0</v>
          </cell>
          <cell r="C662">
            <v>0</v>
          </cell>
          <cell r="D662">
            <v>0</v>
          </cell>
        </row>
        <row r="663">
          <cell r="A663" t="str">
            <v>盐山县大华五金销售有限公司</v>
          </cell>
          <cell r="B663">
            <v>0</v>
          </cell>
          <cell r="C663">
            <v>0</v>
          </cell>
          <cell r="D663">
            <v>0</v>
          </cell>
        </row>
        <row r="664">
          <cell r="A664" t="str">
            <v>兖州市金达汽车装饰布业有限公司</v>
          </cell>
          <cell r="B664">
            <v>0</v>
          </cell>
          <cell r="C664">
            <v>0</v>
          </cell>
          <cell r="D664">
            <v>0</v>
          </cell>
        </row>
        <row r="665">
          <cell r="A665" t="str">
            <v>扬州康锴涂装机械有限公司</v>
          </cell>
          <cell r="B665">
            <v>0</v>
          </cell>
          <cell r="C665">
            <v>0</v>
          </cell>
          <cell r="D665">
            <v>0</v>
          </cell>
        </row>
        <row r="666">
          <cell r="A666" t="str">
            <v>扬州三鸣环保科技有限公司</v>
          </cell>
          <cell r="B666">
            <v>0</v>
          </cell>
          <cell r="C666">
            <v>0</v>
          </cell>
          <cell r="D666">
            <v>60833.38</v>
          </cell>
        </row>
        <row r="667">
          <cell r="A667" t="str">
            <v>宜科（天津）电子有限公司</v>
          </cell>
          <cell r="B667">
            <v>0</v>
          </cell>
          <cell r="C667">
            <v>0</v>
          </cell>
          <cell r="D667">
            <v>0</v>
          </cell>
        </row>
        <row r="668">
          <cell r="A668" t="str">
            <v>易格斯拖链轴承仓储贸易（上海）有限公司</v>
          </cell>
          <cell r="B668">
            <v>32544</v>
          </cell>
          <cell r="C668">
            <v>32544</v>
          </cell>
          <cell r="D668">
            <v>0</v>
          </cell>
        </row>
        <row r="669">
          <cell r="A669" t="str">
            <v>永年县国泰标准件有限公司</v>
          </cell>
          <cell r="B669">
            <v>0</v>
          </cell>
          <cell r="C669">
            <v>0</v>
          </cell>
          <cell r="D669">
            <v>0</v>
          </cell>
        </row>
        <row r="670">
          <cell r="A670" t="str">
            <v>于国才</v>
          </cell>
          <cell r="B670">
            <v>0</v>
          </cell>
          <cell r="C670">
            <v>0</v>
          </cell>
          <cell r="D670">
            <v>4890</v>
          </cell>
        </row>
        <row r="671">
          <cell r="A671" t="str">
            <v>余姚市嘉瑞达机械配件厂</v>
          </cell>
          <cell r="B671">
            <v>0</v>
          </cell>
          <cell r="C671">
            <v>0</v>
          </cell>
          <cell r="D671">
            <v>0</v>
          </cell>
        </row>
        <row r="672">
          <cell r="A672" t="str">
            <v>禹城聚德丰化工有限公司</v>
          </cell>
          <cell r="B672">
            <v>0</v>
          </cell>
          <cell r="C672">
            <v>0</v>
          </cell>
          <cell r="D672">
            <v>37440</v>
          </cell>
        </row>
        <row r="673">
          <cell r="A673" t="str">
            <v>张长峰</v>
          </cell>
          <cell r="B673">
            <v>0</v>
          </cell>
          <cell r="C673">
            <v>0</v>
          </cell>
          <cell r="D673">
            <v>0</v>
          </cell>
        </row>
        <row r="674">
          <cell r="A674" t="str">
            <v>张家港保税区得英达利化工材料有限公司</v>
          </cell>
          <cell r="B674">
            <v>0</v>
          </cell>
          <cell r="C674">
            <v>0</v>
          </cell>
          <cell r="D674">
            <v>9816.4</v>
          </cell>
        </row>
        <row r="675">
          <cell r="A675" t="str">
            <v>张家港方圆管业制造有限公司</v>
          </cell>
          <cell r="B675">
            <v>0</v>
          </cell>
          <cell r="C675">
            <v>0</v>
          </cell>
          <cell r="D675">
            <v>0</v>
          </cell>
        </row>
        <row r="676">
          <cell r="A676" t="str">
            <v>张家港市凯达机械制造有限公司</v>
          </cell>
          <cell r="B676">
            <v>0</v>
          </cell>
          <cell r="C676">
            <v>0</v>
          </cell>
          <cell r="D676">
            <v>0</v>
          </cell>
        </row>
        <row r="677">
          <cell r="A677" t="str">
            <v>张家港市万荣机械制造有限公司</v>
          </cell>
          <cell r="B677">
            <v>0</v>
          </cell>
          <cell r="C677">
            <v>0</v>
          </cell>
          <cell r="D677">
            <v>6350</v>
          </cell>
        </row>
        <row r="678">
          <cell r="A678" t="str">
            <v>张绍林</v>
          </cell>
          <cell r="B678">
            <v>195000</v>
          </cell>
          <cell r="C678">
            <v>0</v>
          </cell>
          <cell r="D678">
            <v>1623011</v>
          </cell>
        </row>
        <row r="679">
          <cell r="A679" t="str">
            <v>张松林</v>
          </cell>
          <cell r="B679">
            <v>0</v>
          </cell>
          <cell r="C679">
            <v>0</v>
          </cell>
          <cell r="D679">
            <v>0</v>
          </cell>
        </row>
        <row r="680">
          <cell r="A680" t="str">
            <v>张永祥</v>
          </cell>
          <cell r="B680">
            <v>0</v>
          </cell>
          <cell r="C680">
            <v>0</v>
          </cell>
          <cell r="D680">
            <v>0</v>
          </cell>
        </row>
        <row r="681">
          <cell r="A681" t="str">
            <v>浙江富昌泰汽车零部件有限公司</v>
          </cell>
          <cell r="B681">
            <v>0</v>
          </cell>
          <cell r="C681">
            <v>0</v>
          </cell>
          <cell r="D681">
            <v>113531.82</v>
          </cell>
        </row>
        <row r="682">
          <cell r="A682" t="str">
            <v>浙江华远锁业有限公司</v>
          </cell>
          <cell r="B682">
            <v>0</v>
          </cell>
          <cell r="C682">
            <v>0</v>
          </cell>
          <cell r="D682">
            <v>0</v>
          </cell>
        </row>
        <row r="683">
          <cell r="A683" t="str">
            <v>浙江华悦汽车零部件股份有限公司</v>
          </cell>
          <cell r="B683">
            <v>0</v>
          </cell>
          <cell r="C683">
            <v>0</v>
          </cell>
          <cell r="D683">
            <v>0</v>
          </cell>
        </row>
        <row r="684">
          <cell r="A684" t="str">
            <v>浙江龙生汽车部件股份有限公司</v>
          </cell>
          <cell r="B684">
            <v>0</v>
          </cell>
          <cell r="C684">
            <v>0</v>
          </cell>
          <cell r="D684">
            <v>9063.75</v>
          </cell>
        </row>
        <row r="685">
          <cell r="A685" t="str">
            <v>浙江路得坦摩汽车股份有限公司</v>
          </cell>
          <cell r="B685">
            <v>200000</v>
          </cell>
          <cell r="C685">
            <v>247741.2</v>
          </cell>
          <cell r="D685">
            <v>2309431.2</v>
          </cell>
        </row>
        <row r="686">
          <cell r="A686" t="str">
            <v>浙江蒙力减振器有限公司</v>
          </cell>
          <cell r="B686">
            <v>0</v>
          </cell>
          <cell r="C686">
            <v>0</v>
          </cell>
          <cell r="D686">
            <v>0</v>
          </cell>
        </row>
        <row r="687">
          <cell r="A687" t="str">
            <v>浙江全盛无纺制品有限公司</v>
          </cell>
          <cell r="B687">
            <v>0</v>
          </cell>
          <cell r="C687">
            <v>0</v>
          </cell>
          <cell r="D687">
            <v>17243.92</v>
          </cell>
        </row>
        <row r="688">
          <cell r="A688" t="str">
            <v>镇江市奥德铆压设备有限公司</v>
          </cell>
          <cell r="B688">
            <v>0</v>
          </cell>
          <cell r="C688">
            <v>0</v>
          </cell>
          <cell r="D688">
            <v>0</v>
          </cell>
        </row>
        <row r="689">
          <cell r="A689" t="str">
            <v>中广核俊尔新材料有限公司</v>
          </cell>
          <cell r="B689">
            <v>0</v>
          </cell>
          <cell r="C689">
            <v>0</v>
          </cell>
          <cell r="D689">
            <v>37290</v>
          </cell>
        </row>
        <row r="690">
          <cell r="A690" t="str">
            <v>中国电子科技集团公司第二十六研究所</v>
          </cell>
          <cell r="B690">
            <v>0</v>
          </cell>
          <cell r="C690">
            <v>0</v>
          </cell>
          <cell r="D690">
            <v>0</v>
          </cell>
        </row>
        <row r="691">
          <cell r="A691" t="str">
            <v>中机寰宇认证检验有限公司</v>
          </cell>
          <cell r="B691">
            <v>0</v>
          </cell>
          <cell r="C691">
            <v>0</v>
          </cell>
          <cell r="D691">
            <v>4800</v>
          </cell>
        </row>
        <row r="692">
          <cell r="A692" t="str">
            <v>重庆光大产业有限公司</v>
          </cell>
          <cell r="B692">
            <v>0</v>
          </cell>
          <cell r="C692">
            <v>0</v>
          </cell>
          <cell r="D692">
            <v>0</v>
          </cell>
        </row>
        <row r="693">
          <cell r="A693" t="str">
            <v>重庆鑫颐塑胶有限责任公司</v>
          </cell>
          <cell r="B693">
            <v>600</v>
          </cell>
          <cell r="C693">
            <v>600</v>
          </cell>
          <cell r="D693">
            <v>0</v>
          </cell>
        </row>
        <row r="694">
          <cell r="A694" t="str">
            <v>重庆渝融兴汽车配件有限公司</v>
          </cell>
          <cell r="B694">
            <v>331.2</v>
          </cell>
          <cell r="C694">
            <v>6951</v>
          </cell>
          <cell r="D694">
            <v>6619.8</v>
          </cell>
        </row>
        <row r="695">
          <cell r="A695" t="str">
            <v>舟山市德鑫科机械有限公司</v>
          </cell>
          <cell r="B695">
            <v>0</v>
          </cell>
          <cell r="C695">
            <v>0</v>
          </cell>
          <cell r="D695">
            <v>0</v>
          </cell>
        </row>
        <row r="696">
          <cell r="A696" t="str">
            <v>株洲博雅实业有限公司</v>
          </cell>
          <cell r="B696">
            <v>0</v>
          </cell>
          <cell r="C696">
            <v>0</v>
          </cell>
          <cell r="D696">
            <v>0</v>
          </cell>
        </row>
        <row r="697">
          <cell r="A697" t="str">
            <v>株洲市凡美斯汽车配件有限公司</v>
          </cell>
          <cell r="B697">
            <v>24428.45</v>
          </cell>
          <cell r="C697">
            <v>0</v>
          </cell>
          <cell r="D697">
            <v>0</v>
          </cell>
        </row>
        <row r="698">
          <cell r="A698" t="str">
            <v>株洲泰瑞工贸有限公司</v>
          </cell>
          <cell r="B698">
            <v>0</v>
          </cell>
          <cell r="C698">
            <v>0</v>
          </cell>
          <cell r="D698">
            <v>0</v>
          </cell>
        </row>
        <row r="699">
          <cell r="A699" t="str">
            <v>诸城恒欣工贸有限公司</v>
          </cell>
          <cell r="B699">
            <v>0</v>
          </cell>
          <cell r="C699">
            <v>0</v>
          </cell>
          <cell r="D699">
            <v>0</v>
          </cell>
        </row>
        <row r="700">
          <cell r="A700" t="str">
            <v>诸城市黄海剑杆织布厂</v>
          </cell>
          <cell r="B700">
            <v>123000</v>
          </cell>
          <cell r="C700">
            <v>47745.83</v>
          </cell>
          <cell r="D700">
            <v>948033.8</v>
          </cell>
        </row>
        <row r="701">
          <cell r="A701" t="str">
            <v>诸城市泰琨机械厂</v>
          </cell>
          <cell r="B701">
            <v>0</v>
          </cell>
          <cell r="C701">
            <v>0</v>
          </cell>
          <cell r="D701">
            <v>0</v>
          </cell>
        </row>
        <row r="702">
          <cell r="A702" t="str">
            <v>诸城市正大服装辅料有限公司</v>
          </cell>
          <cell r="B702">
            <v>0</v>
          </cell>
          <cell r="C702">
            <v>3822.79</v>
          </cell>
          <cell r="D702">
            <v>3822.79</v>
          </cell>
        </row>
        <row r="703">
          <cell r="A703" t="str">
            <v>诸暨市豪南机械配件经营部</v>
          </cell>
          <cell r="B703">
            <v>465</v>
          </cell>
          <cell r="C703">
            <v>465</v>
          </cell>
          <cell r="D703">
            <v>0</v>
          </cell>
        </row>
        <row r="704">
          <cell r="A704" t="str">
            <v>涿州市天彤压铸制品有限公司</v>
          </cell>
          <cell r="B704">
            <v>0</v>
          </cell>
          <cell r="C704">
            <v>0</v>
          </cell>
          <cell r="D704">
            <v>13195</v>
          </cell>
        </row>
        <row r="705">
          <cell r="A705" t="str">
            <v>淄博华亚数控机电有限公司</v>
          </cell>
          <cell r="B705">
            <v>0</v>
          </cell>
          <cell r="C705">
            <v>0</v>
          </cell>
          <cell r="D705">
            <v>0</v>
          </cell>
        </row>
        <row r="706">
          <cell r="A706" t="str">
            <v>总计</v>
          </cell>
          <cell r="B706">
            <v>39426662.82</v>
          </cell>
          <cell r="C706">
            <v>29263699.23</v>
          </cell>
          <cell r="D706">
            <v>133482869.72</v>
          </cell>
        </row>
      </sheetData>
      <sheetData sheetId="4" refreshError="1">
        <row r="1">
          <cell r="A1" t="str">
            <v>期间</v>
          </cell>
          <cell r="B1" t="str">
            <v>2019.10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0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10000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400000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130000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30000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132125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29493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30000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214840.8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沧州市长隆金属制品有限公司</v>
          </cell>
          <cell r="B124">
            <v>0</v>
          </cell>
        </row>
        <row r="125">
          <cell r="A125" t="str">
            <v>沧州市达盛化工产品有限公司</v>
          </cell>
          <cell r="B125">
            <v>0</v>
          </cell>
        </row>
        <row r="126">
          <cell r="A126" t="str">
            <v>沧州市华联钢管有限公司</v>
          </cell>
          <cell r="B126">
            <v>0</v>
          </cell>
        </row>
        <row r="127">
          <cell r="A127" t="str">
            <v>沧州市利昌汽车部件有限公司</v>
          </cell>
          <cell r="B127">
            <v>0</v>
          </cell>
        </row>
        <row r="128">
          <cell r="A128" t="str">
            <v>沧州市任沧机电有限公司</v>
          </cell>
          <cell r="B128">
            <v>50000</v>
          </cell>
        </row>
        <row r="129">
          <cell r="A129" t="str">
            <v>沧州市润泽建筑涂装有限公司</v>
          </cell>
          <cell r="B129">
            <v>0</v>
          </cell>
        </row>
        <row r="130">
          <cell r="A130" t="str">
            <v>沧州市顺通五金有限公司</v>
          </cell>
          <cell r="B130">
            <v>0</v>
          </cell>
        </row>
        <row r="131">
          <cell r="A131" t="str">
            <v>沧州市万威物流有限公司</v>
          </cell>
          <cell r="B131">
            <v>0</v>
          </cell>
        </row>
        <row r="132">
          <cell r="A132" t="str">
            <v>沧州市维克机械设备有限公司</v>
          </cell>
          <cell r="B132">
            <v>0</v>
          </cell>
        </row>
        <row r="133">
          <cell r="A133" t="str">
            <v>沧州市翔圣会计服务有限公司</v>
          </cell>
          <cell r="B133">
            <v>0</v>
          </cell>
        </row>
        <row r="134">
          <cell r="A134" t="str">
            <v>沧州市鑫发缝纫机有限公司</v>
          </cell>
          <cell r="B134">
            <v>0</v>
          </cell>
        </row>
        <row r="135">
          <cell r="A135" t="str">
            <v>沧州市徐锻机床销售有限公司</v>
          </cell>
          <cell r="B135">
            <v>0</v>
          </cell>
        </row>
        <row r="136">
          <cell r="A136" t="str">
            <v>沧州市永佳物业服务有限公司</v>
          </cell>
          <cell r="B136">
            <v>0</v>
          </cell>
        </row>
        <row r="137">
          <cell r="A137" t="str">
            <v>沧州市远东缝纫机有限公司</v>
          </cell>
          <cell r="B137">
            <v>0</v>
          </cell>
        </row>
        <row r="138">
          <cell r="A138" t="str">
            <v>沧州市运河区建新广告装饰文化传媒中心</v>
          </cell>
          <cell r="B138">
            <v>0</v>
          </cell>
        </row>
        <row r="139">
          <cell r="A139" t="str">
            <v>沧州斯克艾商贸有限公司</v>
          </cell>
          <cell r="B139">
            <v>0</v>
          </cell>
        </row>
        <row r="140">
          <cell r="A140" t="str">
            <v>沧州天祥塑料制品有限公司</v>
          </cell>
          <cell r="B140">
            <v>0</v>
          </cell>
        </row>
        <row r="141">
          <cell r="A141" t="str">
            <v>沧州同城信息技术有限公司</v>
          </cell>
          <cell r="B141">
            <v>0</v>
          </cell>
        </row>
        <row r="142">
          <cell r="A142" t="str">
            <v>沧州威达聚氨酯高科股份有限公司</v>
          </cell>
          <cell r="B142">
            <v>0</v>
          </cell>
        </row>
        <row r="143">
          <cell r="A143" t="str">
            <v>沧州鑫晟纸制品有限公司</v>
          </cell>
          <cell r="B143">
            <v>10000</v>
          </cell>
        </row>
        <row r="144">
          <cell r="A144" t="str">
            <v>沧州旭兴五金制品有限公司</v>
          </cell>
          <cell r="B144">
            <v>90000</v>
          </cell>
        </row>
        <row r="145">
          <cell r="A145" t="str">
            <v>沧州益昌汽车销售服务有限公司</v>
          </cell>
          <cell r="B145">
            <v>0</v>
          </cell>
        </row>
        <row r="146">
          <cell r="A146" t="str">
            <v>沧州宇诺五金制造有限公司</v>
          </cell>
          <cell r="B146">
            <v>46473.6</v>
          </cell>
        </row>
        <row r="147">
          <cell r="A147" t="str">
            <v>沧州云庆标准件有限公司</v>
          </cell>
          <cell r="B147">
            <v>0</v>
          </cell>
        </row>
        <row r="148">
          <cell r="A148" t="str">
            <v>沧州众智鑫成人力资源服务有限公司</v>
          </cell>
          <cell r="B148">
            <v>222417.03</v>
          </cell>
        </row>
        <row r="149">
          <cell r="A149" t="str">
            <v>昌乐天齐色织布有限公司</v>
          </cell>
          <cell r="B149">
            <v>20000</v>
          </cell>
        </row>
        <row r="150">
          <cell r="A150" t="str">
            <v>昌乐县天源色织布有限公司</v>
          </cell>
          <cell r="B150">
            <v>0</v>
          </cell>
        </row>
        <row r="151">
          <cell r="A151" t="str">
            <v>长春旷达汽车织物有限公司</v>
          </cell>
          <cell r="B151">
            <v>0</v>
          </cell>
        </row>
        <row r="152">
          <cell r="A152" t="str">
            <v>长春市新科试验仪器设备有限公司</v>
          </cell>
          <cell r="B152">
            <v>0</v>
          </cell>
        </row>
        <row r="153">
          <cell r="A153" t="str">
            <v>长春市沅呈汽车饰件有限公司</v>
          </cell>
          <cell r="B153">
            <v>0</v>
          </cell>
        </row>
        <row r="154">
          <cell r="A154" t="str">
            <v>长春天利得科技有限公司</v>
          </cell>
          <cell r="B154">
            <v>0</v>
          </cell>
        </row>
        <row r="155">
          <cell r="A155" t="str">
            <v>长春亚大汽车零件制造有限公司</v>
          </cell>
          <cell r="B155">
            <v>12140</v>
          </cell>
        </row>
        <row r="156">
          <cell r="A156" t="str">
            <v>长沙皓翰贸易有限公司</v>
          </cell>
          <cell r="B156">
            <v>0</v>
          </cell>
        </row>
        <row r="157">
          <cell r="A157" t="str">
            <v>长园和鹰智能设备有限公司</v>
          </cell>
          <cell r="B157">
            <v>0</v>
          </cell>
        </row>
        <row r="158">
          <cell r="A158" t="str">
            <v>常熟市创新电器厂</v>
          </cell>
          <cell r="B158">
            <v>0</v>
          </cell>
        </row>
        <row r="159">
          <cell r="A159" t="str">
            <v>常州国誉减速机厂</v>
          </cell>
          <cell r="B159">
            <v>0</v>
          </cell>
        </row>
        <row r="160">
          <cell r="A160" t="str">
            <v>常州华阳万联汽车附件有限公司</v>
          </cell>
          <cell r="B160">
            <v>0</v>
          </cell>
        </row>
        <row r="161">
          <cell r="A161" t="str">
            <v>常州恺杰塑料模具有限公司</v>
          </cell>
          <cell r="B161">
            <v>0</v>
          </cell>
        </row>
        <row r="162">
          <cell r="A162" t="str">
            <v>常州市拓洋减速机厂</v>
          </cell>
          <cell r="B162">
            <v>0</v>
          </cell>
        </row>
        <row r="163">
          <cell r="A163" t="str">
            <v>常州市武进创新模具注塑有限公司</v>
          </cell>
          <cell r="B163">
            <v>0</v>
          </cell>
        </row>
        <row r="164">
          <cell r="A164" t="str">
            <v>春雨（东莞）五金制品有限公司</v>
          </cell>
          <cell r="B164">
            <v>0</v>
          </cell>
        </row>
        <row r="165">
          <cell r="A165" t="str">
            <v>大连吉田拉链有限公司北京分公司</v>
          </cell>
          <cell r="B165">
            <v>0</v>
          </cell>
        </row>
        <row r="166">
          <cell r="A166" t="str">
            <v>丹阳市神州电器部件厂</v>
          </cell>
          <cell r="B166">
            <v>0</v>
          </cell>
        </row>
        <row r="167">
          <cell r="A167" t="str">
            <v>德清三和塑胶有限公司</v>
          </cell>
          <cell r="B167">
            <v>0</v>
          </cell>
        </row>
        <row r="168">
          <cell r="A168" t="str">
            <v>德州三志塑胶有限公司</v>
          </cell>
          <cell r="B168">
            <v>0</v>
          </cell>
        </row>
        <row r="169">
          <cell r="A169" t="str">
            <v>德州志鹏海绵制品有限公司</v>
          </cell>
          <cell r="B169">
            <v>0</v>
          </cell>
        </row>
        <row r="170">
          <cell r="A170" t="str">
            <v>邓景亮</v>
          </cell>
          <cell r="B170">
            <v>100000</v>
          </cell>
        </row>
        <row r="171">
          <cell r="A171" t="str">
            <v>东光县汽车减震器厂</v>
          </cell>
          <cell r="B171">
            <v>0</v>
          </cell>
        </row>
        <row r="172">
          <cell r="A172" t="str">
            <v>东来涂料技术（上海）股份有限公司</v>
          </cell>
          <cell r="B172">
            <v>0</v>
          </cell>
        </row>
        <row r="173">
          <cell r="A173" t="str">
            <v>东莞市嘉刚机电科技发展有限公司</v>
          </cell>
          <cell r="B173">
            <v>0</v>
          </cell>
        </row>
        <row r="174">
          <cell r="A174" t="str">
            <v>东莞市卡索电子科技有限公司</v>
          </cell>
          <cell r="B174">
            <v>0</v>
          </cell>
        </row>
        <row r="175">
          <cell r="A175" t="str">
            <v>东莞市联恒自动化设备有限公司</v>
          </cell>
          <cell r="B175">
            <v>0</v>
          </cell>
        </row>
        <row r="176">
          <cell r="A176" t="str">
            <v>东莞市瑞辉机械制造有限公司</v>
          </cell>
          <cell r="B176">
            <v>0</v>
          </cell>
        </row>
        <row r="177">
          <cell r="A177" t="str">
            <v>东莞市深川工业设备有限公司</v>
          </cell>
          <cell r="B177">
            <v>0</v>
          </cell>
        </row>
        <row r="178">
          <cell r="A178" t="str">
            <v>东莞市双和机车拉索有限公司</v>
          </cell>
          <cell r="B178">
            <v>0</v>
          </cell>
        </row>
        <row r="179">
          <cell r="A179" t="str">
            <v>杜奥尔汽车技术（上海）有限公司</v>
          </cell>
          <cell r="B179">
            <v>0</v>
          </cell>
        </row>
        <row r="180">
          <cell r="A180" t="str">
            <v>杜倍汽车技术（上海）有限公司</v>
          </cell>
          <cell r="B180">
            <v>0</v>
          </cell>
        </row>
        <row r="181">
          <cell r="A181" t="str">
            <v>多科迪（北京）塑胶颜料有限公司</v>
          </cell>
          <cell r="B181">
            <v>0</v>
          </cell>
        </row>
        <row r="182">
          <cell r="A182" t="str">
            <v>丰电科技集团股份有限公司</v>
          </cell>
          <cell r="B182">
            <v>0</v>
          </cell>
        </row>
        <row r="183">
          <cell r="A183" t="str">
            <v>佛吉亚（无锡）座椅部件有限公司</v>
          </cell>
          <cell r="B183">
            <v>1100000</v>
          </cell>
        </row>
        <row r="184">
          <cell r="A184" t="str">
            <v>佛山冈联汽车模具配件有限公司</v>
          </cell>
          <cell r="B184">
            <v>0</v>
          </cell>
        </row>
        <row r="185">
          <cell r="A185" t="str">
            <v>佛山市立久光电科技有限公司</v>
          </cell>
          <cell r="B185">
            <v>103030.01</v>
          </cell>
        </row>
        <row r="186">
          <cell r="A186" t="str">
            <v>佛山市顺德区聚达汽车部件有限公司</v>
          </cell>
          <cell r="B186">
            <v>6715.36</v>
          </cell>
        </row>
        <row r="187">
          <cell r="A187" t="str">
            <v>佛山市益鑫禾机械自动化装备有限公司</v>
          </cell>
          <cell r="B187">
            <v>0</v>
          </cell>
        </row>
        <row r="188">
          <cell r="A188" t="str">
            <v>福跃五金制品厂</v>
          </cell>
          <cell r="B188">
            <v>10000</v>
          </cell>
        </row>
        <row r="189">
          <cell r="A189" t="str">
            <v>福州聚博机电设备有限公司</v>
          </cell>
          <cell r="B189">
            <v>0</v>
          </cell>
        </row>
        <row r="190">
          <cell r="A190" t="str">
            <v>富港科技天津有限公司</v>
          </cell>
          <cell r="B190">
            <v>0</v>
          </cell>
        </row>
        <row r="191">
          <cell r="A191" t="str">
            <v>高碑店京华橡胶制品有限责任公司</v>
          </cell>
          <cell r="B191">
            <v>20000</v>
          </cell>
        </row>
        <row r="192">
          <cell r="A192" t="str">
            <v>高碑店市晨奥汽车部件有限公司</v>
          </cell>
          <cell r="B192">
            <v>0</v>
          </cell>
        </row>
        <row r="193">
          <cell r="A193" t="str">
            <v>高碑店市晨奥五金制品有限公司</v>
          </cell>
          <cell r="B193">
            <v>0</v>
          </cell>
        </row>
        <row r="194">
          <cell r="A194" t="str">
            <v>高碑店市信德百利革业有限公司</v>
          </cell>
          <cell r="B194">
            <v>0</v>
          </cell>
        </row>
        <row r="195">
          <cell r="A195" t="str">
            <v>高唐强盛机械有限公司</v>
          </cell>
          <cell r="B195">
            <v>0</v>
          </cell>
        </row>
        <row r="196">
          <cell r="A196" t="str">
            <v>共和兴塑胶（廊坊）有限公司</v>
          </cell>
          <cell r="B196">
            <v>0</v>
          </cell>
        </row>
        <row r="197">
          <cell r="A197" t="str">
            <v>古特曼商贸（上海）有限公司</v>
          </cell>
          <cell r="B197">
            <v>0</v>
          </cell>
        </row>
        <row r="198">
          <cell r="A198" t="str">
            <v>固安县乐通塑料中空板有限公司</v>
          </cell>
          <cell r="B198">
            <v>0</v>
          </cell>
        </row>
        <row r="199">
          <cell r="A199" t="str">
            <v>故城县智华再生海绵有限公司</v>
          </cell>
          <cell r="B199">
            <v>0</v>
          </cell>
        </row>
        <row r="200">
          <cell r="A200" t="str">
            <v>广东新金山环保材料股份有限公司</v>
          </cell>
          <cell r="B200">
            <v>0</v>
          </cell>
        </row>
        <row r="201">
          <cell r="A201" t="str">
            <v>广州富士机工汽车部件有限公司</v>
          </cell>
          <cell r="B201">
            <v>0</v>
          </cell>
        </row>
        <row r="202">
          <cell r="A202" t="str">
            <v>广州吉中汽车内饰系统有限公司</v>
          </cell>
          <cell r="B202">
            <v>0</v>
          </cell>
        </row>
        <row r="203">
          <cell r="A203" t="str">
            <v>广州欧尼克焊接科技有限公司</v>
          </cell>
          <cell r="B203">
            <v>0</v>
          </cell>
        </row>
        <row r="204">
          <cell r="A204" t="str">
            <v>广州普华灵动机器人技术有限公司</v>
          </cell>
          <cell r="B204">
            <v>0</v>
          </cell>
        </row>
        <row r="205">
          <cell r="A205" t="str">
            <v>广州市奔途尔商贸有限公司</v>
          </cell>
          <cell r="B205">
            <v>0</v>
          </cell>
        </row>
        <row r="206">
          <cell r="A206" t="str">
            <v>广州市火龙焊接设备有限公司</v>
          </cell>
          <cell r="B206">
            <v>0</v>
          </cell>
        </row>
        <row r="207">
          <cell r="A207" t="str">
            <v>广州市盟力线业有限公司</v>
          </cell>
          <cell r="B207">
            <v>0</v>
          </cell>
        </row>
        <row r="208">
          <cell r="A208" t="str">
            <v>广州市朋普机电技术有限公司</v>
          </cell>
          <cell r="B208">
            <v>0</v>
          </cell>
        </row>
        <row r="209">
          <cell r="A209" t="str">
            <v>广州泰昌汽车部件有限公司</v>
          </cell>
          <cell r="B209">
            <v>250000</v>
          </cell>
        </row>
        <row r="210">
          <cell r="A210" t="str">
            <v>广州熙锐自动化设备有限公司</v>
          </cell>
          <cell r="B210">
            <v>0</v>
          </cell>
        </row>
        <row r="211">
          <cell r="A211" t="str">
            <v>圭尔夫(天津)工业门有限公司</v>
          </cell>
          <cell r="B211">
            <v>0</v>
          </cell>
        </row>
        <row r="212">
          <cell r="A212" t="str">
            <v>国网河北省电力有限公司沧州供电分公司</v>
          </cell>
          <cell r="B212">
            <v>0</v>
          </cell>
        </row>
        <row r="213">
          <cell r="A213" t="str">
            <v>海安县绿色清洗剂厂</v>
          </cell>
          <cell r="B213">
            <v>0</v>
          </cell>
        </row>
        <row r="214">
          <cell r="A214" t="str">
            <v>海天塑机集团有限公司</v>
          </cell>
          <cell r="B214">
            <v>0</v>
          </cell>
        </row>
        <row r="215">
          <cell r="A215" t="str">
            <v>海兴中盛弹簧有限公司</v>
          </cell>
          <cell r="B215">
            <v>0</v>
          </cell>
        </row>
        <row r="216">
          <cell r="A216" t="str">
            <v>韩竹林</v>
          </cell>
          <cell r="B216">
            <v>0</v>
          </cell>
        </row>
        <row r="217">
          <cell r="A217" t="str">
            <v>杭州金士顿实业有限公司</v>
          </cell>
          <cell r="B217">
            <v>0</v>
          </cell>
        </row>
        <row r="218">
          <cell r="A218" t="str">
            <v>杭州迈斯嘉电子科技有限公司</v>
          </cell>
          <cell r="B218">
            <v>0</v>
          </cell>
        </row>
        <row r="219">
          <cell r="A219" t="str">
            <v>杭州迈图贸易有限公司</v>
          </cell>
          <cell r="B219">
            <v>0</v>
          </cell>
        </row>
        <row r="220">
          <cell r="A220" t="str">
            <v>合肥光码商贸有限公司</v>
          </cell>
          <cell r="B220">
            <v>0</v>
          </cell>
        </row>
        <row r="221">
          <cell r="A221" t="str">
            <v>合肥洁邦清洁设备有限公司</v>
          </cell>
          <cell r="B221">
            <v>0</v>
          </cell>
        </row>
        <row r="222">
          <cell r="A222" t="str">
            <v>何香存</v>
          </cell>
          <cell r="B222">
            <v>0</v>
          </cell>
        </row>
        <row r="223">
          <cell r="A223" t="str">
            <v>和和机械（张家港）有限公司</v>
          </cell>
          <cell r="B223">
            <v>0</v>
          </cell>
        </row>
        <row r="224">
          <cell r="A224" t="str">
            <v>河北安闻汽车零部件有限公司</v>
          </cell>
          <cell r="B224">
            <v>0</v>
          </cell>
        </row>
        <row r="225">
          <cell r="A225" t="str">
            <v>河北长河税务师事务所有限公司</v>
          </cell>
          <cell r="B225">
            <v>0</v>
          </cell>
        </row>
        <row r="226">
          <cell r="A226" t="str">
            <v>河北辰丰制管有限公司</v>
          </cell>
          <cell r="B226">
            <v>300000</v>
          </cell>
        </row>
        <row r="227">
          <cell r="A227" t="str">
            <v>河北航凌电路板有限公司</v>
          </cell>
          <cell r="B227">
            <v>0</v>
          </cell>
        </row>
        <row r="228">
          <cell r="A228" t="str">
            <v>河北宏广橡塑金属制品有限公司</v>
          </cell>
          <cell r="B228">
            <v>0</v>
          </cell>
        </row>
        <row r="229">
          <cell r="A229" t="str">
            <v>河北宏通制管有限公司</v>
          </cell>
          <cell r="B229">
            <v>7457.97</v>
          </cell>
        </row>
        <row r="230">
          <cell r="A230" t="str">
            <v>河北互通网络技术有限公司</v>
          </cell>
          <cell r="B230">
            <v>0</v>
          </cell>
        </row>
        <row r="231">
          <cell r="A231" t="str">
            <v>河北佳佰工程咨询有限公司</v>
          </cell>
          <cell r="B231">
            <v>0</v>
          </cell>
        </row>
        <row r="232">
          <cell r="A232" t="str">
            <v>河北聚福家用电器有限公司</v>
          </cell>
          <cell r="B232">
            <v>0</v>
          </cell>
        </row>
        <row r="233">
          <cell r="A233" t="str">
            <v>河北联庆五金制品有限公司</v>
          </cell>
          <cell r="B233">
            <v>0</v>
          </cell>
        </row>
        <row r="234">
          <cell r="A234" t="str">
            <v>河北量子环境检测有限公司</v>
          </cell>
          <cell r="B234">
            <v>0</v>
          </cell>
        </row>
        <row r="235">
          <cell r="A235" t="str">
            <v>河北美杭电梯安装有限公司</v>
          </cell>
          <cell r="B235">
            <v>0</v>
          </cell>
        </row>
        <row r="236">
          <cell r="A236" t="str">
            <v>河北耐力驰地坪装饰工程有限公司</v>
          </cell>
          <cell r="B236">
            <v>0</v>
          </cell>
        </row>
        <row r="237">
          <cell r="A237" t="str">
            <v>河北锐翰汽车零部件有限公司</v>
          </cell>
          <cell r="B237">
            <v>50000</v>
          </cell>
        </row>
        <row r="238">
          <cell r="A238" t="str">
            <v>河北润辉化工有限公司</v>
          </cell>
          <cell r="B238">
            <v>0</v>
          </cell>
        </row>
        <row r="239">
          <cell r="A239" t="str">
            <v>河北森凯环保科技有限公司</v>
          </cell>
          <cell r="B239">
            <v>0</v>
          </cell>
        </row>
        <row r="240">
          <cell r="A240" t="str">
            <v>河北省雄县龙华橡塑有限公司</v>
          </cell>
          <cell r="B240">
            <v>48500</v>
          </cell>
        </row>
        <row r="241">
          <cell r="A241" t="str">
            <v>河北圣洁环境生物科技工程有限公司</v>
          </cell>
          <cell r="B241">
            <v>0</v>
          </cell>
        </row>
        <row r="242">
          <cell r="A242" t="str">
            <v>河北盛德燃气有限公司</v>
          </cell>
          <cell r="B242">
            <v>0</v>
          </cell>
        </row>
        <row r="243">
          <cell r="A243" t="str">
            <v>河北双力起重机械有限公司</v>
          </cell>
          <cell r="B243">
            <v>0</v>
          </cell>
        </row>
        <row r="244">
          <cell r="A244" t="str">
            <v>河北顺和职业卫生技术服务有限公司</v>
          </cell>
          <cell r="B244">
            <v>0</v>
          </cell>
        </row>
        <row r="245">
          <cell r="A245" t="str">
            <v>河北伟业聚氨酯泡绵有限公司</v>
          </cell>
          <cell r="B245">
            <v>0</v>
          </cell>
        </row>
        <row r="246">
          <cell r="A246" t="str">
            <v>河北新强力机械制造有限公司</v>
          </cell>
          <cell r="B246">
            <v>200000</v>
          </cell>
        </row>
        <row r="247">
          <cell r="A247" t="str">
            <v>河北新世泰机械有限公司</v>
          </cell>
          <cell r="B247">
            <v>0</v>
          </cell>
        </row>
        <row r="248">
          <cell r="A248" t="str">
            <v>河北艺能锅炉有限责任公司</v>
          </cell>
          <cell r="B248">
            <v>0</v>
          </cell>
        </row>
        <row r="249">
          <cell r="A249" t="str">
            <v>河北媛皓建筑机械科技有限公司</v>
          </cell>
          <cell r="B249">
            <v>0</v>
          </cell>
        </row>
        <row r="250">
          <cell r="A250" t="str">
            <v>河北岳钢数控设备有限公司</v>
          </cell>
          <cell r="B250">
            <v>0</v>
          </cell>
        </row>
        <row r="251">
          <cell r="A251" t="str">
            <v>河北泽沃钢管制造有限公司</v>
          </cell>
          <cell r="B251">
            <v>0</v>
          </cell>
        </row>
        <row r="252">
          <cell r="A252" t="str">
            <v>河北智友机电制造有限公司</v>
          </cell>
          <cell r="B252">
            <v>0</v>
          </cell>
        </row>
        <row r="253">
          <cell r="A253" t="str">
            <v>河间市祥龙崇光电缆厂</v>
          </cell>
          <cell r="B253">
            <v>0</v>
          </cell>
        </row>
        <row r="254">
          <cell r="A254" t="str">
            <v>河间市正邦橡胶制品有限公司</v>
          </cell>
          <cell r="B254">
            <v>0</v>
          </cell>
        </row>
        <row r="255">
          <cell r="A255" t="str">
            <v>鹤壁市天星电器厂</v>
          </cell>
          <cell r="B255">
            <v>0</v>
          </cell>
        </row>
        <row r="256">
          <cell r="A256" t="str">
            <v>鹤山市润源化工有限公司</v>
          </cell>
          <cell r="B256">
            <v>0</v>
          </cell>
        </row>
        <row r="257">
          <cell r="A257" t="str">
            <v>恒华包装材料销售有限公司</v>
          </cell>
          <cell r="B257">
            <v>0</v>
          </cell>
        </row>
        <row r="258">
          <cell r="A258" t="str">
            <v>衡水鑫智汽车零部件有限公司</v>
          </cell>
          <cell r="B258">
            <v>0</v>
          </cell>
        </row>
        <row r="259">
          <cell r="A259" t="str">
            <v>湖北航嘉麦格纳座椅系统有限公司</v>
          </cell>
          <cell r="B259">
            <v>0</v>
          </cell>
        </row>
        <row r="260">
          <cell r="A260" t="str">
            <v>湖北中航精机科技有限公司</v>
          </cell>
          <cell r="B260">
            <v>0</v>
          </cell>
        </row>
        <row r="261">
          <cell r="A261" t="str">
            <v>湖北钟祥市正宏玻璃制品厂</v>
          </cell>
          <cell r="B261">
            <v>0</v>
          </cell>
        </row>
        <row r="262">
          <cell r="A262" t="str">
            <v>湖南光华荣昌汽车部件有限公司</v>
          </cell>
          <cell r="B262">
            <v>0</v>
          </cell>
        </row>
        <row r="263">
          <cell r="A263" t="str">
            <v>湖南精正设备制造有限公司</v>
          </cell>
          <cell r="B263">
            <v>0</v>
          </cell>
        </row>
        <row r="264">
          <cell r="A264" t="str">
            <v>华瑞志勤科技发展（北京）有限公司</v>
          </cell>
          <cell r="B264">
            <v>0</v>
          </cell>
        </row>
        <row r="265">
          <cell r="A265" t="str">
            <v>淮铭机械设备(上海)有限公司</v>
          </cell>
          <cell r="B265">
            <v>0</v>
          </cell>
        </row>
        <row r="266">
          <cell r="A266" t="str">
            <v>黄骅骅泰机动车配件有限公司</v>
          </cell>
          <cell r="B266">
            <v>0</v>
          </cell>
        </row>
        <row r="267">
          <cell r="A267" t="str">
            <v>黄骅市邦博五金电料经销部</v>
          </cell>
          <cell r="B267">
            <v>0</v>
          </cell>
        </row>
        <row r="268">
          <cell r="A268" t="str">
            <v>黄骅市宝丽洁家政有限公司</v>
          </cell>
          <cell r="B268">
            <v>0</v>
          </cell>
        </row>
        <row r="269">
          <cell r="A269" t="str">
            <v>黄骅市保俊成复合彩印厂</v>
          </cell>
          <cell r="B269">
            <v>0</v>
          </cell>
        </row>
        <row r="270">
          <cell r="A270" t="str">
            <v>黄骅市斌盛包装制品厂</v>
          </cell>
          <cell r="B270">
            <v>0</v>
          </cell>
        </row>
        <row r="271">
          <cell r="A271" t="str">
            <v>黄骅市滨海车业有限公司</v>
          </cell>
          <cell r="B271">
            <v>0</v>
          </cell>
        </row>
        <row r="272">
          <cell r="A272" t="str">
            <v>黄骅市博杰汽车部件有限公司</v>
          </cell>
          <cell r="B272">
            <v>10000</v>
          </cell>
        </row>
        <row r="273">
          <cell r="A273" t="str">
            <v>黄骅市渤海汽车摩托车配件有限公司</v>
          </cell>
          <cell r="B273">
            <v>0</v>
          </cell>
        </row>
        <row r="274">
          <cell r="A274" t="str">
            <v>黄骅市渤海庆丰车辆灯镜厂</v>
          </cell>
          <cell r="B274">
            <v>10000</v>
          </cell>
        </row>
        <row r="275">
          <cell r="A275" t="str">
            <v>黄骅市昌城网子经销部</v>
          </cell>
          <cell r="B275">
            <v>0</v>
          </cell>
        </row>
        <row r="276">
          <cell r="A276" t="str">
            <v>黄骅市长江塑料制品有限公司</v>
          </cell>
          <cell r="B276">
            <v>0</v>
          </cell>
        </row>
        <row r="277">
          <cell r="A277" t="str">
            <v>黄骅市长生汽车灯镜有限公司</v>
          </cell>
          <cell r="B277">
            <v>10000</v>
          </cell>
        </row>
        <row r="278">
          <cell r="A278" t="str">
            <v>黄骅市常郭镇街西纸箱厂</v>
          </cell>
          <cell r="B278">
            <v>0</v>
          </cell>
        </row>
        <row r="279">
          <cell r="A279" t="str">
            <v>黄骅市常郭镇前尚永胜五金加工厂</v>
          </cell>
          <cell r="B279">
            <v>0</v>
          </cell>
        </row>
        <row r="280">
          <cell r="A280" t="str">
            <v>黄骅市超飞商贸有限公司有限公司</v>
          </cell>
          <cell r="B280">
            <v>0</v>
          </cell>
        </row>
        <row r="281">
          <cell r="A281" t="str">
            <v>黄骅市成卓汽车部件厂</v>
          </cell>
          <cell r="B281">
            <v>20000</v>
          </cell>
        </row>
        <row r="282">
          <cell r="A282" t="str">
            <v>黄骅市达旺机动车配件厂</v>
          </cell>
          <cell r="B282">
            <v>0</v>
          </cell>
        </row>
        <row r="283">
          <cell r="A283" t="str">
            <v>黄骅市大新模具有限公司</v>
          </cell>
          <cell r="B283">
            <v>0</v>
          </cell>
        </row>
        <row r="284">
          <cell r="A284" t="str">
            <v>黄骅市弹簧厂</v>
          </cell>
          <cell r="B284">
            <v>0</v>
          </cell>
        </row>
        <row r="285">
          <cell r="A285" t="str">
            <v>黄骅市德信成家具经销部</v>
          </cell>
          <cell r="B285">
            <v>0</v>
          </cell>
        </row>
        <row r="286">
          <cell r="A286" t="str">
            <v>黄骅市鼎盾电力工程有限公司</v>
          </cell>
          <cell r="B286">
            <v>0</v>
          </cell>
        </row>
        <row r="287">
          <cell r="A287" t="str">
            <v>黄骅市方达泵阀有限公司</v>
          </cell>
          <cell r="B287">
            <v>0</v>
          </cell>
        </row>
        <row r="288">
          <cell r="A288" t="str">
            <v>黄骅市方正五金机电责任有限公司</v>
          </cell>
          <cell r="B288">
            <v>0</v>
          </cell>
        </row>
        <row r="289">
          <cell r="A289" t="str">
            <v>黄骅市飞扬办公用品经营部</v>
          </cell>
          <cell r="B289">
            <v>0</v>
          </cell>
        </row>
        <row r="290">
          <cell r="A290" t="str">
            <v>黄骅市富康静电喷涂厂</v>
          </cell>
          <cell r="B290">
            <v>0</v>
          </cell>
        </row>
        <row r="291">
          <cell r="A291" t="str">
            <v>黄骅市富丽达不锈钢制品经销处</v>
          </cell>
          <cell r="B291">
            <v>0</v>
          </cell>
        </row>
        <row r="292">
          <cell r="A292" t="str">
            <v>黄骅市港骅工业气体销售有限公司</v>
          </cell>
          <cell r="B292">
            <v>0</v>
          </cell>
        </row>
        <row r="293">
          <cell r="A293" t="str">
            <v>黄骅市功盛五金电料经销处</v>
          </cell>
          <cell r="B293">
            <v>0</v>
          </cell>
        </row>
        <row r="294">
          <cell r="A294" t="str">
            <v>黄骅市固诺装饰工程有限公司</v>
          </cell>
          <cell r="B294">
            <v>0</v>
          </cell>
        </row>
        <row r="295">
          <cell r="A295" t="str">
            <v>黄骅市故县国福汽车灯厂</v>
          </cell>
          <cell r="B295">
            <v>0</v>
          </cell>
        </row>
        <row r="296">
          <cell r="A296" t="str">
            <v>黄骅市光大橡胶制品厂</v>
          </cell>
          <cell r="B296">
            <v>0</v>
          </cell>
        </row>
        <row r="297">
          <cell r="A297" t="str">
            <v>黄骅市广际五金产品销售有限公司</v>
          </cell>
          <cell r="B297">
            <v>0</v>
          </cell>
        </row>
        <row r="298">
          <cell r="A298" t="str">
            <v>黄骅市广兴建筑安装工程有限公司</v>
          </cell>
          <cell r="B298">
            <v>0</v>
          </cell>
        </row>
        <row r="299">
          <cell r="A299" t="str">
            <v>黄骅市广亿汽车部件有限公司</v>
          </cell>
          <cell r="B299">
            <v>200000</v>
          </cell>
        </row>
        <row r="300">
          <cell r="A300" t="str">
            <v>黄骅市国贸物资有限公司</v>
          </cell>
          <cell r="B300">
            <v>0</v>
          </cell>
        </row>
        <row r="301">
          <cell r="A301" t="str">
            <v>黄骅市海举五金加工厂</v>
          </cell>
          <cell r="B301">
            <v>0</v>
          </cell>
        </row>
        <row r="302">
          <cell r="A302" t="str">
            <v>黄骅市海良汽车摩托车配件有限公司</v>
          </cell>
          <cell r="B302">
            <v>0</v>
          </cell>
        </row>
        <row r="303">
          <cell r="A303" t="str">
            <v>黄骅市海生五金模具厂</v>
          </cell>
          <cell r="B303">
            <v>0</v>
          </cell>
        </row>
        <row r="304">
          <cell r="A304" t="str">
            <v>黄骅市海泰祥钢材贸易有限公司</v>
          </cell>
          <cell r="B304">
            <v>0</v>
          </cell>
        </row>
        <row r="305">
          <cell r="A305" t="str">
            <v>黄骅市氦普气体销售有限公司</v>
          </cell>
          <cell r="B305">
            <v>0</v>
          </cell>
        </row>
        <row r="306">
          <cell r="A306" t="str">
            <v>黄骅市和顺易大件吊装搬运有限公司</v>
          </cell>
          <cell r="B306">
            <v>0</v>
          </cell>
        </row>
        <row r="307">
          <cell r="A307" t="str">
            <v>黄骅市恒基五金轴承工具有限公司</v>
          </cell>
          <cell r="B307">
            <v>0</v>
          </cell>
        </row>
        <row r="308">
          <cell r="A308" t="str">
            <v>黄骅市恒茂土产门市部</v>
          </cell>
          <cell r="B308">
            <v>0</v>
          </cell>
        </row>
        <row r="309">
          <cell r="A309" t="str">
            <v>黄骅市恒顺昌商贸有限公司</v>
          </cell>
          <cell r="B309">
            <v>0</v>
          </cell>
        </row>
        <row r="310">
          <cell r="A310" t="str">
            <v>黄骅市恒通土产劳保门市部</v>
          </cell>
          <cell r="B310">
            <v>0</v>
          </cell>
        </row>
        <row r="311">
          <cell r="A311" t="str">
            <v>黄骅市恒伟五金制品有限公司</v>
          </cell>
          <cell r="B311">
            <v>200000</v>
          </cell>
        </row>
        <row r="312">
          <cell r="A312" t="str">
            <v>黄骅市衡星计量仪器有限公司</v>
          </cell>
          <cell r="B312">
            <v>0</v>
          </cell>
        </row>
        <row r="313">
          <cell r="A313" t="str">
            <v>黄骅市宏成五金制品有限公司</v>
          </cell>
          <cell r="B313">
            <v>0</v>
          </cell>
        </row>
        <row r="314">
          <cell r="A314" t="str">
            <v>黄骅市宏辉运输队</v>
          </cell>
          <cell r="B314">
            <v>0</v>
          </cell>
        </row>
        <row r="315">
          <cell r="A315" t="str">
            <v>黄骅市宏顺模具厂</v>
          </cell>
          <cell r="B315">
            <v>0</v>
          </cell>
        </row>
        <row r="316">
          <cell r="A316" t="str">
            <v>黄骅市宏信五金交电门市部</v>
          </cell>
          <cell r="B316">
            <v>0</v>
          </cell>
        </row>
        <row r="317">
          <cell r="A317" t="str">
            <v>黄骅市洪赫五金加工厂</v>
          </cell>
          <cell r="B317">
            <v>0</v>
          </cell>
        </row>
        <row r="318">
          <cell r="A318" t="str">
            <v>黄骅市鸿鹄线缆经销部</v>
          </cell>
          <cell r="B318">
            <v>0</v>
          </cell>
        </row>
        <row r="319">
          <cell r="A319" t="str">
            <v>黄骅市鸿基盛业地面工程有限公司</v>
          </cell>
          <cell r="B319">
            <v>0</v>
          </cell>
        </row>
        <row r="320">
          <cell r="A320" t="str">
            <v>黄骅市鸿晟伟业电脑经营部</v>
          </cell>
          <cell r="B320">
            <v>0</v>
          </cell>
        </row>
        <row r="321">
          <cell r="A321" t="str">
            <v>黄骅市厚德建筑队</v>
          </cell>
          <cell r="B321">
            <v>0</v>
          </cell>
        </row>
        <row r="322">
          <cell r="A322" t="str">
            <v>黄骅市辉煌建筑队</v>
          </cell>
          <cell r="B322">
            <v>0</v>
          </cell>
        </row>
        <row r="323">
          <cell r="A323" t="str">
            <v>黄骅市汇铭汽车部件有限公司</v>
          </cell>
          <cell r="B323">
            <v>120000</v>
          </cell>
        </row>
        <row r="324">
          <cell r="A324" t="str">
            <v>黄骅市慧勤五金电料经销处</v>
          </cell>
          <cell r="B324">
            <v>0</v>
          </cell>
        </row>
        <row r="325">
          <cell r="A325" t="str">
            <v>黄骅市慧仁纵横电脑销售有限公司</v>
          </cell>
          <cell r="B325">
            <v>0</v>
          </cell>
        </row>
        <row r="326">
          <cell r="A326" t="str">
            <v>黄骅市佳佰工程咨询有限公司</v>
          </cell>
          <cell r="B326">
            <v>0</v>
          </cell>
        </row>
        <row r="327">
          <cell r="A327" t="str">
            <v>黄骅市佳祥五金制品有限公司</v>
          </cell>
          <cell r="B327">
            <v>10000</v>
          </cell>
        </row>
        <row r="328">
          <cell r="A328" t="str">
            <v>黄骅市建材市场港骅钢材经销部</v>
          </cell>
          <cell r="B328">
            <v>0</v>
          </cell>
        </row>
        <row r="329">
          <cell r="A329" t="str">
            <v>黄骅市建昌塑料制品有限公司</v>
          </cell>
          <cell r="B329">
            <v>0</v>
          </cell>
        </row>
        <row r="330">
          <cell r="A330" t="str">
            <v>黄骅市建华液压配件销售服务中心</v>
          </cell>
          <cell r="B330">
            <v>24932</v>
          </cell>
        </row>
        <row r="331">
          <cell r="A331" t="str">
            <v>黄骅市建伟五金制品厂</v>
          </cell>
          <cell r="B331">
            <v>0</v>
          </cell>
        </row>
        <row r="332">
          <cell r="A332" t="str">
            <v>黄骅市洁霸汽车零部件制造有限公司</v>
          </cell>
          <cell r="B332">
            <v>0</v>
          </cell>
        </row>
        <row r="333">
          <cell r="A333" t="str">
            <v>黄骅市金宝成钢材经销有限公司</v>
          </cell>
          <cell r="B333">
            <v>18494</v>
          </cell>
        </row>
        <row r="334">
          <cell r="A334" t="str">
            <v>黄骅市金城五金制品厂</v>
          </cell>
          <cell r="B334">
            <v>0</v>
          </cell>
        </row>
        <row r="335">
          <cell r="A335" t="str">
            <v>黄骅市金华保温材料有限公司</v>
          </cell>
          <cell r="B335">
            <v>0</v>
          </cell>
        </row>
        <row r="336">
          <cell r="A336" t="str">
            <v>黄骅市金月五金制品厂</v>
          </cell>
          <cell r="B336">
            <v>0</v>
          </cell>
        </row>
        <row r="337">
          <cell r="A337" t="str">
            <v>黄骅市津华汽车部件有限公司</v>
          </cell>
          <cell r="B337">
            <v>30000</v>
          </cell>
        </row>
        <row r="338">
          <cell r="A338" t="str">
            <v>黄骅市锦绣制衣部</v>
          </cell>
          <cell r="B338">
            <v>0</v>
          </cell>
        </row>
        <row r="339">
          <cell r="A339" t="str">
            <v>黄骅市京港机电设备有限公司</v>
          </cell>
          <cell r="B339">
            <v>0</v>
          </cell>
        </row>
        <row r="340">
          <cell r="A340" t="str">
            <v>黄骅市久峰五金制品有限公司</v>
          </cell>
          <cell r="B340">
            <v>0</v>
          </cell>
        </row>
        <row r="341">
          <cell r="A341" t="str">
            <v>黄骅市俊隆五金包装有限公司</v>
          </cell>
          <cell r="B341">
            <v>0</v>
          </cell>
        </row>
        <row r="342">
          <cell r="A342" t="str">
            <v>黄骅市俊有塑染经销处</v>
          </cell>
          <cell r="B342">
            <v>0</v>
          </cell>
        </row>
        <row r="343">
          <cell r="A343" t="str">
            <v>黄骅市凯翔车业有限公司</v>
          </cell>
          <cell r="B343">
            <v>0</v>
          </cell>
        </row>
        <row r="344">
          <cell r="A344" t="str">
            <v>黄骅市康宁街光华化工门市部</v>
          </cell>
          <cell r="B344">
            <v>0</v>
          </cell>
        </row>
        <row r="345">
          <cell r="A345" t="str">
            <v>黄骅市科友汇商贸有限公司</v>
          </cell>
          <cell r="B345">
            <v>0</v>
          </cell>
        </row>
        <row r="346">
          <cell r="A346" t="str">
            <v>黄骅市联视电子科技有限公司</v>
          </cell>
          <cell r="B346">
            <v>0</v>
          </cell>
        </row>
        <row r="347">
          <cell r="A347" t="str">
            <v>黄骅市龙腾五金机电门市部</v>
          </cell>
          <cell r="B347">
            <v>17205.2</v>
          </cell>
        </row>
        <row r="348">
          <cell r="A348" t="str">
            <v>黄骅市隆盛达车业有限公司</v>
          </cell>
          <cell r="B348">
            <v>0</v>
          </cell>
        </row>
        <row r="349">
          <cell r="A349" t="str">
            <v>黄骅市隆鑫五金制品有限公司</v>
          </cell>
          <cell r="B349">
            <v>40000</v>
          </cell>
        </row>
        <row r="350">
          <cell r="A350" t="str">
            <v>黄骅市美家隆商贸有限公司</v>
          </cell>
          <cell r="B350">
            <v>0</v>
          </cell>
        </row>
        <row r="351">
          <cell r="A351" t="str">
            <v>黄骅市明昶电料门市部</v>
          </cell>
          <cell r="B351">
            <v>0</v>
          </cell>
        </row>
        <row r="352">
          <cell r="A352" t="str">
            <v>黄骅市宁鑫商贸有限公司</v>
          </cell>
          <cell r="B352">
            <v>0</v>
          </cell>
        </row>
        <row r="353">
          <cell r="A353" t="str">
            <v>黄骅市齐西纺织五金配件厂</v>
          </cell>
          <cell r="B353">
            <v>0</v>
          </cell>
        </row>
        <row r="354">
          <cell r="A354" t="str">
            <v>黄骅市乾泰祥五金制品厂</v>
          </cell>
          <cell r="B354">
            <v>0</v>
          </cell>
        </row>
        <row r="355">
          <cell r="A355" t="str">
            <v>黄骅市庆华机动车配件有限公司</v>
          </cell>
          <cell r="B355">
            <v>0</v>
          </cell>
        </row>
        <row r="356">
          <cell r="A356" t="str">
            <v>黄骅市庆军五金制品有限公司</v>
          </cell>
          <cell r="B356">
            <v>0</v>
          </cell>
        </row>
        <row r="357">
          <cell r="A357" t="str">
            <v>黄骅市荣邦汽车部件有限公司</v>
          </cell>
          <cell r="B357">
            <v>0</v>
          </cell>
        </row>
        <row r="358">
          <cell r="A358" t="str">
            <v>黄骅市荣达工业气体销售有限公司</v>
          </cell>
          <cell r="B358">
            <v>0</v>
          </cell>
        </row>
        <row r="359">
          <cell r="A359" t="str">
            <v>黄骅市荣丰塑料模具有限公司</v>
          </cell>
          <cell r="B359">
            <v>0</v>
          </cell>
        </row>
        <row r="360">
          <cell r="A360" t="str">
            <v>黄骅市瑞达塑料模具有限公司</v>
          </cell>
          <cell r="B360">
            <v>0</v>
          </cell>
        </row>
        <row r="361">
          <cell r="A361" t="str">
            <v>黄骅市瑞丰五金制品有限公司</v>
          </cell>
          <cell r="B361">
            <v>10000</v>
          </cell>
        </row>
        <row r="362">
          <cell r="A362" t="str">
            <v>黄骅市三江商贸有限公司</v>
          </cell>
          <cell r="B362">
            <v>0</v>
          </cell>
        </row>
        <row r="363">
          <cell r="A363" t="str">
            <v>黄骅市三姐五金经销部</v>
          </cell>
          <cell r="B363">
            <v>3231.6</v>
          </cell>
        </row>
        <row r="364">
          <cell r="A364" t="str">
            <v>黄骅市三星电脑科技有限公司</v>
          </cell>
          <cell r="B364">
            <v>0</v>
          </cell>
        </row>
        <row r="365">
          <cell r="A365" t="str">
            <v>黄骅市神农百草堂药品连锁有限公司</v>
          </cell>
          <cell r="B365">
            <v>0</v>
          </cell>
        </row>
        <row r="366">
          <cell r="A366" t="str">
            <v>黄骅市盛发五金制品有限公司</v>
          </cell>
          <cell r="B366">
            <v>0</v>
          </cell>
        </row>
        <row r="367">
          <cell r="A367" t="str">
            <v>黄骅市盛荣汽车零部件制造有限公司</v>
          </cell>
          <cell r="B367">
            <v>0</v>
          </cell>
        </row>
        <row r="368">
          <cell r="A368" t="str">
            <v>黄骅市盛泰五金制品厂</v>
          </cell>
          <cell r="B368">
            <v>0</v>
          </cell>
        </row>
        <row r="369">
          <cell r="A369" t="str">
            <v>黄骅市石港路兆荣装饰家园</v>
          </cell>
          <cell r="B369">
            <v>0</v>
          </cell>
        </row>
        <row r="370">
          <cell r="A370" t="str">
            <v>黄骅市双得金属制品销售有限公司</v>
          </cell>
          <cell r="B370">
            <v>20000</v>
          </cell>
        </row>
        <row r="371">
          <cell r="A371" t="str">
            <v>黄骅市顺驰车业配件有限公司</v>
          </cell>
          <cell r="B371">
            <v>0</v>
          </cell>
        </row>
        <row r="372">
          <cell r="A372" t="str">
            <v>黄骅市四通模具厂</v>
          </cell>
          <cell r="B372">
            <v>2500</v>
          </cell>
        </row>
        <row r="373">
          <cell r="A373" t="str">
            <v>黄骅市泰坤五金机电经销部</v>
          </cell>
          <cell r="B373">
            <v>0</v>
          </cell>
        </row>
        <row r="374">
          <cell r="A374" t="str">
            <v>黄骅市泰行汽车配件厂</v>
          </cell>
          <cell r="B374">
            <v>10000</v>
          </cell>
        </row>
        <row r="375">
          <cell r="A375" t="str">
            <v>黄骅市唐氏焊割设备经销处</v>
          </cell>
          <cell r="B375">
            <v>0</v>
          </cell>
        </row>
        <row r="376">
          <cell r="A376" t="str">
            <v>黄骅市天丰汽车配件有限公司</v>
          </cell>
          <cell r="B376">
            <v>57262.4</v>
          </cell>
        </row>
        <row r="377">
          <cell r="A377" t="str">
            <v>黄骅市通和五金制品有限公司</v>
          </cell>
          <cell r="B377">
            <v>70000</v>
          </cell>
        </row>
        <row r="378">
          <cell r="A378" t="str">
            <v>黄骅市通乐贸易有限公司</v>
          </cell>
          <cell r="B378">
            <v>26904</v>
          </cell>
        </row>
        <row r="379">
          <cell r="A379" t="str">
            <v>黄骅市通顺五金机电商店</v>
          </cell>
          <cell r="B379">
            <v>0</v>
          </cell>
        </row>
        <row r="380">
          <cell r="A380" t="str">
            <v>黄骅市通祥模具厂</v>
          </cell>
          <cell r="B380">
            <v>0</v>
          </cell>
        </row>
        <row r="381">
          <cell r="A381" t="str">
            <v>黄骅市同德商贸有限公司</v>
          </cell>
          <cell r="B381">
            <v>0</v>
          </cell>
        </row>
        <row r="382">
          <cell r="A382" t="str">
            <v>黄骅市同辉汽车配件有限公司</v>
          </cell>
          <cell r="B382">
            <v>10000</v>
          </cell>
        </row>
        <row r="383">
          <cell r="A383" t="str">
            <v>黄骅市屯鑫五金经销部</v>
          </cell>
          <cell r="B383">
            <v>0</v>
          </cell>
        </row>
        <row r="384">
          <cell r="A384" t="str">
            <v>黄骅市万安挂车配件有限公司</v>
          </cell>
          <cell r="B384">
            <v>0</v>
          </cell>
        </row>
        <row r="385">
          <cell r="A385" t="str">
            <v>黄骅市万昌五金制品有限公司</v>
          </cell>
          <cell r="B385">
            <v>450000</v>
          </cell>
        </row>
        <row r="386">
          <cell r="A386" t="str">
            <v>黄骅市万方五金塑料制品有限公司</v>
          </cell>
          <cell r="B386">
            <v>0</v>
          </cell>
        </row>
        <row r="387">
          <cell r="A387" t="str">
            <v>黄骅市万寿汽车配件有限公司</v>
          </cell>
          <cell r="B387">
            <v>53813.1</v>
          </cell>
        </row>
        <row r="388">
          <cell r="A388" t="str">
            <v>黄骅市魏波五金制品经营部</v>
          </cell>
          <cell r="B388">
            <v>0</v>
          </cell>
        </row>
        <row r="389">
          <cell r="A389" t="str">
            <v>黄骅市西环路宏大电热仪表电器经销处</v>
          </cell>
          <cell r="B389">
            <v>0</v>
          </cell>
        </row>
        <row r="390">
          <cell r="A390" t="str">
            <v>黄骅市祥义塑料模具有限公司</v>
          </cell>
          <cell r="B390">
            <v>0</v>
          </cell>
        </row>
        <row r="391">
          <cell r="A391" t="str">
            <v>黄骅市翔华电子设备经销处</v>
          </cell>
          <cell r="B391">
            <v>0</v>
          </cell>
        </row>
        <row r="392">
          <cell r="A392" t="str">
            <v>黄骅市筱楠五金门市部</v>
          </cell>
          <cell r="B392">
            <v>0</v>
          </cell>
        </row>
        <row r="393">
          <cell r="A393" t="str">
            <v>黄骅市新暖汽车座垫加工厂</v>
          </cell>
          <cell r="B393">
            <v>0</v>
          </cell>
        </row>
        <row r="394">
          <cell r="A394" t="str">
            <v>黄骅市新智环保技术有限公司</v>
          </cell>
          <cell r="B394">
            <v>0</v>
          </cell>
        </row>
        <row r="395">
          <cell r="A395" t="str">
            <v>黄骅市鑫昌五金制品厂</v>
          </cell>
          <cell r="B395">
            <v>-162297.8</v>
          </cell>
        </row>
        <row r="396">
          <cell r="A396" t="str">
            <v>黄骅市鑫宏祥电器门市部</v>
          </cell>
          <cell r="B396">
            <v>0</v>
          </cell>
        </row>
        <row r="397">
          <cell r="A397" t="str">
            <v>黄骅市鑫骅金属制品有限公司</v>
          </cell>
          <cell r="B397">
            <v>0</v>
          </cell>
        </row>
        <row r="398">
          <cell r="A398" t="str">
            <v>黄骅市鑫汇商贸有限公司</v>
          </cell>
          <cell r="B398">
            <v>9600</v>
          </cell>
        </row>
        <row r="399">
          <cell r="A399" t="str">
            <v>黄骅市鑫亮五金制品厂</v>
          </cell>
          <cell r="B399">
            <v>0</v>
          </cell>
        </row>
        <row r="400">
          <cell r="A400" t="str">
            <v>黄骅市鑫鹏商贸有限公司</v>
          </cell>
          <cell r="B400">
            <v>9780</v>
          </cell>
        </row>
        <row r="401">
          <cell r="A401" t="str">
            <v>黄骅市鑫祺汽车配件有限公司</v>
          </cell>
          <cell r="B401">
            <v>230000</v>
          </cell>
        </row>
        <row r="402">
          <cell r="A402" t="str">
            <v>黄骅市鑫盛物业服务有限公司</v>
          </cell>
          <cell r="B402">
            <v>0</v>
          </cell>
        </row>
        <row r="403">
          <cell r="A403" t="str">
            <v>黄骅市鑫宇五金制品厂</v>
          </cell>
          <cell r="B403">
            <v>0</v>
          </cell>
        </row>
        <row r="404">
          <cell r="A404" t="str">
            <v>黄骅市鑫源五金制品有限公司</v>
          </cell>
          <cell r="B404">
            <v>0</v>
          </cell>
        </row>
        <row r="405">
          <cell r="A405" t="str">
            <v>黄骅市兴朋包装材料有限公司</v>
          </cell>
          <cell r="B405">
            <v>0</v>
          </cell>
        </row>
        <row r="406">
          <cell r="A406" t="str">
            <v>黄骅市兴田弹簧有限公司</v>
          </cell>
          <cell r="B406">
            <v>0</v>
          </cell>
        </row>
        <row r="407">
          <cell r="A407" t="str">
            <v>黄骅市兴玉五金制品有限公司</v>
          </cell>
          <cell r="B407">
            <v>0</v>
          </cell>
        </row>
        <row r="408">
          <cell r="A408" t="str">
            <v>黄骅市亚星玻璃钢有限公司</v>
          </cell>
          <cell r="B408">
            <v>0</v>
          </cell>
        </row>
        <row r="409">
          <cell r="A409" t="str">
            <v>黄骅市亚征汽车配件有限公司</v>
          </cell>
          <cell r="B409">
            <v>0</v>
          </cell>
        </row>
        <row r="410">
          <cell r="A410" t="str">
            <v>黄骅市亿顺五金制品有限公司</v>
          </cell>
          <cell r="B410">
            <v>0</v>
          </cell>
        </row>
        <row r="411">
          <cell r="A411" t="str">
            <v>黄骅市益成五金门市部</v>
          </cell>
          <cell r="B411">
            <v>0</v>
          </cell>
        </row>
        <row r="412">
          <cell r="A412" t="str">
            <v>黄骅市益丰橡胶制品有限公司</v>
          </cell>
          <cell r="B412">
            <v>0</v>
          </cell>
        </row>
        <row r="413">
          <cell r="A413" t="str">
            <v>黄骅市益海五金制造有限公司</v>
          </cell>
          <cell r="B413">
            <v>0</v>
          </cell>
        </row>
        <row r="414">
          <cell r="A414" t="str">
            <v>黄骅市雍丰塑料制品有限公司</v>
          </cell>
          <cell r="B414">
            <v>180312.5</v>
          </cell>
        </row>
        <row r="415">
          <cell r="A415" t="str">
            <v>黄骅市友联嘉悦商贸有限公司</v>
          </cell>
          <cell r="B415">
            <v>19600</v>
          </cell>
        </row>
        <row r="416">
          <cell r="A416" t="str">
            <v>黄骅市宇丰运输有限公司</v>
          </cell>
          <cell r="B416">
            <v>0</v>
          </cell>
        </row>
        <row r="417">
          <cell r="A417" t="str">
            <v>黄骅市玉明五金模标门市部</v>
          </cell>
          <cell r="B417">
            <v>0</v>
          </cell>
        </row>
        <row r="418">
          <cell r="A418" t="str">
            <v>黄骅市誉焱制衣厂</v>
          </cell>
          <cell r="B418">
            <v>0</v>
          </cell>
        </row>
        <row r="419">
          <cell r="A419" t="str">
            <v>黄骅市元周五金制品有限公司</v>
          </cell>
          <cell r="B419">
            <v>30000</v>
          </cell>
        </row>
        <row r="420">
          <cell r="A420" t="str">
            <v>黄骅市月军五金制品厂</v>
          </cell>
          <cell r="B420">
            <v>0</v>
          </cell>
        </row>
        <row r="421">
          <cell r="A421" t="str">
            <v>黄骅市运输总公司华宇汽修厂</v>
          </cell>
          <cell r="B421">
            <v>0</v>
          </cell>
        </row>
        <row r="422">
          <cell r="A422" t="str">
            <v>黄骅市再兴汽车配件有限公司</v>
          </cell>
          <cell r="B422">
            <v>10000</v>
          </cell>
        </row>
        <row r="423">
          <cell r="A423" t="str">
            <v>黄骅市泽方模具有限公司</v>
          </cell>
          <cell r="B423">
            <v>0</v>
          </cell>
        </row>
        <row r="424">
          <cell r="A424" t="str">
            <v>黄骅市增鑫五金制品有限公司</v>
          </cell>
          <cell r="B424">
            <v>0</v>
          </cell>
        </row>
        <row r="425">
          <cell r="A425" t="str">
            <v>黄骅市兆展铁艺加工厂</v>
          </cell>
          <cell r="B425">
            <v>0</v>
          </cell>
        </row>
        <row r="426">
          <cell r="A426" t="str">
            <v>黄骅市赵福增运输队</v>
          </cell>
          <cell r="B426">
            <v>0</v>
          </cell>
        </row>
        <row r="427">
          <cell r="A427" t="str">
            <v>黄骅市祯祥金属制品有限责任公司</v>
          </cell>
          <cell r="B427">
            <v>5031.3</v>
          </cell>
        </row>
        <row r="428">
          <cell r="A428" t="str">
            <v>黄骅市振兴汽车灯镜厂</v>
          </cell>
          <cell r="B428">
            <v>0</v>
          </cell>
        </row>
        <row r="429">
          <cell r="A429" t="str">
            <v>黄骅市振兴五金制品厂</v>
          </cell>
          <cell r="B429">
            <v>10000</v>
          </cell>
        </row>
        <row r="430">
          <cell r="A430" t="str">
            <v>黄骅市震飞塑机辅机有限公司</v>
          </cell>
          <cell r="B430">
            <v>0</v>
          </cell>
        </row>
        <row r="431">
          <cell r="A431" t="str">
            <v>黄骅市震宇机动配件有限公司</v>
          </cell>
          <cell r="B431">
            <v>0</v>
          </cell>
        </row>
        <row r="432">
          <cell r="A432" t="str">
            <v>黄骅市正大纺织机械配件厂</v>
          </cell>
          <cell r="B432">
            <v>0</v>
          </cell>
        </row>
        <row r="433">
          <cell r="A433" t="str">
            <v>黄骅市正发五金机电经销处</v>
          </cell>
          <cell r="B433">
            <v>0</v>
          </cell>
        </row>
        <row r="434">
          <cell r="A434" t="str">
            <v>黄骅市正祥车辆部件有限公司</v>
          </cell>
          <cell r="B434">
            <v>18082.1</v>
          </cell>
        </row>
        <row r="435">
          <cell r="A435" t="str">
            <v>黄骅市志承车业有限公司</v>
          </cell>
          <cell r="B435">
            <v>0</v>
          </cell>
        </row>
        <row r="436">
          <cell r="A436" t="str">
            <v>黄骅市致远摩托车配件有限公司</v>
          </cell>
          <cell r="B436">
            <v>0</v>
          </cell>
        </row>
        <row r="437">
          <cell r="A437" t="str">
            <v>黄骅市智美办公用品门市部</v>
          </cell>
          <cell r="B437">
            <v>0</v>
          </cell>
        </row>
        <row r="438">
          <cell r="A438" t="str">
            <v>黄骅市中医医院</v>
          </cell>
          <cell r="B438">
            <v>0</v>
          </cell>
        </row>
        <row r="439">
          <cell r="A439" t="str">
            <v>黄骅信誉楼百货集团有限公司黄骅信誉楼商厦</v>
          </cell>
          <cell r="B439">
            <v>0</v>
          </cell>
        </row>
        <row r="440">
          <cell r="A440" t="str">
            <v>吉林省国际仓储运输有限公司</v>
          </cell>
          <cell r="B440">
            <v>0</v>
          </cell>
        </row>
        <row r="441">
          <cell r="A441" t="str">
            <v>吉林省裕隆机电设备零部件有限公司</v>
          </cell>
          <cell r="B441">
            <v>0</v>
          </cell>
        </row>
        <row r="442">
          <cell r="A442" t="str">
            <v>济南广武数控设备有限公司</v>
          </cell>
          <cell r="B442">
            <v>0</v>
          </cell>
        </row>
        <row r="443">
          <cell r="A443" t="str">
            <v>济南恒发一诚聚氨酯有限公司</v>
          </cell>
          <cell r="B443">
            <v>0</v>
          </cell>
        </row>
        <row r="444">
          <cell r="A444" t="str">
            <v>济南时代试金试验机有限公司</v>
          </cell>
          <cell r="B444">
            <v>0</v>
          </cell>
        </row>
        <row r="445">
          <cell r="A445" t="str">
            <v>济南岩安电子科技有限公司</v>
          </cell>
          <cell r="B445">
            <v>0</v>
          </cell>
        </row>
        <row r="446">
          <cell r="A446" t="str">
            <v>冀州市北内汽车座椅有限公司</v>
          </cell>
          <cell r="B446">
            <v>0</v>
          </cell>
        </row>
        <row r="447">
          <cell r="A447" t="str">
            <v>佳化化学（滨州）有限公司</v>
          </cell>
          <cell r="B447">
            <v>0</v>
          </cell>
        </row>
        <row r="448">
          <cell r="A448" t="str">
            <v>嘉兴市南湖区东栅街道嘉环中电子产品经营部</v>
          </cell>
          <cell r="B448">
            <v>0</v>
          </cell>
        </row>
        <row r="449">
          <cell r="A449" t="str">
            <v>嘉兴市松玖机电设备有限公司</v>
          </cell>
          <cell r="B449">
            <v>0</v>
          </cell>
        </row>
        <row r="450">
          <cell r="A450" t="str">
            <v>建生裕科（上海）贸易有限公司</v>
          </cell>
          <cell r="B450">
            <v>0</v>
          </cell>
        </row>
        <row r="451">
          <cell r="A451" t="str">
            <v>江苏艾文德悦达汽车内饰有限公司</v>
          </cell>
          <cell r="B451">
            <v>0</v>
          </cell>
        </row>
        <row r="452">
          <cell r="A452" t="str">
            <v>江苏力乐汽车部件股份有限公司</v>
          </cell>
          <cell r="B452">
            <v>0</v>
          </cell>
        </row>
        <row r="453">
          <cell r="A453" t="str">
            <v>江苏申牌万向轮有限公司</v>
          </cell>
          <cell r="B453">
            <v>0</v>
          </cell>
        </row>
        <row r="454">
          <cell r="A454" t="str">
            <v>江苏万金汽车零部件制造有限公司</v>
          </cell>
          <cell r="B454">
            <v>0</v>
          </cell>
        </row>
        <row r="455">
          <cell r="A455" t="str">
            <v>江苏扬力集团有限公司</v>
          </cell>
          <cell r="B455">
            <v>0</v>
          </cell>
        </row>
        <row r="456">
          <cell r="A456" t="str">
            <v>江苏忠明祥和精工股份有限公司</v>
          </cell>
          <cell r="B456">
            <v>0</v>
          </cell>
        </row>
        <row r="457">
          <cell r="A457" t="str">
            <v>江阴长青工艺品有限公司</v>
          </cell>
          <cell r="B457">
            <v>0</v>
          </cell>
        </row>
        <row r="458">
          <cell r="A458" t="str">
            <v>江阴市诚信模具有限公司</v>
          </cell>
          <cell r="B458">
            <v>0</v>
          </cell>
        </row>
        <row r="459">
          <cell r="A459" t="str">
            <v>江阴市达安汽车零部件有限公司</v>
          </cell>
          <cell r="B459">
            <v>0</v>
          </cell>
        </row>
        <row r="460">
          <cell r="A460" t="str">
            <v>江阴市利剑金刚石工磨具有限公司</v>
          </cell>
          <cell r="B460">
            <v>0</v>
          </cell>
        </row>
        <row r="461">
          <cell r="A461" t="str">
            <v>江阴市信佳科贸有限公司</v>
          </cell>
          <cell r="B461">
            <v>0</v>
          </cell>
        </row>
        <row r="462">
          <cell r="A462" t="str">
            <v>金丰（中国）机械工业有限公司</v>
          </cell>
          <cell r="B462">
            <v>0</v>
          </cell>
        </row>
        <row r="463">
          <cell r="A463" t="str">
            <v>金世纪电缆集团有限公司</v>
          </cell>
          <cell r="B463">
            <v>0</v>
          </cell>
        </row>
        <row r="464">
          <cell r="A464" t="str">
            <v>景德镇景兴物流有限公司</v>
          </cell>
          <cell r="B464">
            <v>0</v>
          </cell>
        </row>
        <row r="465">
          <cell r="A465" t="str">
            <v>孔令兰</v>
          </cell>
          <cell r="B465">
            <v>0</v>
          </cell>
        </row>
        <row r="466">
          <cell r="A466" t="str">
            <v>旷达汽车饰件系统有限公司</v>
          </cell>
          <cell r="B466">
            <v>200000</v>
          </cell>
        </row>
        <row r="467">
          <cell r="A467" t="str">
            <v>旷达汽车饰件有限公司</v>
          </cell>
          <cell r="B467">
            <v>610000</v>
          </cell>
        </row>
        <row r="468">
          <cell r="A468" t="str">
            <v>昆山福如斯精密机械有限公司</v>
          </cell>
          <cell r="B468">
            <v>0</v>
          </cell>
        </row>
        <row r="469">
          <cell r="A469" t="str">
            <v>昆山鸿毅达精密模具有限公司</v>
          </cell>
          <cell r="B469">
            <v>0</v>
          </cell>
        </row>
        <row r="470">
          <cell r="A470" t="str">
            <v>昆山瑞翔自动化科技有限公司</v>
          </cell>
          <cell r="B470">
            <v>0</v>
          </cell>
        </row>
        <row r="471">
          <cell r="A471" t="str">
            <v>昆山市永盛制线有限公司</v>
          </cell>
          <cell r="B471">
            <v>0</v>
          </cell>
        </row>
        <row r="472">
          <cell r="A472" t="str">
            <v>昆山市玉山镇钛晶邦机电商行</v>
          </cell>
          <cell r="B472">
            <v>0</v>
          </cell>
        </row>
        <row r="473">
          <cell r="A473" t="str">
            <v>昆山维尔利环保科技有限公司</v>
          </cell>
          <cell r="B473">
            <v>0</v>
          </cell>
        </row>
        <row r="474">
          <cell r="A474" t="str">
            <v>莱茵贝格电梯（北京）有限公司第六分公司</v>
          </cell>
          <cell r="B474">
            <v>0</v>
          </cell>
        </row>
        <row r="475">
          <cell r="A475" t="str">
            <v>廊坊华文机电设备有限公司</v>
          </cell>
          <cell r="B475">
            <v>0</v>
          </cell>
        </row>
        <row r="476">
          <cell r="A476" t="str">
            <v>廊坊开发区浩泰机械制造有限公司</v>
          </cell>
          <cell r="B476">
            <v>0</v>
          </cell>
        </row>
        <row r="477">
          <cell r="A477" t="str">
            <v>廊坊市烁鑫汽车配件有限公司</v>
          </cell>
          <cell r="B477">
            <v>0</v>
          </cell>
        </row>
        <row r="478">
          <cell r="A478" t="str">
            <v>廊坊一凡水处理工程有限公司</v>
          </cell>
          <cell r="B478">
            <v>0</v>
          </cell>
        </row>
        <row r="479">
          <cell r="A479" t="str">
            <v>廊坊中德汽车座椅制造有限公司</v>
          </cell>
          <cell r="B479">
            <v>0</v>
          </cell>
        </row>
        <row r="480">
          <cell r="A480" t="str">
            <v>李春林</v>
          </cell>
          <cell r="B480">
            <v>0</v>
          </cell>
        </row>
        <row r="481">
          <cell r="A481" t="str">
            <v>溧阳市鑫岩车辆配件厂</v>
          </cell>
          <cell r="B481">
            <v>0</v>
          </cell>
        </row>
        <row r="482">
          <cell r="A482" t="str">
            <v>溧阳万金汽车配件有限公司</v>
          </cell>
          <cell r="B482">
            <v>0</v>
          </cell>
        </row>
        <row r="483">
          <cell r="A483" t="str">
            <v>溧阳鑫岩汽车零部件有限公司</v>
          </cell>
          <cell r="B483">
            <v>0</v>
          </cell>
        </row>
        <row r="484">
          <cell r="A484" t="str">
            <v>辽宁德威纤维制品有限公司</v>
          </cell>
          <cell r="B484">
            <v>0</v>
          </cell>
        </row>
        <row r="485">
          <cell r="A485" t="str">
            <v>辽源市佳林造革有限责任公司</v>
          </cell>
          <cell r="B485">
            <v>0</v>
          </cell>
        </row>
        <row r="486">
          <cell r="A486" t="str">
            <v>刘东德</v>
          </cell>
          <cell r="B486">
            <v>0</v>
          </cell>
        </row>
        <row r="487">
          <cell r="A487" t="str">
            <v>刘金亮</v>
          </cell>
          <cell r="B487">
            <v>0</v>
          </cell>
        </row>
        <row r="488">
          <cell r="A488" t="str">
            <v>刘荣辉</v>
          </cell>
          <cell r="B488">
            <v>0</v>
          </cell>
        </row>
        <row r="489">
          <cell r="A489" t="str">
            <v>洛阳宏润塑业有限公司</v>
          </cell>
          <cell r="B489">
            <v>87670</v>
          </cell>
        </row>
        <row r="490">
          <cell r="A490" t="str">
            <v>马英强</v>
          </cell>
          <cell r="B490">
            <v>0</v>
          </cell>
        </row>
        <row r="491">
          <cell r="A491" t="str">
            <v>马志云</v>
          </cell>
          <cell r="B491">
            <v>0</v>
          </cell>
        </row>
        <row r="492">
          <cell r="A492" t="str">
            <v>美视伊汽车镜控（苏州）有限公司</v>
          </cell>
          <cell r="B492">
            <v>134121.96</v>
          </cell>
        </row>
        <row r="493">
          <cell r="A493" t="str">
            <v>孟村回族自治县旭日汽车配件厂</v>
          </cell>
          <cell r="B493">
            <v>0</v>
          </cell>
        </row>
        <row r="494">
          <cell r="A494" t="str">
            <v>米思米（中国）精密机械贸易有限公司</v>
          </cell>
          <cell r="B494">
            <v>0</v>
          </cell>
        </row>
        <row r="495">
          <cell r="A495" t="str">
            <v>密佳达（北京）塑料机械设备有限公司</v>
          </cell>
          <cell r="B495">
            <v>0</v>
          </cell>
        </row>
        <row r="496">
          <cell r="A496" t="str">
            <v>密山市龙兴制革有限公司</v>
          </cell>
          <cell r="B496">
            <v>0</v>
          </cell>
        </row>
        <row r="497">
          <cell r="A497" t="str">
            <v>明邦（天津）科技有限公司</v>
          </cell>
          <cell r="B497">
            <v>0</v>
          </cell>
        </row>
        <row r="498">
          <cell r="A498" t="str">
            <v>铭涛五金(苏州)有限公司</v>
          </cell>
          <cell r="B498">
            <v>0</v>
          </cell>
        </row>
        <row r="499">
          <cell r="A499" t="str">
            <v>慕斯汽车后视镜系统（无锡）有限公司</v>
          </cell>
          <cell r="B499">
            <v>10000</v>
          </cell>
        </row>
        <row r="500">
          <cell r="A500" t="str">
            <v>纳拓润滑技术（上海）有限公司</v>
          </cell>
          <cell r="B500">
            <v>0</v>
          </cell>
        </row>
        <row r="501">
          <cell r="A501" t="str">
            <v>纳新塑化（上海）有限公司</v>
          </cell>
          <cell r="B501">
            <v>38193.99</v>
          </cell>
        </row>
        <row r="502">
          <cell r="A502" t="str">
            <v>南方中金环境股份有限公司</v>
          </cell>
          <cell r="B502">
            <v>0</v>
          </cell>
        </row>
        <row r="503">
          <cell r="A503" t="str">
            <v>南京聚隆科技股份有限公司</v>
          </cell>
          <cell r="B503">
            <v>0</v>
          </cell>
        </row>
        <row r="504">
          <cell r="A504" t="str">
            <v>南京磐纳科技发展有限公司</v>
          </cell>
          <cell r="B504">
            <v>0</v>
          </cell>
        </row>
        <row r="505">
          <cell r="A505" t="str">
            <v>南皮国名冲压件厂</v>
          </cell>
          <cell r="B505">
            <v>0</v>
          </cell>
        </row>
        <row r="506">
          <cell r="A506" t="str">
            <v>南皮县聚金五金制品有限公司</v>
          </cell>
          <cell r="B506">
            <v>0</v>
          </cell>
        </row>
        <row r="507">
          <cell r="A507" t="str">
            <v>南皮县利辉五金接插件厂</v>
          </cell>
          <cell r="B507">
            <v>0</v>
          </cell>
        </row>
        <row r="508">
          <cell r="A508" t="str">
            <v>南皮县明光五金机电有限公司</v>
          </cell>
          <cell r="B508">
            <v>0</v>
          </cell>
        </row>
        <row r="509">
          <cell r="A509" t="str">
            <v>南皮县泰航五金制造有限公司</v>
          </cell>
          <cell r="B509">
            <v>0</v>
          </cell>
        </row>
        <row r="510">
          <cell r="A510" t="str">
            <v>南皮县望生金属材料有限公司</v>
          </cell>
          <cell r="B510">
            <v>0</v>
          </cell>
        </row>
        <row r="511">
          <cell r="A511" t="str">
            <v>南通南亚汽车新材料有限公司</v>
          </cell>
          <cell r="B511">
            <v>0</v>
          </cell>
        </row>
        <row r="512">
          <cell r="A512" t="str">
            <v>宁波精成车业有限公司</v>
          </cell>
          <cell r="B512">
            <v>0</v>
          </cell>
        </row>
        <row r="513">
          <cell r="A513" t="str">
            <v>宁波瑞元模塑有限公司</v>
          </cell>
          <cell r="B513">
            <v>0</v>
          </cell>
        </row>
        <row r="514">
          <cell r="A514" t="str">
            <v>宁波正耀汽车电器有限公司</v>
          </cell>
          <cell r="B514">
            <v>0</v>
          </cell>
        </row>
        <row r="515">
          <cell r="A515" t="str">
            <v>派博乐安全设备有限公司</v>
          </cell>
          <cell r="B515">
            <v>0</v>
          </cell>
        </row>
        <row r="516">
          <cell r="A516" t="str">
            <v>濮阳市汉克斯机械有限公司</v>
          </cell>
          <cell r="B516">
            <v>0</v>
          </cell>
        </row>
        <row r="517">
          <cell r="A517" t="str">
            <v>普罗名特贸易（大连）有限公司</v>
          </cell>
          <cell r="B517">
            <v>0</v>
          </cell>
        </row>
        <row r="518">
          <cell r="A518" t="str">
            <v>秦皇岛高鹏泡沫塑料有限公司</v>
          </cell>
          <cell r="B518">
            <v>0</v>
          </cell>
        </row>
        <row r="519">
          <cell r="A519" t="str">
            <v>青岛澳海源国际贸易有限公司</v>
          </cell>
          <cell r="B519">
            <v>0</v>
          </cell>
        </row>
        <row r="520">
          <cell r="A520" t="str">
            <v>青岛福基纺织有限公司</v>
          </cell>
          <cell r="B520">
            <v>0</v>
          </cell>
        </row>
        <row r="521">
          <cell r="A521" t="str">
            <v>青岛银泰洁净设备有限公司</v>
          </cell>
          <cell r="B521">
            <v>0</v>
          </cell>
        </row>
        <row r="522">
          <cell r="A522" t="str">
            <v>青县永胜焊接材料厂</v>
          </cell>
          <cell r="B522">
            <v>0</v>
          </cell>
        </row>
        <row r="523">
          <cell r="A523" t="str">
            <v>青州市万向机械有限公司</v>
          </cell>
          <cell r="B523">
            <v>0</v>
          </cell>
        </row>
        <row r="524">
          <cell r="A524" t="str">
            <v>曲阜陆航座椅辅料有限公司</v>
          </cell>
          <cell r="B524">
            <v>0</v>
          </cell>
        </row>
        <row r="525">
          <cell r="A525" t="str">
            <v>人民电器集团黄骅销售有限公司</v>
          </cell>
          <cell r="B525">
            <v>0</v>
          </cell>
        </row>
        <row r="526">
          <cell r="A526" t="str">
            <v>任丘市焊材厂</v>
          </cell>
          <cell r="B526">
            <v>30000</v>
          </cell>
        </row>
        <row r="527">
          <cell r="A527" t="str">
            <v>任丘市力洋压缩机制造有限公司</v>
          </cell>
          <cell r="B527">
            <v>0</v>
          </cell>
        </row>
        <row r="528">
          <cell r="A528" t="str">
            <v>三门县伟狄交通设施厂</v>
          </cell>
          <cell r="B528">
            <v>0</v>
          </cell>
        </row>
        <row r="529">
          <cell r="A529" t="str">
            <v>森织汽车内饰（武汉）有限公司</v>
          </cell>
          <cell r="B529">
            <v>0</v>
          </cell>
        </row>
        <row r="530">
          <cell r="A530" t="str">
            <v>山东东塑机械制造有限公司</v>
          </cell>
          <cell r="B530">
            <v>0</v>
          </cell>
        </row>
        <row r="531">
          <cell r="A531" t="str">
            <v>山东丰泽源皮革有限公司</v>
          </cell>
          <cell r="B531">
            <v>0</v>
          </cell>
        </row>
        <row r="532">
          <cell r="A532" t="str">
            <v>山东格瑞蓝热能设备有限公司</v>
          </cell>
          <cell r="B532">
            <v>0</v>
          </cell>
        </row>
        <row r="533">
          <cell r="A533" t="str">
            <v>山东金达汽车部件制造股份有限公司</v>
          </cell>
          <cell r="B533">
            <v>0</v>
          </cell>
        </row>
        <row r="534">
          <cell r="A534" t="str">
            <v>山东力丰重型机床有限公司</v>
          </cell>
          <cell r="B534">
            <v>0</v>
          </cell>
        </row>
        <row r="535">
          <cell r="A535" t="str">
            <v>山东隆华新材料股份有限公司</v>
          </cell>
          <cell r="B535">
            <v>0</v>
          </cell>
        </row>
        <row r="536">
          <cell r="A536" t="str">
            <v>山东浅海电气有限公司</v>
          </cell>
          <cell r="B536">
            <v>0</v>
          </cell>
        </row>
        <row r="537">
          <cell r="A537" t="str">
            <v>山东省禹城市阳光化工有限公司</v>
          </cell>
          <cell r="B537">
            <v>0</v>
          </cell>
        </row>
        <row r="538">
          <cell r="A538" t="str">
            <v>山东施密特热能设备有限公司</v>
          </cell>
          <cell r="B538">
            <v>0</v>
          </cell>
        </row>
        <row r="539">
          <cell r="A539" t="str">
            <v>山东泰鹏新材料有限公司</v>
          </cell>
          <cell r="B539">
            <v>0</v>
          </cell>
        </row>
        <row r="540">
          <cell r="A540" t="str">
            <v>商玉才</v>
          </cell>
          <cell r="B540">
            <v>0</v>
          </cell>
        </row>
        <row r="541">
          <cell r="A541" t="str">
            <v>上工富怡智能制造（天津）有限公司</v>
          </cell>
          <cell r="B541">
            <v>0</v>
          </cell>
        </row>
        <row r="542">
          <cell r="A542" t="str">
            <v>上海芭仲实业发展有限公司</v>
          </cell>
          <cell r="B542">
            <v>0</v>
          </cell>
        </row>
        <row r="543">
          <cell r="A543" t="str">
            <v>上海奔德汽车零部件有限公司</v>
          </cell>
          <cell r="B543">
            <v>60000</v>
          </cell>
        </row>
        <row r="544">
          <cell r="A544" t="str">
            <v>上海边锋实业有限公司</v>
          </cell>
          <cell r="B544">
            <v>0</v>
          </cell>
        </row>
        <row r="545">
          <cell r="A545" t="str">
            <v>上海畅聊网络科技有限公司</v>
          </cell>
          <cell r="B545">
            <v>0</v>
          </cell>
        </row>
        <row r="546">
          <cell r="A546" t="str">
            <v>上海导全自动化设备有限公司</v>
          </cell>
          <cell r="B546">
            <v>0</v>
          </cell>
        </row>
        <row r="547">
          <cell r="A547" t="str">
            <v>上海工博商贸有限公司</v>
          </cell>
          <cell r="B547">
            <v>0</v>
          </cell>
        </row>
        <row r="548">
          <cell r="A548" t="str">
            <v>上海购福电子商务有限公司</v>
          </cell>
          <cell r="B548">
            <v>0</v>
          </cell>
        </row>
        <row r="549">
          <cell r="A549" t="str">
            <v>上海昊诚泵阀有限公司</v>
          </cell>
          <cell r="B549">
            <v>0</v>
          </cell>
        </row>
        <row r="550">
          <cell r="A550" t="str">
            <v>上海和鹰机电设备有限公司</v>
          </cell>
          <cell r="B550">
            <v>0</v>
          </cell>
        </row>
        <row r="551">
          <cell r="A551" t="str">
            <v>上海亨斯迈聚氨酯有限公司</v>
          </cell>
          <cell r="B551">
            <v>0</v>
          </cell>
        </row>
        <row r="552">
          <cell r="A552" t="str">
            <v>上海沪熙商贸有限公司</v>
          </cell>
          <cell r="B552">
            <v>21745.78</v>
          </cell>
        </row>
        <row r="553">
          <cell r="A553" t="str">
            <v>上海怀德五金机电有限公司</v>
          </cell>
          <cell r="B553">
            <v>0</v>
          </cell>
        </row>
        <row r="554">
          <cell r="A554" t="str">
            <v>上海金力泰化工股份有限公司</v>
          </cell>
          <cell r="B554">
            <v>0</v>
          </cell>
        </row>
        <row r="555">
          <cell r="A555" t="str">
            <v>上海克来机电自动化工程有限公司</v>
          </cell>
          <cell r="B555">
            <v>0</v>
          </cell>
        </row>
        <row r="556">
          <cell r="A556" t="str">
            <v>上海利用锁具有限公司</v>
          </cell>
          <cell r="B556">
            <v>0</v>
          </cell>
        </row>
        <row r="557">
          <cell r="A557" t="str">
            <v>上海名华悬挂输送机有限公司</v>
          </cell>
          <cell r="B557">
            <v>0</v>
          </cell>
        </row>
        <row r="558">
          <cell r="A558" t="str">
            <v>上海明芳汽车零件有限公司</v>
          </cell>
          <cell r="B558">
            <v>0</v>
          </cell>
        </row>
        <row r="559">
          <cell r="A559" t="str">
            <v>上海腾基机械设备有限公司</v>
          </cell>
          <cell r="B559">
            <v>14115</v>
          </cell>
        </row>
        <row r="560">
          <cell r="A560" t="str">
            <v>上海旭伽贸易有限公司</v>
          </cell>
          <cell r="B560">
            <v>0</v>
          </cell>
        </row>
        <row r="561">
          <cell r="A561" t="str">
            <v>上海研润光机科技有限公司</v>
          </cell>
          <cell r="B561">
            <v>0</v>
          </cell>
        </row>
        <row r="562">
          <cell r="A562" t="str">
            <v>上海奕盛信息技术有限公司</v>
          </cell>
          <cell r="B562">
            <v>0</v>
          </cell>
        </row>
        <row r="563">
          <cell r="A563" t="str">
            <v>上海优诺特实业股份有限公司</v>
          </cell>
          <cell r="B563">
            <v>0</v>
          </cell>
        </row>
        <row r="564">
          <cell r="A564" t="str">
            <v>上海誉星电子有限公司</v>
          </cell>
          <cell r="B564">
            <v>0</v>
          </cell>
        </row>
        <row r="565">
          <cell r="A565" t="str">
            <v>上海绽奇工贸有限公司</v>
          </cell>
          <cell r="B565">
            <v>0</v>
          </cell>
        </row>
        <row r="566">
          <cell r="A566" t="str">
            <v>深圳市固特灵胶业有限公司</v>
          </cell>
          <cell r="B566">
            <v>0</v>
          </cell>
        </row>
        <row r="567">
          <cell r="A567" t="str">
            <v>深圳市宏升风机设备有限公司</v>
          </cell>
          <cell r="B567">
            <v>0</v>
          </cell>
        </row>
        <row r="568">
          <cell r="A568" t="str">
            <v>深圳市互成自动化设备有限公司</v>
          </cell>
          <cell r="B568">
            <v>0</v>
          </cell>
        </row>
        <row r="569">
          <cell r="A569" t="str">
            <v>深圳市华亚数控机床有限公司</v>
          </cell>
          <cell r="B569">
            <v>0</v>
          </cell>
        </row>
        <row r="570">
          <cell r="A570" t="str">
            <v>深圳市立恒视觉技术有限公司</v>
          </cell>
          <cell r="B570">
            <v>0</v>
          </cell>
        </row>
        <row r="571">
          <cell r="A571" t="str">
            <v>深圳市森瑞普电子有限公司</v>
          </cell>
          <cell r="B571">
            <v>0</v>
          </cell>
        </row>
        <row r="572">
          <cell r="A572" t="str">
            <v>深圳市顺镒五金机电有限公司</v>
          </cell>
          <cell r="B572">
            <v>0</v>
          </cell>
        </row>
        <row r="573">
          <cell r="A573" t="str">
            <v>深圳市万泉河科技有限公司</v>
          </cell>
          <cell r="B573">
            <v>0</v>
          </cell>
        </row>
        <row r="574">
          <cell r="A574" t="str">
            <v>深州市安广顺机械配件有限公司</v>
          </cell>
          <cell r="B574">
            <v>0</v>
          </cell>
        </row>
        <row r="575">
          <cell r="A575" t="str">
            <v>深州市华星塑胶制品有限公司</v>
          </cell>
          <cell r="B575">
            <v>0</v>
          </cell>
        </row>
        <row r="576">
          <cell r="A576" t="str">
            <v>深州市卓伦橡塑磨具有限公司</v>
          </cell>
          <cell r="B576">
            <v>170000</v>
          </cell>
        </row>
        <row r="577">
          <cell r="A577" t="str">
            <v>沈阳市鼎华机械设备制造厂</v>
          </cell>
          <cell r="B577">
            <v>0</v>
          </cell>
        </row>
        <row r="578">
          <cell r="A578" t="str">
            <v>石家庄霍克叉车设备有限公司</v>
          </cell>
          <cell r="B578">
            <v>0</v>
          </cell>
        </row>
        <row r="579">
          <cell r="A579" t="str">
            <v>石家庄金盾安全技术工程有限公司沧州分公司</v>
          </cell>
          <cell r="B579">
            <v>0</v>
          </cell>
        </row>
        <row r="580">
          <cell r="A580" t="str">
            <v>石家庄跨越物流有限公司</v>
          </cell>
          <cell r="B580">
            <v>85965.31</v>
          </cell>
        </row>
        <row r="581">
          <cell r="A581" t="str">
            <v>石家庄松樾机械设备销售有限公司</v>
          </cell>
          <cell r="B581">
            <v>0</v>
          </cell>
        </row>
        <row r="582">
          <cell r="A582" t="str">
            <v>市场采购</v>
          </cell>
          <cell r="B582">
            <v>0</v>
          </cell>
        </row>
        <row r="583">
          <cell r="A583" t="str">
            <v>沭阳县嘉福商贸中心</v>
          </cell>
          <cell r="B583">
            <v>0</v>
          </cell>
        </row>
        <row r="584">
          <cell r="A584" t="str">
            <v>苏瑞电子设备（北京）有限公司</v>
          </cell>
          <cell r="B584">
            <v>0</v>
          </cell>
        </row>
        <row r="585">
          <cell r="A585" t="str">
            <v>苏州高登威科技股份有限公司</v>
          </cell>
          <cell r="B585">
            <v>0</v>
          </cell>
        </row>
        <row r="586">
          <cell r="A586" t="str">
            <v>苏州高新区旭达输送机械有限公司</v>
          </cell>
          <cell r="B586">
            <v>0</v>
          </cell>
        </row>
        <row r="587">
          <cell r="A587" t="str">
            <v>苏州格力富机电科技有限公司</v>
          </cell>
          <cell r="B587">
            <v>0</v>
          </cell>
        </row>
        <row r="588">
          <cell r="A588" t="str">
            <v>苏州华尔普机械有限公司</v>
          </cell>
          <cell r="B588">
            <v>0</v>
          </cell>
        </row>
        <row r="589">
          <cell r="A589" t="str">
            <v>苏州瑞尔福精密模具有限公司</v>
          </cell>
          <cell r="B589">
            <v>0</v>
          </cell>
        </row>
        <row r="590">
          <cell r="A590" t="str">
            <v>苏州市荣威模具有限公司</v>
          </cell>
          <cell r="B590">
            <v>1595000</v>
          </cell>
        </row>
        <row r="591">
          <cell r="A591" t="str">
            <v>苏州泰克优自动化科技有限公司</v>
          </cell>
          <cell r="B591">
            <v>0</v>
          </cell>
        </row>
        <row r="592">
          <cell r="A592" t="str">
            <v>苏州耀腾光电有限公司</v>
          </cell>
          <cell r="B592">
            <v>0</v>
          </cell>
        </row>
        <row r="593">
          <cell r="A593" t="str">
            <v>苏州智华汽车电子有限公司</v>
          </cell>
          <cell r="B593">
            <v>0</v>
          </cell>
        </row>
        <row r="594">
          <cell r="A594" t="str">
            <v>宿迁京狗电子商务有限公司</v>
          </cell>
          <cell r="B594">
            <v>0</v>
          </cell>
        </row>
        <row r="595">
          <cell r="A595" t="str">
            <v>塑宝环保机械（太仓）有限公司</v>
          </cell>
          <cell r="B595">
            <v>0</v>
          </cell>
        </row>
        <row r="596">
          <cell r="A596" t="str">
            <v>泰州市罡阳龙宇机械厂</v>
          </cell>
          <cell r="B596">
            <v>0</v>
          </cell>
        </row>
        <row r="597">
          <cell r="A597" t="str">
            <v>唐山京联制线有限公司</v>
          </cell>
          <cell r="B597">
            <v>0</v>
          </cell>
        </row>
        <row r="598">
          <cell r="A598" t="str">
            <v>唐山市丰润区报喜坨扁钢厂（普通合伙）</v>
          </cell>
          <cell r="B598">
            <v>0</v>
          </cell>
        </row>
        <row r="599">
          <cell r="A599" t="str">
            <v>唐山松下产业机器有限公司</v>
          </cell>
          <cell r="B599">
            <v>0</v>
          </cell>
        </row>
        <row r="600">
          <cell r="A600" t="str">
            <v>唐兴压缩技术（昆山）有限公司</v>
          </cell>
          <cell r="B600">
            <v>0</v>
          </cell>
        </row>
        <row r="601">
          <cell r="A601" t="str">
            <v>天津安美润滑科技有限公司</v>
          </cell>
          <cell r="B601">
            <v>0</v>
          </cell>
        </row>
        <row r="602">
          <cell r="A602" t="str">
            <v>天津澳晨科技有限公司</v>
          </cell>
          <cell r="B602">
            <v>0</v>
          </cell>
        </row>
        <row r="603">
          <cell r="A603" t="str">
            <v>天津宝盈电脑机械有限公司</v>
          </cell>
          <cell r="B603">
            <v>0</v>
          </cell>
        </row>
        <row r="604">
          <cell r="A604" t="str">
            <v>天津北方合力叉车有限公司石家庄分公司</v>
          </cell>
          <cell r="B604">
            <v>0</v>
          </cell>
        </row>
        <row r="605">
          <cell r="A605" t="str">
            <v>天津冠崴精密机械有限公司</v>
          </cell>
          <cell r="B605">
            <v>0</v>
          </cell>
        </row>
        <row r="606">
          <cell r="A606" t="str">
            <v>天津恒昌达绝缘材料有限公司</v>
          </cell>
          <cell r="B606">
            <v>0</v>
          </cell>
        </row>
        <row r="607">
          <cell r="A607" t="str">
            <v>天津华钢投资发展有限公司</v>
          </cell>
          <cell r="B607">
            <v>0</v>
          </cell>
        </row>
        <row r="608">
          <cell r="A608" t="str">
            <v>天津华兰文鑫文化用品商贸有限公司</v>
          </cell>
          <cell r="B608">
            <v>0</v>
          </cell>
        </row>
        <row r="609">
          <cell r="A609" t="str">
            <v>天津级进精工科技有限公司</v>
          </cell>
          <cell r="B609">
            <v>0</v>
          </cell>
        </row>
        <row r="610">
          <cell r="A610" t="str">
            <v>天津金发新材料有限公司</v>
          </cell>
          <cell r="B610">
            <v>190000</v>
          </cell>
        </row>
        <row r="611">
          <cell r="A611" t="str">
            <v>天津精美特表面技术有限公司</v>
          </cell>
          <cell r="B611">
            <v>500000</v>
          </cell>
        </row>
        <row r="612">
          <cell r="A612" t="str">
            <v>天津景宝田金属材料贸易有限公司</v>
          </cell>
          <cell r="B612">
            <v>0</v>
          </cell>
        </row>
        <row r="613">
          <cell r="A613" t="str">
            <v>天津开山金属模具科技有限公司</v>
          </cell>
          <cell r="B613">
            <v>0</v>
          </cell>
        </row>
        <row r="614">
          <cell r="A614" t="str">
            <v>天津科特迪涂装设备有限公司</v>
          </cell>
          <cell r="B614">
            <v>0</v>
          </cell>
        </row>
        <row r="615">
          <cell r="A615" t="str">
            <v>天津利迪科技发展有限公司</v>
          </cell>
          <cell r="B615">
            <v>41000</v>
          </cell>
        </row>
        <row r="616">
          <cell r="A616" t="str">
            <v>天津联一劳务服务有限公司</v>
          </cell>
          <cell r="B616">
            <v>0</v>
          </cell>
        </row>
        <row r="617">
          <cell r="A617" t="str">
            <v>天津尼嘉斯机械设备销售有限公司</v>
          </cell>
          <cell r="B617">
            <v>0</v>
          </cell>
        </row>
        <row r="618">
          <cell r="A618" t="str">
            <v>天津欧尔派斯环保科技发展有限公司</v>
          </cell>
          <cell r="B618">
            <v>150000</v>
          </cell>
        </row>
        <row r="619">
          <cell r="A619" t="str">
            <v>天津霹雳马商贸有限公司</v>
          </cell>
          <cell r="B619">
            <v>0</v>
          </cell>
        </row>
        <row r="620">
          <cell r="A620" t="str">
            <v>天津市奥特威德焊接技术有限公司</v>
          </cell>
          <cell r="B620">
            <v>0</v>
          </cell>
        </row>
        <row r="621">
          <cell r="A621" t="str">
            <v>天津市佰盟科技发展有限公司</v>
          </cell>
          <cell r="B621">
            <v>0</v>
          </cell>
        </row>
        <row r="622">
          <cell r="A622" t="str">
            <v>天津市柏韦特润滑油脂有限公司</v>
          </cell>
          <cell r="B622">
            <v>0</v>
          </cell>
        </row>
        <row r="623">
          <cell r="A623" t="str">
            <v>天津市宝驰汽车部件有限公司</v>
          </cell>
          <cell r="B623">
            <v>0</v>
          </cell>
        </row>
        <row r="624">
          <cell r="A624" t="str">
            <v>天津市宝信达工贸有限公司</v>
          </cell>
          <cell r="B624">
            <v>0</v>
          </cell>
        </row>
        <row r="625">
          <cell r="A625" t="str">
            <v>天津市滨达五金交电有限公司</v>
          </cell>
          <cell r="B625">
            <v>0</v>
          </cell>
        </row>
        <row r="626">
          <cell r="A626" t="str">
            <v>天津市大港区宏达五金冲压厂（刘炳淮）</v>
          </cell>
          <cell r="B626">
            <v>0</v>
          </cell>
        </row>
        <row r="627">
          <cell r="A627" t="str">
            <v>天津市富安捷泡沫塑料制品有限公司</v>
          </cell>
          <cell r="B627">
            <v>0</v>
          </cell>
        </row>
        <row r="628">
          <cell r="A628" t="str">
            <v>天津市金晶气体压缩机制造有限公司</v>
          </cell>
          <cell r="B628">
            <v>0</v>
          </cell>
        </row>
        <row r="629">
          <cell r="A629" t="str">
            <v>天津市津荣兴钢铁贸易有限公司</v>
          </cell>
          <cell r="B629">
            <v>0</v>
          </cell>
        </row>
        <row r="630">
          <cell r="A630" t="str">
            <v>天津市科利达塑料制品有限公司</v>
          </cell>
          <cell r="B630">
            <v>0</v>
          </cell>
        </row>
        <row r="631">
          <cell r="A631" t="str">
            <v>天津市旷达汽车织物有限公司</v>
          </cell>
          <cell r="B631">
            <v>0</v>
          </cell>
        </row>
        <row r="632">
          <cell r="A632" t="str">
            <v>天津市鹏升汽车部件有限公司</v>
          </cell>
          <cell r="B632">
            <v>0</v>
          </cell>
        </row>
        <row r="633">
          <cell r="A633" t="str">
            <v>天津市平江工贸有限公司</v>
          </cell>
          <cell r="B633">
            <v>0</v>
          </cell>
        </row>
        <row r="634">
          <cell r="A634" t="str">
            <v>天津市双得利金属制品有限公司</v>
          </cell>
          <cell r="B634">
            <v>0</v>
          </cell>
        </row>
        <row r="635">
          <cell r="A635" t="str">
            <v>天津市腾达宇恒科技有限公司</v>
          </cell>
          <cell r="B635">
            <v>0</v>
          </cell>
        </row>
        <row r="636">
          <cell r="A636" t="str">
            <v>天津市天龙得冷成型部件有限公司</v>
          </cell>
          <cell r="B636">
            <v>0</v>
          </cell>
        </row>
        <row r="637">
          <cell r="A637" t="str">
            <v>天津市天一科技有限公司</v>
          </cell>
          <cell r="B637">
            <v>0</v>
          </cell>
        </row>
        <row r="638">
          <cell r="A638" t="str">
            <v>天津市先瑞科技有限公司</v>
          </cell>
          <cell r="B638">
            <v>0</v>
          </cell>
        </row>
        <row r="639">
          <cell r="A639" t="str">
            <v>天津市远丰化工产品贸易有限公司</v>
          </cell>
          <cell r="B639">
            <v>1537946</v>
          </cell>
        </row>
        <row r="640">
          <cell r="A640" t="str">
            <v>天津思锐自动化技术有限公司</v>
          </cell>
          <cell r="B640">
            <v>25990</v>
          </cell>
        </row>
        <row r="641">
          <cell r="A641" t="str">
            <v>天津速凯科技发展有限公司</v>
          </cell>
          <cell r="B641">
            <v>0</v>
          </cell>
        </row>
        <row r="642">
          <cell r="A642" t="str">
            <v>天津万塑新材料科技有限公司</v>
          </cell>
          <cell r="B642">
            <v>0</v>
          </cell>
        </row>
        <row r="643">
          <cell r="A643" t="str">
            <v>天津祥顺科技发展有限公司沧州分公司</v>
          </cell>
          <cell r="B643">
            <v>0</v>
          </cell>
        </row>
        <row r="644">
          <cell r="A644" t="str">
            <v>天津鑫强达工贸有限公司</v>
          </cell>
          <cell r="B644">
            <v>0</v>
          </cell>
        </row>
        <row r="645">
          <cell r="A645" t="str">
            <v>天津亚铁商贸有限公司</v>
          </cell>
          <cell r="B645">
            <v>0</v>
          </cell>
        </row>
        <row r="646">
          <cell r="A646" t="str">
            <v>天津一番荣科技有限公司</v>
          </cell>
          <cell r="B646">
            <v>0</v>
          </cell>
        </row>
        <row r="647">
          <cell r="A647" t="str">
            <v>天津优普达特科技有限公司</v>
          </cell>
          <cell r="B647">
            <v>0</v>
          </cell>
        </row>
        <row r="648">
          <cell r="A648" t="str">
            <v>天津舟洲劳务派遣有限公司</v>
          </cell>
          <cell r="B648">
            <v>0</v>
          </cell>
        </row>
        <row r="649">
          <cell r="A649" t="str">
            <v>天津洲海科技发展有限公司</v>
          </cell>
          <cell r="B649">
            <v>0</v>
          </cell>
        </row>
        <row r="650">
          <cell r="A650" t="str">
            <v>天津卓灿商贸有限公司</v>
          </cell>
          <cell r="B650">
            <v>0</v>
          </cell>
        </row>
        <row r="651">
          <cell r="A651" t="str">
            <v>万华化学（北京）有限公司</v>
          </cell>
          <cell r="B651">
            <v>0</v>
          </cell>
        </row>
        <row r="652">
          <cell r="A652" t="str">
            <v>万华化学（烟台）销售有限公司</v>
          </cell>
          <cell r="B652">
            <v>367000</v>
          </cell>
        </row>
        <row r="653">
          <cell r="A653" t="str">
            <v>王景辉</v>
          </cell>
          <cell r="B653">
            <v>0</v>
          </cell>
        </row>
        <row r="654">
          <cell r="A654" t="str">
            <v>王连营</v>
          </cell>
          <cell r="B654">
            <v>10000</v>
          </cell>
        </row>
        <row r="655">
          <cell r="A655" t="str">
            <v>网银在线（北京）科技有限公司客户备付金</v>
          </cell>
          <cell r="B655">
            <v>0</v>
          </cell>
        </row>
        <row r="656">
          <cell r="A656" t="str">
            <v>威县永盛汽车配件制造有限公司</v>
          </cell>
          <cell r="B656">
            <v>0</v>
          </cell>
        </row>
        <row r="657">
          <cell r="A657" t="str">
            <v>潍坊光华荣昌汽车技术有限公司</v>
          </cell>
          <cell r="B657">
            <v>5881869.79</v>
          </cell>
        </row>
        <row r="658">
          <cell r="A658" t="str">
            <v>温州市瓯海茶山同悦海绵制品厂</v>
          </cell>
          <cell r="B658">
            <v>3000</v>
          </cell>
        </row>
        <row r="659">
          <cell r="A659" t="str">
            <v>温州万福机电有限公司</v>
          </cell>
          <cell r="B659">
            <v>15742</v>
          </cell>
        </row>
        <row r="660">
          <cell r="A660" t="str">
            <v>温州万泰橡塑股份有限公司</v>
          </cell>
          <cell r="B660">
            <v>1800</v>
          </cell>
        </row>
        <row r="661">
          <cell r="A661" t="str">
            <v>文安县鲍氏模具皮纹加工有限公司</v>
          </cell>
          <cell r="B661">
            <v>0</v>
          </cell>
        </row>
        <row r="662">
          <cell r="A662" t="str">
            <v>文安县德实汽车配件有限公司</v>
          </cell>
          <cell r="B662">
            <v>20000</v>
          </cell>
        </row>
        <row r="663">
          <cell r="A663" t="str">
            <v>文登市凤凰婷装饰有限公司</v>
          </cell>
          <cell r="B663">
            <v>0</v>
          </cell>
        </row>
        <row r="664">
          <cell r="A664" t="str">
            <v>文登太成电子有限公司</v>
          </cell>
          <cell r="B664">
            <v>0</v>
          </cell>
        </row>
        <row r="665">
          <cell r="A665" t="str">
            <v>沃尔瓦格涂料（廊坊）有限公司</v>
          </cell>
          <cell r="B665">
            <v>0</v>
          </cell>
        </row>
        <row r="666">
          <cell r="A666" t="str">
            <v>无极县淼海皮革制品有限公司</v>
          </cell>
          <cell r="B666">
            <v>0</v>
          </cell>
        </row>
        <row r="667">
          <cell r="A667" t="str">
            <v>无锡赛典高频电子设备有限公司</v>
          </cell>
          <cell r="B667">
            <v>0</v>
          </cell>
        </row>
        <row r="668">
          <cell r="A668" t="str">
            <v>无锡市宏伟彩印包装有限公司</v>
          </cell>
          <cell r="B668">
            <v>0</v>
          </cell>
        </row>
        <row r="669">
          <cell r="A669" t="str">
            <v>无锡苏辰汽车部件有限公司</v>
          </cell>
          <cell r="B669">
            <v>45870</v>
          </cell>
        </row>
        <row r="670">
          <cell r="A670" t="str">
            <v>芜湖市卓人汽车配件有限公司</v>
          </cell>
          <cell r="B670">
            <v>10000</v>
          </cell>
        </row>
        <row r="671">
          <cell r="A671" t="str">
            <v>芜湖星火软轴控制索制造有限公司</v>
          </cell>
          <cell r="B671">
            <v>0</v>
          </cell>
        </row>
        <row r="672">
          <cell r="A672" t="str">
            <v>武汉恒新国仪科技有限公司</v>
          </cell>
          <cell r="B672">
            <v>0</v>
          </cell>
        </row>
        <row r="673">
          <cell r="A673" t="str">
            <v>西安光华荣昌汽车部件有限公司</v>
          </cell>
          <cell r="B673">
            <v>0</v>
          </cell>
        </row>
        <row r="674">
          <cell r="A674" t="str">
            <v>西安海容塑料制品有限责任公司</v>
          </cell>
          <cell r="B674">
            <v>14400</v>
          </cell>
        </row>
        <row r="675">
          <cell r="A675" t="str">
            <v>厦门劲亨五金工业有限公司</v>
          </cell>
          <cell r="B675">
            <v>0</v>
          </cell>
        </row>
        <row r="676">
          <cell r="A676" t="str">
            <v>厦门凯平化工有限公司</v>
          </cell>
          <cell r="B676">
            <v>0</v>
          </cell>
        </row>
        <row r="677">
          <cell r="A677" t="str">
            <v>厦门市三友和机械有限公司</v>
          </cell>
          <cell r="B677">
            <v>0</v>
          </cell>
        </row>
        <row r="678">
          <cell r="A678" t="str">
            <v>厦门中惠达贸易有限公司</v>
          </cell>
          <cell r="B678">
            <v>0</v>
          </cell>
        </row>
        <row r="679">
          <cell r="A679" t="str">
            <v>湘乡简美汽车部件有限公司</v>
          </cell>
          <cell r="B679">
            <v>0</v>
          </cell>
        </row>
        <row r="680">
          <cell r="A680" t="str">
            <v>襄阳杰创化工新材料有限公司</v>
          </cell>
          <cell r="B680">
            <v>0</v>
          </cell>
        </row>
        <row r="681">
          <cell r="A681" t="str">
            <v>象山天星汽配有限责任公司</v>
          </cell>
          <cell r="B681">
            <v>0</v>
          </cell>
        </row>
        <row r="682">
          <cell r="A682" t="str">
            <v>辛集市兴恒福利海绵复合厂</v>
          </cell>
          <cell r="B682">
            <v>0</v>
          </cell>
        </row>
        <row r="683">
          <cell r="A683" t="str">
            <v>新梦顶（上海）贸易有限公司</v>
          </cell>
          <cell r="B683">
            <v>0</v>
          </cell>
        </row>
        <row r="684">
          <cell r="A684" t="str">
            <v>新乡市中原起重机设备总厂有限公司</v>
          </cell>
          <cell r="B684">
            <v>0</v>
          </cell>
        </row>
        <row r="685">
          <cell r="A685" t="str">
            <v>雄县华增汽车饰件有限公司</v>
          </cell>
          <cell r="B685">
            <v>0</v>
          </cell>
        </row>
        <row r="686">
          <cell r="A686" t="str">
            <v>雄县五顺革塑有限公司</v>
          </cell>
          <cell r="B686">
            <v>5121.6</v>
          </cell>
        </row>
        <row r="687">
          <cell r="A687" t="str">
            <v>徐林强</v>
          </cell>
          <cell r="B687">
            <v>0</v>
          </cell>
        </row>
        <row r="688">
          <cell r="A688" t="str">
            <v>徐州华夏电子有限公司</v>
          </cell>
          <cell r="B688">
            <v>0</v>
          </cell>
        </row>
        <row r="689">
          <cell r="A689" t="str">
            <v>亚德客（天津）智能科技有限公司</v>
          </cell>
          <cell r="B689">
            <v>0</v>
          </cell>
        </row>
        <row r="690">
          <cell r="A690" t="str">
            <v>亚德客（中国）有限公司石家庄分公司</v>
          </cell>
          <cell r="B690">
            <v>0</v>
          </cell>
        </row>
        <row r="691">
          <cell r="A691" t="str">
            <v>烟台青沪纸业有限公司</v>
          </cell>
          <cell r="B691">
            <v>0</v>
          </cell>
        </row>
        <row r="692">
          <cell r="A692" t="str">
            <v>盐城恒明弹簧有限公司</v>
          </cell>
          <cell r="B692">
            <v>0</v>
          </cell>
        </row>
        <row r="693">
          <cell r="A693" t="str">
            <v>盐山县大华五金销售有限公司</v>
          </cell>
          <cell r="B693">
            <v>0</v>
          </cell>
        </row>
        <row r="694">
          <cell r="A694" t="str">
            <v>兖州市金达汽车装饰布业有限公司</v>
          </cell>
          <cell r="B694">
            <v>0</v>
          </cell>
        </row>
        <row r="695">
          <cell r="A695" t="str">
            <v>扬州康锴涂装机械有限公司</v>
          </cell>
          <cell r="B695">
            <v>0</v>
          </cell>
        </row>
        <row r="696">
          <cell r="A696" t="str">
            <v>扬州三鸣环保科技有限公司</v>
          </cell>
          <cell r="B696">
            <v>0</v>
          </cell>
        </row>
        <row r="697">
          <cell r="A697" t="str">
            <v>宜科（天津）电子有限公司</v>
          </cell>
          <cell r="B697">
            <v>0</v>
          </cell>
        </row>
        <row r="698">
          <cell r="A698" t="str">
            <v>易格斯拖链轴承仓储贸易（上海）有限公司</v>
          </cell>
          <cell r="B698">
            <v>2008.58</v>
          </cell>
        </row>
        <row r="699">
          <cell r="A699" t="str">
            <v>永年县国泰标准件有限公司</v>
          </cell>
          <cell r="B699">
            <v>0</v>
          </cell>
        </row>
        <row r="700">
          <cell r="A700" t="str">
            <v>于国才</v>
          </cell>
          <cell r="B700">
            <v>0</v>
          </cell>
        </row>
        <row r="701">
          <cell r="A701" t="str">
            <v>余姚市嘉瑞达机械配件厂</v>
          </cell>
          <cell r="B701">
            <v>0</v>
          </cell>
        </row>
        <row r="702">
          <cell r="A702" t="str">
            <v>禹城聚德丰化工有限公司</v>
          </cell>
          <cell r="B702">
            <v>0</v>
          </cell>
        </row>
        <row r="703">
          <cell r="A703" t="str">
            <v>张长峰</v>
          </cell>
          <cell r="B703">
            <v>0</v>
          </cell>
        </row>
        <row r="704">
          <cell r="A704" t="str">
            <v>张家港保税区得英达利化工材料有限公司</v>
          </cell>
          <cell r="B704">
            <v>9816.4</v>
          </cell>
        </row>
        <row r="705">
          <cell r="A705" t="str">
            <v>张家港方圆管业制造有限公司</v>
          </cell>
          <cell r="B705">
            <v>0</v>
          </cell>
        </row>
        <row r="706">
          <cell r="A706" t="str">
            <v>张家港市凯达机械制造有限公司</v>
          </cell>
          <cell r="B706">
            <v>0</v>
          </cell>
        </row>
        <row r="707">
          <cell r="A707" t="str">
            <v>张家港市万荣机械制造有限公司</v>
          </cell>
          <cell r="B707">
            <v>3400</v>
          </cell>
        </row>
        <row r="708">
          <cell r="A708" t="str">
            <v>张绍林</v>
          </cell>
          <cell r="B708">
            <v>200000</v>
          </cell>
        </row>
        <row r="709">
          <cell r="A709" t="str">
            <v>张松林</v>
          </cell>
          <cell r="B709">
            <v>0</v>
          </cell>
        </row>
        <row r="710">
          <cell r="A710" t="str">
            <v>张永祥</v>
          </cell>
          <cell r="B710">
            <v>0</v>
          </cell>
        </row>
        <row r="711">
          <cell r="A711" t="str">
            <v>赵月刚</v>
          </cell>
          <cell r="B711">
            <v>0</v>
          </cell>
        </row>
        <row r="712">
          <cell r="A712" t="str">
            <v>浙江富昌泰汽车零部件有限公司</v>
          </cell>
          <cell r="B712">
            <v>0</v>
          </cell>
        </row>
        <row r="713">
          <cell r="A713" t="str">
            <v>浙江华远锁业有限公司</v>
          </cell>
          <cell r="B713">
            <v>0</v>
          </cell>
        </row>
        <row r="714">
          <cell r="A714" t="str">
            <v>浙江华悦汽车零部件股份有限公司</v>
          </cell>
          <cell r="B714">
            <v>0</v>
          </cell>
        </row>
        <row r="715">
          <cell r="A715" t="str">
            <v>浙江佳龙电子有限公司</v>
          </cell>
          <cell r="B715">
            <v>0</v>
          </cell>
        </row>
        <row r="716">
          <cell r="A716" t="str">
            <v>浙江龙生汽车部件股份有限公司</v>
          </cell>
          <cell r="B716">
            <v>0</v>
          </cell>
        </row>
        <row r="717">
          <cell r="A717" t="str">
            <v>浙江路得坦摩汽车股份有限公司</v>
          </cell>
          <cell r="B717">
            <v>398000</v>
          </cell>
        </row>
        <row r="718">
          <cell r="A718" t="str">
            <v>浙江蒙力减振器有限公司</v>
          </cell>
          <cell r="B718">
            <v>0</v>
          </cell>
        </row>
        <row r="719">
          <cell r="A719" t="str">
            <v>浙江全盛无纺制品有限公司</v>
          </cell>
          <cell r="B719">
            <v>0</v>
          </cell>
        </row>
        <row r="720">
          <cell r="A720" t="str">
            <v>镇江市奥德铆压设备有限公司</v>
          </cell>
          <cell r="B720">
            <v>0</v>
          </cell>
        </row>
        <row r="721">
          <cell r="A721" t="str">
            <v>中广核俊尔新材料有限公司</v>
          </cell>
          <cell r="B721">
            <v>0</v>
          </cell>
        </row>
        <row r="722">
          <cell r="A722" t="str">
            <v>中国电子科技集团公司第二十六研究所</v>
          </cell>
          <cell r="B722">
            <v>0</v>
          </cell>
        </row>
        <row r="723">
          <cell r="A723" t="str">
            <v>中机寰宇认证检验有限公司</v>
          </cell>
          <cell r="B723">
            <v>0</v>
          </cell>
        </row>
        <row r="724">
          <cell r="A724" t="str">
            <v>中山市锐星新材料科技有限公司</v>
          </cell>
          <cell r="B724">
            <v>0</v>
          </cell>
        </row>
        <row r="725">
          <cell r="A725" t="str">
            <v>重庆光大产业有限公司</v>
          </cell>
          <cell r="B725">
            <v>0</v>
          </cell>
        </row>
        <row r="726">
          <cell r="A726" t="str">
            <v>重庆鑫颐塑胶有限责任公司</v>
          </cell>
          <cell r="B726">
            <v>0</v>
          </cell>
        </row>
        <row r="727">
          <cell r="A727" t="str">
            <v>重庆渝融兴汽车配件有限公司</v>
          </cell>
          <cell r="B727">
            <v>16550</v>
          </cell>
        </row>
        <row r="728">
          <cell r="A728" t="str">
            <v>舟山市德鑫科机械有限公司</v>
          </cell>
          <cell r="B728">
            <v>0</v>
          </cell>
        </row>
        <row r="729">
          <cell r="A729" t="str">
            <v>株洲博雅实业有限公司</v>
          </cell>
          <cell r="B729">
            <v>0</v>
          </cell>
        </row>
        <row r="730">
          <cell r="A730" t="str">
            <v>株洲市凡美斯汽车配件有限公司</v>
          </cell>
          <cell r="B730">
            <v>0</v>
          </cell>
        </row>
        <row r="731">
          <cell r="A731" t="str">
            <v>株洲泰瑞工贸有限公司</v>
          </cell>
          <cell r="B731">
            <v>0</v>
          </cell>
        </row>
        <row r="732">
          <cell r="A732" t="str">
            <v>诸城恒欣工贸有限公司</v>
          </cell>
          <cell r="B732">
            <v>0</v>
          </cell>
        </row>
        <row r="733">
          <cell r="A733" t="str">
            <v>诸城市黄海剑杆织布厂</v>
          </cell>
          <cell r="B733">
            <v>0</v>
          </cell>
        </row>
        <row r="734">
          <cell r="A734" t="str">
            <v>诸城市泰琨机械厂</v>
          </cell>
          <cell r="B734">
            <v>0</v>
          </cell>
        </row>
        <row r="735">
          <cell r="A735" t="str">
            <v>诸城市正大服装辅料有限公司</v>
          </cell>
          <cell r="B735">
            <v>0</v>
          </cell>
        </row>
        <row r="736">
          <cell r="A736" t="str">
            <v>诸暨市豪南机械配件经营部</v>
          </cell>
          <cell r="B736">
            <v>4588</v>
          </cell>
        </row>
        <row r="737">
          <cell r="A737" t="str">
            <v>涿州市天彤压铸制品有限公司</v>
          </cell>
          <cell r="B737">
            <v>0</v>
          </cell>
        </row>
        <row r="738">
          <cell r="A738" t="str">
            <v>淄博华亚数控机电有限公司</v>
          </cell>
          <cell r="B738">
            <v>0</v>
          </cell>
        </row>
        <row r="739">
          <cell r="A739" t="str">
            <v>总计</v>
          </cell>
          <cell r="B739">
            <v>17968557.58</v>
          </cell>
        </row>
      </sheetData>
      <sheetData sheetId="5" refreshError="1">
        <row r="1">
          <cell r="A1" t="str">
            <v>期间</v>
          </cell>
          <cell r="B1" t="str">
            <v>2019.11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100000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68656.77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1000000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200000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200000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30000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0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300000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沧州市奥睿机械设备有限公司</v>
          </cell>
          <cell r="B124">
            <v>76579</v>
          </cell>
        </row>
        <row r="125">
          <cell r="A125" t="str">
            <v>沧州市长隆金属制品有限公司</v>
          </cell>
          <cell r="B125">
            <v>0</v>
          </cell>
        </row>
        <row r="126">
          <cell r="A126" t="str">
            <v>沧州市达盛化工产品有限公司</v>
          </cell>
          <cell r="B126">
            <v>0</v>
          </cell>
        </row>
        <row r="127">
          <cell r="A127" t="str">
            <v>沧州市华联钢管有限公司</v>
          </cell>
          <cell r="B127">
            <v>0</v>
          </cell>
        </row>
        <row r="128">
          <cell r="A128" t="str">
            <v>沧州市利昌汽车部件有限公司</v>
          </cell>
          <cell r="B128">
            <v>0</v>
          </cell>
        </row>
        <row r="129">
          <cell r="A129" t="str">
            <v>沧州市任沧机电有限公司</v>
          </cell>
          <cell r="B129">
            <v>0</v>
          </cell>
        </row>
        <row r="130">
          <cell r="A130" t="str">
            <v>沧州市润泽建筑涂装有限公司</v>
          </cell>
          <cell r="B130">
            <v>0</v>
          </cell>
        </row>
        <row r="131">
          <cell r="A131" t="str">
            <v>沧州市顺通五金有限公司</v>
          </cell>
          <cell r="B131">
            <v>0</v>
          </cell>
        </row>
        <row r="132">
          <cell r="A132" t="str">
            <v>沧州市万威物流有限公司</v>
          </cell>
          <cell r="B132">
            <v>0</v>
          </cell>
        </row>
        <row r="133">
          <cell r="A133" t="str">
            <v>沧州市维克机械设备有限公司</v>
          </cell>
          <cell r="B133">
            <v>0</v>
          </cell>
        </row>
        <row r="134">
          <cell r="A134" t="str">
            <v>沧州市翔圣会计服务有限公司</v>
          </cell>
          <cell r="B134">
            <v>0</v>
          </cell>
        </row>
        <row r="135">
          <cell r="A135" t="str">
            <v>沧州市鑫发缝纫机有限公司</v>
          </cell>
          <cell r="B135">
            <v>0</v>
          </cell>
        </row>
        <row r="136">
          <cell r="A136" t="str">
            <v>沧州市徐锻机床销售有限公司</v>
          </cell>
          <cell r="B136">
            <v>0</v>
          </cell>
        </row>
        <row r="137">
          <cell r="A137" t="str">
            <v>沧州市永佳物业服务有限公司</v>
          </cell>
          <cell r="B137">
            <v>0</v>
          </cell>
        </row>
        <row r="138">
          <cell r="A138" t="str">
            <v>沧州市远东缝纫机有限公司</v>
          </cell>
          <cell r="B138">
            <v>0</v>
          </cell>
        </row>
        <row r="139">
          <cell r="A139" t="str">
            <v>沧州市运河区建新广告装饰文化传媒中心</v>
          </cell>
          <cell r="B139">
            <v>0</v>
          </cell>
        </row>
        <row r="140">
          <cell r="A140" t="str">
            <v>沧州斯克艾商贸有限公司</v>
          </cell>
          <cell r="B140">
            <v>0</v>
          </cell>
        </row>
        <row r="141">
          <cell r="A141" t="str">
            <v>沧州天祥塑料制品有限公司</v>
          </cell>
          <cell r="B141">
            <v>0</v>
          </cell>
        </row>
        <row r="142">
          <cell r="A142" t="str">
            <v>沧州同城信息技术有限公司</v>
          </cell>
          <cell r="B142">
            <v>0</v>
          </cell>
        </row>
        <row r="143">
          <cell r="A143" t="str">
            <v>沧州威达聚氨酯高科股份有限公司</v>
          </cell>
          <cell r="B143">
            <v>0</v>
          </cell>
        </row>
        <row r="144">
          <cell r="A144" t="str">
            <v>沧州鑫晟纸制品有限公司</v>
          </cell>
          <cell r="B144">
            <v>0</v>
          </cell>
        </row>
        <row r="145">
          <cell r="A145" t="str">
            <v>沧州旭兴五金制品有限公司</v>
          </cell>
          <cell r="B145">
            <v>50000</v>
          </cell>
        </row>
        <row r="146">
          <cell r="A146" t="str">
            <v>沧州益昌汽车销售服务有限公司</v>
          </cell>
          <cell r="B146">
            <v>0</v>
          </cell>
        </row>
        <row r="147">
          <cell r="A147" t="str">
            <v>沧州宇诺五金制造有限公司</v>
          </cell>
          <cell r="B147">
            <v>130000</v>
          </cell>
        </row>
        <row r="148">
          <cell r="A148" t="str">
            <v>沧州云庆标准件有限公司</v>
          </cell>
          <cell r="B148">
            <v>0</v>
          </cell>
        </row>
        <row r="149">
          <cell r="A149" t="str">
            <v>沧州众智鑫成人力资源服务有限公司</v>
          </cell>
          <cell r="B149">
            <v>0</v>
          </cell>
        </row>
        <row r="150">
          <cell r="A150" t="str">
            <v>昌乐天齐色织布有限公司</v>
          </cell>
          <cell r="B150">
            <v>0</v>
          </cell>
        </row>
        <row r="151">
          <cell r="A151" t="str">
            <v>昌乐县天源色织布有限公司</v>
          </cell>
          <cell r="B151">
            <v>0</v>
          </cell>
        </row>
        <row r="152">
          <cell r="A152" t="str">
            <v>长春旷达汽车织物有限公司</v>
          </cell>
          <cell r="B152">
            <v>0</v>
          </cell>
        </row>
        <row r="153">
          <cell r="A153" t="str">
            <v>长春市新科试验仪器设备有限公司</v>
          </cell>
          <cell r="B153">
            <v>0</v>
          </cell>
        </row>
        <row r="154">
          <cell r="A154" t="str">
            <v>长春市沅呈汽车饰件有限公司</v>
          </cell>
          <cell r="B154">
            <v>0</v>
          </cell>
        </row>
        <row r="155">
          <cell r="A155" t="str">
            <v>长春天利得科技有限公司</v>
          </cell>
          <cell r="B155">
            <v>300000</v>
          </cell>
        </row>
        <row r="156">
          <cell r="A156" t="str">
            <v>长春亚大汽车零件制造有限公司</v>
          </cell>
          <cell r="B156">
            <v>0</v>
          </cell>
        </row>
        <row r="157">
          <cell r="A157" t="str">
            <v>长沙皓翰贸易有限公司</v>
          </cell>
          <cell r="B157">
            <v>0</v>
          </cell>
        </row>
        <row r="158">
          <cell r="A158" t="str">
            <v>长园和鹰智能设备有限公司</v>
          </cell>
          <cell r="B158">
            <v>0</v>
          </cell>
        </row>
        <row r="159">
          <cell r="A159" t="str">
            <v>常熟市创新电器厂</v>
          </cell>
          <cell r="B159">
            <v>0</v>
          </cell>
        </row>
        <row r="160">
          <cell r="A160" t="str">
            <v>常州国誉减速机厂</v>
          </cell>
          <cell r="B160">
            <v>0</v>
          </cell>
        </row>
        <row r="161">
          <cell r="A161" t="str">
            <v>常州华阳万联汽车附件有限公司</v>
          </cell>
          <cell r="B161">
            <v>200000</v>
          </cell>
        </row>
        <row r="162">
          <cell r="A162" t="str">
            <v>常州恺杰塑料模具有限公司</v>
          </cell>
          <cell r="B162">
            <v>0</v>
          </cell>
        </row>
        <row r="163">
          <cell r="A163" t="str">
            <v>常州市拓洋减速机厂</v>
          </cell>
          <cell r="B163">
            <v>0</v>
          </cell>
        </row>
        <row r="164">
          <cell r="A164" t="str">
            <v>常州市武进创新模具注塑有限公司</v>
          </cell>
          <cell r="B164">
            <v>100000</v>
          </cell>
        </row>
        <row r="165">
          <cell r="A165" t="str">
            <v>春雨（东莞）五金制品有限公司</v>
          </cell>
          <cell r="B165">
            <v>0</v>
          </cell>
        </row>
        <row r="166">
          <cell r="A166" t="str">
            <v>大连吉田拉链有限公司北京分公司</v>
          </cell>
          <cell r="B166">
            <v>0</v>
          </cell>
        </row>
        <row r="167">
          <cell r="A167" t="str">
            <v>丹阳市神州电器部件厂</v>
          </cell>
          <cell r="B167">
            <v>0</v>
          </cell>
        </row>
        <row r="168">
          <cell r="A168" t="str">
            <v>德清三和塑胶有限公司</v>
          </cell>
          <cell r="B168">
            <v>0</v>
          </cell>
        </row>
        <row r="169">
          <cell r="A169" t="str">
            <v>德州三志塑胶有限公司</v>
          </cell>
          <cell r="B169">
            <v>0</v>
          </cell>
        </row>
        <row r="170">
          <cell r="A170" t="str">
            <v>德州志鹏海绵制品有限公司</v>
          </cell>
          <cell r="B170">
            <v>0</v>
          </cell>
        </row>
        <row r="171">
          <cell r="A171" t="str">
            <v>邓景亮</v>
          </cell>
          <cell r="B171">
            <v>250000</v>
          </cell>
        </row>
        <row r="172">
          <cell r="A172" t="str">
            <v>东光县汽车减震器厂</v>
          </cell>
          <cell r="B172">
            <v>0</v>
          </cell>
        </row>
        <row r="173">
          <cell r="A173" t="str">
            <v>东来涂料技术（上海）股份有限公司</v>
          </cell>
          <cell r="B173">
            <v>100000</v>
          </cell>
        </row>
        <row r="174">
          <cell r="A174" t="str">
            <v>东莞市嘉刚机电科技发展有限公司</v>
          </cell>
          <cell r="B174">
            <v>0</v>
          </cell>
        </row>
        <row r="175">
          <cell r="A175" t="str">
            <v>东莞市卡索电子科技有限公司</v>
          </cell>
          <cell r="B175">
            <v>0</v>
          </cell>
        </row>
        <row r="176">
          <cell r="A176" t="str">
            <v>东莞市联恒自动化设备有限公司</v>
          </cell>
          <cell r="B176">
            <v>0</v>
          </cell>
        </row>
        <row r="177">
          <cell r="A177" t="str">
            <v>东莞市瑞辉机械制造有限公司</v>
          </cell>
          <cell r="B177">
            <v>0</v>
          </cell>
        </row>
        <row r="178">
          <cell r="A178" t="str">
            <v>东莞市深川工业设备有限公司</v>
          </cell>
          <cell r="B178">
            <v>0</v>
          </cell>
        </row>
        <row r="179">
          <cell r="A179" t="str">
            <v>东莞市双和机车拉索有限公司</v>
          </cell>
          <cell r="B179">
            <v>0</v>
          </cell>
        </row>
        <row r="180">
          <cell r="A180" t="str">
            <v>杜奥尔汽车技术（上海）有限公司</v>
          </cell>
          <cell r="B180">
            <v>0</v>
          </cell>
        </row>
        <row r="181">
          <cell r="A181" t="str">
            <v>杜倍汽车技术（上海）有限公司</v>
          </cell>
          <cell r="B181">
            <v>0</v>
          </cell>
        </row>
        <row r="182">
          <cell r="A182" t="str">
            <v>多科迪（北京）塑胶颜料有限公司</v>
          </cell>
          <cell r="B182">
            <v>0</v>
          </cell>
        </row>
        <row r="183">
          <cell r="A183" t="str">
            <v>丰电科技集团股份有限公司</v>
          </cell>
          <cell r="B183">
            <v>0</v>
          </cell>
        </row>
        <row r="184">
          <cell r="A184" t="str">
            <v>佛吉亚（无锡）座椅部件有限公司</v>
          </cell>
          <cell r="B184">
            <v>400000</v>
          </cell>
        </row>
        <row r="185">
          <cell r="A185" t="str">
            <v>佛山冈联汽车模具配件有限公司</v>
          </cell>
          <cell r="B185">
            <v>0</v>
          </cell>
        </row>
        <row r="186">
          <cell r="A186" t="str">
            <v>佛山市立久光电科技有限公司</v>
          </cell>
          <cell r="B186">
            <v>0</v>
          </cell>
        </row>
        <row r="187">
          <cell r="A187" t="str">
            <v>佛山市顺德区聚达汽车部件有限公司</v>
          </cell>
          <cell r="B187">
            <v>130000</v>
          </cell>
        </row>
        <row r="188">
          <cell r="A188" t="str">
            <v>佛山市益鑫禾机械自动化装备有限公司</v>
          </cell>
          <cell r="B188">
            <v>0</v>
          </cell>
        </row>
        <row r="189">
          <cell r="A189" t="str">
            <v>福跃五金制品厂</v>
          </cell>
          <cell r="B189">
            <v>0</v>
          </cell>
        </row>
        <row r="190">
          <cell r="A190" t="str">
            <v>福州聚博机电设备有限公司</v>
          </cell>
          <cell r="B190">
            <v>0</v>
          </cell>
        </row>
        <row r="191">
          <cell r="A191" t="str">
            <v>富港科技天津有限公司</v>
          </cell>
          <cell r="B191">
            <v>0</v>
          </cell>
        </row>
        <row r="192">
          <cell r="A192" t="str">
            <v>高碑店京华橡胶制品有限责任公司</v>
          </cell>
          <cell r="B192">
            <v>0</v>
          </cell>
        </row>
        <row r="193">
          <cell r="A193" t="str">
            <v>高碑店市晨奥汽车部件有限公司</v>
          </cell>
          <cell r="B193">
            <v>0</v>
          </cell>
        </row>
        <row r="194">
          <cell r="A194" t="str">
            <v>高碑店市晨奥五金制品有限公司</v>
          </cell>
          <cell r="B194">
            <v>0</v>
          </cell>
        </row>
        <row r="195">
          <cell r="A195" t="str">
            <v>高碑店市信德百利革业有限公司</v>
          </cell>
          <cell r="B195">
            <v>0</v>
          </cell>
        </row>
        <row r="196">
          <cell r="A196" t="str">
            <v>高唐强盛机械有限公司</v>
          </cell>
          <cell r="B196">
            <v>100000</v>
          </cell>
        </row>
        <row r="197">
          <cell r="A197" t="str">
            <v>共和兴塑胶（廊坊）有限公司</v>
          </cell>
          <cell r="B197">
            <v>0</v>
          </cell>
        </row>
        <row r="198">
          <cell r="A198" t="str">
            <v>古特曼商贸（上海）有限公司</v>
          </cell>
          <cell r="B198">
            <v>0</v>
          </cell>
        </row>
        <row r="199">
          <cell r="A199" t="str">
            <v>固安县乐通塑料中空板有限公司</v>
          </cell>
          <cell r="B199">
            <v>0</v>
          </cell>
        </row>
        <row r="200">
          <cell r="A200" t="str">
            <v>故城县智华再生海绵有限公司</v>
          </cell>
          <cell r="B200">
            <v>0</v>
          </cell>
        </row>
        <row r="201">
          <cell r="A201" t="str">
            <v>广东新金山环保材料股份有限公司</v>
          </cell>
          <cell r="B201">
            <v>70000</v>
          </cell>
        </row>
        <row r="202">
          <cell r="A202" t="str">
            <v>广州富士机工汽车部件有限公司</v>
          </cell>
          <cell r="B202">
            <v>0</v>
          </cell>
        </row>
        <row r="203">
          <cell r="A203" t="str">
            <v>广州吉中汽车内饰系统有限公司</v>
          </cell>
          <cell r="B203">
            <v>0</v>
          </cell>
        </row>
        <row r="204">
          <cell r="A204" t="str">
            <v>广州欧尼克焊接科技有限公司</v>
          </cell>
          <cell r="B204">
            <v>0</v>
          </cell>
        </row>
        <row r="205">
          <cell r="A205" t="str">
            <v>广州普华灵动机器人技术有限公司</v>
          </cell>
          <cell r="B205">
            <v>0</v>
          </cell>
        </row>
        <row r="206">
          <cell r="A206" t="str">
            <v>广州市奔途尔商贸有限公司</v>
          </cell>
          <cell r="B206">
            <v>0</v>
          </cell>
        </row>
        <row r="207">
          <cell r="A207" t="str">
            <v>广州市火龙焊接设备有限公司</v>
          </cell>
          <cell r="B207">
            <v>0</v>
          </cell>
        </row>
        <row r="208">
          <cell r="A208" t="str">
            <v>广州市盟力线业有限公司</v>
          </cell>
          <cell r="B208">
            <v>70000</v>
          </cell>
        </row>
        <row r="209">
          <cell r="A209" t="str">
            <v>广州市朋普机电技术有限公司</v>
          </cell>
          <cell r="B209">
            <v>0</v>
          </cell>
        </row>
        <row r="210">
          <cell r="A210" t="str">
            <v>广州泰昌汽车部件有限公司</v>
          </cell>
          <cell r="B210">
            <v>100000</v>
          </cell>
        </row>
        <row r="211">
          <cell r="A211" t="str">
            <v>广州熙锐自动化设备有限公司</v>
          </cell>
          <cell r="B211">
            <v>0</v>
          </cell>
        </row>
        <row r="212">
          <cell r="A212" t="str">
            <v>圭尔夫(天津)工业门有限公司</v>
          </cell>
          <cell r="B212">
            <v>0</v>
          </cell>
        </row>
        <row r="213">
          <cell r="A213" t="str">
            <v>国网河北省电力有限公司沧州供电分公司</v>
          </cell>
          <cell r="B213">
            <v>0</v>
          </cell>
        </row>
        <row r="214">
          <cell r="A214" t="str">
            <v>海安县绿色清洗剂厂</v>
          </cell>
          <cell r="B214">
            <v>0</v>
          </cell>
        </row>
        <row r="215">
          <cell r="A215" t="str">
            <v>海天塑机集团有限公司</v>
          </cell>
          <cell r="B215">
            <v>0</v>
          </cell>
        </row>
        <row r="216">
          <cell r="A216" t="str">
            <v>海兴中盛弹簧有限公司</v>
          </cell>
          <cell r="B216">
            <v>300000</v>
          </cell>
        </row>
        <row r="217">
          <cell r="A217" t="str">
            <v>韩竹林</v>
          </cell>
          <cell r="B217">
            <v>0</v>
          </cell>
        </row>
        <row r="218">
          <cell r="A218" t="str">
            <v>杭州金士顿实业有限公司</v>
          </cell>
          <cell r="B218">
            <v>0</v>
          </cell>
        </row>
        <row r="219">
          <cell r="A219" t="str">
            <v>杭州迈斯嘉电子科技有限公司</v>
          </cell>
          <cell r="B219">
            <v>0</v>
          </cell>
        </row>
        <row r="220">
          <cell r="A220" t="str">
            <v>杭州迈图贸易有限公司</v>
          </cell>
          <cell r="B220">
            <v>0</v>
          </cell>
        </row>
        <row r="221">
          <cell r="A221" t="str">
            <v>合肥光码商贸有限公司</v>
          </cell>
          <cell r="B221">
            <v>0</v>
          </cell>
        </row>
        <row r="222">
          <cell r="A222" t="str">
            <v>合肥洁邦清洁设备有限公司</v>
          </cell>
          <cell r="B222">
            <v>0</v>
          </cell>
        </row>
        <row r="223">
          <cell r="A223" t="str">
            <v>何香存</v>
          </cell>
          <cell r="B223">
            <v>0</v>
          </cell>
        </row>
        <row r="224">
          <cell r="A224" t="str">
            <v>和和机械（张家港）有限公司</v>
          </cell>
          <cell r="B224">
            <v>0</v>
          </cell>
        </row>
        <row r="225">
          <cell r="A225" t="str">
            <v>河北安闻汽车零部件有限公司</v>
          </cell>
          <cell r="B225">
            <v>0</v>
          </cell>
        </row>
        <row r="226">
          <cell r="A226" t="str">
            <v>河北长河税务师事务所有限公司</v>
          </cell>
          <cell r="B226">
            <v>0</v>
          </cell>
        </row>
        <row r="227">
          <cell r="A227" t="str">
            <v>河北辰丰制管有限公司</v>
          </cell>
          <cell r="B227">
            <v>200000</v>
          </cell>
        </row>
        <row r="228">
          <cell r="A228" t="str">
            <v>河北航凌电路板有限公司</v>
          </cell>
          <cell r="B228">
            <v>0</v>
          </cell>
        </row>
        <row r="229">
          <cell r="A229" t="str">
            <v>河北宏广橡塑金属制品有限公司</v>
          </cell>
          <cell r="B229">
            <v>0</v>
          </cell>
        </row>
        <row r="230">
          <cell r="A230" t="str">
            <v>河北宏通制管有限公司</v>
          </cell>
          <cell r="B230">
            <v>0</v>
          </cell>
        </row>
        <row r="231">
          <cell r="A231" t="str">
            <v>河北互通网络技术有限公司</v>
          </cell>
          <cell r="B231">
            <v>0</v>
          </cell>
        </row>
        <row r="232">
          <cell r="A232" t="str">
            <v>河北佳佰工程咨询有限公司</v>
          </cell>
          <cell r="B232">
            <v>0</v>
          </cell>
        </row>
        <row r="233">
          <cell r="A233" t="str">
            <v>河北聚福家用电器有限公司</v>
          </cell>
          <cell r="B233">
            <v>0</v>
          </cell>
        </row>
        <row r="234">
          <cell r="A234" t="str">
            <v>河北联庆五金制品有限公司</v>
          </cell>
          <cell r="B234">
            <v>0</v>
          </cell>
        </row>
        <row r="235">
          <cell r="A235" t="str">
            <v>河北量子环境检测有限公司</v>
          </cell>
          <cell r="B235">
            <v>0</v>
          </cell>
        </row>
        <row r="236">
          <cell r="A236" t="str">
            <v>河北美杭电梯安装有限公司</v>
          </cell>
          <cell r="B236">
            <v>0</v>
          </cell>
        </row>
        <row r="237">
          <cell r="A237" t="str">
            <v>河北耐力驰地坪装饰工程有限公司</v>
          </cell>
          <cell r="B237">
            <v>0</v>
          </cell>
        </row>
        <row r="238">
          <cell r="A238" t="str">
            <v>河北锐翰汽车零部件有限公司</v>
          </cell>
          <cell r="B238">
            <v>200000</v>
          </cell>
        </row>
        <row r="239">
          <cell r="A239" t="str">
            <v>河北润辉化工有限公司</v>
          </cell>
          <cell r="B239">
            <v>0</v>
          </cell>
        </row>
        <row r="240">
          <cell r="A240" t="str">
            <v>河北森凯环保科技有限公司</v>
          </cell>
          <cell r="B240">
            <v>0</v>
          </cell>
        </row>
        <row r="241">
          <cell r="A241" t="str">
            <v>河北省雄县龙华橡塑有限公司</v>
          </cell>
          <cell r="B241">
            <v>0</v>
          </cell>
        </row>
        <row r="242">
          <cell r="A242" t="str">
            <v>河北圣洁环境生物科技工程有限公司</v>
          </cell>
          <cell r="B242">
            <v>0</v>
          </cell>
        </row>
        <row r="243">
          <cell r="A243" t="str">
            <v>河北盛德燃气有限公司</v>
          </cell>
          <cell r="B243">
            <v>0</v>
          </cell>
        </row>
        <row r="244">
          <cell r="A244" t="str">
            <v>河北双力起重机械有限公司</v>
          </cell>
          <cell r="B244">
            <v>0</v>
          </cell>
        </row>
        <row r="245">
          <cell r="A245" t="str">
            <v>河北顺和职业卫生技术服务有限公司</v>
          </cell>
          <cell r="B245">
            <v>0</v>
          </cell>
        </row>
        <row r="246">
          <cell r="A246" t="str">
            <v>河北伟业聚氨酯泡绵有限公司</v>
          </cell>
          <cell r="B246">
            <v>0</v>
          </cell>
        </row>
        <row r="247">
          <cell r="A247" t="str">
            <v>河北新强力机械制造有限公司</v>
          </cell>
          <cell r="B247">
            <v>400000</v>
          </cell>
        </row>
        <row r="248">
          <cell r="A248" t="str">
            <v>河北新世泰机械有限公司</v>
          </cell>
          <cell r="B248">
            <v>0</v>
          </cell>
        </row>
        <row r="249">
          <cell r="A249" t="str">
            <v>河北艺能锅炉有限责任公司</v>
          </cell>
          <cell r="B249">
            <v>0</v>
          </cell>
        </row>
        <row r="250">
          <cell r="A250" t="str">
            <v>河北媛皓建筑机械科技有限公司</v>
          </cell>
          <cell r="B250">
            <v>0</v>
          </cell>
        </row>
        <row r="251">
          <cell r="A251" t="str">
            <v>河北岳钢数控设备有限公司</v>
          </cell>
          <cell r="B251">
            <v>50000</v>
          </cell>
        </row>
        <row r="252">
          <cell r="A252" t="str">
            <v>河北泽沃钢管制造有限公司</v>
          </cell>
          <cell r="B252">
            <v>0</v>
          </cell>
        </row>
        <row r="253">
          <cell r="A253" t="str">
            <v>河北智友机电制造有限公司</v>
          </cell>
          <cell r="B253">
            <v>0</v>
          </cell>
        </row>
        <row r="254">
          <cell r="A254" t="str">
            <v>河间市祥龙崇光电缆厂</v>
          </cell>
          <cell r="B254">
            <v>0</v>
          </cell>
        </row>
        <row r="255">
          <cell r="A255" t="str">
            <v>河间市正邦橡胶制品有限公司</v>
          </cell>
          <cell r="B255">
            <v>0</v>
          </cell>
        </row>
        <row r="256">
          <cell r="A256" t="str">
            <v>鹤壁市天星电器厂</v>
          </cell>
          <cell r="B256">
            <v>0</v>
          </cell>
        </row>
        <row r="257">
          <cell r="A257" t="str">
            <v>鹤山市润源化工有限公司</v>
          </cell>
          <cell r="B257">
            <v>0</v>
          </cell>
        </row>
        <row r="258">
          <cell r="A258" t="str">
            <v>恒华包装材料销售有限公司</v>
          </cell>
          <cell r="B258">
            <v>0</v>
          </cell>
        </row>
        <row r="259">
          <cell r="A259" t="str">
            <v>衡水鑫智汽车零部件有限公司</v>
          </cell>
          <cell r="B259">
            <v>0</v>
          </cell>
        </row>
        <row r="260">
          <cell r="A260" t="str">
            <v>湖北航嘉麦格纳座椅系统有限公司</v>
          </cell>
          <cell r="B260">
            <v>0</v>
          </cell>
        </row>
        <row r="261">
          <cell r="A261" t="str">
            <v>湖北中航精机科技有限公司</v>
          </cell>
          <cell r="B261">
            <v>0</v>
          </cell>
        </row>
        <row r="262">
          <cell r="A262" t="str">
            <v>湖北钟祥市正宏玻璃制品厂</v>
          </cell>
          <cell r="B262">
            <v>0</v>
          </cell>
        </row>
        <row r="263">
          <cell r="A263" t="str">
            <v>湖南光华荣昌汽车部件有限公司</v>
          </cell>
          <cell r="B263">
            <v>0</v>
          </cell>
        </row>
        <row r="264">
          <cell r="A264" t="str">
            <v>湖南精正设备制造有限公司</v>
          </cell>
          <cell r="B264">
            <v>0</v>
          </cell>
        </row>
        <row r="265">
          <cell r="A265" t="str">
            <v>华瑞志勤科技发展（北京）有限公司</v>
          </cell>
          <cell r="B265">
            <v>0</v>
          </cell>
        </row>
        <row r="266">
          <cell r="A266" t="str">
            <v>淮铭机械设备(上海)有限公司</v>
          </cell>
          <cell r="B266">
            <v>0</v>
          </cell>
        </row>
        <row r="267">
          <cell r="A267" t="str">
            <v>黄骅骅泰机动车配件有限公司</v>
          </cell>
          <cell r="B267">
            <v>0</v>
          </cell>
        </row>
        <row r="268">
          <cell r="A268" t="str">
            <v>黄骅市邦博五金电料经销部</v>
          </cell>
          <cell r="B268">
            <v>0</v>
          </cell>
        </row>
        <row r="269">
          <cell r="A269" t="str">
            <v>黄骅市宝丽洁家政有限公司</v>
          </cell>
          <cell r="B269">
            <v>0</v>
          </cell>
        </row>
        <row r="270">
          <cell r="A270" t="str">
            <v>黄骅市保俊成复合彩印厂</v>
          </cell>
          <cell r="B270">
            <v>0</v>
          </cell>
        </row>
        <row r="271">
          <cell r="A271" t="str">
            <v>黄骅市斌盛包装制品厂</v>
          </cell>
          <cell r="B271">
            <v>0</v>
          </cell>
        </row>
        <row r="272">
          <cell r="A272" t="str">
            <v>黄骅市滨海车业有限公司</v>
          </cell>
          <cell r="B272">
            <v>0</v>
          </cell>
        </row>
        <row r="273">
          <cell r="A273" t="str">
            <v>黄骅市博杰汽车部件有限公司</v>
          </cell>
          <cell r="B273">
            <v>38800</v>
          </cell>
        </row>
        <row r="274">
          <cell r="A274" t="str">
            <v>黄骅市渤海汽车摩托车配件有限公司</v>
          </cell>
          <cell r="B274">
            <v>0</v>
          </cell>
        </row>
        <row r="275">
          <cell r="A275" t="str">
            <v>黄骅市渤海庆丰车辆灯镜厂</v>
          </cell>
          <cell r="B275">
            <v>20000</v>
          </cell>
        </row>
        <row r="276">
          <cell r="A276" t="str">
            <v>黄骅市昌城网子经销部</v>
          </cell>
          <cell r="B276">
            <v>0</v>
          </cell>
        </row>
        <row r="277">
          <cell r="A277" t="str">
            <v>黄骅市长江塑料制品有限公司</v>
          </cell>
          <cell r="B277">
            <v>0</v>
          </cell>
        </row>
        <row r="278">
          <cell r="A278" t="str">
            <v>黄骅市长生汽车灯镜有限公司</v>
          </cell>
          <cell r="B278">
            <v>700000</v>
          </cell>
        </row>
        <row r="279">
          <cell r="A279" t="str">
            <v>黄骅市常郭镇街西纸箱厂</v>
          </cell>
          <cell r="B279">
            <v>100000</v>
          </cell>
        </row>
        <row r="280">
          <cell r="A280" t="str">
            <v>黄骅市常郭镇前尚永胜五金加工厂</v>
          </cell>
          <cell r="B280">
            <v>0</v>
          </cell>
        </row>
        <row r="281">
          <cell r="A281" t="str">
            <v>黄骅市超飞商贸有限公司有限公司</v>
          </cell>
          <cell r="B281">
            <v>0</v>
          </cell>
        </row>
        <row r="282">
          <cell r="A282" t="str">
            <v>黄骅市成卓汽车部件厂</v>
          </cell>
          <cell r="B282">
            <v>200000</v>
          </cell>
        </row>
        <row r="283">
          <cell r="A283" t="str">
            <v>黄骅市达旺机动车配件厂</v>
          </cell>
          <cell r="B283">
            <v>0</v>
          </cell>
        </row>
        <row r="284">
          <cell r="A284" t="str">
            <v>黄骅市大新模具有限公司</v>
          </cell>
          <cell r="B284">
            <v>0</v>
          </cell>
        </row>
        <row r="285">
          <cell r="A285" t="str">
            <v>黄骅市弹簧厂</v>
          </cell>
          <cell r="B285">
            <v>0</v>
          </cell>
        </row>
        <row r="286">
          <cell r="A286" t="str">
            <v>黄骅市德信成家具经销部</v>
          </cell>
          <cell r="B286">
            <v>0</v>
          </cell>
        </row>
        <row r="287">
          <cell r="A287" t="str">
            <v>黄骅市鼎盾电力工程有限公司</v>
          </cell>
          <cell r="B287">
            <v>0</v>
          </cell>
        </row>
        <row r="288">
          <cell r="A288" t="str">
            <v>黄骅市方达泵阀有限公司</v>
          </cell>
          <cell r="B288">
            <v>0</v>
          </cell>
        </row>
        <row r="289">
          <cell r="A289" t="str">
            <v>黄骅市方正五金机电责任有限公司</v>
          </cell>
          <cell r="B289">
            <v>0</v>
          </cell>
        </row>
        <row r="290">
          <cell r="A290" t="str">
            <v>黄骅市飞扬办公用品经营部</v>
          </cell>
          <cell r="B290">
            <v>0</v>
          </cell>
        </row>
        <row r="291">
          <cell r="A291" t="str">
            <v>黄骅市富康静电喷涂厂</v>
          </cell>
          <cell r="B291">
            <v>0</v>
          </cell>
        </row>
        <row r="292">
          <cell r="A292" t="str">
            <v>黄骅市富丽达不锈钢制品经销处</v>
          </cell>
          <cell r="B292">
            <v>0</v>
          </cell>
        </row>
        <row r="293">
          <cell r="A293" t="str">
            <v>黄骅市港骅工业气体销售有限公司</v>
          </cell>
          <cell r="B293">
            <v>0</v>
          </cell>
        </row>
        <row r="294">
          <cell r="A294" t="str">
            <v>黄骅市功盛五金电料经销处</v>
          </cell>
          <cell r="B294">
            <v>0</v>
          </cell>
        </row>
        <row r="295">
          <cell r="A295" t="str">
            <v>黄骅市固诺装饰工程有限公司</v>
          </cell>
          <cell r="B295">
            <v>0</v>
          </cell>
        </row>
        <row r="296">
          <cell r="A296" t="str">
            <v>黄骅市故县国福汽车灯厂</v>
          </cell>
          <cell r="B296">
            <v>0</v>
          </cell>
        </row>
        <row r="297">
          <cell r="A297" t="str">
            <v>黄骅市光大橡胶制品厂</v>
          </cell>
          <cell r="B297">
            <v>0</v>
          </cell>
        </row>
        <row r="298">
          <cell r="A298" t="str">
            <v>黄骅市广际五金产品销售有限公司</v>
          </cell>
          <cell r="B298">
            <v>0</v>
          </cell>
        </row>
        <row r="299">
          <cell r="A299" t="str">
            <v>黄骅市广兴建筑安装工程有限公司</v>
          </cell>
          <cell r="B299">
            <v>0</v>
          </cell>
        </row>
        <row r="300">
          <cell r="A300" t="str">
            <v>黄骅市广亿汽车部件有限公司</v>
          </cell>
          <cell r="B300">
            <v>600000</v>
          </cell>
        </row>
        <row r="301">
          <cell r="A301" t="str">
            <v>黄骅市国贸物资有限公司</v>
          </cell>
          <cell r="B301">
            <v>0</v>
          </cell>
        </row>
        <row r="302">
          <cell r="A302" t="str">
            <v>黄骅市海举五金加工厂</v>
          </cell>
          <cell r="B302">
            <v>0</v>
          </cell>
        </row>
        <row r="303">
          <cell r="A303" t="str">
            <v>黄骅市海良汽车摩托车配件有限公司</v>
          </cell>
          <cell r="B303">
            <v>0</v>
          </cell>
        </row>
        <row r="304">
          <cell r="A304" t="str">
            <v>黄骅市海生五金模具厂</v>
          </cell>
          <cell r="B304">
            <v>0</v>
          </cell>
        </row>
        <row r="305">
          <cell r="A305" t="str">
            <v>黄骅市海泰祥钢材贸易有限公司</v>
          </cell>
          <cell r="B305">
            <v>0</v>
          </cell>
        </row>
        <row r="306">
          <cell r="A306" t="str">
            <v>黄骅市氦普气体销售有限公司</v>
          </cell>
          <cell r="B306">
            <v>0</v>
          </cell>
        </row>
        <row r="307">
          <cell r="A307" t="str">
            <v>黄骅市和顺易大件吊装搬运有限公司</v>
          </cell>
          <cell r="B307">
            <v>0</v>
          </cell>
        </row>
        <row r="308">
          <cell r="A308" t="str">
            <v>黄骅市恒基五金轴承工具有限公司</v>
          </cell>
          <cell r="B308">
            <v>0</v>
          </cell>
        </row>
        <row r="309">
          <cell r="A309" t="str">
            <v>黄骅市恒茂土产门市部</v>
          </cell>
          <cell r="B309">
            <v>0</v>
          </cell>
        </row>
        <row r="310">
          <cell r="A310" t="str">
            <v>黄骅市恒顺昌商贸有限公司</v>
          </cell>
          <cell r="B310">
            <v>0</v>
          </cell>
        </row>
        <row r="311">
          <cell r="A311" t="str">
            <v>黄骅市恒通土产劳保门市部</v>
          </cell>
          <cell r="B311">
            <v>0</v>
          </cell>
        </row>
        <row r="312">
          <cell r="A312" t="str">
            <v>黄骅市恒伟五金制品有限公司</v>
          </cell>
          <cell r="B312">
            <v>300000</v>
          </cell>
        </row>
        <row r="313">
          <cell r="A313" t="str">
            <v>黄骅市衡星计量仪器有限公司</v>
          </cell>
          <cell r="B313">
            <v>0</v>
          </cell>
        </row>
        <row r="314">
          <cell r="A314" t="str">
            <v>黄骅市宏成五金制品有限公司</v>
          </cell>
          <cell r="B314">
            <v>0</v>
          </cell>
        </row>
        <row r="315">
          <cell r="A315" t="str">
            <v>黄骅市宏辉运输队</v>
          </cell>
          <cell r="B315">
            <v>0</v>
          </cell>
        </row>
        <row r="316">
          <cell r="A316" t="str">
            <v>黄骅市宏顺模具厂</v>
          </cell>
          <cell r="B316">
            <v>0</v>
          </cell>
        </row>
        <row r="317">
          <cell r="A317" t="str">
            <v>黄骅市宏信五金交电门市部</v>
          </cell>
          <cell r="B317">
            <v>0</v>
          </cell>
        </row>
        <row r="318">
          <cell r="A318" t="str">
            <v>黄骅市洪赫五金加工厂</v>
          </cell>
          <cell r="B318">
            <v>0</v>
          </cell>
        </row>
        <row r="319">
          <cell r="A319" t="str">
            <v>黄骅市鸿鹄线缆经销部</v>
          </cell>
          <cell r="B319">
            <v>0</v>
          </cell>
        </row>
        <row r="320">
          <cell r="A320" t="str">
            <v>黄骅市鸿基盛业地面工程有限公司</v>
          </cell>
          <cell r="B320">
            <v>0</v>
          </cell>
        </row>
        <row r="321">
          <cell r="A321" t="str">
            <v>黄骅市鸿晟伟业电脑经营部</v>
          </cell>
          <cell r="B321">
            <v>0</v>
          </cell>
        </row>
        <row r="322">
          <cell r="A322" t="str">
            <v>黄骅市厚德建筑队</v>
          </cell>
          <cell r="B322">
            <v>0</v>
          </cell>
        </row>
        <row r="323">
          <cell r="A323" t="str">
            <v>黄骅市辉煌建筑队</v>
          </cell>
          <cell r="B323">
            <v>0</v>
          </cell>
        </row>
        <row r="324">
          <cell r="A324" t="str">
            <v>黄骅市汇铭汽车部件有限公司</v>
          </cell>
          <cell r="B324">
            <v>300000</v>
          </cell>
        </row>
        <row r="325">
          <cell r="A325" t="str">
            <v>黄骅市慧勤五金电料经销处</v>
          </cell>
          <cell r="B325">
            <v>0</v>
          </cell>
        </row>
        <row r="326">
          <cell r="A326" t="str">
            <v>黄骅市慧仁纵横电脑销售有限公司</v>
          </cell>
          <cell r="B326">
            <v>0</v>
          </cell>
        </row>
        <row r="327">
          <cell r="A327" t="str">
            <v>黄骅市佳佰工程咨询有限公司</v>
          </cell>
          <cell r="B327">
            <v>0</v>
          </cell>
        </row>
        <row r="328">
          <cell r="A328" t="str">
            <v>黄骅市佳祥五金制品有限公司</v>
          </cell>
          <cell r="B328">
            <v>20000</v>
          </cell>
        </row>
        <row r="329">
          <cell r="A329" t="str">
            <v>黄骅市建材市场港骅钢材经销部</v>
          </cell>
          <cell r="B329">
            <v>0</v>
          </cell>
        </row>
        <row r="330">
          <cell r="A330" t="str">
            <v>黄骅市建昌塑料制品有限公司</v>
          </cell>
          <cell r="B330">
            <v>30000</v>
          </cell>
        </row>
        <row r="331">
          <cell r="A331" t="str">
            <v>黄骅市建华液压配件销售服务中心</v>
          </cell>
          <cell r="B331">
            <v>0</v>
          </cell>
        </row>
        <row r="332">
          <cell r="A332" t="str">
            <v>黄骅市建伟五金制品厂</v>
          </cell>
          <cell r="B332">
            <v>0</v>
          </cell>
        </row>
        <row r="333">
          <cell r="A333" t="str">
            <v>黄骅市洁霸汽车零部件制造有限公司</v>
          </cell>
          <cell r="B333">
            <v>0</v>
          </cell>
        </row>
        <row r="334">
          <cell r="A334" t="str">
            <v>黄骅市金宝成钢材经销有限公司</v>
          </cell>
          <cell r="B334">
            <v>0</v>
          </cell>
        </row>
        <row r="335">
          <cell r="A335" t="str">
            <v>黄骅市金城五金制品厂</v>
          </cell>
          <cell r="B335">
            <v>0</v>
          </cell>
        </row>
        <row r="336">
          <cell r="A336" t="str">
            <v>黄骅市金华保温材料有限公司</v>
          </cell>
          <cell r="B336">
            <v>0</v>
          </cell>
        </row>
        <row r="337">
          <cell r="A337" t="str">
            <v>黄骅市金月五金制品厂</v>
          </cell>
          <cell r="B337">
            <v>0</v>
          </cell>
        </row>
        <row r="338">
          <cell r="A338" t="str">
            <v>黄骅市津华汽车部件有限公司</v>
          </cell>
          <cell r="B338">
            <v>200000</v>
          </cell>
        </row>
        <row r="339">
          <cell r="A339" t="str">
            <v>黄骅市锦绣制衣部</v>
          </cell>
          <cell r="B339">
            <v>0</v>
          </cell>
        </row>
        <row r="340">
          <cell r="A340" t="str">
            <v>黄骅市京港机电设备有限公司</v>
          </cell>
          <cell r="B340">
            <v>50000</v>
          </cell>
        </row>
        <row r="341">
          <cell r="A341" t="str">
            <v>黄骅市久峰五金制品有限公司</v>
          </cell>
          <cell r="B341">
            <v>0</v>
          </cell>
        </row>
        <row r="342">
          <cell r="A342" t="str">
            <v>黄骅市俊隆五金包装有限公司</v>
          </cell>
          <cell r="B342">
            <v>0</v>
          </cell>
        </row>
        <row r="343">
          <cell r="A343" t="str">
            <v>黄骅市俊有塑染经销处</v>
          </cell>
          <cell r="B343">
            <v>0</v>
          </cell>
        </row>
        <row r="344">
          <cell r="A344" t="str">
            <v>黄骅市凯翔车业有限公司</v>
          </cell>
          <cell r="B344">
            <v>0</v>
          </cell>
        </row>
        <row r="345">
          <cell r="A345" t="str">
            <v>黄骅市康宁街光华化工门市部</v>
          </cell>
          <cell r="B345">
            <v>0</v>
          </cell>
        </row>
        <row r="346">
          <cell r="A346" t="str">
            <v>黄骅市科友汇商贸有限公司</v>
          </cell>
          <cell r="B346">
            <v>0</v>
          </cell>
        </row>
        <row r="347">
          <cell r="A347" t="str">
            <v>黄骅市联视电子科技有限公司</v>
          </cell>
          <cell r="B347">
            <v>0</v>
          </cell>
        </row>
        <row r="348">
          <cell r="A348" t="str">
            <v>黄骅市龙腾五金机电门市部</v>
          </cell>
          <cell r="B348">
            <v>0</v>
          </cell>
        </row>
        <row r="349">
          <cell r="A349" t="str">
            <v>黄骅市隆盛达车业有限公司</v>
          </cell>
          <cell r="B349">
            <v>0</v>
          </cell>
        </row>
        <row r="350">
          <cell r="A350" t="str">
            <v>黄骅市隆鑫五金制品有限公司</v>
          </cell>
          <cell r="B350">
            <v>0</v>
          </cell>
        </row>
        <row r="351">
          <cell r="A351" t="str">
            <v>黄骅市美家隆商贸有限公司</v>
          </cell>
          <cell r="B351">
            <v>0</v>
          </cell>
        </row>
        <row r="352">
          <cell r="A352" t="str">
            <v>黄骅市明昶电料门市部</v>
          </cell>
          <cell r="B352">
            <v>0</v>
          </cell>
        </row>
        <row r="353">
          <cell r="A353" t="str">
            <v>黄骅市宁鑫商贸有限公司</v>
          </cell>
          <cell r="B353">
            <v>0</v>
          </cell>
        </row>
        <row r="354">
          <cell r="A354" t="str">
            <v>黄骅市齐西纺织五金配件厂</v>
          </cell>
          <cell r="B354">
            <v>0</v>
          </cell>
        </row>
        <row r="355">
          <cell r="A355" t="str">
            <v>黄骅市乾泰祥五金制品厂</v>
          </cell>
          <cell r="B355">
            <v>0</v>
          </cell>
        </row>
        <row r="356">
          <cell r="A356" t="str">
            <v>黄骅市庆华机动车配件有限公司</v>
          </cell>
          <cell r="B356">
            <v>0</v>
          </cell>
        </row>
        <row r="357">
          <cell r="A357" t="str">
            <v>黄骅市庆军五金制品有限公司</v>
          </cell>
          <cell r="B357">
            <v>0</v>
          </cell>
        </row>
        <row r="358">
          <cell r="A358" t="str">
            <v>黄骅市荣邦汽车部件有限公司</v>
          </cell>
          <cell r="B358">
            <v>0</v>
          </cell>
        </row>
        <row r="359">
          <cell r="A359" t="str">
            <v>黄骅市荣达工业气体销售有限公司</v>
          </cell>
          <cell r="B359">
            <v>0</v>
          </cell>
        </row>
        <row r="360">
          <cell r="A360" t="str">
            <v>黄骅市荣丰塑料模具有限公司</v>
          </cell>
          <cell r="B360">
            <v>0</v>
          </cell>
        </row>
        <row r="361">
          <cell r="A361" t="str">
            <v>黄骅市瑞达塑料模具有限公司</v>
          </cell>
          <cell r="B361">
            <v>0</v>
          </cell>
        </row>
        <row r="362">
          <cell r="A362" t="str">
            <v>黄骅市瑞丰五金制品有限公司</v>
          </cell>
          <cell r="B362">
            <v>20000</v>
          </cell>
        </row>
        <row r="363">
          <cell r="A363" t="str">
            <v>黄骅市三江商贸有限公司</v>
          </cell>
          <cell r="B363">
            <v>8529</v>
          </cell>
        </row>
        <row r="364">
          <cell r="A364" t="str">
            <v>黄骅市三姐五金经销部</v>
          </cell>
          <cell r="B364">
            <v>4798</v>
          </cell>
        </row>
        <row r="365">
          <cell r="A365" t="str">
            <v>黄骅市三星电脑科技有限公司</v>
          </cell>
          <cell r="B365">
            <v>0</v>
          </cell>
        </row>
        <row r="366">
          <cell r="A366" t="str">
            <v>黄骅市神农百草堂药品连锁有限公司</v>
          </cell>
          <cell r="B366">
            <v>0</v>
          </cell>
        </row>
        <row r="367">
          <cell r="A367" t="str">
            <v>黄骅市盛发五金制品有限公司</v>
          </cell>
          <cell r="B367">
            <v>0</v>
          </cell>
        </row>
        <row r="368">
          <cell r="A368" t="str">
            <v>黄骅市盛荣汽车零部件制造有限公司</v>
          </cell>
          <cell r="B368">
            <v>9700</v>
          </cell>
        </row>
        <row r="369">
          <cell r="A369" t="str">
            <v>黄骅市盛泰五金制品厂</v>
          </cell>
          <cell r="B369">
            <v>0</v>
          </cell>
        </row>
        <row r="370">
          <cell r="A370" t="str">
            <v>黄骅市石港路兆荣装饰家园</v>
          </cell>
          <cell r="B370">
            <v>0</v>
          </cell>
        </row>
        <row r="371">
          <cell r="A371" t="str">
            <v>黄骅市双得金属制品销售有限公司</v>
          </cell>
          <cell r="B371">
            <v>20000</v>
          </cell>
        </row>
        <row r="372">
          <cell r="A372" t="str">
            <v>黄骅市顺驰车业配件有限公司</v>
          </cell>
          <cell r="B372">
            <v>0</v>
          </cell>
        </row>
        <row r="373">
          <cell r="A373" t="str">
            <v>黄骅市四通模具厂</v>
          </cell>
          <cell r="B373">
            <v>0</v>
          </cell>
        </row>
        <row r="374">
          <cell r="A374" t="str">
            <v>黄骅市泰坤五金机电经销部</v>
          </cell>
          <cell r="B374">
            <v>0</v>
          </cell>
        </row>
        <row r="375">
          <cell r="A375" t="str">
            <v>黄骅市泰行汽车配件厂</v>
          </cell>
          <cell r="B375">
            <v>30000</v>
          </cell>
        </row>
        <row r="376">
          <cell r="A376" t="str">
            <v>黄骅市唐氏焊割设备经销处</v>
          </cell>
          <cell r="B376">
            <v>0</v>
          </cell>
        </row>
        <row r="377">
          <cell r="A377" t="str">
            <v>黄骅市天丰汽车配件有限公司</v>
          </cell>
          <cell r="B377">
            <v>400000</v>
          </cell>
        </row>
        <row r="378">
          <cell r="A378" t="str">
            <v>黄骅市通和五金制品有限公司</v>
          </cell>
          <cell r="B378">
            <v>0</v>
          </cell>
        </row>
        <row r="379">
          <cell r="A379" t="str">
            <v>黄骅市通乐贸易有限公司</v>
          </cell>
          <cell r="B379">
            <v>26568</v>
          </cell>
        </row>
        <row r="380">
          <cell r="A380" t="str">
            <v>黄骅市通顺五金机电商店</v>
          </cell>
          <cell r="B380">
            <v>0</v>
          </cell>
        </row>
        <row r="381">
          <cell r="A381" t="str">
            <v>黄骅市通祥模具厂</v>
          </cell>
          <cell r="B381">
            <v>0</v>
          </cell>
        </row>
        <row r="382">
          <cell r="A382" t="str">
            <v>黄骅市同德商贸有限公司</v>
          </cell>
          <cell r="B382">
            <v>0</v>
          </cell>
        </row>
        <row r="383">
          <cell r="A383" t="str">
            <v>黄骅市同辉汽车配件有限公司</v>
          </cell>
          <cell r="B383">
            <v>0</v>
          </cell>
        </row>
        <row r="384">
          <cell r="A384" t="str">
            <v>黄骅市屯鑫五金经销部</v>
          </cell>
          <cell r="B384">
            <v>0</v>
          </cell>
        </row>
        <row r="385">
          <cell r="A385" t="str">
            <v>黄骅市万安挂车配件有限公司</v>
          </cell>
          <cell r="B385">
            <v>0</v>
          </cell>
        </row>
        <row r="386">
          <cell r="A386" t="str">
            <v>黄骅市万昌五金制品有限公司</v>
          </cell>
          <cell r="B386">
            <v>403549.6</v>
          </cell>
        </row>
        <row r="387">
          <cell r="A387" t="str">
            <v>黄骅市万方五金塑料制品有限公司</v>
          </cell>
          <cell r="B387">
            <v>0</v>
          </cell>
        </row>
        <row r="388">
          <cell r="A388" t="str">
            <v>黄骅市万寿汽车配件有限公司</v>
          </cell>
          <cell r="B388">
            <v>50000</v>
          </cell>
        </row>
        <row r="389">
          <cell r="A389" t="str">
            <v>黄骅市魏波五金制品经营部</v>
          </cell>
          <cell r="B389">
            <v>0</v>
          </cell>
        </row>
        <row r="390">
          <cell r="A390" t="str">
            <v>黄骅市西环路宏大电热仪表电器经销处</v>
          </cell>
          <cell r="B390">
            <v>0</v>
          </cell>
        </row>
        <row r="391">
          <cell r="A391" t="str">
            <v>黄骅市祥义塑料模具有限公司</v>
          </cell>
          <cell r="B391">
            <v>0</v>
          </cell>
        </row>
        <row r="392">
          <cell r="A392" t="str">
            <v>黄骅市翔华电子设备经销处</v>
          </cell>
          <cell r="B392">
            <v>0</v>
          </cell>
        </row>
        <row r="393">
          <cell r="A393" t="str">
            <v>黄骅市筱楠五金门市部</v>
          </cell>
          <cell r="B393">
            <v>0</v>
          </cell>
        </row>
        <row r="394">
          <cell r="A394" t="str">
            <v>黄骅市新暖汽车座垫加工厂</v>
          </cell>
          <cell r="B394">
            <v>0</v>
          </cell>
        </row>
        <row r="395">
          <cell r="A395" t="str">
            <v>黄骅市新智环保技术有限公司</v>
          </cell>
          <cell r="B395">
            <v>0</v>
          </cell>
        </row>
        <row r="396">
          <cell r="A396" t="str">
            <v>黄骅市鑫昌五金制品厂</v>
          </cell>
          <cell r="B396">
            <v>400000</v>
          </cell>
        </row>
        <row r="397">
          <cell r="A397" t="str">
            <v>黄骅市鑫宏祥电器门市部</v>
          </cell>
          <cell r="B397">
            <v>0</v>
          </cell>
        </row>
        <row r="398">
          <cell r="A398" t="str">
            <v>黄骅市鑫骅金属制品有限公司</v>
          </cell>
          <cell r="B398">
            <v>0</v>
          </cell>
        </row>
        <row r="399">
          <cell r="A399" t="str">
            <v>黄骅市鑫汇商贸有限公司</v>
          </cell>
          <cell r="B399">
            <v>0</v>
          </cell>
        </row>
        <row r="400">
          <cell r="A400" t="str">
            <v>黄骅市鑫亮五金制品厂</v>
          </cell>
          <cell r="B400">
            <v>0</v>
          </cell>
        </row>
        <row r="401">
          <cell r="A401" t="str">
            <v>黄骅市鑫鹏商贸有限公司</v>
          </cell>
          <cell r="B401">
            <v>0</v>
          </cell>
        </row>
        <row r="402">
          <cell r="A402" t="str">
            <v>黄骅市鑫祺汽车配件有限公司</v>
          </cell>
          <cell r="B402">
            <v>400000</v>
          </cell>
        </row>
        <row r="403">
          <cell r="A403" t="str">
            <v>黄骅市鑫盛物业服务有限公司</v>
          </cell>
          <cell r="B403">
            <v>0</v>
          </cell>
        </row>
        <row r="404">
          <cell r="A404" t="str">
            <v>黄骅市鑫宇五金制品厂</v>
          </cell>
          <cell r="B404">
            <v>0</v>
          </cell>
        </row>
        <row r="405">
          <cell r="A405" t="str">
            <v>黄骅市鑫源五金制品有限公司</v>
          </cell>
          <cell r="B405">
            <v>0</v>
          </cell>
        </row>
        <row r="406">
          <cell r="A406" t="str">
            <v>黄骅市兴朋包装材料有限公司</v>
          </cell>
          <cell r="B406">
            <v>0</v>
          </cell>
        </row>
        <row r="407">
          <cell r="A407" t="str">
            <v>黄骅市兴田弹簧有限公司</v>
          </cell>
          <cell r="B407">
            <v>0</v>
          </cell>
        </row>
        <row r="408">
          <cell r="A408" t="str">
            <v>黄骅市兴玉五金制品有限公司</v>
          </cell>
          <cell r="B408">
            <v>0</v>
          </cell>
        </row>
        <row r="409">
          <cell r="A409" t="str">
            <v>黄骅市亚星玻璃钢有限公司</v>
          </cell>
          <cell r="B409">
            <v>0</v>
          </cell>
        </row>
        <row r="410">
          <cell r="A410" t="str">
            <v>黄骅市亚征汽车配件有限公司</v>
          </cell>
          <cell r="B410">
            <v>50000</v>
          </cell>
        </row>
        <row r="411">
          <cell r="A411" t="str">
            <v>黄骅市亿顺五金制品有限公司</v>
          </cell>
          <cell r="B411">
            <v>0</v>
          </cell>
        </row>
        <row r="412">
          <cell r="A412" t="str">
            <v>黄骅市益成五金门市部</v>
          </cell>
          <cell r="B412">
            <v>0</v>
          </cell>
        </row>
        <row r="413">
          <cell r="A413" t="str">
            <v>黄骅市益丰橡胶制品有限公司</v>
          </cell>
          <cell r="B413">
            <v>0</v>
          </cell>
        </row>
        <row r="414">
          <cell r="A414" t="str">
            <v>黄骅市益海五金制造有限公司</v>
          </cell>
          <cell r="B414">
            <v>0</v>
          </cell>
        </row>
        <row r="415">
          <cell r="A415" t="str">
            <v>黄骅市雍丰塑料制品有限公司</v>
          </cell>
          <cell r="B415">
            <v>400000</v>
          </cell>
        </row>
        <row r="416">
          <cell r="A416" t="str">
            <v>黄骅市友联嘉悦商贸有限公司</v>
          </cell>
          <cell r="B416">
            <v>0</v>
          </cell>
        </row>
        <row r="417">
          <cell r="A417" t="str">
            <v>黄骅市宇丰运输有限公司</v>
          </cell>
          <cell r="B417">
            <v>0</v>
          </cell>
        </row>
        <row r="418">
          <cell r="A418" t="str">
            <v>黄骅市玉明五金模标门市部</v>
          </cell>
          <cell r="B418">
            <v>0</v>
          </cell>
        </row>
        <row r="419">
          <cell r="A419" t="str">
            <v>黄骅市誉焱制衣厂</v>
          </cell>
          <cell r="B419">
            <v>0</v>
          </cell>
        </row>
        <row r="420">
          <cell r="A420" t="str">
            <v>黄骅市元周五金制品有限公司</v>
          </cell>
          <cell r="B420">
            <v>0</v>
          </cell>
        </row>
        <row r="421">
          <cell r="A421" t="str">
            <v>黄骅市月军五金制品厂</v>
          </cell>
          <cell r="B421">
            <v>0</v>
          </cell>
        </row>
        <row r="422">
          <cell r="A422" t="str">
            <v>黄骅市运输总公司华宇汽修厂</v>
          </cell>
          <cell r="B422">
            <v>0</v>
          </cell>
        </row>
        <row r="423">
          <cell r="A423" t="str">
            <v>黄骅市再兴汽车配件有限公司</v>
          </cell>
          <cell r="B423">
            <v>35472.74</v>
          </cell>
        </row>
        <row r="424">
          <cell r="A424" t="str">
            <v>黄骅市泽方模具有限公司</v>
          </cell>
          <cell r="B424">
            <v>0</v>
          </cell>
        </row>
        <row r="425">
          <cell r="A425" t="str">
            <v>黄骅市增鑫五金制品有限公司</v>
          </cell>
          <cell r="B425">
            <v>0</v>
          </cell>
        </row>
        <row r="426">
          <cell r="A426" t="str">
            <v>黄骅市兆展铁艺加工厂</v>
          </cell>
          <cell r="B426">
            <v>0</v>
          </cell>
        </row>
        <row r="427">
          <cell r="A427" t="str">
            <v>黄骅市赵福增运输队</v>
          </cell>
          <cell r="B427">
            <v>0</v>
          </cell>
        </row>
        <row r="428">
          <cell r="A428" t="str">
            <v>黄骅市祯祥金属制品有限责任公司</v>
          </cell>
          <cell r="B428">
            <v>0</v>
          </cell>
        </row>
        <row r="429">
          <cell r="A429" t="str">
            <v>黄骅市振兴汽车灯镜厂</v>
          </cell>
          <cell r="B429">
            <v>0</v>
          </cell>
        </row>
        <row r="430">
          <cell r="A430" t="str">
            <v>黄骅市振兴五金制品厂</v>
          </cell>
          <cell r="B430">
            <v>0</v>
          </cell>
        </row>
        <row r="431">
          <cell r="A431" t="str">
            <v>黄骅市震飞塑机辅机有限公司</v>
          </cell>
          <cell r="B431">
            <v>12110</v>
          </cell>
        </row>
        <row r="432">
          <cell r="A432" t="str">
            <v>黄骅市震宇机动配件有限公司</v>
          </cell>
          <cell r="B432">
            <v>0</v>
          </cell>
        </row>
        <row r="433">
          <cell r="A433" t="str">
            <v>黄骅市正大纺织机械配件厂</v>
          </cell>
          <cell r="B433">
            <v>20000</v>
          </cell>
        </row>
        <row r="434">
          <cell r="A434" t="str">
            <v>黄骅市正发五金机电经销处</v>
          </cell>
          <cell r="B434">
            <v>0</v>
          </cell>
        </row>
        <row r="435">
          <cell r="A435" t="str">
            <v>黄骅市正祥车辆部件有限公司</v>
          </cell>
          <cell r="B435">
            <v>30000</v>
          </cell>
        </row>
        <row r="436">
          <cell r="A436" t="str">
            <v>黄骅市志承车业有限公司</v>
          </cell>
          <cell r="B436">
            <v>0</v>
          </cell>
        </row>
        <row r="437">
          <cell r="A437" t="str">
            <v>黄骅市致远摩托车配件有限公司</v>
          </cell>
          <cell r="B437">
            <v>0</v>
          </cell>
        </row>
        <row r="438">
          <cell r="A438" t="str">
            <v>黄骅市智美办公用品门市部</v>
          </cell>
          <cell r="B438">
            <v>0</v>
          </cell>
        </row>
        <row r="439">
          <cell r="A439" t="str">
            <v>黄骅市中医医院</v>
          </cell>
          <cell r="B439">
            <v>0</v>
          </cell>
        </row>
        <row r="440">
          <cell r="A440" t="str">
            <v>黄骅信誉楼百货集团有限公司黄骅信誉楼商厦</v>
          </cell>
          <cell r="B440">
            <v>0</v>
          </cell>
        </row>
        <row r="441">
          <cell r="A441" t="str">
            <v>吉林省国际仓储运输有限公司</v>
          </cell>
          <cell r="B441">
            <v>0</v>
          </cell>
        </row>
        <row r="442">
          <cell r="A442" t="str">
            <v>吉林省裕隆机电设备零部件有限公司</v>
          </cell>
          <cell r="B442">
            <v>0</v>
          </cell>
        </row>
        <row r="443">
          <cell r="A443" t="str">
            <v>济南广武数控设备有限公司</v>
          </cell>
          <cell r="B443">
            <v>0</v>
          </cell>
        </row>
        <row r="444">
          <cell r="A444" t="str">
            <v>济南恒发一诚聚氨酯有限公司</v>
          </cell>
          <cell r="B444">
            <v>0</v>
          </cell>
        </row>
        <row r="445">
          <cell r="A445" t="str">
            <v>济南时代试金试验机有限公司</v>
          </cell>
          <cell r="B445">
            <v>0</v>
          </cell>
        </row>
        <row r="446">
          <cell r="A446" t="str">
            <v>济南岩安电子科技有限公司</v>
          </cell>
          <cell r="B446">
            <v>0</v>
          </cell>
        </row>
        <row r="447">
          <cell r="A447" t="str">
            <v>冀州市北内汽车座椅有限公司</v>
          </cell>
          <cell r="B447">
            <v>0</v>
          </cell>
        </row>
        <row r="448">
          <cell r="A448" t="str">
            <v>佳化化学（滨州）有限公司</v>
          </cell>
          <cell r="B448">
            <v>0</v>
          </cell>
        </row>
        <row r="449">
          <cell r="A449" t="str">
            <v>嘉兴市南湖区东栅街道嘉环中电子产品经营部</v>
          </cell>
          <cell r="B449">
            <v>0</v>
          </cell>
        </row>
        <row r="450">
          <cell r="A450" t="str">
            <v>嘉兴市松玖机电设备有限公司</v>
          </cell>
          <cell r="B450">
            <v>0</v>
          </cell>
        </row>
        <row r="451">
          <cell r="A451" t="str">
            <v>建生裕科（上海）贸易有限公司</v>
          </cell>
          <cell r="B451">
            <v>0</v>
          </cell>
        </row>
        <row r="452">
          <cell r="A452" t="str">
            <v>江苏艾文德悦达汽车内饰有限公司</v>
          </cell>
          <cell r="B452">
            <v>30000</v>
          </cell>
        </row>
        <row r="453">
          <cell r="A453" t="str">
            <v>江苏力乐汽车部件股份有限公司</v>
          </cell>
          <cell r="B453">
            <v>100000</v>
          </cell>
        </row>
        <row r="454">
          <cell r="A454" t="str">
            <v>江苏申牌万向轮有限公司</v>
          </cell>
          <cell r="B454">
            <v>0</v>
          </cell>
        </row>
        <row r="455">
          <cell r="A455" t="str">
            <v>江苏万金汽车零部件制造有限公司</v>
          </cell>
          <cell r="B455">
            <v>100000</v>
          </cell>
        </row>
        <row r="456">
          <cell r="A456" t="str">
            <v>江苏扬力集团有限公司</v>
          </cell>
          <cell r="B456">
            <v>0</v>
          </cell>
        </row>
        <row r="457">
          <cell r="A457" t="str">
            <v>江苏忠明祥和精工股份有限公司</v>
          </cell>
          <cell r="B457">
            <v>0</v>
          </cell>
        </row>
        <row r="458">
          <cell r="A458" t="str">
            <v>江阴长青工艺品有限公司</v>
          </cell>
          <cell r="B458">
            <v>0</v>
          </cell>
        </row>
        <row r="459">
          <cell r="A459" t="str">
            <v>江阴市诚信模具有限公司</v>
          </cell>
          <cell r="B459">
            <v>0</v>
          </cell>
        </row>
        <row r="460">
          <cell r="A460" t="str">
            <v>江阴市达安汽车零部件有限公司</v>
          </cell>
          <cell r="B460">
            <v>0</v>
          </cell>
        </row>
        <row r="461">
          <cell r="A461" t="str">
            <v>江阴市利剑金刚石工磨具有限公司</v>
          </cell>
          <cell r="B461">
            <v>0</v>
          </cell>
        </row>
        <row r="462">
          <cell r="A462" t="str">
            <v>江阴市信佳科贸有限公司</v>
          </cell>
          <cell r="B462">
            <v>50000</v>
          </cell>
        </row>
        <row r="463">
          <cell r="A463" t="str">
            <v>金丰（中国）机械工业有限公司</v>
          </cell>
          <cell r="B463">
            <v>0</v>
          </cell>
        </row>
        <row r="464">
          <cell r="A464" t="str">
            <v>金世纪电缆集团有限公司</v>
          </cell>
          <cell r="B464">
            <v>0</v>
          </cell>
        </row>
        <row r="465">
          <cell r="A465" t="str">
            <v>景德镇景兴物流有限公司</v>
          </cell>
          <cell r="B465">
            <v>0</v>
          </cell>
        </row>
        <row r="466">
          <cell r="A466" t="str">
            <v>孔令兰</v>
          </cell>
          <cell r="B466">
            <v>0</v>
          </cell>
        </row>
        <row r="467">
          <cell r="A467" t="str">
            <v>旷达汽车饰件系统有限公司</v>
          </cell>
          <cell r="B467">
            <v>0</v>
          </cell>
        </row>
        <row r="468">
          <cell r="A468" t="str">
            <v>旷达汽车饰件有限公司</v>
          </cell>
          <cell r="B468">
            <v>0</v>
          </cell>
        </row>
        <row r="469">
          <cell r="A469" t="str">
            <v>昆山福如斯精密机械有限公司</v>
          </cell>
          <cell r="B469">
            <v>0</v>
          </cell>
        </row>
        <row r="470">
          <cell r="A470" t="str">
            <v>昆山鸿毅达精密模具有限公司</v>
          </cell>
          <cell r="B470">
            <v>0</v>
          </cell>
        </row>
        <row r="471">
          <cell r="A471" t="str">
            <v>昆山瑞翔自动化科技有限公司</v>
          </cell>
          <cell r="B471">
            <v>0</v>
          </cell>
        </row>
        <row r="472">
          <cell r="A472" t="str">
            <v>昆山市永盛制线有限公司</v>
          </cell>
          <cell r="B472">
            <v>0</v>
          </cell>
        </row>
        <row r="473">
          <cell r="A473" t="str">
            <v>昆山市玉山镇钛晶邦机电商行</v>
          </cell>
          <cell r="B473">
            <v>0</v>
          </cell>
        </row>
        <row r="474">
          <cell r="A474" t="str">
            <v>昆山维尔利环保科技有限公司</v>
          </cell>
          <cell r="B474">
            <v>50000</v>
          </cell>
        </row>
        <row r="475">
          <cell r="A475" t="str">
            <v>莱茵贝格电梯（北京）有限公司第六分公司</v>
          </cell>
          <cell r="B475">
            <v>0</v>
          </cell>
        </row>
        <row r="476">
          <cell r="A476" t="str">
            <v>廊坊华文机电设备有限公司</v>
          </cell>
          <cell r="B476">
            <v>0</v>
          </cell>
        </row>
        <row r="477">
          <cell r="A477" t="str">
            <v>廊坊开发区浩泰机械制造有限公司</v>
          </cell>
          <cell r="B477">
            <v>0</v>
          </cell>
        </row>
        <row r="478">
          <cell r="A478" t="str">
            <v>廊坊市烁鑫汽车配件有限公司</v>
          </cell>
          <cell r="B478">
            <v>50000</v>
          </cell>
        </row>
        <row r="479">
          <cell r="A479" t="str">
            <v>廊坊一凡水处理工程有限公司</v>
          </cell>
          <cell r="B479">
            <v>0</v>
          </cell>
        </row>
        <row r="480">
          <cell r="A480" t="str">
            <v>廊坊中德汽车座椅制造有限公司</v>
          </cell>
          <cell r="B480">
            <v>0</v>
          </cell>
        </row>
        <row r="481">
          <cell r="A481" t="str">
            <v>李春林</v>
          </cell>
          <cell r="B481">
            <v>0</v>
          </cell>
        </row>
        <row r="482">
          <cell r="A482" t="str">
            <v>溧阳市鑫岩车辆配件厂</v>
          </cell>
          <cell r="B482">
            <v>0</v>
          </cell>
        </row>
        <row r="483">
          <cell r="A483" t="str">
            <v>溧阳万金汽车配件有限公司</v>
          </cell>
          <cell r="B483">
            <v>0</v>
          </cell>
        </row>
        <row r="484">
          <cell r="A484" t="str">
            <v>溧阳鑫岩汽车零部件有限公司</v>
          </cell>
          <cell r="B484">
            <v>0</v>
          </cell>
        </row>
        <row r="485">
          <cell r="A485" t="str">
            <v>辽宁德威纤维制品有限公司</v>
          </cell>
          <cell r="B485">
            <v>0</v>
          </cell>
        </row>
        <row r="486">
          <cell r="A486" t="str">
            <v>辽源市佳林造革有限责任公司</v>
          </cell>
          <cell r="B486">
            <v>0</v>
          </cell>
        </row>
        <row r="487">
          <cell r="A487" t="str">
            <v>刘东德</v>
          </cell>
          <cell r="B487">
            <v>0</v>
          </cell>
        </row>
        <row r="488">
          <cell r="A488" t="str">
            <v>刘金亮</v>
          </cell>
          <cell r="B488">
            <v>0</v>
          </cell>
        </row>
        <row r="489">
          <cell r="A489" t="str">
            <v>刘荣辉</v>
          </cell>
          <cell r="B489">
            <v>0</v>
          </cell>
        </row>
        <row r="490">
          <cell r="A490" t="str">
            <v>洛阳宏润塑业有限公司</v>
          </cell>
          <cell r="B490">
            <v>175340</v>
          </cell>
        </row>
        <row r="491">
          <cell r="A491" t="str">
            <v>马英强</v>
          </cell>
          <cell r="B491">
            <v>0</v>
          </cell>
        </row>
        <row r="492">
          <cell r="A492" t="str">
            <v>马志云</v>
          </cell>
          <cell r="B492">
            <v>0</v>
          </cell>
        </row>
        <row r="493">
          <cell r="A493" t="str">
            <v>美视伊汽车镜控（苏州）有限公司</v>
          </cell>
          <cell r="B493">
            <v>0</v>
          </cell>
        </row>
        <row r="494">
          <cell r="A494" t="str">
            <v>孟村回族自治县旭日汽车配件厂</v>
          </cell>
          <cell r="B494">
            <v>0</v>
          </cell>
        </row>
        <row r="495">
          <cell r="A495" t="str">
            <v>米思米（中国）精密机械贸易有限公司</v>
          </cell>
          <cell r="B495">
            <v>0</v>
          </cell>
        </row>
        <row r="496">
          <cell r="A496" t="str">
            <v>密佳达（北京）塑料机械设备有限公司</v>
          </cell>
          <cell r="B496">
            <v>0</v>
          </cell>
        </row>
        <row r="497">
          <cell r="A497" t="str">
            <v>密山市龙兴制革有限公司</v>
          </cell>
          <cell r="B497">
            <v>0</v>
          </cell>
        </row>
        <row r="498">
          <cell r="A498" t="str">
            <v>明邦（天津）科技有限公司</v>
          </cell>
          <cell r="B498">
            <v>0</v>
          </cell>
        </row>
        <row r="499">
          <cell r="A499" t="str">
            <v>铭涛五金(苏州)有限公司</v>
          </cell>
          <cell r="B499">
            <v>0</v>
          </cell>
        </row>
        <row r="500">
          <cell r="A500" t="str">
            <v>慕斯汽车后视镜系统（无锡）有限公司</v>
          </cell>
          <cell r="B500">
            <v>100000</v>
          </cell>
        </row>
        <row r="501">
          <cell r="A501" t="str">
            <v>纳拓润滑技术（上海）有限公司</v>
          </cell>
          <cell r="B501">
            <v>0</v>
          </cell>
        </row>
        <row r="502">
          <cell r="A502" t="str">
            <v>纳新塑化（上海）有限公司</v>
          </cell>
          <cell r="B502">
            <v>30000</v>
          </cell>
        </row>
        <row r="503">
          <cell r="A503" t="str">
            <v>南方中金环境股份有限公司</v>
          </cell>
          <cell r="B503">
            <v>0</v>
          </cell>
        </row>
        <row r="504">
          <cell r="A504" t="str">
            <v>南京聚隆科技股份有限公司</v>
          </cell>
          <cell r="B504">
            <v>0</v>
          </cell>
        </row>
        <row r="505">
          <cell r="A505" t="str">
            <v>南京磐纳科技发展有限公司</v>
          </cell>
          <cell r="B505">
            <v>0</v>
          </cell>
        </row>
        <row r="506">
          <cell r="A506" t="str">
            <v>南皮国名冲压件厂</v>
          </cell>
          <cell r="B506">
            <v>9209.69</v>
          </cell>
        </row>
        <row r="507">
          <cell r="A507" t="str">
            <v>南皮县聚金五金制品有限公司</v>
          </cell>
          <cell r="B507">
            <v>0</v>
          </cell>
        </row>
        <row r="508">
          <cell r="A508" t="str">
            <v>南皮县利辉五金接插件厂</v>
          </cell>
          <cell r="B508">
            <v>0</v>
          </cell>
        </row>
        <row r="509">
          <cell r="A509" t="str">
            <v>南皮县明光五金机电有限公司</v>
          </cell>
          <cell r="B509">
            <v>0</v>
          </cell>
        </row>
        <row r="510">
          <cell r="A510" t="str">
            <v>南皮县泰航五金制造有限公司</v>
          </cell>
          <cell r="B510">
            <v>0</v>
          </cell>
        </row>
        <row r="511">
          <cell r="A511" t="str">
            <v>南皮县望生金属材料有限公司</v>
          </cell>
          <cell r="B511">
            <v>0</v>
          </cell>
        </row>
        <row r="512">
          <cell r="A512" t="str">
            <v>南通南亚汽车新材料有限公司</v>
          </cell>
          <cell r="B512">
            <v>0</v>
          </cell>
        </row>
        <row r="513">
          <cell r="A513" t="str">
            <v>宁波精成车业有限公司</v>
          </cell>
          <cell r="B513">
            <v>200000</v>
          </cell>
        </row>
        <row r="514">
          <cell r="A514" t="str">
            <v>宁波瑞元模塑有限公司</v>
          </cell>
          <cell r="B514">
            <v>0</v>
          </cell>
        </row>
        <row r="515">
          <cell r="A515" t="str">
            <v>宁波正耀汽车电器有限公司</v>
          </cell>
          <cell r="B515">
            <v>0</v>
          </cell>
        </row>
        <row r="516">
          <cell r="A516" t="str">
            <v>派博乐安全设备有限公司</v>
          </cell>
          <cell r="B516">
            <v>0</v>
          </cell>
        </row>
        <row r="517">
          <cell r="A517" t="str">
            <v>濮阳市汉克斯机械有限公司</v>
          </cell>
          <cell r="B517">
            <v>0</v>
          </cell>
        </row>
        <row r="518">
          <cell r="A518" t="str">
            <v>普罗名特贸易（大连）有限公司</v>
          </cell>
          <cell r="B518">
            <v>0</v>
          </cell>
        </row>
        <row r="519">
          <cell r="A519" t="str">
            <v>秦皇岛高鹏泡沫塑料有限公司</v>
          </cell>
          <cell r="B519">
            <v>0</v>
          </cell>
        </row>
        <row r="520">
          <cell r="A520" t="str">
            <v>青岛澳海源国际贸易有限公司</v>
          </cell>
          <cell r="B520">
            <v>0</v>
          </cell>
        </row>
        <row r="521">
          <cell r="A521" t="str">
            <v>青岛福基纺织有限公司</v>
          </cell>
          <cell r="B521">
            <v>992500</v>
          </cell>
        </row>
        <row r="522">
          <cell r="A522" t="str">
            <v>青岛银泰洁净设备有限公司</v>
          </cell>
          <cell r="B522">
            <v>0</v>
          </cell>
        </row>
        <row r="523">
          <cell r="A523" t="str">
            <v>青县永胜焊接材料厂</v>
          </cell>
          <cell r="B523">
            <v>0</v>
          </cell>
        </row>
        <row r="524">
          <cell r="A524" t="str">
            <v>青州市万向机械有限公司</v>
          </cell>
          <cell r="B524">
            <v>0</v>
          </cell>
        </row>
        <row r="525">
          <cell r="A525" t="str">
            <v>曲阜陆航座椅辅料有限公司</v>
          </cell>
          <cell r="B525">
            <v>0</v>
          </cell>
        </row>
        <row r="526">
          <cell r="A526" t="str">
            <v>人民电器集团黄骅销售有限公司</v>
          </cell>
          <cell r="B526">
            <v>0</v>
          </cell>
        </row>
        <row r="527">
          <cell r="A527" t="str">
            <v>任丘市焊材厂</v>
          </cell>
          <cell r="B527">
            <v>0</v>
          </cell>
        </row>
        <row r="528">
          <cell r="A528" t="str">
            <v>任丘市力洋压缩机制造有限公司</v>
          </cell>
          <cell r="B528">
            <v>0</v>
          </cell>
        </row>
        <row r="529">
          <cell r="A529" t="str">
            <v>三门县伟狄交通设施厂</v>
          </cell>
          <cell r="B529">
            <v>0</v>
          </cell>
        </row>
        <row r="530">
          <cell r="A530" t="str">
            <v>森织汽车内饰（武汉）有限公司</v>
          </cell>
          <cell r="B530">
            <v>0</v>
          </cell>
        </row>
        <row r="531">
          <cell r="A531" t="str">
            <v>山东东塑机械制造有限公司</v>
          </cell>
          <cell r="B531">
            <v>0</v>
          </cell>
        </row>
        <row r="532">
          <cell r="A532" t="str">
            <v>山东丰泽源皮革有限公司</v>
          </cell>
          <cell r="B532">
            <v>0</v>
          </cell>
        </row>
        <row r="533">
          <cell r="A533" t="str">
            <v>山东格瑞蓝热能设备有限公司</v>
          </cell>
          <cell r="B533">
            <v>0</v>
          </cell>
        </row>
        <row r="534">
          <cell r="A534" t="str">
            <v>山东金达汽车部件制造股份有限公司</v>
          </cell>
          <cell r="B534">
            <v>1050000</v>
          </cell>
        </row>
        <row r="535">
          <cell r="A535" t="str">
            <v>山东力丰重型机床有限公司</v>
          </cell>
          <cell r="B535">
            <v>0</v>
          </cell>
        </row>
        <row r="536">
          <cell r="A536" t="str">
            <v>山东隆华新材料股份有限公司</v>
          </cell>
          <cell r="B536">
            <v>0</v>
          </cell>
        </row>
        <row r="537">
          <cell r="A537" t="str">
            <v>山东浅海电气有限公司</v>
          </cell>
          <cell r="B537">
            <v>0</v>
          </cell>
        </row>
        <row r="538">
          <cell r="A538" t="str">
            <v>山东省禹城市阳光化工有限公司</v>
          </cell>
          <cell r="B538">
            <v>0</v>
          </cell>
        </row>
        <row r="539">
          <cell r="A539" t="str">
            <v>山东施密特热能设备有限公司</v>
          </cell>
          <cell r="B539">
            <v>0</v>
          </cell>
        </row>
        <row r="540">
          <cell r="A540" t="str">
            <v>山东泰鹏新材料有限公司</v>
          </cell>
          <cell r="B540">
            <v>0</v>
          </cell>
        </row>
        <row r="541">
          <cell r="A541" t="str">
            <v>商玉才</v>
          </cell>
          <cell r="B541">
            <v>0</v>
          </cell>
        </row>
        <row r="542">
          <cell r="A542" t="str">
            <v>上工富怡智能制造（天津）有限公司</v>
          </cell>
          <cell r="B542">
            <v>0</v>
          </cell>
        </row>
        <row r="543">
          <cell r="A543" t="str">
            <v>上海芭仲实业发展有限公司</v>
          </cell>
          <cell r="B543">
            <v>0</v>
          </cell>
        </row>
        <row r="544">
          <cell r="A544" t="str">
            <v>上海奔德汽车零部件有限公司</v>
          </cell>
          <cell r="B544">
            <v>0</v>
          </cell>
        </row>
        <row r="545">
          <cell r="A545" t="str">
            <v>上海边锋实业有限公司</v>
          </cell>
          <cell r="B545">
            <v>0</v>
          </cell>
        </row>
        <row r="546">
          <cell r="A546" t="str">
            <v>上海畅聊网络科技有限公司</v>
          </cell>
          <cell r="B546">
            <v>0</v>
          </cell>
        </row>
        <row r="547">
          <cell r="A547" t="str">
            <v>上海导全自动化设备有限公司</v>
          </cell>
          <cell r="B547">
            <v>0</v>
          </cell>
        </row>
        <row r="548">
          <cell r="A548" t="str">
            <v>上海工博商贸有限公司</v>
          </cell>
          <cell r="B548">
            <v>0</v>
          </cell>
        </row>
        <row r="549">
          <cell r="A549" t="str">
            <v>上海购福电子商务有限公司</v>
          </cell>
          <cell r="B549">
            <v>0</v>
          </cell>
        </row>
        <row r="550">
          <cell r="A550" t="str">
            <v>上海昊诚泵阀有限公司</v>
          </cell>
          <cell r="B550">
            <v>0</v>
          </cell>
        </row>
        <row r="551">
          <cell r="A551" t="str">
            <v>上海和鹰机电设备有限公司</v>
          </cell>
          <cell r="B551">
            <v>0</v>
          </cell>
        </row>
        <row r="552">
          <cell r="A552" t="str">
            <v>上海亨斯迈聚氨酯有限公司</v>
          </cell>
          <cell r="B552">
            <v>0</v>
          </cell>
        </row>
        <row r="553">
          <cell r="A553" t="str">
            <v>上海沪熙商贸有限公司</v>
          </cell>
          <cell r="B553">
            <v>14200</v>
          </cell>
        </row>
        <row r="554">
          <cell r="A554" t="str">
            <v>上海怀德五金机电有限公司</v>
          </cell>
          <cell r="B554">
            <v>0</v>
          </cell>
        </row>
        <row r="555">
          <cell r="A555" t="str">
            <v>上海金力泰化工股份有限公司</v>
          </cell>
          <cell r="B555">
            <v>0</v>
          </cell>
        </row>
        <row r="556">
          <cell r="A556" t="str">
            <v>上海克来机电自动化工程有限公司</v>
          </cell>
          <cell r="B556">
            <v>0</v>
          </cell>
        </row>
        <row r="557">
          <cell r="A557" t="str">
            <v>上海利用锁具有限公司</v>
          </cell>
          <cell r="B557">
            <v>0</v>
          </cell>
        </row>
        <row r="558">
          <cell r="A558" t="str">
            <v>上海名华悬挂输送机有限公司</v>
          </cell>
          <cell r="B558">
            <v>0</v>
          </cell>
        </row>
        <row r="559">
          <cell r="A559" t="str">
            <v>上海明芳汽车零件有限公司</v>
          </cell>
          <cell r="B559">
            <v>50000</v>
          </cell>
        </row>
        <row r="560">
          <cell r="A560" t="str">
            <v>上海腾基机械设备有限公司</v>
          </cell>
          <cell r="B560">
            <v>0</v>
          </cell>
        </row>
        <row r="561">
          <cell r="A561" t="str">
            <v>上海旭伽贸易有限公司</v>
          </cell>
          <cell r="B561">
            <v>0</v>
          </cell>
        </row>
        <row r="562">
          <cell r="A562" t="str">
            <v>上海研润光机科技有限公司</v>
          </cell>
          <cell r="B562">
            <v>0</v>
          </cell>
        </row>
        <row r="563">
          <cell r="A563" t="str">
            <v>上海奕盛信息技术有限公司</v>
          </cell>
          <cell r="B563">
            <v>0</v>
          </cell>
        </row>
        <row r="564">
          <cell r="A564" t="str">
            <v>上海优诺特实业股份有限公司</v>
          </cell>
          <cell r="B564">
            <v>0</v>
          </cell>
        </row>
        <row r="565">
          <cell r="A565" t="str">
            <v>上海誉星电子有限公司</v>
          </cell>
          <cell r="B565">
            <v>0</v>
          </cell>
        </row>
        <row r="566">
          <cell r="A566" t="str">
            <v>上海绽奇工贸有限公司</v>
          </cell>
          <cell r="B566">
            <v>0</v>
          </cell>
        </row>
        <row r="567">
          <cell r="A567" t="str">
            <v>深圳市固特灵胶业有限公司</v>
          </cell>
          <cell r="B567">
            <v>0</v>
          </cell>
        </row>
        <row r="568">
          <cell r="A568" t="str">
            <v>深圳市宏升风机设备有限公司</v>
          </cell>
          <cell r="B568">
            <v>0</v>
          </cell>
        </row>
        <row r="569">
          <cell r="A569" t="str">
            <v>深圳市互成自动化设备有限公司</v>
          </cell>
          <cell r="B569">
            <v>0</v>
          </cell>
        </row>
        <row r="570">
          <cell r="A570" t="str">
            <v>深圳市华亚数控机床有限公司</v>
          </cell>
          <cell r="B570">
            <v>0</v>
          </cell>
        </row>
        <row r="571">
          <cell r="A571" t="str">
            <v>深圳市立恒视觉技术有限公司</v>
          </cell>
          <cell r="B571">
            <v>0</v>
          </cell>
        </row>
        <row r="572">
          <cell r="A572" t="str">
            <v>深圳市森瑞普电子有限公司</v>
          </cell>
          <cell r="B572">
            <v>0</v>
          </cell>
        </row>
        <row r="573">
          <cell r="A573" t="str">
            <v>深圳市顺镒五金机电有限公司</v>
          </cell>
          <cell r="B573">
            <v>0</v>
          </cell>
        </row>
        <row r="574">
          <cell r="A574" t="str">
            <v>深圳市万泉河科技有限公司</v>
          </cell>
          <cell r="B574">
            <v>0</v>
          </cell>
        </row>
        <row r="575">
          <cell r="A575" t="str">
            <v>深州市安广顺机械配件有限公司</v>
          </cell>
          <cell r="B575">
            <v>0</v>
          </cell>
        </row>
        <row r="576">
          <cell r="A576" t="str">
            <v>深州市华星塑胶制品有限公司</v>
          </cell>
          <cell r="B576">
            <v>0</v>
          </cell>
        </row>
        <row r="577">
          <cell r="A577" t="str">
            <v>深州市卓伦橡塑磨具有限公司</v>
          </cell>
          <cell r="B577">
            <v>100000</v>
          </cell>
        </row>
        <row r="578">
          <cell r="A578" t="str">
            <v>沈阳市鼎华机械设备制造厂</v>
          </cell>
          <cell r="B578">
            <v>0</v>
          </cell>
        </row>
        <row r="579">
          <cell r="A579" t="str">
            <v>石家庄霍克叉车设备有限公司</v>
          </cell>
          <cell r="B579">
            <v>0</v>
          </cell>
        </row>
        <row r="580">
          <cell r="A580" t="str">
            <v>石家庄金盾安全技术工程有限公司沧州分公司</v>
          </cell>
          <cell r="B580">
            <v>0</v>
          </cell>
        </row>
        <row r="581">
          <cell r="A581" t="str">
            <v>石家庄跨越物流有限公司</v>
          </cell>
          <cell r="B581">
            <v>0</v>
          </cell>
        </row>
        <row r="582">
          <cell r="A582" t="str">
            <v>石家庄松樾机械设备销售有限公司</v>
          </cell>
          <cell r="B582">
            <v>0</v>
          </cell>
        </row>
        <row r="583">
          <cell r="A583" t="str">
            <v>市场采购</v>
          </cell>
          <cell r="B583">
            <v>0</v>
          </cell>
        </row>
        <row r="584">
          <cell r="A584" t="str">
            <v>沭阳县嘉福商贸中心</v>
          </cell>
          <cell r="B584">
            <v>0</v>
          </cell>
        </row>
        <row r="585">
          <cell r="A585" t="str">
            <v>苏瑞电子设备（北京）有限公司</v>
          </cell>
          <cell r="B585">
            <v>0</v>
          </cell>
        </row>
        <row r="586">
          <cell r="A586" t="str">
            <v>苏州高登威科技股份有限公司</v>
          </cell>
          <cell r="B586">
            <v>0</v>
          </cell>
        </row>
        <row r="587">
          <cell r="A587" t="str">
            <v>苏州高新区旭达输送机械有限公司</v>
          </cell>
          <cell r="B587">
            <v>0</v>
          </cell>
        </row>
        <row r="588">
          <cell r="A588" t="str">
            <v>苏州格力富机电科技有限公司</v>
          </cell>
          <cell r="B588">
            <v>0</v>
          </cell>
        </row>
        <row r="589">
          <cell r="A589" t="str">
            <v>苏州华尔普机械有限公司</v>
          </cell>
          <cell r="B589">
            <v>0</v>
          </cell>
        </row>
        <row r="590">
          <cell r="A590" t="str">
            <v>苏州瑞尔福精密模具有限公司</v>
          </cell>
          <cell r="B590">
            <v>0</v>
          </cell>
        </row>
        <row r="591">
          <cell r="A591" t="str">
            <v>苏州市荣威模具有限公司</v>
          </cell>
          <cell r="B591">
            <v>0</v>
          </cell>
        </row>
        <row r="592">
          <cell r="A592" t="str">
            <v>苏州泰克优自动化科技有限公司</v>
          </cell>
          <cell r="B592">
            <v>0</v>
          </cell>
        </row>
        <row r="593">
          <cell r="A593" t="str">
            <v>苏州耀腾光电有限公司</v>
          </cell>
          <cell r="B593">
            <v>20000</v>
          </cell>
        </row>
        <row r="594">
          <cell r="A594" t="str">
            <v>苏州智华汽车电子有限公司</v>
          </cell>
          <cell r="B594">
            <v>0</v>
          </cell>
        </row>
        <row r="595">
          <cell r="A595" t="str">
            <v>宿迁京狗电子商务有限公司</v>
          </cell>
          <cell r="B595">
            <v>0</v>
          </cell>
        </row>
        <row r="596">
          <cell r="A596" t="str">
            <v>塑宝环保机械（太仓）有限公司</v>
          </cell>
          <cell r="B596">
            <v>0</v>
          </cell>
        </row>
        <row r="597">
          <cell r="A597" t="str">
            <v>泰州市罡阳龙宇机械厂</v>
          </cell>
          <cell r="B597">
            <v>0</v>
          </cell>
        </row>
        <row r="598">
          <cell r="A598" t="str">
            <v>唐山京联制线有限公司</v>
          </cell>
          <cell r="B598">
            <v>0</v>
          </cell>
        </row>
        <row r="599">
          <cell r="A599" t="str">
            <v>唐山市丰润区报喜坨扁钢厂（普通合伙）</v>
          </cell>
          <cell r="B599">
            <v>0</v>
          </cell>
        </row>
        <row r="600">
          <cell r="A600" t="str">
            <v>唐山松下产业机器有限公司</v>
          </cell>
          <cell r="B600">
            <v>0</v>
          </cell>
        </row>
        <row r="601">
          <cell r="A601" t="str">
            <v>唐兴压缩技术（昆山）有限公司</v>
          </cell>
          <cell r="B601">
            <v>0</v>
          </cell>
        </row>
        <row r="602">
          <cell r="A602" t="str">
            <v>天津安美润滑科技有限公司</v>
          </cell>
          <cell r="B602">
            <v>0</v>
          </cell>
        </row>
        <row r="603">
          <cell r="A603" t="str">
            <v>天津澳晨科技有限公司</v>
          </cell>
          <cell r="B603">
            <v>0</v>
          </cell>
        </row>
        <row r="604">
          <cell r="A604" t="str">
            <v>天津宝盈电脑机械有限公司</v>
          </cell>
          <cell r="B604">
            <v>0</v>
          </cell>
        </row>
        <row r="605">
          <cell r="A605" t="str">
            <v>天津北方合力叉车有限公司石家庄分公司</v>
          </cell>
          <cell r="B605">
            <v>0</v>
          </cell>
        </row>
        <row r="606">
          <cell r="A606" t="str">
            <v>天津冠崴精密机械有限公司</v>
          </cell>
          <cell r="B606">
            <v>0</v>
          </cell>
        </row>
        <row r="607">
          <cell r="A607" t="str">
            <v>天津恒昌达绝缘材料有限公司</v>
          </cell>
          <cell r="B607">
            <v>0</v>
          </cell>
        </row>
        <row r="608">
          <cell r="A608" t="str">
            <v>天津华钢投资发展有限公司</v>
          </cell>
          <cell r="B608">
            <v>0</v>
          </cell>
        </row>
        <row r="609">
          <cell r="A609" t="str">
            <v>天津华兰文鑫文化用品商贸有限公司</v>
          </cell>
          <cell r="B609">
            <v>0</v>
          </cell>
        </row>
        <row r="610">
          <cell r="A610" t="str">
            <v>天津级进精工科技有限公司</v>
          </cell>
          <cell r="B610">
            <v>0</v>
          </cell>
        </row>
        <row r="611">
          <cell r="A611" t="str">
            <v>天津金发新材料有限公司</v>
          </cell>
          <cell r="B611">
            <v>0</v>
          </cell>
        </row>
        <row r="612">
          <cell r="A612" t="str">
            <v>天津精美特表面技术有限公司</v>
          </cell>
          <cell r="B612">
            <v>500000</v>
          </cell>
        </row>
        <row r="613">
          <cell r="A613" t="str">
            <v>天津景宝田金属材料贸易有限公司</v>
          </cell>
          <cell r="B613">
            <v>0</v>
          </cell>
        </row>
        <row r="614">
          <cell r="A614" t="str">
            <v>天津开山金属模具科技有限公司</v>
          </cell>
          <cell r="B614">
            <v>0</v>
          </cell>
        </row>
        <row r="615">
          <cell r="A615" t="str">
            <v>天津科特迪涂装设备有限公司</v>
          </cell>
          <cell r="B615">
            <v>0</v>
          </cell>
        </row>
        <row r="616">
          <cell r="A616" t="str">
            <v>天津利迪科技发展有限公司</v>
          </cell>
          <cell r="B616">
            <v>0</v>
          </cell>
        </row>
        <row r="617">
          <cell r="A617" t="str">
            <v>天津联一劳务服务有限公司</v>
          </cell>
          <cell r="B617">
            <v>0</v>
          </cell>
        </row>
        <row r="618">
          <cell r="A618" t="str">
            <v>天津尼嘉斯机械设备销售有限公司</v>
          </cell>
          <cell r="B618">
            <v>0</v>
          </cell>
        </row>
        <row r="619">
          <cell r="A619" t="str">
            <v>天津欧尔派斯环保科技发展有限公司</v>
          </cell>
          <cell r="B619">
            <v>100000</v>
          </cell>
        </row>
        <row r="620">
          <cell r="A620" t="str">
            <v>天津霹雳马商贸有限公司</v>
          </cell>
          <cell r="B620">
            <v>0</v>
          </cell>
        </row>
        <row r="621">
          <cell r="A621" t="str">
            <v>天津市奥特威德焊接技术有限公司</v>
          </cell>
          <cell r="B621">
            <v>0</v>
          </cell>
        </row>
        <row r="622">
          <cell r="A622" t="str">
            <v>天津市佰盟科技发展有限公司</v>
          </cell>
          <cell r="B622">
            <v>0</v>
          </cell>
        </row>
        <row r="623">
          <cell r="A623" t="str">
            <v>天津市柏韦特润滑油脂有限公司</v>
          </cell>
          <cell r="B623">
            <v>0</v>
          </cell>
        </row>
        <row r="624">
          <cell r="A624" t="str">
            <v>天津市宝驰汽车部件有限公司</v>
          </cell>
          <cell r="B624">
            <v>0</v>
          </cell>
        </row>
        <row r="625">
          <cell r="A625" t="str">
            <v>天津市宝信达工贸有限公司</v>
          </cell>
          <cell r="B625">
            <v>0</v>
          </cell>
        </row>
        <row r="626">
          <cell r="A626" t="str">
            <v>天津市滨达五金交电有限公司</v>
          </cell>
          <cell r="B626">
            <v>0</v>
          </cell>
        </row>
        <row r="627">
          <cell r="A627" t="str">
            <v>天津市大港区宏达五金冲压厂（刘炳淮）</v>
          </cell>
          <cell r="B627">
            <v>0</v>
          </cell>
        </row>
        <row r="628">
          <cell r="A628" t="str">
            <v>天津市富安捷泡沫塑料制品有限公司</v>
          </cell>
          <cell r="B628">
            <v>0</v>
          </cell>
        </row>
        <row r="629">
          <cell r="A629" t="str">
            <v>天津市金晶气体压缩机制造有限公司</v>
          </cell>
          <cell r="B629">
            <v>0</v>
          </cell>
        </row>
        <row r="630">
          <cell r="A630" t="str">
            <v>天津市津荣兴钢铁贸易有限公司</v>
          </cell>
          <cell r="B630">
            <v>0</v>
          </cell>
        </row>
        <row r="631">
          <cell r="A631" t="str">
            <v>天津市科利达塑料制品有限公司</v>
          </cell>
          <cell r="B631">
            <v>0</v>
          </cell>
        </row>
        <row r="632">
          <cell r="A632" t="str">
            <v>天津市旷达汽车织物有限公司</v>
          </cell>
          <cell r="B632">
            <v>0</v>
          </cell>
        </row>
        <row r="633">
          <cell r="A633" t="str">
            <v>天津市鹏升汽车部件有限公司</v>
          </cell>
          <cell r="B633">
            <v>1344000</v>
          </cell>
        </row>
        <row r="634">
          <cell r="A634" t="str">
            <v>天津市平江工贸有限公司</v>
          </cell>
          <cell r="B634">
            <v>0</v>
          </cell>
        </row>
        <row r="635">
          <cell r="A635" t="str">
            <v>天津市双得利金属制品有限公司</v>
          </cell>
          <cell r="B635">
            <v>0</v>
          </cell>
        </row>
        <row r="636">
          <cell r="A636" t="str">
            <v>天津市腾达宇恒科技有限公司</v>
          </cell>
          <cell r="B636">
            <v>0</v>
          </cell>
        </row>
        <row r="637">
          <cell r="A637" t="str">
            <v>天津市天龙得冷成型部件有限公司</v>
          </cell>
          <cell r="B637">
            <v>0</v>
          </cell>
        </row>
        <row r="638">
          <cell r="A638" t="str">
            <v>天津市天一科技有限公司</v>
          </cell>
          <cell r="B638">
            <v>0</v>
          </cell>
        </row>
        <row r="639">
          <cell r="A639" t="str">
            <v>天津市先瑞科技有限公司</v>
          </cell>
          <cell r="B639">
            <v>0</v>
          </cell>
        </row>
        <row r="640">
          <cell r="A640" t="str">
            <v>天津市远丰化工产品贸易有限公司</v>
          </cell>
          <cell r="B640">
            <v>344000</v>
          </cell>
        </row>
        <row r="641">
          <cell r="A641" t="str">
            <v>天津思锐自动化技术有限公司</v>
          </cell>
          <cell r="B641">
            <v>0</v>
          </cell>
        </row>
        <row r="642">
          <cell r="A642" t="str">
            <v>天津速凯科技发展有限公司</v>
          </cell>
          <cell r="B642">
            <v>0</v>
          </cell>
        </row>
        <row r="643">
          <cell r="A643" t="str">
            <v>天津万塑新材料科技有限公司</v>
          </cell>
          <cell r="B643">
            <v>0</v>
          </cell>
        </row>
        <row r="644">
          <cell r="A644" t="str">
            <v>天津祥顺科技发展有限公司沧州分公司</v>
          </cell>
          <cell r="B644">
            <v>0</v>
          </cell>
        </row>
        <row r="645">
          <cell r="A645" t="str">
            <v>天津鑫强达工贸有限公司</v>
          </cell>
          <cell r="B645">
            <v>0</v>
          </cell>
        </row>
        <row r="646">
          <cell r="A646" t="str">
            <v>天津亚铁商贸有限公司</v>
          </cell>
          <cell r="B646">
            <v>200000</v>
          </cell>
        </row>
        <row r="647">
          <cell r="A647" t="str">
            <v>天津一番荣科技有限公司</v>
          </cell>
          <cell r="B647">
            <v>0</v>
          </cell>
        </row>
        <row r="648">
          <cell r="A648" t="str">
            <v>天津优普达特科技有限公司</v>
          </cell>
          <cell r="B648">
            <v>0</v>
          </cell>
        </row>
        <row r="649">
          <cell r="A649" t="str">
            <v>天津舟洲劳务派遣有限公司</v>
          </cell>
          <cell r="B649">
            <v>0</v>
          </cell>
        </row>
        <row r="650">
          <cell r="A650" t="str">
            <v>天津洲海科技发展有限公司</v>
          </cell>
          <cell r="B650">
            <v>0</v>
          </cell>
        </row>
        <row r="651">
          <cell r="A651" t="str">
            <v>天津卓灿商贸有限公司</v>
          </cell>
          <cell r="B651">
            <v>0</v>
          </cell>
        </row>
        <row r="652">
          <cell r="A652" t="str">
            <v>万华化学（北京）有限公司</v>
          </cell>
          <cell r="B652">
            <v>0</v>
          </cell>
        </row>
        <row r="653">
          <cell r="A653" t="str">
            <v>万华化学（烟台）销售有限公司</v>
          </cell>
          <cell r="B653">
            <v>600000</v>
          </cell>
        </row>
        <row r="654">
          <cell r="A654" t="str">
            <v>王景辉</v>
          </cell>
          <cell r="B654">
            <v>0</v>
          </cell>
        </row>
        <row r="655">
          <cell r="A655" t="str">
            <v>王连营</v>
          </cell>
          <cell r="B655">
            <v>0</v>
          </cell>
        </row>
        <row r="656">
          <cell r="A656" t="str">
            <v>网银在线（北京）科技有限公司客户备付金</v>
          </cell>
          <cell r="B656">
            <v>0</v>
          </cell>
        </row>
        <row r="657">
          <cell r="A657" t="str">
            <v>威县永盛汽车配件制造有限公司</v>
          </cell>
          <cell r="B657">
            <v>0</v>
          </cell>
        </row>
        <row r="658">
          <cell r="A658" t="str">
            <v>潍坊光华荣昌汽车技术有限公司</v>
          </cell>
          <cell r="B658">
            <v>2940000</v>
          </cell>
        </row>
        <row r="659">
          <cell r="A659" t="str">
            <v>温州市瓯海茶山同悦海绵制品厂</v>
          </cell>
          <cell r="B659">
            <v>0</v>
          </cell>
        </row>
        <row r="660">
          <cell r="A660" t="str">
            <v>温州万福机电有限公司</v>
          </cell>
          <cell r="B660">
            <v>20000</v>
          </cell>
        </row>
        <row r="661">
          <cell r="A661" t="str">
            <v>温州万泰橡塑股份有限公司</v>
          </cell>
          <cell r="B661">
            <v>0</v>
          </cell>
        </row>
        <row r="662">
          <cell r="A662" t="str">
            <v>文安县鲍氏模具皮纹加工有限公司</v>
          </cell>
          <cell r="B662">
            <v>0</v>
          </cell>
        </row>
        <row r="663">
          <cell r="A663" t="str">
            <v>文安县德实汽车配件有限公司</v>
          </cell>
          <cell r="B663">
            <v>0</v>
          </cell>
        </row>
        <row r="664">
          <cell r="A664" t="str">
            <v>文登市凤凰婷装饰有限公司</v>
          </cell>
          <cell r="B664">
            <v>0</v>
          </cell>
        </row>
        <row r="665">
          <cell r="A665" t="str">
            <v>文登太成电子有限公司</v>
          </cell>
          <cell r="B665">
            <v>100000</v>
          </cell>
        </row>
        <row r="666">
          <cell r="A666" t="str">
            <v>沃尔瓦格涂料（廊坊）有限公司</v>
          </cell>
          <cell r="B666">
            <v>100000</v>
          </cell>
        </row>
        <row r="667">
          <cell r="A667" t="str">
            <v>无极县淼海皮革制品有限公司</v>
          </cell>
          <cell r="B667">
            <v>0</v>
          </cell>
        </row>
        <row r="668">
          <cell r="A668" t="str">
            <v>无锡赛典高频电子设备有限公司</v>
          </cell>
          <cell r="B668">
            <v>0</v>
          </cell>
        </row>
        <row r="669">
          <cell r="A669" t="str">
            <v>无锡市宏伟彩印包装有限公司</v>
          </cell>
          <cell r="B669">
            <v>0</v>
          </cell>
        </row>
        <row r="670">
          <cell r="A670" t="str">
            <v>无锡苏辰汽车部件有限公司</v>
          </cell>
          <cell r="B670">
            <v>0</v>
          </cell>
        </row>
        <row r="671">
          <cell r="A671" t="str">
            <v>芜湖市卓人汽车配件有限公司</v>
          </cell>
          <cell r="B671">
            <v>0</v>
          </cell>
        </row>
        <row r="672">
          <cell r="A672" t="str">
            <v>芜湖星火软轴控制索制造有限公司</v>
          </cell>
          <cell r="B672">
            <v>0</v>
          </cell>
        </row>
        <row r="673">
          <cell r="A673" t="str">
            <v>武汉恒新国仪科技有限公司</v>
          </cell>
          <cell r="B673">
            <v>0</v>
          </cell>
        </row>
        <row r="674">
          <cell r="A674" t="str">
            <v>西安光华荣昌汽车部件有限公司</v>
          </cell>
          <cell r="B674">
            <v>0</v>
          </cell>
        </row>
        <row r="675">
          <cell r="A675" t="str">
            <v>西安海容塑料制品有限责任公司</v>
          </cell>
          <cell r="B675">
            <v>0</v>
          </cell>
        </row>
        <row r="676">
          <cell r="A676" t="str">
            <v>厦门劲亨五金工业有限公司</v>
          </cell>
          <cell r="B676">
            <v>0</v>
          </cell>
        </row>
        <row r="677">
          <cell r="A677" t="str">
            <v>厦门凯平化工有限公司</v>
          </cell>
          <cell r="B677">
            <v>100000</v>
          </cell>
        </row>
        <row r="678">
          <cell r="A678" t="str">
            <v>厦门市三友和机械有限公司</v>
          </cell>
          <cell r="B678">
            <v>0</v>
          </cell>
        </row>
        <row r="679">
          <cell r="A679" t="str">
            <v>厦门中惠达贸易有限公司</v>
          </cell>
          <cell r="B679">
            <v>0</v>
          </cell>
        </row>
        <row r="680">
          <cell r="A680" t="str">
            <v>湘乡简美汽车部件有限公司</v>
          </cell>
          <cell r="B680">
            <v>0</v>
          </cell>
        </row>
        <row r="681">
          <cell r="A681" t="str">
            <v>襄阳杰创化工新材料有限公司</v>
          </cell>
          <cell r="B681">
            <v>100000</v>
          </cell>
        </row>
        <row r="682">
          <cell r="A682" t="str">
            <v>象山天星汽配有限责任公司</v>
          </cell>
          <cell r="B682">
            <v>0</v>
          </cell>
        </row>
        <row r="683">
          <cell r="A683" t="str">
            <v>辛集市兴恒福利海绵复合厂</v>
          </cell>
          <cell r="B683">
            <v>0</v>
          </cell>
        </row>
        <row r="684">
          <cell r="A684" t="str">
            <v>新梦顶（上海）贸易有限公司</v>
          </cell>
          <cell r="B684">
            <v>0</v>
          </cell>
        </row>
        <row r="685">
          <cell r="A685" t="str">
            <v>新乡市中原起重机设备总厂有限公司</v>
          </cell>
          <cell r="B685">
            <v>0</v>
          </cell>
        </row>
        <row r="686">
          <cell r="A686" t="str">
            <v>雄县华增汽车饰件有限公司</v>
          </cell>
          <cell r="B686">
            <v>20000</v>
          </cell>
        </row>
        <row r="687">
          <cell r="A687" t="str">
            <v>雄县五顺革塑有限公司</v>
          </cell>
          <cell r="B687">
            <v>0</v>
          </cell>
        </row>
        <row r="688">
          <cell r="A688" t="str">
            <v>徐林强</v>
          </cell>
          <cell r="B688">
            <v>0</v>
          </cell>
        </row>
        <row r="689">
          <cell r="A689" t="str">
            <v>徐州华夏电子有限公司</v>
          </cell>
          <cell r="B689">
            <v>200000</v>
          </cell>
        </row>
        <row r="690">
          <cell r="A690" t="str">
            <v>亚德客（天津）智能科技有限公司</v>
          </cell>
          <cell r="B690">
            <v>0</v>
          </cell>
        </row>
        <row r="691">
          <cell r="A691" t="str">
            <v>亚德客（中国）有限公司石家庄分公司</v>
          </cell>
          <cell r="B691">
            <v>0</v>
          </cell>
        </row>
        <row r="692">
          <cell r="A692" t="str">
            <v>烟台青沪纸业有限公司</v>
          </cell>
          <cell r="B692">
            <v>40000</v>
          </cell>
        </row>
        <row r="693">
          <cell r="A693" t="str">
            <v>盐城恒明弹簧有限公司</v>
          </cell>
          <cell r="B693">
            <v>0</v>
          </cell>
        </row>
        <row r="694">
          <cell r="A694" t="str">
            <v>盐山县大华五金销售有限公司</v>
          </cell>
          <cell r="B694">
            <v>0</v>
          </cell>
        </row>
        <row r="695">
          <cell r="A695" t="str">
            <v>兖州市金达汽车装饰布业有限公司</v>
          </cell>
          <cell r="B695">
            <v>0</v>
          </cell>
        </row>
        <row r="696">
          <cell r="A696" t="str">
            <v>扬州康锴涂装机械有限公司</v>
          </cell>
          <cell r="B696">
            <v>0</v>
          </cell>
        </row>
        <row r="697">
          <cell r="A697" t="str">
            <v>扬州三鸣环保科技有限公司</v>
          </cell>
          <cell r="B697">
            <v>0</v>
          </cell>
        </row>
        <row r="698">
          <cell r="A698" t="str">
            <v>宜科（天津）电子有限公司</v>
          </cell>
          <cell r="B698">
            <v>0</v>
          </cell>
        </row>
        <row r="699">
          <cell r="A699" t="str">
            <v>易格斯拖链轴承仓储贸易（上海）有限公司</v>
          </cell>
          <cell r="B699">
            <v>51189</v>
          </cell>
        </row>
        <row r="700">
          <cell r="A700" t="str">
            <v>永年县国泰标准件有限公司</v>
          </cell>
          <cell r="B700">
            <v>0</v>
          </cell>
        </row>
        <row r="701">
          <cell r="A701" t="str">
            <v>于国才</v>
          </cell>
          <cell r="B701">
            <v>0</v>
          </cell>
        </row>
        <row r="702">
          <cell r="A702" t="str">
            <v>余姚市嘉瑞达机械配件厂</v>
          </cell>
          <cell r="B702">
            <v>0</v>
          </cell>
        </row>
        <row r="703">
          <cell r="A703" t="str">
            <v>禹城聚德丰化工有限公司</v>
          </cell>
          <cell r="B703">
            <v>0</v>
          </cell>
        </row>
        <row r="704">
          <cell r="A704" t="str">
            <v>张长峰</v>
          </cell>
          <cell r="B704">
            <v>0</v>
          </cell>
        </row>
        <row r="705">
          <cell r="A705" t="str">
            <v>张家港保税区得英达利化工材料有限公司</v>
          </cell>
          <cell r="B705">
            <v>0</v>
          </cell>
        </row>
        <row r="706">
          <cell r="A706" t="str">
            <v>张家港方圆管业制造有限公司</v>
          </cell>
          <cell r="B706">
            <v>0</v>
          </cell>
        </row>
        <row r="707">
          <cell r="A707" t="str">
            <v>张家港市凯达机械制造有限公司</v>
          </cell>
          <cell r="B707">
            <v>0</v>
          </cell>
        </row>
        <row r="708">
          <cell r="A708" t="str">
            <v>张家港市万荣机械制造有限公司</v>
          </cell>
          <cell r="B708">
            <v>0</v>
          </cell>
        </row>
        <row r="709">
          <cell r="A709" t="str">
            <v>张绍林</v>
          </cell>
          <cell r="B709">
            <v>900000</v>
          </cell>
        </row>
        <row r="710">
          <cell r="A710" t="str">
            <v>张松林</v>
          </cell>
          <cell r="B710">
            <v>0</v>
          </cell>
        </row>
        <row r="711">
          <cell r="A711" t="str">
            <v>张永祥</v>
          </cell>
          <cell r="B711">
            <v>0</v>
          </cell>
        </row>
        <row r="712">
          <cell r="A712" t="str">
            <v>赵月刚</v>
          </cell>
          <cell r="B712">
            <v>33200</v>
          </cell>
        </row>
        <row r="713">
          <cell r="A713" t="str">
            <v>浙江富昌泰汽车零部件有限公司</v>
          </cell>
          <cell r="B713">
            <v>101074.44</v>
          </cell>
        </row>
        <row r="714">
          <cell r="A714" t="str">
            <v>浙江华远锁业有限公司</v>
          </cell>
          <cell r="B714">
            <v>0</v>
          </cell>
        </row>
        <row r="715">
          <cell r="A715" t="str">
            <v>浙江华悦汽车零部件股份有限公司</v>
          </cell>
          <cell r="B715">
            <v>0</v>
          </cell>
        </row>
        <row r="716">
          <cell r="A716" t="str">
            <v>浙江佳龙电子有限公司</v>
          </cell>
          <cell r="B716">
            <v>0</v>
          </cell>
        </row>
        <row r="717">
          <cell r="A717" t="str">
            <v>浙江龙生汽车部件股份有限公司</v>
          </cell>
          <cell r="B717">
            <v>0</v>
          </cell>
        </row>
        <row r="718">
          <cell r="A718" t="str">
            <v>浙江路得坦摩汽车股份有限公司</v>
          </cell>
          <cell r="B718">
            <v>0</v>
          </cell>
        </row>
        <row r="719">
          <cell r="A719" t="str">
            <v>浙江蒙力减振器有限公司</v>
          </cell>
          <cell r="B719">
            <v>0</v>
          </cell>
        </row>
        <row r="720">
          <cell r="A720" t="str">
            <v>浙江全盛无纺制品有限公司</v>
          </cell>
          <cell r="B720">
            <v>0</v>
          </cell>
        </row>
        <row r="721">
          <cell r="A721" t="str">
            <v>镇江市奥德铆压设备有限公司</v>
          </cell>
          <cell r="B721">
            <v>0</v>
          </cell>
        </row>
        <row r="722">
          <cell r="A722" t="str">
            <v>中广核俊尔新材料有限公司</v>
          </cell>
          <cell r="B722">
            <v>37290</v>
          </cell>
        </row>
        <row r="723">
          <cell r="A723" t="str">
            <v>中国电子科技集团公司第二十六研究所</v>
          </cell>
          <cell r="B723">
            <v>0</v>
          </cell>
        </row>
        <row r="724">
          <cell r="A724" t="str">
            <v>中国石化销售有限公司河北沧州石油分公司</v>
          </cell>
          <cell r="B724">
            <v>5000</v>
          </cell>
        </row>
        <row r="725">
          <cell r="A725" t="str">
            <v>中机寰宇认证检验有限公司</v>
          </cell>
          <cell r="B725">
            <v>0</v>
          </cell>
        </row>
        <row r="726">
          <cell r="A726" t="str">
            <v>中山市锐星新材料科技有限公司</v>
          </cell>
          <cell r="B726">
            <v>0</v>
          </cell>
        </row>
        <row r="727">
          <cell r="A727" t="str">
            <v>重庆光大产业有限公司</v>
          </cell>
          <cell r="B727">
            <v>0</v>
          </cell>
        </row>
        <row r="728">
          <cell r="A728" t="str">
            <v>重庆鑫颐塑胶有限责任公司</v>
          </cell>
          <cell r="B728">
            <v>0</v>
          </cell>
        </row>
        <row r="729">
          <cell r="A729" t="str">
            <v>重庆渝融兴汽车配件有限公司</v>
          </cell>
          <cell r="B729">
            <v>0</v>
          </cell>
        </row>
        <row r="730">
          <cell r="A730" t="str">
            <v>舟山市德鑫科机械有限公司</v>
          </cell>
          <cell r="B730">
            <v>0</v>
          </cell>
        </row>
        <row r="731">
          <cell r="A731" t="str">
            <v>株洲博雅实业有限公司</v>
          </cell>
          <cell r="B731">
            <v>0</v>
          </cell>
        </row>
        <row r="732">
          <cell r="A732" t="str">
            <v>株洲市凡美斯汽车配件有限公司</v>
          </cell>
          <cell r="B732">
            <v>0</v>
          </cell>
        </row>
        <row r="733">
          <cell r="A733" t="str">
            <v>株洲泰瑞工贸有限公司</v>
          </cell>
          <cell r="B733">
            <v>0</v>
          </cell>
        </row>
        <row r="734">
          <cell r="A734" t="str">
            <v>诸城恒欣工贸有限公司</v>
          </cell>
          <cell r="B734">
            <v>0</v>
          </cell>
        </row>
        <row r="735">
          <cell r="A735" t="str">
            <v>诸城市黄海剑杆织布厂</v>
          </cell>
          <cell r="B735">
            <v>100000</v>
          </cell>
        </row>
        <row r="736">
          <cell r="A736" t="str">
            <v>诸城市泰琨机械厂</v>
          </cell>
          <cell r="B736">
            <v>0</v>
          </cell>
        </row>
        <row r="737">
          <cell r="A737" t="str">
            <v>诸城市正大服装辅料有限公司</v>
          </cell>
          <cell r="B737">
            <v>0</v>
          </cell>
        </row>
        <row r="738">
          <cell r="A738" t="str">
            <v>诸暨市豪南机械配件经营部</v>
          </cell>
          <cell r="B738">
            <v>0</v>
          </cell>
        </row>
        <row r="739">
          <cell r="A739" t="str">
            <v>涿州市天彤压铸制品有限公司</v>
          </cell>
          <cell r="B739">
            <v>18995</v>
          </cell>
        </row>
        <row r="740">
          <cell r="A740" t="str">
            <v>淄博华亚数控机电有限公司</v>
          </cell>
          <cell r="B740">
            <v>0</v>
          </cell>
        </row>
        <row r="741">
          <cell r="A741" t="str">
            <v>总计</v>
          </cell>
          <cell r="B741">
            <v>21130761.24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>
            <x14:values>
              <value t="e">
                <val>#VALUE!</val>
              </value>
            </x14:values>
          </x14:oleItem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C98"/>
  <sheetViews>
    <sheetView workbookViewId="0">
      <pane xSplit="46" ySplit="4" topLeftCell="BK5" activePane="bottomRight" state="frozen"/>
      <selection/>
      <selection pane="topRight"/>
      <selection pane="bottomLeft"/>
      <selection pane="bottomRight" activeCell="CB13" sqref="CB13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8" width="13.7" style="13" hidden="1" customWidth="1"/>
    <col min="9" max="17" width="15" style="13" hidden="1" customWidth="1"/>
    <col min="18" max="22" width="13.7" style="13" hidden="1" customWidth="1"/>
    <col min="23" max="26" width="12.9" style="13" hidden="1" customWidth="1"/>
    <col min="27" max="27" width="13.7" style="13" hidden="1" customWidth="1"/>
    <col min="28" max="28" width="11.2" style="13" hidden="1" customWidth="1"/>
    <col min="29" max="34" width="12" style="13" hidden="1" customWidth="1"/>
    <col min="35" max="37" width="13" style="215" hidden="1" customWidth="1"/>
    <col min="38" max="38" width="13.4" style="215" hidden="1" customWidth="1"/>
    <col min="39" max="39" width="13.1" style="215" hidden="1" customWidth="1"/>
    <col min="40" max="41" width="13" style="215" hidden="1" customWidth="1"/>
    <col min="42" max="46" width="13.2" style="215" hidden="1" customWidth="1"/>
    <col min="47" max="47" width="13.2" style="215" customWidth="1"/>
    <col min="48" max="48" width="13.2" style="376" hidden="1" customWidth="1"/>
    <col min="49" max="55" width="13.2" style="215" hidden="1" customWidth="1"/>
    <col min="56" max="56" width="12.9" style="215" hidden="1" customWidth="1"/>
    <col min="57" max="58" width="14.2" style="215" hidden="1" customWidth="1"/>
    <col min="59" max="59" width="13.6" style="215" hidden="1" customWidth="1"/>
    <col min="60" max="67" width="14.2" style="215" customWidth="1"/>
    <col min="68" max="68" width="14.5" style="215" customWidth="1"/>
    <col min="69" max="69" width="1.6" style="215" hidden="1" customWidth="1"/>
    <col min="70" max="70" width="2" style="215" hidden="1" customWidth="1"/>
    <col min="71" max="71" width="3.7" style="13" hidden="1" customWidth="1"/>
    <col min="72" max="72" width="0.9" style="13" hidden="1" customWidth="1"/>
    <col min="73" max="73" width="5.2" style="13" customWidth="1"/>
    <col min="74" max="74" width="4.5" style="13" customWidth="1"/>
    <col min="75" max="75" width="4.9" style="13" customWidth="1"/>
    <col min="76" max="76" width="15" style="216" customWidth="1"/>
    <col min="77" max="77" width="9.5" style="216" hidden="1" customWidth="1"/>
    <col min="78" max="78" width="16.4" style="216" customWidth="1"/>
    <col min="79" max="79" width="13" style="216" customWidth="1"/>
    <col min="80" max="81" width="15.7" style="13" customWidth="1"/>
    <col min="82" max="16384" width="8" style="13"/>
  </cols>
  <sheetData>
    <row r="1" ht="20.95" customHeight="1" spans="2:81">
      <c r="B1" s="20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412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21"/>
      <c r="BT1" s="21"/>
      <c r="BU1" s="21"/>
      <c r="BV1" s="21"/>
      <c r="BW1" s="21"/>
      <c r="BX1" s="69"/>
      <c r="BY1" s="69"/>
      <c r="BZ1" s="69"/>
      <c r="CA1" s="69"/>
      <c r="CB1" s="21"/>
      <c r="CC1" s="21"/>
    </row>
    <row r="2" ht="18" customHeight="1" spans="2:81">
      <c r="B2" s="377" t="s">
        <v>1</v>
      </c>
      <c r="C2" s="378" t="s">
        <v>2</v>
      </c>
      <c r="D2" s="378" t="s">
        <v>3</v>
      </c>
      <c r="E2" s="379" t="s">
        <v>4</v>
      </c>
      <c r="F2" s="379" t="s">
        <v>5</v>
      </c>
      <c r="G2" s="379" t="s">
        <v>6</v>
      </c>
      <c r="H2" s="379" t="s">
        <v>7</v>
      </c>
      <c r="I2" s="379" t="s">
        <v>8</v>
      </c>
      <c r="J2" s="379" t="s">
        <v>9</v>
      </c>
      <c r="K2" s="379" t="s">
        <v>10</v>
      </c>
      <c r="L2" s="379" t="s">
        <v>11</v>
      </c>
      <c r="M2" s="379" t="s">
        <v>12</v>
      </c>
      <c r="N2" s="379" t="s">
        <v>13</v>
      </c>
      <c r="O2" s="379" t="s">
        <v>14</v>
      </c>
      <c r="P2" s="379" t="s">
        <v>15</v>
      </c>
      <c r="Q2" s="379" t="s">
        <v>16</v>
      </c>
      <c r="R2" s="379" t="s">
        <v>17</v>
      </c>
      <c r="S2" s="379" t="s">
        <v>18</v>
      </c>
      <c r="T2" s="379" t="s">
        <v>19</v>
      </c>
      <c r="U2" s="379" t="s">
        <v>20</v>
      </c>
      <c r="V2" s="379" t="s">
        <v>21</v>
      </c>
      <c r="W2" s="379" t="s">
        <v>22</v>
      </c>
      <c r="X2" s="379" t="s">
        <v>23</v>
      </c>
      <c r="Y2" s="379" t="s">
        <v>24</v>
      </c>
      <c r="Z2" s="379" t="s">
        <v>25</v>
      </c>
      <c r="AA2" s="379" t="s">
        <v>26</v>
      </c>
      <c r="AB2" s="406" t="s">
        <v>27</v>
      </c>
      <c r="AC2" s="406" t="s">
        <v>28</v>
      </c>
      <c r="AD2" s="406" t="s">
        <v>29</v>
      </c>
      <c r="AE2" s="406" t="s">
        <v>30</v>
      </c>
      <c r="AF2" s="406" t="s">
        <v>31</v>
      </c>
      <c r="AG2" s="406" t="s">
        <v>32</v>
      </c>
      <c r="AH2" s="410" t="s">
        <v>33</v>
      </c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413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415"/>
      <c r="BH2" s="415"/>
      <c r="BI2" s="415"/>
      <c r="BJ2" s="415"/>
      <c r="BK2" s="415"/>
      <c r="BL2" s="415"/>
      <c r="BM2" s="415"/>
      <c r="BN2" s="415"/>
      <c r="BO2" s="415"/>
      <c r="BP2" s="245"/>
      <c r="BQ2" s="415" t="s">
        <v>34</v>
      </c>
      <c r="BR2" s="415"/>
      <c r="BS2" s="378" t="s">
        <v>35</v>
      </c>
      <c r="BT2" s="378" t="s">
        <v>36</v>
      </c>
      <c r="BU2" s="301" t="s">
        <v>37</v>
      </c>
      <c r="BV2" s="301"/>
      <c r="BW2" s="301"/>
      <c r="BX2" s="415"/>
      <c r="BY2" s="415"/>
      <c r="BZ2" s="245" t="s">
        <v>38</v>
      </c>
      <c r="CA2" s="245" t="s">
        <v>39</v>
      </c>
      <c r="CB2" s="461" t="s">
        <v>40</v>
      </c>
      <c r="CC2" s="453" t="s">
        <v>41</v>
      </c>
    </row>
    <row r="3" ht="31.6" customHeight="1" spans="2:81">
      <c r="B3" s="380"/>
      <c r="C3" s="381"/>
      <c r="D3" s="381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  <c r="Z3" s="382"/>
      <c r="AA3" s="382"/>
      <c r="AB3" s="407"/>
      <c r="AC3" s="407"/>
      <c r="AD3" s="407"/>
      <c r="AE3" s="408"/>
      <c r="AF3" s="408"/>
      <c r="AG3" s="408"/>
      <c r="AH3" s="408"/>
      <c r="AI3" s="383" t="s">
        <v>42</v>
      </c>
      <c r="AJ3" s="383" t="s">
        <v>43</v>
      </c>
      <c r="AK3" s="383" t="s">
        <v>44</v>
      </c>
      <c r="AL3" s="383" t="s">
        <v>45</v>
      </c>
      <c r="AM3" s="383" t="s">
        <v>46</v>
      </c>
      <c r="AN3" s="383" t="s">
        <v>47</v>
      </c>
      <c r="AO3" s="383" t="s">
        <v>48</v>
      </c>
      <c r="AP3" s="383" t="s">
        <v>49</v>
      </c>
      <c r="AQ3" s="383" t="s">
        <v>50</v>
      </c>
      <c r="AR3" s="383" t="s">
        <v>51</v>
      </c>
      <c r="AS3" s="383" t="s">
        <v>52</v>
      </c>
      <c r="AT3" s="383" t="s">
        <v>53</v>
      </c>
      <c r="AU3" s="383" t="s">
        <v>54</v>
      </c>
      <c r="AV3" s="383" t="s">
        <v>55</v>
      </c>
      <c r="AW3" s="383" t="s">
        <v>56</v>
      </c>
      <c r="AX3" s="383" t="s">
        <v>57</v>
      </c>
      <c r="AY3" s="383" t="s">
        <v>58</v>
      </c>
      <c r="AZ3" s="383" t="s">
        <v>59</v>
      </c>
      <c r="BA3" s="383" t="s">
        <v>60</v>
      </c>
      <c r="BB3" s="383" t="s">
        <v>61</v>
      </c>
      <c r="BC3" s="383" t="s">
        <v>62</v>
      </c>
      <c r="BD3" s="383" t="s">
        <v>63</v>
      </c>
      <c r="BE3" s="383" t="s">
        <v>64</v>
      </c>
      <c r="BF3" s="383" t="s">
        <v>65</v>
      </c>
      <c r="BG3" s="383" t="s">
        <v>66</v>
      </c>
      <c r="BH3" s="383" t="s">
        <v>67</v>
      </c>
      <c r="BI3" s="383" t="s">
        <v>68</v>
      </c>
      <c r="BJ3" s="383" t="s">
        <v>69</v>
      </c>
      <c r="BK3" s="383" t="s">
        <v>70</v>
      </c>
      <c r="BL3" s="383" t="s">
        <v>71</v>
      </c>
      <c r="BM3" s="229" t="s">
        <v>72</v>
      </c>
      <c r="BN3" s="229" t="s">
        <v>73</v>
      </c>
      <c r="BO3" s="229" t="s">
        <v>74</v>
      </c>
      <c r="BP3" s="383" t="s">
        <v>75</v>
      </c>
      <c r="BQ3" s="383" t="s">
        <v>70</v>
      </c>
      <c r="BR3" s="383" t="s">
        <v>71</v>
      </c>
      <c r="BS3" s="381"/>
      <c r="BT3" s="381"/>
      <c r="BU3" s="353" t="s">
        <v>76</v>
      </c>
      <c r="BV3" s="353" t="s">
        <v>77</v>
      </c>
      <c r="BW3" s="353" t="s">
        <v>78</v>
      </c>
      <c r="BX3" s="383" t="s">
        <v>79</v>
      </c>
      <c r="BY3" s="439"/>
      <c r="BZ3" s="247"/>
      <c r="CA3" s="247"/>
      <c r="CB3" s="462"/>
      <c r="CC3" s="455"/>
    </row>
    <row r="4" ht="18" customHeight="1" spans="2:81">
      <c r="B4" s="380"/>
      <c r="C4" s="381"/>
      <c r="D4" s="381"/>
      <c r="E4" s="383"/>
      <c r="F4" s="383"/>
      <c r="G4" s="383"/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 t="s">
        <v>80</v>
      </c>
      <c r="S4" s="383"/>
      <c r="T4" s="383"/>
      <c r="U4" s="383"/>
      <c r="V4" s="383"/>
      <c r="W4" s="383"/>
      <c r="X4" s="383"/>
      <c r="Y4" s="383"/>
      <c r="Z4" s="383"/>
      <c r="AA4" s="383"/>
      <c r="AB4" s="409"/>
      <c r="AC4" s="409"/>
      <c r="AD4" s="409"/>
      <c r="AE4" s="408"/>
      <c r="AF4" s="408"/>
      <c r="AG4" s="408"/>
      <c r="AH4" s="408"/>
      <c r="AI4" s="383"/>
      <c r="AJ4" s="383"/>
      <c r="AK4" s="383"/>
      <c r="AL4" s="383"/>
      <c r="AM4" s="383"/>
      <c r="AN4" s="383"/>
      <c r="AO4" s="383"/>
      <c r="AP4" s="383"/>
      <c r="AQ4" s="383"/>
      <c r="AR4" s="383"/>
      <c r="AS4" s="383"/>
      <c r="AT4" s="383"/>
      <c r="AU4" s="383"/>
      <c r="AV4" s="383"/>
      <c r="AW4" s="383"/>
      <c r="AX4" s="383"/>
      <c r="AY4" s="383"/>
      <c r="AZ4" s="383"/>
      <c r="BA4" s="383"/>
      <c r="BB4" s="383"/>
      <c r="BC4" s="383"/>
      <c r="BD4" s="383"/>
      <c r="BE4" s="383"/>
      <c r="BF4" s="383"/>
      <c r="BG4" s="383"/>
      <c r="BH4" s="383"/>
      <c r="BI4" s="383"/>
      <c r="BJ4" s="383"/>
      <c r="BK4" s="383"/>
      <c r="BL4" s="383"/>
      <c r="BM4" s="231"/>
      <c r="BN4" s="231"/>
      <c r="BO4" s="231"/>
      <c r="BP4" s="383"/>
      <c r="BQ4" s="383"/>
      <c r="BR4" s="383"/>
      <c r="BS4" s="381"/>
      <c r="BT4" s="381"/>
      <c r="BU4" s="353"/>
      <c r="BV4" s="353"/>
      <c r="BW4" s="353"/>
      <c r="BX4" s="440"/>
      <c r="BY4" s="440"/>
      <c r="BZ4" s="247"/>
      <c r="CA4" s="247"/>
      <c r="CB4" s="462"/>
      <c r="CC4" s="455"/>
    </row>
    <row r="5" s="10" customFormat="1" ht="24.05" customHeight="1" spans="2:81">
      <c r="B5" s="384" t="s">
        <v>81</v>
      </c>
      <c r="C5" s="385" t="s">
        <v>82</v>
      </c>
      <c r="D5" s="386" t="s">
        <v>83</v>
      </c>
      <c r="E5" s="387">
        <v>5392098.39</v>
      </c>
      <c r="F5" s="387">
        <v>5856735.21</v>
      </c>
      <c r="G5" s="387">
        <v>6096339.17</v>
      </c>
      <c r="H5" s="387">
        <v>5864306.57</v>
      </c>
      <c r="I5" s="387">
        <v>5864306.57</v>
      </c>
      <c r="J5" s="387">
        <v>6227067.54</v>
      </c>
      <c r="K5" s="387">
        <v>6167255.15</v>
      </c>
      <c r="L5" s="387">
        <v>6077546</v>
      </c>
      <c r="M5" s="387">
        <v>6647576.21</v>
      </c>
      <c r="N5" s="387">
        <v>6480354.13</v>
      </c>
      <c r="O5" s="387">
        <v>6659039.58</v>
      </c>
      <c r="P5" s="387">
        <v>7510390.09</v>
      </c>
      <c r="Q5" s="387">
        <v>7495456.12</v>
      </c>
      <c r="R5" s="401">
        <v>500000</v>
      </c>
      <c r="S5" s="401">
        <v>500000</v>
      </c>
      <c r="T5" s="401">
        <v>1000000</v>
      </c>
      <c r="U5" s="402">
        <v>0</v>
      </c>
      <c r="V5" s="402">
        <v>1000000</v>
      </c>
      <c r="W5" s="402">
        <v>1000000</v>
      </c>
      <c r="X5" s="402">
        <v>1030000</v>
      </c>
      <c r="Y5" s="402">
        <v>0</v>
      </c>
      <c r="Z5" s="402">
        <v>500000</v>
      </c>
      <c r="AA5" s="402">
        <v>1000000</v>
      </c>
      <c r="AB5" s="402">
        <v>0</v>
      </c>
      <c r="AC5" s="402">
        <v>650000</v>
      </c>
      <c r="AD5" s="402">
        <v>1000000</v>
      </c>
      <c r="AE5" s="402">
        <v>500000</v>
      </c>
      <c r="AF5" s="402">
        <v>950000</v>
      </c>
      <c r="AG5" s="402"/>
      <c r="AH5" s="402">
        <v>992500</v>
      </c>
      <c r="AI5" s="409">
        <f>E5-R5-S5-T5-U5-V5-W5-X5-Y5</f>
        <v>362098.39</v>
      </c>
      <c r="AJ5" s="409">
        <f>F5-S5-T5-U5-V5-W5-X5-Y5</f>
        <v>1326735.21</v>
      </c>
      <c r="AK5" s="409">
        <f>G5-T5-U5-V5-W5-X5-Y5</f>
        <v>2066339.17</v>
      </c>
      <c r="AL5" s="409">
        <f>H5-U5-V5-W5-X5-Y5-Z5-AA5</f>
        <v>1334306.57</v>
      </c>
      <c r="AM5" s="409">
        <f>I5-V5-W5-X5-Y5-Z5-AA5-AB5-AC5</f>
        <v>684306.57</v>
      </c>
      <c r="AN5" s="409">
        <f>J5-W5-X5-Y5-Z5-AA5-AB5-AC5</f>
        <v>2047067.54</v>
      </c>
      <c r="AO5" s="409">
        <f>K5-X5-Y5-Z5-AA5-AB5-AC5-AD5-AE5</f>
        <v>1487255.15</v>
      </c>
      <c r="AP5" s="409">
        <f>L5-Y5-Z5-AA5-AB5-AC5-AD5-AE5</f>
        <v>2427546</v>
      </c>
      <c r="AQ5" s="409"/>
      <c r="AR5" s="409"/>
      <c r="AS5" s="409"/>
      <c r="AT5" s="409">
        <f t="shared" ref="AT5:AT14" si="0">P5-AC5-AD5-AE5-AF5-AG5</f>
        <v>4410390.09</v>
      </c>
      <c r="AU5" s="409"/>
      <c r="AV5" s="409">
        <v>964636.82</v>
      </c>
      <c r="AW5" s="409">
        <v>739603.96</v>
      </c>
      <c r="AX5" s="409">
        <v>767967.4</v>
      </c>
      <c r="AY5" s="409">
        <v>453286.73</v>
      </c>
      <c r="AZ5" s="409">
        <v>909474.24</v>
      </c>
      <c r="BA5" s="409">
        <v>940187.61</v>
      </c>
      <c r="BB5" s="409">
        <v>940290.85</v>
      </c>
      <c r="BC5" s="409">
        <v>570030.21</v>
      </c>
      <c r="BD5" s="409">
        <v>332777.92</v>
      </c>
      <c r="BE5" s="409">
        <v>1178685.45</v>
      </c>
      <c r="BF5" s="409">
        <v>851350.51</v>
      </c>
      <c r="BG5" s="409">
        <v>635066.03</v>
      </c>
      <c r="BH5" s="409">
        <v>0</v>
      </c>
      <c r="BI5" s="409">
        <v>0</v>
      </c>
      <c r="BJ5" s="409">
        <v>397337.38</v>
      </c>
      <c r="BK5" s="409">
        <v>246283.5</v>
      </c>
      <c r="BL5" s="409">
        <v>0</v>
      </c>
      <c r="BM5" s="409">
        <v>0</v>
      </c>
      <c r="BN5" s="409">
        <v>134634.98</v>
      </c>
      <c r="BO5" s="409"/>
      <c r="BP5" s="409">
        <f>AU5+BH5+BI5+BJ5+BK5+BL5+BM5+BN5+BO5</f>
        <v>778255.86</v>
      </c>
      <c r="BQ5" s="409"/>
      <c r="BR5" s="409"/>
      <c r="BS5" s="356"/>
      <c r="BT5" s="356"/>
      <c r="BU5" s="356"/>
      <c r="BV5" s="310"/>
      <c r="BW5" s="310" t="s">
        <v>84</v>
      </c>
      <c r="BX5" s="441">
        <f>BP5</f>
        <v>778255.86</v>
      </c>
      <c r="BY5" s="441">
        <f t="shared" ref="BY5:BY14" si="1">BX5/BP5</f>
        <v>1</v>
      </c>
      <c r="BZ5" s="441">
        <v>492567</v>
      </c>
      <c r="CA5" s="441">
        <f>BX5-BZ5</f>
        <v>285688.86</v>
      </c>
      <c r="CB5" s="402">
        <f>CA5-BO5</f>
        <v>285688.86</v>
      </c>
      <c r="CC5" s="402" t="s">
        <v>85</v>
      </c>
    </row>
    <row r="6" s="10" customFormat="1" ht="24.05" customHeight="1" spans="1:81">
      <c r="A6" s="220"/>
      <c r="B6" s="384" t="s">
        <v>81</v>
      </c>
      <c r="C6" s="385" t="s">
        <v>86</v>
      </c>
      <c r="D6" s="386" t="s">
        <v>87</v>
      </c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  <c r="P6" s="388"/>
      <c r="Q6" s="403">
        <v>0</v>
      </c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>
        <v>0</v>
      </c>
      <c r="AH6" s="404">
        <v>0</v>
      </c>
      <c r="AI6" s="409"/>
      <c r="AJ6" s="409"/>
      <c r="AK6" s="409"/>
      <c r="AL6" s="409"/>
      <c r="AM6" s="409"/>
      <c r="AN6" s="409"/>
      <c r="AO6" s="409"/>
      <c r="AP6" s="409"/>
      <c r="AQ6" s="409"/>
      <c r="AR6" s="409"/>
      <c r="AS6" s="409"/>
      <c r="AT6" s="409">
        <f t="shared" si="0"/>
        <v>0</v>
      </c>
      <c r="AU6" s="409"/>
      <c r="AV6" s="409"/>
      <c r="AW6" s="409"/>
      <c r="AX6" s="409"/>
      <c r="AY6" s="409"/>
      <c r="AZ6" s="409"/>
      <c r="BA6" s="409"/>
      <c r="BB6" s="409"/>
      <c r="BC6" s="409"/>
      <c r="BD6" s="409"/>
      <c r="BE6" s="409"/>
      <c r="BF6" s="409"/>
      <c r="BG6" s="416"/>
      <c r="BH6" s="409">
        <v>0</v>
      </c>
      <c r="BI6" s="409">
        <v>447763.07</v>
      </c>
      <c r="BJ6" s="409">
        <v>681909.81</v>
      </c>
      <c r="BK6" s="409">
        <v>549134.83</v>
      </c>
      <c r="BL6" s="409">
        <v>0</v>
      </c>
      <c r="BM6" s="409">
        <v>0</v>
      </c>
      <c r="BN6" s="409"/>
      <c r="BO6" s="409"/>
      <c r="BP6" s="409">
        <f t="shared" ref="BP6:BP31" si="2">AU6+BH6+BI6+BJ6+BK6+BL6+BM6+BN6+BO6</f>
        <v>1678807.71</v>
      </c>
      <c r="BQ6" s="430">
        <v>1918501</v>
      </c>
      <c r="BR6" s="416"/>
      <c r="BS6" s="356"/>
      <c r="BT6" s="356"/>
      <c r="BU6" s="310"/>
      <c r="BV6" s="310"/>
      <c r="BW6" s="310" t="s">
        <v>84</v>
      </c>
      <c r="BX6" s="441">
        <f>BP6</f>
        <v>1678807.71</v>
      </c>
      <c r="BY6" s="441">
        <f t="shared" si="1"/>
        <v>1</v>
      </c>
      <c r="BZ6" s="441">
        <f>182213.07+549134.83</f>
        <v>731347.9</v>
      </c>
      <c r="CA6" s="441">
        <f t="shared" ref="CA6:CA26" si="3">BX6-BZ6</f>
        <v>947459.81</v>
      </c>
      <c r="CB6" s="402">
        <f t="shared" ref="CB6:CB31" si="4">CA6-BO6</f>
        <v>947459.81</v>
      </c>
      <c r="CC6" s="402" t="s">
        <v>85</v>
      </c>
    </row>
    <row r="7" s="10" customFormat="1" ht="24.05" customHeight="1" spans="2:81">
      <c r="B7" s="384" t="s">
        <v>81</v>
      </c>
      <c r="C7" s="385" t="s">
        <v>88</v>
      </c>
      <c r="D7" s="386" t="s">
        <v>89</v>
      </c>
      <c r="E7" s="388">
        <v>4304521.28</v>
      </c>
      <c r="F7" s="388">
        <v>4892961.58</v>
      </c>
      <c r="G7" s="387">
        <v>5103831.3</v>
      </c>
      <c r="H7" s="387">
        <v>5080738.42</v>
      </c>
      <c r="I7" s="387">
        <v>5340551.96</v>
      </c>
      <c r="J7" s="387">
        <v>4679989.68</v>
      </c>
      <c r="K7" s="387">
        <v>4452410.29</v>
      </c>
      <c r="L7" s="387">
        <v>4531515.63</v>
      </c>
      <c r="M7" s="387">
        <v>4813282.31</v>
      </c>
      <c r="N7" s="387">
        <v>5213661.06</v>
      </c>
      <c r="O7" s="387">
        <v>5122119.61</v>
      </c>
      <c r="P7" s="387">
        <v>5541782.14</v>
      </c>
      <c r="Q7" s="387">
        <v>4351997.25</v>
      </c>
      <c r="R7" s="388">
        <v>855</v>
      </c>
      <c r="S7" s="388">
        <v>0</v>
      </c>
      <c r="T7" s="388">
        <v>1000000</v>
      </c>
      <c r="U7" s="402">
        <v>0</v>
      </c>
      <c r="V7" s="402">
        <v>1000000</v>
      </c>
      <c r="W7" s="402">
        <v>501300</v>
      </c>
      <c r="X7" s="402">
        <v>700000</v>
      </c>
      <c r="Y7" s="402">
        <v>1330</v>
      </c>
      <c r="Z7" s="402">
        <v>0</v>
      </c>
      <c r="AA7" s="402">
        <v>603000</v>
      </c>
      <c r="AB7" s="402">
        <v>0</v>
      </c>
      <c r="AC7" s="402">
        <v>1400000</v>
      </c>
      <c r="AD7" s="402">
        <v>201301.3</v>
      </c>
      <c r="AE7" s="402">
        <v>30900</v>
      </c>
      <c r="AF7" s="402">
        <v>707600</v>
      </c>
      <c r="AG7" s="402">
        <v>200000</v>
      </c>
      <c r="AH7" s="402">
        <v>600000</v>
      </c>
      <c r="AI7" s="409">
        <f t="shared" ref="AI7:AI14" si="5">E7-R7-S7-T7-U7-V7-W7-X7-Y7</f>
        <v>1101036.28</v>
      </c>
      <c r="AJ7" s="409">
        <f t="shared" ref="AJ7:AJ14" si="6">F7-S7-T7-U7-V7-W7-X7-Y7</f>
        <v>1690331.58</v>
      </c>
      <c r="AK7" s="409">
        <f t="shared" ref="AK7:AK14" si="7">G7-T7-U7-V7-W7-X7-Y7</f>
        <v>1901201.3</v>
      </c>
      <c r="AL7" s="409">
        <f t="shared" ref="AL7:AL14" si="8">H7-U7-V7-W7-X7-Y7-Z7-AA7</f>
        <v>2275108.42</v>
      </c>
      <c r="AM7" s="409">
        <f t="shared" ref="AM7:AM14" si="9">I7-V7-W7-X7-Y7-Z7-AA7-AB7-AC7</f>
        <v>1134921.96</v>
      </c>
      <c r="AN7" s="409">
        <f t="shared" ref="AN7:AN14" si="10">J7-W7-X7-Y7-Z7-AA7-AB7-AC7</f>
        <v>1474359.68</v>
      </c>
      <c r="AO7" s="409">
        <f t="shared" ref="AO7:AO14" si="11">K7-X7-Y7-Z7-AA7-AB7-AC7-AD7-AE7</f>
        <v>1515878.99</v>
      </c>
      <c r="AP7" s="409">
        <f t="shared" ref="AP7:AP14" si="12">L7-Y7-Z7-AA7-AB7-AC7-AD7-AE7</f>
        <v>2294984.33</v>
      </c>
      <c r="AQ7" s="409"/>
      <c r="AR7" s="409"/>
      <c r="AS7" s="409"/>
      <c r="AT7" s="409">
        <f t="shared" si="0"/>
        <v>3001980.84</v>
      </c>
      <c r="AU7" s="409"/>
      <c r="AV7" s="409">
        <v>589295.3</v>
      </c>
      <c r="AW7" s="409">
        <v>210869.72</v>
      </c>
      <c r="AX7" s="409">
        <v>976907.12</v>
      </c>
      <c r="AY7" s="409">
        <v>259813.54</v>
      </c>
      <c r="AZ7" s="409">
        <v>339437.72</v>
      </c>
      <c r="BA7" s="409">
        <v>273720.61</v>
      </c>
      <c r="BB7" s="409">
        <v>779105.34</v>
      </c>
      <c r="BC7" s="409">
        <v>283096.68</v>
      </c>
      <c r="BD7" s="409">
        <v>400378.75</v>
      </c>
      <c r="BE7" s="409">
        <v>511458.55</v>
      </c>
      <c r="BF7" s="409">
        <v>419662.53</v>
      </c>
      <c r="BG7" s="409">
        <v>210215.11</v>
      </c>
      <c r="BH7" s="409">
        <v>0</v>
      </c>
      <c r="BI7" s="409">
        <v>19634.08</v>
      </c>
      <c r="BJ7" s="409">
        <v>41685.7</v>
      </c>
      <c r="BK7" s="409">
        <v>51674.9</v>
      </c>
      <c r="BL7" s="409">
        <v>20554.7</v>
      </c>
      <c r="BM7" s="409">
        <v>88477.42</v>
      </c>
      <c r="BN7" s="409">
        <v>75687.4</v>
      </c>
      <c r="BO7" s="409"/>
      <c r="BP7" s="409">
        <f t="shared" si="2"/>
        <v>297714.2</v>
      </c>
      <c r="BQ7" s="409">
        <v>351407.22</v>
      </c>
      <c r="BR7" s="409"/>
      <c r="BS7" s="356"/>
      <c r="BT7" s="356"/>
      <c r="BU7" s="310"/>
      <c r="BV7" s="310"/>
      <c r="BW7" s="310" t="s">
        <v>84</v>
      </c>
      <c r="BX7" s="441">
        <f>BP7</f>
        <v>297714.2</v>
      </c>
      <c r="BY7" s="441">
        <f t="shared" si="1"/>
        <v>1</v>
      </c>
      <c r="BZ7" s="441">
        <f>19593.2+41685.7+51674.9+40.88</f>
        <v>112994.68</v>
      </c>
      <c r="CA7" s="441">
        <f t="shared" si="3"/>
        <v>184719.52</v>
      </c>
      <c r="CB7" s="402">
        <f t="shared" si="4"/>
        <v>184719.52</v>
      </c>
      <c r="CC7" s="402" t="s">
        <v>85</v>
      </c>
    </row>
    <row r="8" s="10" customFormat="1" ht="24.05" customHeight="1" spans="2:81">
      <c r="B8" s="384" t="s">
        <v>81</v>
      </c>
      <c r="C8" s="385" t="s">
        <v>90</v>
      </c>
      <c r="D8" s="386" t="s">
        <v>91</v>
      </c>
      <c r="E8" s="388">
        <v>2905780.04</v>
      </c>
      <c r="F8" s="388">
        <v>2346161.22</v>
      </c>
      <c r="G8" s="387">
        <v>3012275.11</v>
      </c>
      <c r="H8" s="387">
        <v>3064774.7</v>
      </c>
      <c r="I8" s="387">
        <v>2974070.08</v>
      </c>
      <c r="J8" s="387">
        <v>3477472.33</v>
      </c>
      <c r="K8" s="387">
        <v>3380421.07</v>
      </c>
      <c r="L8" s="387">
        <v>3386744.71</v>
      </c>
      <c r="M8" s="387">
        <v>3561228.68</v>
      </c>
      <c r="N8" s="387">
        <v>3981880.75</v>
      </c>
      <c r="O8" s="387">
        <v>4081138.55</v>
      </c>
      <c r="P8" s="387">
        <v>4393093.27</v>
      </c>
      <c r="Q8" s="387">
        <v>4171066.37</v>
      </c>
      <c r="R8" s="388">
        <v>1030000</v>
      </c>
      <c r="S8" s="388">
        <v>0</v>
      </c>
      <c r="T8" s="388">
        <v>400000</v>
      </c>
      <c r="U8" s="402">
        <v>500000</v>
      </c>
      <c r="V8" s="402">
        <v>0</v>
      </c>
      <c r="W8" s="402">
        <v>400000</v>
      </c>
      <c r="X8" s="402">
        <v>500000</v>
      </c>
      <c r="Y8" s="402">
        <v>100000</v>
      </c>
      <c r="Z8" s="402">
        <v>0</v>
      </c>
      <c r="AA8" s="402">
        <v>400000</v>
      </c>
      <c r="AB8" s="402">
        <v>200000</v>
      </c>
      <c r="AC8" s="402">
        <v>700000</v>
      </c>
      <c r="AD8" s="402">
        <v>500000</v>
      </c>
      <c r="AE8" s="402">
        <v>17897.2</v>
      </c>
      <c r="AF8" s="402">
        <v>829384.4</v>
      </c>
      <c r="AG8" s="402">
        <v>-162297.8</v>
      </c>
      <c r="AH8" s="402">
        <v>400000</v>
      </c>
      <c r="AI8" s="409">
        <f t="shared" si="5"/>
        <v>-24219.96</v>
      </c>
      <c r="AJ8" s="409">
        <f t="shared" si="6"/>
        <v>446161.22</v>
      </c>
      <c r="AK8" s="409">
        <f t="shared" si="7"/>
        <v>1112275.11</v>
      </c>
      <c r="AL8" s="409">
        <f t="shared" si="8"/>
        <v>1164774.7</v>
      </c>
      <c r="AM8" s="409">
        <f t="shared" si="9"/>
        <v>674070.08</v>
      </c>
      <c r="AN8" s="409">
        <f t="shared" si="10"/>
        <v>1177472.33</v>
      </c>
      <c r="AO8" s="409">
        <f t="shared" si="11"/>
        <v>962523.87</v>
      </c>
      <c r="AP8" s="409">
        <f t="shared" si="12"/>
        <v>1468847.51</v>
      </c>
      <c r="AQ8" s="409"/>
      <c r="AR8" s="409"/>
      <c r="AS8" s="409"/>
      <c r="AT8" s="409">
        <f t="shared" si="0"/>
        <v>2508109.47</v>
      </c>
      <c r="AU8" s="409"/>
      <c r="AV8" s="409">
        <v>470381.18</v>
      </c>
      <c r="AW8" s="409">
        <v>666113.89</v>
      </c>
      <c r="AX8" s="409">
        <v>452499.59</v>
      </c>
      <c r="AY8" s="409">
        <v>409295.38</v>
      </c>
      <c r="AZ8" s="409">
        <v>503402.25</v>
      </c>
      <c r="BA8" s="409">
        <v>302948.74</v>
      </c>
      <c r="BB8" s="409">
        <v>506323.64</v>
      </c>
      <c r="BC8" s="409">
        <v>274483.97</v>
      </c>
      <c r="BD8" s="409">
        <v>420652.07</v>
      </c>
      <c r="BE8" s="409">
        <v>499257.8</v>
      </c>
      <c r="BF8" s="409">
        <v>511954.72</v>
      </c>
      <c r="BG8" s="409">
        <v>477973.1</v>
      </c>
      <c r="BH8" s="409"/>
      <c r="BI8" s="409"/>
      <c r="BJ8" s="409"/>
      <c r="BK8" s="409"/>
      <c r="BL8" s="409">
        <v>188506.6</v>
      </c>
      <c r="BM8" s="409">
        <v>0</v>
      </c>
      <c r="BN8" s="409">
        <v>0</v>
      </c>
      <c r="BO8" s="409"/>
      <c r="BP8" s="409">
        <f t="shared" si="2"/>
        <v>188506.6</v>
      </c>
      <c r="BQ8" s="409">
        <v>803257.6</v>
      </c>
      <c r="BR8" s="409"/>
      <c r="BS8" s="356"/>
      <c r="BT8" s="356"/>
      <c r="BU8" s="310"/>
      <c r="BV8" s="310"/>
      <c r="BW8" s="310" t="s">
        <v>84</v>
      </c>
      <c r="BX8" s="441">
        <f t="shared" ref="BX8:BX31" si="13">BP8</f>
        <v>188506.6</v>
      </c>
      <c r="BY8" s="441">
        <f t="shared" si="1"/>
        <v>1</v>
      </c>
      <c r="BZ8" s="441">
        <v>0</v>
      </c>
      <c r="CA8" s="441">
        <f t="shared" si="3"/>
        <v>188506.6</v>
      </c>
      <c r="CB8" s="402">
        <f t="shared" si="4"/>
        <v>188506.6</v>
      </c>
      <c r="CC8" s="402" t="s">
        <v>85</v>
      </c>
    </row>
    <row r="9" s="10" customFormat="1" ht="24.05" customHeight="1" spans="2:81">
      <c r="B9" s="384" t="s">
        <v>81</v>
      </c>
      <c r="C9" s="385" t="s">
        <v>92</v>
      </c>
      <c r="D9" s="386" t="s">
        <v>93</v>
      </c>
      <c r="E9" s="388">
        <v>2520333.98</v>
      </c>
      <c r="F9" s="388">
        <v>2547367.38</v>
      </c>
      <c r="G9" s="387">
        <v>2873716.8</v>
      </c>
      <c r="H9" s="387">
        <v>2034618.82</v>
      </c>
      <c r="I9" s="387">
        <v>1651001.42</v>
      </c>
      <c r="J9" s="387">
        <v>1850675.01</v>
      </c>
      <c r="K9" s="387">
        <v>1991190.21</v>
      </c>
      <c r="L9" s="387">
        <v>1898873.65</v>
      </c>
      <c r="M9" s="387">
        <v>2740149.02</v>
      </c>
      <c r="N9" s="387">
        <v>3322573.02</v>
      </c>
      <c r="O9" s="387">
        <v>3923994.15</v>
      </c>
      <c r="P9" s="387">
        <v>5393137.21</v>
      </c>
      <c r="Q9" s="387">
        <v>4713273.94</v>
      </c>
      <c r="R9" s="388">
        <v>721000</v>
      </c>
      <c r="S9" s="388">
        <v>0</v>
      </c>
      <c r="T9" s="388">
        <v>1000000</v>
      </c>
      <c r="U9" s="402">
        <v>500000</v>
      </c>
      <c r="V9" s="402">
        <v>0</v>
      </c>
      <c r="W9" s="402">
        <v>0</v>
      </c>
      <c r="X9" s="402">
        <v>500000</v>
      </c>
      <c r="Y9" s="402">
        <v>0</v>
      </c>
      <c r="Z9" s="402">
        <v>0</v>
      </c>
      <c r="AA9" s="402">
        <v>600000</v>
      </c>
      <c r="AB9" s="402">
        <v>200000</v>
      </c>
      <c r="AC9" s="402">
        <v>2000000</v>
      </c>
      <c r="AD9" s="402">
        <v>200000</v>
      </c>
      <c r="AE9" s="402">
        <v>392000</v>
      </c>
      <c r="AF9" s="402">
        <v>1130000</v>
      </c>
      <c r="AG9" s="402">
        <v>0</v>
      </c>
      <c r="AH9" s="402">
        <v>1050000</v>
      </c>
      <c r="AI9" s="409">
        <f t="shared" si="5"/>
        <v>-200666.02</v>
      </c>
      <c r="AJ9" s="409">
        <f t="shared" si="6"/>
        <v>547367.38</v>
      </c>
      <c r="AK9" s="409">
        <f t="shared" si="7"/>
        <v>873716.8</v>
      </c>
      <c r="AL9" s="409">
        <f t="shared" si="8"/>
        <v>434618.82</v>
      </c>
      <c r="AM9" s="409">
        <f t="shared" si="9"/>
        <v>-1648998.58</v>
      </c>
      <c r="AN9" s="409">
        <f t="shared" si="10"/>
        <v>-1449324.99</v>
      </c>
      <c r="AO9" s="409">
        <f t="shared" si="11"/>
        <v>-1900809.79</v>
      </c>
      <c r="AP9" s="409">
        <f t="shared" si="12"/>
        <v>-1493126.35</v>
      </c>
      <c r="AQ9" s="409"/>
      <c r="AR9" s="409"/>
      <c r="AS9" s="409"/>
      <c r="AT9" s="409">
        <f t="shared" si="0"/>
        <v>1671137.21</v>
      </c>
      <c r="AU9" s="409">
        <v>411.32</v>
      </c>
      <c r="AV9" s="409">
        <v>748033.4</v>
      </c>
      <c r="AW9" s="409">
        <v>326349.42</v>
      </c>
      <c r="AX9" s="409">
        <v>160902.02</v>
      </c>
      <c r="AY9" s="409">
        <v>116382.6</v>
      </c>
      <c r="AZ9" s="409">
        <v>199673.59</v>
      </c>
      <c r="BA9" s="409">
        <v>140515.2</v>
      </c>
      <c r="BB9" s="409">
        <v>407683.44</v>
      </c>
      <c r="BC9" s="409">
        <v>841275.37</v>
      </c>
      <c r="BD9" s="409">
        <v>582424</v>
      </c>
      <c r="BE9" s="409">
        <v>1201421.13</v>
      </c>
      <c r="BF9" s="409">
        <v>1669143.06</v>
      </c>
      <c r="BG9" s="409">
        <v>1320136.73</v>
      </c>
      <c r="BH9" s="409"/>
      <c r="BI9" s="409"/>
      <c r="BJ9" s="409"/>
      <c r="BK9" s="409"/>
      <c r="BL9" s="409"/>
      <c r="BM9" s="409"/>
      <c r="BN9" s="409"/>
      <c r="BO9" s="409"/>
      <c r="BP9" s="409">
        <f t="shared" si="2"/>
        <v>411.32</v>
      </c>
      <c r="BQ9" s="409">
        <v>980251.74</v>
      </c>
      <c r="BR9" s="409"/>
      <c r="BS9" s="356"/>
      <c r="BT9" s="356"/>
      <c r="BU9" s="310"/>
      <c r="BV9" s="310"/>
      <c r="BW9" s="310" t="s">
        <v>84</v>
      </c>
      <c r="BX9" s="441">
        <f t="shared" si="13"/>
        <v>411.32</v>
      </c>
      <c r="BY9" s="441">
        <f t="shared" si="1"/>
        <v>1</v>
      </c>
      <c r="BZ9" s="441">
        <v>411.32</v>
      </c>
      <c r="CA9" s="441">
        <f t="shared" si="3"/>
        <v>0</v>
      </c>
      <c r="CB9" s="402">
        <f t="shared" si="4"/>
        <v>0</v>
      </c>
      <c r="CC9" s="402" t="s">
        <v>85</v>
      </c>
    </row>
    <row r="10" s="10" customFormat="1" ht="24.05" customHeight="1" spans="2:81">
      <c r="B10" s="384" t="s">
        <v>81</v>
      </c>
      <c r="C10" s="385" t="s">
        <v>94</v>
      </c>
      <c r="D10" s="386" t="s">
        <v>95</v>
      </c>
      <c r="E10" s="388">
        <v>1617237.13</v>
      </c>
      <c r="F10" s="388">
        <v>1587881.47</v>
      </c>
      <c r="G10" s="387">
        <v>1801075.59</v>
      </c>
      <c r="H10" s="387">
        <v>1501075.59</v>
      </c>
      <c r="I10" s="387">
        <v>1990948.53</v>
      </c>
      <c r="J10" s="387">
        <v>1916209.63</v>
      </c>
      <c r="K10" s="387">
        <v>1872584.46</v>
      </c>
      <c r="L10" s="387">
        <v>2149683.38</v>
      </c>
      <c r="M10" s="387">
        <v>2031935</v>
      </c>
      <c r="N10" s="387">
        <v>2358624.27</v>
      </c>
      <c r="O10" s="387">
        <v>2442588.21</v>
      </c>
      <c r="P10" s="387">
        <v>2626768.37</v>
      </c>
      <c r="Q10" s="387">
        <v>2344089.4</v>
      </c>
      <c r="R10" s="388">
        <v>412000</v>
      </c>
      <c r="S10" s="388">
        <v>0</v>
      </c>
      <c r="T10" s="388">
        <v>300000</v>
      </c>
      <c r="U10" s="402">
        <v>0</v>
      </c>
      <c r="V10" s="402">
        <v>300000</v>
      </c>
      <c r="W10" s="402">
        <v>350000</v>
      </c>
      <c r="X10" s="402"/>
      <c r="Y10" s="402">
        <v>350000</v>
      </c>
      <c r="Z10" s="402">
        <v>0</v>
      </c>
      <c r="AA10" s="402">
        <v>280000</v>
      </c>
      <c r="AB10" s="402">
        <v>0</v>
      </c>
      <c r="AC10" s="402">
        <v>550000</v>
      </c>
      <c r="AD10" s="402"/>
      <c r="AE10" s="402"/>
      <c r="AF10" s="402">
        <v>400000</v>
      </c>
      <c r="AG10" s="402">
        <v>170000</v>
      </c>
      <c r="AH10" s="402">
        <v>100000</v>
      </c>
      <c r="AI10" s="409">
        <f t="shared" si="5"/>
        <v>-94762.8700000001</v>
      </c>
      <c r="AJ10" s="409">
        <f t="shared" si="6"/>
        <v>287881.47</v>
      </c>
      <c r="AK10" s="409">
        <f t="shared" si="7"/>
        <v>501075.59</v>
      </c>
      <c r="AL10" s="409">
        <f t="shared" si="8"/>
        <v>221075.59</v>
      </c>
      <c r="AM10" s="409">
        <f t="shared" si="9"/>
        <v>160948.53</v>
      </c>
      <c r="AN10" s="409">
        <f t="shared" si="10"/>
        <v>386209.63</v>
      </c>
      <c r="AO10" s="409">
        <f t="shared" si="11"/>
        <v>692584.46</v>
      </c>
      <c r="AP10" s="409">
        <f t="shared" si="12"/>
        <v>969683.38</v>
      </c>
      <c r="AQ10" s="409"/>
      <c r="AR10" s="409"/>
      <c r="AS10" s="409"/>
      <c r="AT10" s="409">
        <f t="shared" si="0"/>
        <v>1506768.37</v>
      </c>
      <c r="AU10" s="409">
        <v>0</v>
      </c>
      <c r="AV10" s="409">
        <v>382644.34</v>
      </c>
      <c r="AW10" s="409">
        <v>213194.12</v>
      </c>
      <c r="AX10" s="409"/>
      <c r="AY10" s="409">
        <v>489872.94</v>
      </c>
      <c r="AZ10" s="409">
        <v>225261.1</v>
      </c>
      <c r="BA10" s="409">
        <v>306374.83</v>
      </c>
      <c r="BB10" s="409">
        <v>277098.92</v>
      </c>
      <c r="BC10" s="409">
        <v>232251.62</v>
      </c>
      <c r="BD10" s="409">
        <v>326689.27</v>
      </c>
      <c r="BE10" s="409">
        <v>363963.94</v>
      </c>
      <c r="BF10" s="409">
        <v>184180.16</v>
      </c>
      <c r="BG10" s="409">
        <v>267321.03</v>
      </c>
      <c r="BH10" s="409"/>
      <c r="BI10" s="409"/>
      <c r="BJ10" s="409"/>
      <c r="BK10" s="409"/>
      <c r="BL10" s="409"/>
      <c r="BM10" s="409">
        <v>10735</v>
      </c>
      <c r="BN10" s="409"/>
      <c r="BO10" s="409"/>
      <c r="BP10" s="409">
        <f t="shared" si="2"/>
        <v>10735</v>
      </c>
      <c r="BQ10" s="409">
        <v>212014.83</v>
      </c>
      <c r="BR10" s="409"/>
      <c r="BS10" s="356"/>
      <c r="BT10" s="356"/>
      <c r="BU10" s="310"/>
      <c r="BV10" s="310"/>
      <c r="BW10" s="310" t="s">
        <v>84</v>
      </c>
      <c r="BX10" s="441">
        <f t="shared" si="13"/>
        <v>10735</v>
      </c>
      <c r="BY10" s="441">
        <f t="shared" si="1"/>
        <v>1</v>
      </c>
      <c r="BZ10" s="441">
        <v>10735</v>
      </c>
      <c r="CA10" s="441">
        <f t="shared" si="3"/>
        <v>0</v>
      </c>
      <c r="CB10" s="402">
        <f t="shared" si="4"/>
        <v>0</v>
      </c>
      <c r="CC10" s="402" t="s">
        <v>96</v>
      </c>
    </row>
    <row r="11" s="10" customFormat="1" ht="24.05" customHeight="1" spans="2:81">
      <c r="B11" s="384" t="s">
        <v>81</v>
      </c>
      <c r="C11" s="385" t="s">
        <v>97</v>
      </c>
      <c r="D11" s="386" t="s">
        <v>98</v>
      </c>
      <c r="E11" s="388">
        <v>1309036.87</v>
      </c>
      <c r="F11" s="388">
        <v>1600881.53</v>
      </c>
      <c r="G11" s="387">
        <v>1566714.49</v>
      </c>
      <c r="H11" s="387">
        <v>1359630.87</v>
      </c>
      <c r="I11" s="387">
        <v>1586478.1</v>
      </c>
      <c r="J11" s="387">
        <v>1599877.12</v>
      </c>
      <c r="K11" s="387">
        <v>1434908.17</v>
      </c>
      <c r="L11" s="387">
        <v>2118266.36</v>
      </c>
      <c r="M11" s="387">
        <v>2152748.86</v>
      </c>
      <c r="N11" s="387">
        <v>2341616.98</v>
      </c>
      <c r="O11" s="387">
        <v>2527439.32</v>
      </c>
      <c r="P11" s="387">
        <v>2837549.93</v>
      </c>
      <c r="Q11" s="387">
        <v>2827844.14</v>
      </c>
      <c r="R11" s="388">
        <v>0</v>
      </c>
      <c r="S11" s="388">
        <v>200000</v>
      </c>
      <c r="T11" s="388">
        <v>400000</v>
      </c>
      <c r="U11" s="402"/>
      <c r="V11" s="402">
        <v>200000</v>
      </c>
      <c r="W11" s="402">
        <v>485000</v>
      </c>
      <c r="X11" s="402"/>
      <c r="Y11" s="402">
        <v>200000</v>
      </c>
      <c r="Z11" s="402">
        <v>95000</v>
      </c>
      <c r="AA11" s="402">
        <v>300000</v>
      </c>
      <c r="AB11" s="402">
        <v>100000</v>
      </c>
      <c r="AC11" s="402">
        <v>450000</v>
      </c>
      <c r="AD11" s="402">
        <v>100000</v>
      </c>
      <c r="AE11" s="402">
        <v>100000</v>
      </c>
      <c r="AF11" s="402">
        <v>272035</v>
      </c>
      <c r="AG11" s="402">
        <v>180312.5</v>
      </c>
      <c r="AH11" s="402">
        <v>400000</v>
      </c>
      <c r="AI11" s="409">
        <f t="shared" si="5"/>
        <v>-175963.13</v>
      </c>
      <c r="AJ11" s="409">
        <f t="shared" si="6"/>
        <v>115881.53</v>
      </c>
      <c r="AK11" s="409">
        <f t="shared" si="7"/>
        <v>281714.49</v>
      </c>
      <c r="AL11" s="409">
        <f t="shared" si="8"/>
        <v>79630.8700000001</v>
      </c>
      <c r="AM11" s="409">
        <f t="shared" si="9"/>
        <v>-243521.9</v>
      </c>
      <c r="AN11" s="409">
        <f t="shared" si="10"/>
        <v>-30122.8799999999</v>
      </c>
      <c r="AO11" s="409">
        <f t="shared" si="11"/>
        <v>89908.1699999999</v>
      </c>
      <c r="AP11" s="409">
        <f t="shared" si="12"/>
        <v>773266.36</v>
      </c>
      <c r="AQ11" s="409"/>
      <c r="AR11" s="409"/>
      <c r="AS11" s="409"/>
      <c r="AT11" s="409">
        <f t="shared" si="0"/>
        <v>1735202.43</v>
      </c>
      <c r="AU11" s="409"/>
      <c r="AV11" s="409">
        <v>291844.66</v>
      </c>
      <c r="AW11" s="409">
        <v>165832.96</v>
      </c>
      <c r="AX11" s="409">
        <v>192916.38</v>
      </c>
      <c r="AY11" s="409">
        <v>226847.23</v>
      </c>
      <c r="AZ11" s="409">
        <v>213399.02</v>
      </c>
      <c r="BA11" s="409">
        <v>335031.05</v>
      </c>
      <c r="BB11" s="409">
        <v>683358.19</v>
      </c>
      <c r="BC11" s="409">
        <v>234482.5</v>
      </c>
      <c r="BD11" s="409">
        <v>283868.12</v>
      </c>
      <c r="BE11" s="409">
        <v>485822.34</v>
      </c>
      <c r="BF11" s="409">
        <v>410110.61</v>
      </c>
      <c r="BG11" s="409">
        <v>440294.21</v>
      </c>
      <c r="BH11" s="409">
        <v>2169.6</v>
      </c>
      <c r="BI11" s="409">
        <v>7458</v>
      </c>
      <c r="BJ11" s="409">
        <v>29312.2</v>
      </c>
      <c r="BK11" s="409">
        <v>0</v>
      </c>
      <c r="BL11" s="409">
        <v>41086.8</v>
      </c>
      <c r="BM11" s="409">
        <v>16882.2</v>
      </c>
      <c r="BN11" s="409">
        <v>10170</v>
      </c>
      <c r="BO11" s="409"/>
      <c r="BP11" s="409">
        <f t="shared" si="2"/>
        <v>107078.8</v>
      </c>
      <c r="BQ11" s="409">
        <v>217405.24</v>
      </c>
      <c r="BR11" s="409"/>
      <c r="BS11" s="356"/>
      <c r="BT11" s="356"/>
      <c r="BU11" s="310"/>
      <c r="BV11" s="310"/>
      <c r="BW11" s="310" t="s">
        <v>84</v>
      </c>
      <c r="BX11" s="441">
        <f t="shared" si="13"/>
        <v>107078.8</v>
      </c>
      <c r="BY11" s="441">
        <f t="shared" si="1"/>
        <v>1</v>
      </c>
      <c r="BZ11" s="441">
        <v>9627.6</v>
      </c>
      <c r="CA11" s="441">
        <f t="shared" si="3"/>
        <v>97451.2</v>
      </c>
      <c r="CB11" s="402">
        <f t="shared" si="4"/>
        <v>97451.2</v>
      </c>
      <c r="CC11" s="402" t="s">
        <v>85</v>
      </c>
    </row>
    <row r="12" s="10" customFormat="1" ht="24.05" customHeight="1" spans="2:81">
      <c r="B12" s="384" t="s">
        <v>81</v>
      </c>
      <c r="C12" s="385" t="s">
        <v>99</v>
      </c>
      <c r="D12" s="386" t="s">
        <v>100</v>
      </c>
      <c r="E12" s="388">
        <v>836579.35</v>
      </c>
      <c r="F12" s="388">
        <v>836579.35</v>
      </c>
      <c r="G12" s="387">
        <v>1590596.91</v>
      </c>
      <c r="H12" s="387">
        <v>1860409.89</v>
      </c>
      <c r="I12" s="387">
        <v>1360409.89</v>
      </c>
      <c r="J12" s="387">
        <v>1661907.57</v>
      </c>
      <c r="K12" s="387">
        <v>1927609.19</v>
      </c>
      <c r="L12" s="387">
        <v>927609.19</v>
      </c>
      <c r="M12" s="387">
        <v>927609.19</v>
      </c>
      <c r="N12" s="387">
        <v>627609.19</v>
      </c>
      <c r="O12" s="387">
        <v>327609.19</v>
      </c>
      <c r="P12" s="387">
        <v>1413158.32</v>
      </c>
      <c r="Q12" s="387">
        <v>970967.72</v>
      </c>
      <c r="R12" s="388"/>
      <c r="S12" s="388">
        <v>150000</v>
      </c>
      <c r="T12" s="388">
        <v>300000</v>
      </c>
      <c r="U12" s="402">
        <v>500000</v>
      </c>
      <c r="V12" s="402">
        <v>500000</v>
      </c>
      <c r="W12" s="402"/>
      <c r="X12" s="402">
        <v>1000000</v>
      </c>
      <c r="Y12" s="402"/>
      <c r="Z12" s="402">
        <v>300000</v>
      </c>
      <c r="AA12" s="402">
        <v>300000</v>
      </c>
      <c r="AB12" s="402"/>
      <c r="AC12" s="402">
        <v>750000</v>
      </c>
      <c r="AD12" s="402">
        <v>300000</v>
      </c>
      <c r="AE12" s="402"/>
      <c r="AF12" s="402">
        <v>200000</v>
      </c>
      <c r="AG12" s="402">
        <v>300000</v>
      </c>
      <c r="AH12" s="402">
        <v>200000</v>
      </c>
      <c r="AI12" s="409">
        <f t="shared" si="5"/>
        <v>-1613420.65</v>
      </c>
      <c r="AJ12" s="409">
        <f t="shared" si="6"/>
        <v>-1613420.65</v>
      </c>
      <c r="AK12" s="409">
        <f t="shared" si="7"/>
        <v>-709403.09</v>
      </c>
      <c r="AL12" s="409">
        <f t="shared" si="8"/>
        <v>-739590.11</v>
      </c>
      <c r="AM12" s="409">
        <f t="shared" si="9"/>
        <v>-1489590.11</v>
      </c>
      <c r="AN12" s="409">
        <f t="shared" si="10"/>
        <v>-688092.43</v>
      </c>
      <c r="AO12" s="409">
        <f t="shared" si="11"/>
        <v>-722390.81</v>
      </c>
      <c r="AP12" s="409">
        <f t="shared" si="12"/>
        <v>-722390.81</v>
      </c>
      <c r="AQ12" s="409"/>
      <c r="AR12" s="409"/>
      <c r="AS12" s="409"/>
      <c r="AT12" s="409">
        <f t="shared" si="0"/>
        <v>-136841.68</v>
      </c>
      <c r="AU12" s="409"/>
      <c r="AV12" s="409"/>
      <c r="AW12" s="409">
        <v>904017.56</v>
      </c>
      <c r="AX12" s="409">
        <v>569812.98</v>
      </c>
      <c r="AY12" s="409"/>
      <c r="AZ12" s="409">
        <v>801497.68</v>
      </c>
      <c r="BA12" s="409">
        <v>265701.62</v>
      </c>
      <c r="BB12" s="409"/>
      <c r="BC12" s="409"/>
      <c r="BD12" s="409"/>
      <c r="BE12" s="409"/>
      <c r="BF12" s="409">
        <v>1085549.13</v>
      </c>
      <c r="BG12" s="409">
        <v>307809.4</v>
      </c>
      <c r="BH12" s="409">
        <v>25764</v>
      </c>
      <c r="BI12" s="409">
        <v>25764</v>
      </c>
      <c r="BJ12" s="409">
        <v>137803.5</v>
      </c>
      <c r="BK12" s="409"/>
      <c r="BL12" s="409"/>
      <c r="BM12" s="409"/>
      <c r="BN12" s="409">
        <v>432507.5</v>
      </c>
      <c r="BO12" s="409">
        <v>128255</v>
      </c>
      <c r="BP12" s="409">
        <f t="shared" si="2"/>
        <v>750094</v>
      </c>
      <c r="BQ12" s="409">
        <v>0</v>
      </c>
      <c r="BR12" s="409"/>
      <c r="BS12" s="356"/>
      <c r="BT12" s="356"/>
      <c r="BU12" s="310"/>
      <c r="BV12" s="310"/>
      <c r="BW12" s="310" t="s">
        <v>84</v>
      </c>
      <c r="BX12" s="441">
        <f t="shared" si="13"/>
        <v>750094</v>
      </c>
      <c r="BY12" s="441">
        <f t="shared" si="1"/>
        <v>1</v>
      </c>
      <c r="BZ12" s="441">
        <f>189331.5</f>
        <v>189331.5</v>
      </c>
      <c r="CA12" s="441">
        <f t="shared" si="3"/>
        <v>560762.5</v>
      </c>
      <c r="CB12" s="402">
        <f>CA12</f>
        <v>560762.5</v>
      </c>
      <c r="CC12" s="402" t="s">
        <v>101</v>
      </c>
    </row>
    <row r="13" s="10" customFormat="1" ht="24.05" customHeight="1" spans="2:81">
      <c r="B13" s="384" t="s">
        <v>81</v>
      </c>
      <c r="C13" s="385" t="s">
        <v>102</v>
      </c>
      <c r="D13" s="386" t="s">
        <v>103</v>
      </c>
      <c r="E13" s="388">
        <v>2298406.19</v>
      </c>
      <c r="F13" s="388">
        <v>3231324.59</v>
      </c>
      <c r="G13" s="387">
        <v>1807612.59</v>
      </c>
      <c r="H13" s="387">
        <v>1807612.59</v>
      </c>
      <c r="I13" s="387">
        <v>2248380.11</v>
      </c>
      <c r="J13" s="387">
        <v>1248380.11</v>
      </c>
      <c r="K13" s="387">
        <v>1741922.99</v>
      </c>
      <c r="L13" s="387">
        <v>1741922.99</v>
      </c>
      <c r="M13" s="387">
        <v>2371602.54</v>
      </c>
      <c r="N13" s="387">
        <v>1210715.74</v>
      </c>
      <c r="O13" s="387">
        <v>1731729.26</v>
      </c>
      <c r="P13" s="387">
        <v>1221376.41</v>
      </c>
      <c r="Q13" s="387">
        <v>2281849.77</v>
      </c>
      <c r="R13" s="388"/>
      <c r="S13" s="388">
        <v>2000000</v>
      </c>
      <c r="T13" s="388"/>
      <c r="U13" s="402"/>
      <c r="V13" s="402">
        <v>1000000</v>
      </c>
      <c r="W13" s="402"/>
      <c r="X13" s="402"/>
      <c r="Y13" s="402"/>
      <c r="Z13" s="402">
        <v>1655074.64</v>
      </c>
      <c r="AA13" s="402">
        <v>450000</v>
      </c>
      <c r="AB13" s="402">
        <v>743433.2</v>
      </c>
      <c r="AC13" s="402"/>
      <c r="AD13" s="402"/>
      <c r="AE13" s="402">
        <v>1000000</v>
      </c>
      <c r="AF13" s="402"/>
      <c r="AG13" s="402">
        <v>1100000</v>
      </c>
      <c r="AH13" s="402">
        <v>400000</v>
      </c>
      <c r="AI13" s="409">
        <f t="shared" si="5"/>
        <v>-701593.81</v>
      </c>
      <c r="AJ13" s="409">
        <f t="shared" si="6"/>
        <v>231324.59</v>
      </c>
      <c r="AK13" s="409">
        <f t="shared" si="7"/>
        <v>807612.59</v>
      </c>
      <c r="AL13" s="409">
        <f t="shared" si="8"/>
        <v>-1297462.05</v>
      </c>
      <c r="AM13" s="409">
        <f t="shared" si="9"/>
        <v>-1600127.73</v>
      </c>
      <c r="AN13" s="409">
        <f t="shared" si="10"/>
        <v>-1600127.73</v>
      </c>
      <c r="AO13" s="409">
        <f t="shared" si="11"/>
        <v>-2106584.85</v>
      </c>
      <c r="AP13" s="409">
        <f t="shared" si="12"/>
        <v>-2106584.85</v>
      </c>
      <c r="AQ13" s="409"/>
      <c r="AR13" s="409"/>
      <c r="AS13" s="409"/>
      <c r="AT13" s="409">
        <f t="shared" si="0"/>
        <v>-878623.59</v>
      </c>
      <c r="AU13" s="409"/>
      <c r="AV13" s="409"/>
      <c r="AW13" s="409"/>
      <c r="AX13" s="409"/>
      <c r="AY13" s="409"/>
      <c r="AZ13" s="409"/>
      <c r="BA13" s="409"/>
      <c r="BB13" s="409"/>
      <c r="BC13" s="409"/>
      <c r="BD13" s="409"/>
      <c r="BE13" s="409"/>
      <c r="BF13" s="409"/>
      <c r="BG13" s="409"/>
      <c r="BH13" s="409">
        <v>0</v>
      </c>
      <c r="BI13" s="409">
        <v>0</v>
      </c>
      <c r="BJ13" s="409">
        <v>0</v>
      </c>
      <c r="BK13" s="409">
        <v>233106.08</v>
      </c>
      <c r="BL13" s="409">
        <v>392053.48</v>
      </c>
      <c r="BM13" s="409">
        <v>416448.24</v>
      </c>
      <c r="BN13" s="409">
        <v>385932</v>
      </c>
      <c r="BO13" s="409">
        <v>377048.5</v>
      </c>
      <c r="BP13" s="409">
        <f t="shared" si="2"/>
        <v>1804588.3</v>
      </c>
      <c r="BQ13" s="409"/>
      <c r="BR13" s="409"/>
      <c r="BS13" s="356"/>
      <c r="BT13" s="356"/>
      <c r="BU13" s="310"/>
      <c r="BV13" s="310"/>
      <c r="BW13" s="310" t="s">
        <v>84</v>
      </c>
      <c r="BX13" s="441">
        <f t="shared" si="13"/>
        <v>1804588.3</v>
      </c>
      <c r="BY13" s="441">
        <f t="shared" si="1"/>
        <v>1</v>
      </c>
      <c r="BZ13" s="441">
        <f>392053.48+233106.08</f>
        <v>625159.56</v>
      </c>
      <c r="CA13" s="441">
        <f t="shared" si="3"/>
        <v>1179428.74</v>
      </c>
      <c r="CB13" s="402">
        <f>CA13-BO13</f>
        <v>802380.24</v>
      </c>
      <c r="CC13" s="402" t="s">
        <v>104</v>
      </c>
    </row>
    <row r="14" s="10" customFormat="1" ht="24.05" customHeight="1" spans="2:81">
      <c r="B14" s="384" t="s">
        <v>81</v>
      </c>
      <c r="C14" s="385" t="s">
        <v>105</v>
      </c>
      <c r="D14" s="386" t="s">
        <v>106</v>
      </c>
      <c r="E14" s="388">
        <v>1498539.37</v>
      </c>
      <c r="F14" s="388">
        <v>1833556.83</v>
      </c>
      <c r="G14" s="387">
        <v>1783994.71</v>
      </c>
      <c r="H14" s="387">
        <v>1731445.82</v>
      </c>
      <c r="I14" s="387">
        <v>1496251.57</v>
      </c>
      <c r="J14" s="387">
        <v>1879297.55</v>
      </c>
      <c r="K14" s="387">
        <v>1647417.69</v>
      </c>
      <c r="L14" s="387">
        <v>1620500.94</v>
      </c>
      <c r="M14" s="387">
        <v>1837806.72</v>
      </c>
      <c r="N14" s="387">
        <v>2145443.28</v>
      </c>
      <c r="O14" s="387">
        <v>1264344.7</v>
      </c>
      <c r="P14" s="387">
        <v>1632954.85</v>
      </c>
      <c r="Q14" s="387">
        <v>1560168.6</v>
      </c>
      <c r="R14" s="388">
        <v>0</v>
      </c>
      <c r="S14" s="388">
        <v>313641</v>
      </c>
      <c r="T14" s="388">
        <v>322673.16</v>
      </c>
      <c r="U14" s="402">
        <v>525507.01</v>
      </c>
      <c r="V14" s="402"/>
      <c r="W14" s="402">
        <v>613364.31</v>
      </c>
      <c r="X14" s="402">
        <v>400000</v>
      </c>
      <c r="Y14" s="402">
        <v>60604.21</v>
      </c>
      <c r="Z14" s="402">
        <v>53693.69</v>
      </c>
      <c r="AA14" s="402">
        <v>1250000</v>
      </c>
      <c r="AB14" s="402">
        <v>0</v>
      </c>
      <c r="AC14" s="402">
        <v>450000</v>
      </c>
      <c r="AD14" s="402">
        <v>351189.16</v>
      </c>
      <c r="AE14" s="402"/>
      <c r="AF14" s="402">
        <v>268116.33</v>
      </c>
      <c r="AG14" s="402">
        <v>50000</v>
      </c>
      <c r="AH14" s="402">
        <v>200000</v>
      </c>
      <c r="AI14" s="409">
        <f t="shared" si="5"/>
        <v>-737250.32</v>
      </c>
      <c r="AJ14" s="409">
        <f t="shared" si="6"/>
        <v>-402232.86</v>
      </c>
      <c r="AK14" s="409">
        <f t="shared" si="7"/>
        <v>-138153.98</v>
      </c>
      <c r="AL14" s="409">
        <f t="shared" si="8"/>
        <v>-1171723.4</v>
      </c>
      <c r="AM14" s="409">
        <f t="shared" si="9"/>
        <v>-1331410.64</v>
      </c>
      <c r="AN14" s="409">
        <f t="shared" si="10"/>
        <v>-948364.66</v>
      </c>
      <c r="AO14" s="409">
        <f t="shared" si="11"/>
        <v>-918069.37</v>
      </c>
      <c r="AP14" s="409">
        <f t="shared" si="12"/>
        <v>-544986.12</v>
      </c>
      <c r="AQ14" s="409"/>
      <c r="AR14" s="409"/>
      <c r="AS14" s="409"/>
      <c r="AT14" s="409">
        <f t="shared" si="0"/>
        <v>513649.36</v>
      </c>
      <c r="AU14" s="409"/>
      <c r="AV14" s="409">
        <v>335017.46</v>
      </c>
      <c r="AW14" s="409">
        <v>264078.88</v>
      </c>
      <c r="AX14" s="409">
        <v>270124.27</v>
      </c>
      <c r="AY14" s="409">
        <v>290312.76</v>
      </c>
      <c r="AZ14" s="409">
        <v>383045.98</v>
      </c>
      <c r="BA14" s="409">
        <v>381484.45</v>
      </c>
      <c r="BB14" s="409">
        <v>373083.25</v>
      </c>
      <c r="BC14" s="409">
        <v>277909.99</v>
      </c>
      <c r="BD14" s="409">
        <v>361330.25</v>
      </c>
      <c r="BE14" s="409">
        <v>368901.42</v>
      </c>
      <c r="BF14" s="409">
        <v>368610.15</v>
      </c>
      <c r="BG14" s="409">
        <v>377213.75</v>
      </c>
      <c r="BH14" s="409">
        <v>17290.13</v>
      </c>
      <c r="BI14" s="409">
        <v>66518.11</v>
      </c>
      <c r="BJ14" s="409">
        <v>191765.52</v>
      </c>
      <c r="BK14" s="409">
        <v>180562.61</v>
      </c>
      <c r="BL14" s="409">
        <v>224393.49</v>
      </c>
      <c r="BM14" s="409"/>
      <c r="BN14" s="409">
        <v>222983.92</v>
      </c>
      <c r="BO14" s="409">
        <v>143494.68</v>
      </c>
      <c r="BP14" s="409">
        <f t="shared" si="2"/>
        <v>1047008.46</v>
      </c>
      <c r="BQ14" s="409">
        <v>454636.08</v>
      </c>
      <c r="BR14" s="409"/>
      <c r="BS14" s="356"/>
      <c r="BT14" s="356"/>
      <c r="BU14" s="310"/>
      <c r="BV14" s="310"/>
      <c r="BW14" s="310" t="s">
        <v>84</v>
      </c>
      <c r="BX14" s="441">
        <f t="shared" si="13"/>
        <v>1047008.46</v>
      </c>
      <c r="BY14" s="441">
        <f t="shared" si="1"/>
        <v>1</v>
      </c>
      <c r="BZ14" s="441">
        <f>23453.9+438846.54-6164.07</f>
        <v>456136.37</v>
      </c>
      <c r="CA14" s="441">
        <f t="shared" si="3"/>
        <v>590872.09</v>
      </c>
      <c r="CB14" s="402">
        <f>CA14-BO14</f>
        <v>447377.41</v>
      </c>
      <c r="CC14" s="402" t="s">
        <v>85</v>
      </c>
    </row>
    <row r="15" s="10" customFormat="1" ht="24.05" customHeight="1" spans="2:81">
      <c r="B15" s="384" t="s">
        <v>81</v>
      </c>
      <c r="C15" s="385" t="s">
        <v>107</v>
      </c>
      <c r="D15" s="386" t="s">
        <v>108</v>
      </c>
      <c r="E15" s="388"/>
      <c r="F15" s="388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8"/>
      <c r="S15" s="388"/>
      <c r="T15" s="388"/>
      <c r="U15" s="402"/>
      <c r="V15" s="402"/>
      <c r="W15" s="402"/>
      <c r="X15" s="402"/>
      <c r="Y15" s="402"/>
      <c r="Z15" s="402"/>
      <c r="AA15" s="402"/>
      <c r="AB15" s="402"/>
      <c r="AC15" s="402"/>
      <c r="AD15" s="402"/>
      <c r="AE15" s="402"/>
      <c r="AF15" s="402"/>
      <c r="AG15" s="402"/>
      <c r="AH15" s="402"/>
      <c r="AI15" s="409"/>
      <c r="AJ15" s="409"/>
      <c r="AK15" s="409"/>
      <c r="AL15" s="409"/>
      <c r="AM15" s="409"/>
      <c r="AN15" s="409"/>
      <c r="AO15" s="409"/>
      <c r="AP15" s="409"/>
      <c r="AQ15" s="409"/>
      <c r="AR15" s="409"/>
      <c r="AS15" s="409"/>
      <c r="AT15" s="409"/>
      <c r="AU15" s="409">
        <v>9153</v>
      </c>
      <c r="AV15" s="409"/>
      <c r="AW15" s="409"/>
      <c r="AX15" s="409"/>
      <c r="AY15" s="409"/>
      <c r="AZ15" s="409"/>
      <c r="BA15" s="409"/>
      <c r="BB15" s="409"/>
      <c r="BC15" s="409"/>
      <c r="BD15" s="409"/>
      <c r="BE15" s="409"/>
      <c r="BF15" s="409"/>
      <c r="BG15" s="409"/>
      <c r="BH15" s="409">
        <v>146662.52</v>
      </c>
      <c r="BI15" s="409">
        <v>330679.58</v>
      </c>
      <c r="BJ15" s="409">
        <v>551132.64</v>
      </c>
      <c r="BK15" s="409">
        <v>440714.75</v>
      </c>
      <c r="BL15" s="409">
        <v>595223.25</v>
      </c>
      <c r="BM15" s="409"/>
      <c r="BN15" s="409">
        <v>317309.51</v>
      </c>
      <c r="BO15" s="409">
        <v>101959.54</v>
      </c>
      <c r="BP15" s="409">
        <f t="shared" si="2"/>
        <v>2492834.79</v>
      </c>
      <c r="BQ15" s="409"/>
      <c r="BR15" s="409"/>
      <c r="BS15" s="356"/>
      <c r="BT15" s="356"/>
      <c r="BU15" s="310"/>
      <c r="BV15" s="310"/>
      <c r="BW15" s="310" t="s">
        <v>84</v>
      </c>
      <c r="BX15" s="441">
        <f t="shared" si="13"/>
        <v>2492834.79</v>
      </c>
      <c r="BY15" s="441"/>
      <c r="BZ15" s="441">
        <f>155815.52+551132.64</f>
        <v>706948.16</v>
      </c>
      <c r="CA15" s="441">
        <f t="shared" si="3"/>
        <v>1785886.63</v>
      </c>
      <c r="CB15" s="402">
        <f>CA15-BO15</f>
        <v>1683927.09</v>
      </c>
      <c r="CC15" s="402" t="s">
        <v>85</v>
      </c>
    </row>
    <row r="16" s="10" customFormat="1" ht="24.05" customHeight="1" spans="2:81">
      <c r="B16" s="384" t="s">
        <v>81</v>
      </c>
      <c r="C16" s="385" t="s">
        <v>109</v>
      </c>
      <c r="D16" s="386" t="s">
        <v>110</v>
      </c>
      <c r="E16" s="388"/>
      <c r="F16" s="388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8"/>
      <c r="S16" s="388"/>
      <c r="T16" s="388"/>
      <c r="U16" s="402"/>
      <c r="V16" s="402"/>
      <c r="W16" s="402"/>
      <c r="X16" s="402"/>
      <c r="Y16" s="402"/>
      <c r="Z16" s="402"/>
      <c r="AA16" s="402"/>
      <c r="AB16" s="402"/>
      <c r="AC16" s="402"/>
      <c r="AD16" s="402"/>
      <c r="AE16" s="402"/>
      <c r="AF16" s="402"/>
      <c r="AG16" s="402"/>
      <c r="AH16" s="402"/>
      <c r="AI16" s="409"/>
      <c r="AJ16" s="409"/>
      <c r="AK16" s="409"/>
      <c r="AL16" s="409"/>
      <c r="AM16" s="409"/>
      <c r="AN16" s="409"/>
      <c r="AO16" s="409"/>
      <c r="AP16" s="409"/>
      <c r="AQ16" s="409"/>
      <c r="AR16" s="409"/>
      <c r="AS16" s="409"/>
      <c r="AT16" s="409"/>
      <c r="AU16" s="409"/>
      <c r="AV16" s="409"/>
      <c r="AW16" s="409"/>
      <c r="AX16" s="409"/>
      <c r="AY16" s="409"/>
      <c r="AZ16" s="409"/>
      <c r="BA16" s="409"/>
      <c r="BB16" s="409"/>
      <c r="BC16" s="409"/>
      <c r="BD16" s="409"/>
      <c r="BE16" s="409"/>
      <c r="BF16" s="409"/>
      <c r="BG16" s="409"/>
      <c r="BH16" s="409">
        <v>0</v>
      </c>
      <c r="BI16" s="409">
        <v>32437.78</v>
      </c>
      <c r="BJ16" s="409">
        <v>50978.93</v>
      </c>
      <c r="BK16" s="409">
        <v>45880.7</v>
      </c>
      <c r="BL16" s="409">
        <v>27783.75</v>
      </c>
      <c r="BM16" s="409">
        <v>30894.83</v>
      </c>
      <c r="BN16" s="409"/>
      <c r="BO16" s="409"/>
      <c r="BP16" s="409">
        <f t="shared" si="2"/>
        <v>187975.99</v>
      </c>
      <c r="BQ16" s="409"/>
      <c r="BR16" s="409"/>
      <c r="BS16" s="356"/>
      <c r="BT16" s="356"/>
      <c r="BU16" s="310"/>
      <c r="BV16" s="310"/>
      <c r="BW16" s="310" t="s">
        <v>84</v>
      </c>
      <c r="BX16" s="441">
        <f t="shared" si="13"/>
        <v>187975.99</v>
      </c>
      <c r="BY16" s="441"/>
      <c r="BZ16" s="441">
        <v>187975.99</v>
      </c>
      <c r="CA16" s="441">
        <f t="shared" si="3"/>
        <v>0</v>
      </c>
      <c r="CB16" s="402">
        <f t="shared" si="4"/>
        <v>0</v>
      </c>
      <c r="CC16" s="402" t="s">
        <v>111</v>
      </c>
    </row>
    <row r="17" s="10" customFormat="1" ht="24.05" customHeight="1" spans="2:81">
      <c r="B17" s="384" t="s">
        <v>81</v>
      </c>
      <c r="C17" s="385" t="s">
        <v>112</v>
      </c>
      <c r="D17" s="386" t="s">
        <v>113</v>
      </c>
      <c r="E17" s="388"/>
      <c r="F17" s="388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8"/>
      <c r="S17" s="388"/>
      <c r="T17" s="388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9"/>
      <c r="AJ17" s="409"/>
      <c r="AK17" s="409"/>
      <c r="AL17" s="409"/>
      <c r="AM17" s="409"/>
      <c r="AN17" s="409"/>
      <c r="AO17" s="409"/>
      <c r="AP17" s="409"/>
      <c r="AQ17" s="409"/>
      <c r="AR17" s="409"/>
      <c r="AS17" s="409"/>
      <c r="AT17" s="409"/>
      <c r="AU17" s="409"/>
      <c r="AV17" s="409"/>
      <c r="AW17" s="409"/>
      <c r="AX17" s="409"/>
      <c r="AY17" s="409"/>
      <c r="AZ17" s="409"/>
      <c r="BA17" s="409"/>
      <c r="BB17" s="409"/>
      <c r="BC17" s="409"/>
      <c r="BD17" s="409"/>
      <c r="BE17" s="409"/>
      <c r="BF17" s="409"/>
      <c r="BG17" s="409"/>
      <c r="BH17" s="409">
        <v>24799.21</v>
      </c>
      <c r="BI17" s="409">
        <v>113930.39</v>
      </c>
      <c r="BJ17" s="409">
        <v>253114.35</v>
      </c>
      <c r="BK17" s="409">
        <v>179138.9</v>
      </c>
      <c r="BL17" s="409">
        <v>280997.44</v>
      </c>
      <c r="BM17" s="409"/>
      <c r="BN17" s="409">
        <v>265871.49</v>
      </c>
      <c r="BO17" s="409"/>
      <c r="BP17" s="409">
        <f t="shared" si="2"/>
        <v>1117851.78</v>
      </c>
      <c r="BQ17" s="409"/>
      <c r="BR17" s="409"/>
      <c r="BS17" s="356"/>
      <c r="BT17" s="356"/>
      <c r="BU17" s="310"/>
      <c r="BV17" s="310"/>
      <c r="BW17" s="310" t="s">
        <v>84</v>
      </c>
      <c r="BX17" s="441">
        <f t="shared" si="13"/>
        <v>1117851.78</v>
      </c>
      <c r="BY17" s="441"/>
      <c r="BZ17" s="441">
        <f>138729.6+179138.9</f>
        <v>317868.5</v>
      </c>
      <c r="CA17" s="441">
        <f t="shared" si="3"/>
        <v>799983.28</v>
      </c>
      <c r="CB17" s="402">
        <f t="shared" si="4"/>
        <v>799983.28</v>
      </c>
      <c r="CC17" s="402" t="s">
        <v>85</v>
      </c>
    </row>
    <row r="18" s="10" customFormat="1" ht="24.05" customHeight="1" spans="2:81">
      <c r="B18" s="384" t="s">
        <v>81</v>
      </c>
      <c r="C18" s="385" t="s">
        <v>114</v>
      </c>
      <c r="D18" s="386" t="s">
        <v>115</v>
      </c>
      <c r="E18" s="388"/>
      <c r="F18" s="388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8"/>
      <c r="S18" s="388"/>
      <c r="T18" s="388"/>
      <c r="U18" s="402"/>
      <c r="V18" s="402"/>
      <c r="W18" s="402"/>
      <c r="X18" s="402"/>
      <c r="Y18" s="402"/>
      <c r="Z18" s="402"/>
      <c r="AA18" s="402"/>
      <c r="AB18" s="402"/>
      <c r="AC18" s="402"/>
      <c r="AD18" s="402"/>
      <c r="AE18" s="402"/>
      <c r="AF18" s="402"/>
      <c r="AG18" s="402"/>
      <c r="AH18" s="402"/>
      <c r="AI18" s="409"/>
      <c r="AJ18" s="409"/>
      <c r="AK18" s="409"/>
      <c r="AL18" s="409"/>
      <c r="AM18" s="409"/>
      <c r="AN18" s="409"/>
      <c r="AO18" s="409"/>
      <c r="AP18" s="409"/>
      <c r="AQ18" s="409"/>
      <c r="AR18" s="409"/>
      <c r="AS18" s="409"/>
      <c r="AT18" s="409"/>
      <c r="AU18" s="409">
        <v>3868.47</v>
      </c>
      <c r="AV18" s="409"/>
      <c r="AW18" s="409"/>
      <c r="AX18" s="409"/>
      <c r="AY18" s="409"/>
      <c r="AZ18" s="409"/>
      <c r="BA18" s="409"/>
      <c r="BB18" s="409"/>
      <c r="BC18" s="409"/>
      <c r="BD18" s="409"/>
      <c r="BE18" s="409"/>
      <c r="BF18" s="409"/>
      <c r="BG18" s="409"/>
      <c r="BH18" s="409">
        <v>2834.04</v>
      </c>
      <c r="BI18" s="409">
        <v>26767.51</v>
      </c>
      <c r="BJ18" s="409">
        <v>114778.62</v>
      </c>
      <c r="BK18" s="409">
        <v>0</v>
      </c>
      <c r="BL18" s="409">
        <v>213360.7</v>
      </c>
      <c r="BM18" s="409"/>
      <c r="BN18" s="409">
        <v>0</v>
      </c>
      <c r="BO18" s="409"/>
      <c r="BP18" s="409">
        <f t="shared" si="2"/>
        <v>361609.34</v>
      </c>
      <c r="BQ18" s="409"/>
      <c r="BR18" s="409"/>
      <c r="BS18" s="356"/>
      <c r="BT18" s="356"/>
      <c r="BU18" s="310"/>
      <c r="BV18" s="310"/>
      <c r="BW18" s="310" t="s">
        <v>84</v>
      </c>
      <c r="BX18" s="441">
        <f t="shared" si="13"/>
        <v>361609.34</v>
      </c>
      <c r="BY18" s="441"/>
      <c r="BZ18" s="441">
        <f>33470.02+114778.62</f>
        <v>148248.64</v>
      </c>
      <c r="CA18" s="441">
        <f t="shared" si="3"/>
        <v>213360.7</v>
      </c>
      <c r="CB18" s="402">
        <f t="shared" si="4"/>
        <v>213360.7</v>
      </c>
      <c r="CC18" s="402" t="s">
        <v>85</v>
      </c>
    </row>
    <row r="19" s="10" customFormat="1" ht="24.05" customHeight="1" spans="2:81">
      <c r="B19" s="384" t="s">
        <v>81</v>
      </c>
      <c r="C19" s="385" t="s">
        <v>116</v>
      </c>
      <c r="D19" s="386" t="s">
        <v>117</v>
      </c>
      <c r="E19" s="388"/>
      <c r="F19" s="388"/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8"/>
      <c r="S19" s="388"/>
      <c r="T19" s="388"/>
      <c r="U19" s="402"/>
      <c r="V19" s="402"/>
      <c r="W19" s="402"/>
      <c r="X19" s="402"/>
      <c r="Y19" s="402"/>
      <c r="Z19" s="402"/>
      <c r="AA19" s="402"/>
      <c r="AB19" s="402"/>
      <c r="AC19" s="402"/>
      <c r="AD19" s="402"/>
      <c r="AE19" s="402"/>
      <c r="AF19" s="402"/>
      <c r="AG19" s="402"/>
      <c r="AH19" s="402"/>
      <c r="AI19" s="409"/>
      <c r="AJ19" s="409"/>
      <c r="AK19" s="409"/>
      <c r="AL19" s="409"/>
      <c r="AM19" s="409"/>
      <c r="AN19" s="409"/>
      <c r="AO19" s="409"/>
      <c r="AP19" s="409"/>
      <c r="AQ19" s="409"/>
      <c r="AR19" s="409"/>
      <c r="AS19" s="409"/>
      <c r="AT19" s="409"/>
      <c r="AU19" s="409"/>
      <c r="AV19" s="409"/>
      <c r="AW19" s="409"/>
      <c r="AX19" s="409"/>
      <c r="AY19" s="409"/>
      <c r="AZ19" s="409"/>
      <c r="BA19" s="409"/>
      <c r="BB19" s="409"/>
      <c r="BC19" s="409"/>
      <c r="BD19" s="409"/>
      <c r="BE19" s="409"/>
      <c r="BF19" s="409"/>
      <c r="BG19" s="409"/>
      <c r="BH19" s="409">
        <v>0</v>
      </c>
      <c r="BI19" s="409">
        <v>9824.22</v>
      </c>
      <c r="BJ19" s="409">
        <v>23910.8</v>
      </c>
      <c r="BK19" s="409">
        <v>47301.8</v>
      </c>
      <c r="BL19" s="409">
        <v>30408.3</v>
      </c>
      <c r="BM19" s="409"/>
      <c r="BN19" s="409">
        <v>53799.3</v>
      </c>
      <c r="BO19" s="409"/>
      <c r="BP19" s="409">
        <f t="shared" si="2"/>
        <v>165244.42</v>
      </c>
      <c r="BQ19" s="409"/>
      <c r="BR19" s="409"/>
      <c r="BS19" s="356"/>
      <c r="BT19" s="356"/>
      <c r="BU19" s="310"/>
      <c r="BV19" s="310"/>
      <c r="BW19" s="310" t="s">
        <v>84</v>
      </c>
      <c r="BX19" s="441">
        <f t="shared" si="13"/>
        <v>165244.42</v>
      </c>
      <c r="BY19" s="441"/>
      <c r="BZ19" s="441">
        <f>9824.22+71212.6</f>
        <v>81036.82</v>
      </c>
      <c r="CA19" s="441">
        <f t="shared" si="3"/>
        <v>84207.6</v>
      </c>
      <c r="CB19" s="402">
        <f t="shared" si="4"/>
        <v>84207.6</v>
      </c>
      <c r="CC19" s="402" t="s">
        <v>85</v>
      </c>
    </row>
    <row r="20" s="10" customFormat="1" ht="24.05" customHeight="1" spans="2:81">
      <c r="B20" s="384" t="s">
        <v>81</v>
      </c>
      <c r="C20" s="385" t="s">
        <v>118</v>
      </c>
      <c r="D20" s="386" t="s">
        <v>119</v>
      </c>
      <c r="E20" s="388"/>
      <c r="F20" s="388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8"/>
      <c r="S20" s="388"/>
      <c r="T20" s="388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  <c r="AH20" s="402"/>
      <c r="AI20" s="409"/>
      <c r="AJ20" s="409"/>
      <c r="AK20" s="409"/>
      <c r="AL20" s="409"/>
      <c r="AM20" s="409"/>
      <c r="AN20" s="409"/>
      <c r="AO20" s="409"/>
      <c r="AP20" s="409"/>
      <c r="AQ20" s="409"/>
      <c r="AR20" s="409"/>
      <c r="AS20" s="409"/>
      <c r="AT20" s="409"/>
      <c r="AU20" s="409"/>
      <c r="AV20" s="409"/>
      <c r="AW20" s="409"/>
      <c r="AX20" s="409"/>
      <c r="AY20" s="409"/>
      <c r="AZ20" s="409"/>
      <c r="BA20" s="409"/>
      <c r="BB20" s="409"/>
      <c r="BC20" s="409"/>
      <c r="BD20" s="409"/>
      <c r="BE20" s="409"/>
      <c r="BF20" s="409"/>
      <c r="BG20" s="409"/>
      <c r="BH20" s="409">
        <v>34049.73</v>
      </c>
      <c r="BI20" s="409">
        <v>452429.4</v>
      </c>
      <c r="BJ20" s="409">
        <v>51302</v>
      </c>
      <c r="BK20" s="409">
        <v>413410.5</v>
      </c>
      <c r="BL20" s="409">
        <v>205208</v>
      </c>
      <c r="BM20" s="409"/>
      <c r="BN20" s="409">
        <v>0</v>
      </c>
      <c r="BO20" s="409"/>
      <c r="BP20" s="409">
        <f t="shared" si="2"/>
        <v>1156399.63</v>
      </c>
      <c r="BQ20" s="409"/>
      <c r="BR20" s="409"/>
      <c r="BS20" s="356"/>
      <c r="BT20" s="356"/>
      <c r="BU20" s="310"/>
      <c r="BV20" s="310"/>
      <c r="BW20" s="310" t="s">
        <v>84</v>
      </c>
      <c r="BX20" s="441">
        <f t="shared" si="13"/>
        <v>1156399.63</v>
      </c>
      <c r="BY20" s="441"/>
      <c r="BZ20" s="441">
        <v>73068.63</v>
      </c>
      <c r="CA20" s="441">
        <f t="shared" si="3"/>
        <v>1083331</v>
      </c>
      <c r="CB20" s="402">
        <f t="shared" si="4"/>
        <v>1083331</v>
      </c>
      <c r="CC20" s="402" t="s">
        <v>85</v>
      </c>
    </row>
    <row r="21" s="10" customFormat="1" ht="24.05" customHeight="1" spans="2:81">
      <c r="B21" s="389" t="s">
        <v>81</v>
      </c>
      <c r="C21" s="385" t="s">
        <v>120</v>
      </c>
      <c r="D21" s="386" t="s">
        <v>121</v>
      </c>
      <c r="E21" s="388"/>
      <c r="F21" s="388"/>
      <c r="G21" s="387"/>
      <c r="H21" s="387"/>
      <c r="I21" s="387"/>
      <c r="J21" s="387"/>
      <c r="K21" s="387"/>
      <c r="L21" s="387"/>
      <c r="M21" s="387"/>
      <c r="N21" s="387"/>
      <c r="O21" s="387"/>
      <c r="P21" s="387"/>
      <c r="Q21" s="387"/>
      <c r="R21" s="388"/>
      <c r="S21" s="388"/>
      <c r="T21" s="388"/>
      <c r="U21" s="402"/>
      <c r="V21" s="402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9"/>
      <c r="AJ21" s="409"/>
      <c r="AK21" s="409"/>
      <c r="AL21" s="409"/>
      <c r="AM21" s="409"/>
      <c r="AN21" s="409"/>
      <c r="AO21" s="409"/>
      <c r="AP21" s="409"/>
      <c r="AQ21" s="409"/>
      <c r="AR21" s="409"/>
      <c r="AS21" s="409"/>
      <c r="AT21" s="409"/>
      <c r="AU21" s="409"/>
      <c r="AV21" s="409"/>
      <c r="AW21" s="409"/>
      <c r="AX21" s="409"/>
      <c r="AY21" s="409"/>
      <c r="AZ21" s="409"/>
      <c r="BA21" s="409"/>
      <c r="BB21" s="409"/>
      <c r="BC21" s="409"/>
      <c r="BD21" s="409"/>
      <c r="BE21" s="409"/>
      <c r="BF21" s="409"/>
      <c r="BG21" s="409"/>
      <c r="BH21" s="409">
        <v>1899.53</v>
      </c>
      <c r="BI21" s="409">
        <v>0</v>
      </c>
      <c r="BJ21" s="409">
        <v>64394.07</v>
      </c>
      <c r="BK21" s="409">
        <v>0</v>
      </c>
      <c r="BL21" s="409">
        <v>0</v>
      </c>
      <c r="BM21" s="409"/>
      <c r="BN21" s="409"/>
      <c r="BO21" s="409"/>
      <c r="BP21" s="409">
        <f t="shared" si="2"/>
        <v>66293.6</v>
      </c>
      <c r="BQ21" s="409"/>
      <c r="BR21" s="409"/>
      <c r="BS21" s="356"/>
      <c r="BT21" s="356"/>
      <c r="BU21" s="310"/>
      <c r="BV21" s="310"/>
      <c r="BW21" s="310" t="s">
        <v>84</v>
      </c>
      <c r="BX21" s="441">
        <f t="shared" si="13"/>
        <v>66293.6</v>
      </c>
      <c r="BY21" s="441"/>
      <c r="BZ21" s="441">
        <f>66293.6</f>
        <v>66293.6</v>
      </c>
      <c r="CA21" s="441">
        <f t="shared" si="3"/>
        <v>0</v>
      </c>
      <c r="CB21" s="402">
        <f t="shared" si="4"/>
        <v>0</v>
      </c>
      <c r="CC21" s="457" t="s">
        <v>85</v>
      </c>
    </row>
    <row r="22" s="10" customFormat="1" ht="24.05" customHeight="1" spans="2:81">
      <c r="B22" s="389" t="s">
        <v>81</v>
      </c>
      <c r="C22" s="385" t="s">
        <v>122</v>
      </c>
      <c r="D22" s="386" t="s">
        <v>123</v>
      </c>
      <c r="E22" s="388"/>
      <c r="F22" s="388"/>
      <c r="G22" s="387"/>
      <c r="H22" s="387"/>
      <c r="I22" s="387"/>
      <c r="J22" s="387"/>
      <c r="K22" s="387"/>
      <c r="L22" s="387"/>
      <c r="M22" s="387"/>
      <c r="N22" s="387"/>
      <c r="O22" s="387"/>
      <c r="P22" s="387"/>
      <c r="Q22" s="387"/>
      <c r="R22" s="388"/>
      <c r="S22" s="388"/>
      <c r="T22" s="388"/>
      <c r="U22" s="402"/>
      <c r="V22" s="402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9"/>
      <c r="AJ22" s="409"/>
      <c r="AK22" s="409"/>
      <c r="AL22" s="409"/>
      <c r="AM22" s="409"/>
      <c r="AN22" s="409"/>
      <c r="AO22" s="409"/>
      <c r="AP22" s="409"/>
      <c r="AQ22" s="409"/>
      <c r="AR22" s="409"/>
      <c r="AS22" s="409"/>
      <c r="AT22" s="409"/>
      <c r="AU22" s="409"/>
      <c r="AV22" s="409"/>
      <c r="AW22" s="409"/>
      <c r="AX22" s="409"/>
      <c r="AY22" s="409"/>
      <c r="AZ22" s="409"/>
      <c r="BA22" s="409"/>
      <c r="BB22" s="409"/>
      <c r="BC22" s="409"/>
      <c r="BD22" s="409"/>
      <c r="BE22" s="409"/>
      <c r="BF22" s="409"/>
      <c r="BG22" s="409"/>
      <c r="BH22" s="409"/>
      <c r="BI22" s="409"/>
      <c r="BJ22" s="409">
        <v>713170.02</v>
      </c>
      <c r="BK22" s="409">
        <v>650672.08</v>
      </c>
      <c r="BL22" s="409">
        <v>553653.11</v>
      </c>
      <c r="BM22" s="409">
        <v>0</v>
      </c>
      <c r="BN22" s="409">
        <v>639616.73</v>
      </c>
      <c r="BO22" s="409"/>
      <c r="BP22" s="409">
        <f t="shared" si="2"/>
        <v>2557111.94</v>
      </c>
      <c r="BQ22" s="409"/>
      <c r="BR22" s="409"/>
      <c r="BS22" s="356"/>
      <c r="BT22" s="356"/>
      <c r="BU22" s="310"/>
      <c r="BV22" s="310"/>
      <c r="BW22" s="310" t="s">
        <v>84</v>
      </c>
      <c r="BX22" s="441">
        <f t="shared" si="13"/>
        <v>2557111.94</v>
      </c>
      <c r="BY22" s="441"/>
      <c r="BZ22" s="441">
        <f>713170.02+1000000</f>
        <v>1713170.02</v>
      </c>
      <c r="CA22" s="441">
        <f t="shared" si="3"/>
        <v>843941.92</v>
      </c>
      <c r="CB22" s="402">
        <f t="shared" si="4"/>
        <v>843941.92</v>
      </c>
      <c r="CC22" s="457" t="s">
        <v>85</v>
      </c>
    </row>
    <row r="23" s="10" customFormat="1" ht="24.05" customHeight="1" spans="2:81">
      <c r="B23" s="389" t="s">
        <v>81</v>
      </c>
      <c r="C23" s="385" t="s">
        <v>124</v>
      </c>
      <c r="D23" s="386" t="s">
        <v>125</v>
      </c>
      <c r="E23" s="388"/>
      <c r="F23" s="388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8"/>
      <c r="S23" s="388"/>
      <c r="T23" s="388"/>
      <c r="U23" s="402"/>
      <c r="V23" s="402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9"/>
      <c r="AJ23" s="409"/>
      <c r="AK23" s="409"/>
      <c r="AL23" s="409"/>
      <c r="AM23" s="409"/>
      <c r="AN23" s="409"/>
      <c r="AO23" s="409"/>
      <c r="AP23" s="409"/>
      <c r="AQ23" s="409"/>
      <c r="AR23" s="409"/>
      <c r="AS23" s="409"/>
      <c r="AT23" s="409"/>
      <c r="AU23" s="409"/>
      <c r="AV23" s="409"/>
      <c r="AW23" s="409"/>
      <c r="AX23" s="409"/>
      <c r="AY23" s="409"/>
      <c r="AZ23" s="409"/>
      <c r="BA23" s="409"/>
      <c r="BB23" s="409"/>
      <c r="BC23" s="409"/>
      <c r="BD23" s="409"/>
      <c r="BE23" s="409"/>
      <c r="BF23" s="409"/>
      <c r="BG23" s="409"/>
      <c r="BH23" s="409">
        <v>0</v>
      </c>
      <c r="BI23" s="409">
        <v>0</v>
      </c>
      <c r="BJ23" s="409">
        <v>0</v>
      </c>
      <c r="BK23" s="409">
        <v>114622.68</v>
      </c>
      <c r="BL23" s="409">
        <v>23843</v>
      </c>
      <c r="BM23" s="409">
        <v>0</v>
      </c>
      <c r="BN23" s="409">
        <v>68071.2</v>
      </c>
      <c r="BO23" s="409"/>
      <c r="BP23" s="409">
        <f t="shared" si="2"/>
        <v>206536.88</v>
      </c>
      <c r="BQ23" s="409"/>
      <c r="BR23" s="409"/>
      <c r="BS23" s="356"/>
      <c r="BT23" s="356"/>
      <c r="BU23" s="310"/>
      <c r="BV23" s="310"/>
      <c r="BW23" s="310" t="s">
        <v>84</v>
      </c>
      <c r="BX23" s="441">
        <f t="shared" si="13"/>
        <v>206536.88</v>
      </c>
      <c r="BY23" s="441"/>
      <c r="BZ23" s="441">
        <v>138465.68</v>
      </c>
      <c r="CA23" s="441">
        <f t="shared" si="3"/>
        <v>68071.2</v>
      </c>
      <c r="CB23" s="402">
        <f t="shared" si="4"/>
        <v>68071.2</v>
      </c>
      <c r="CC23" s="457" t="s">
        <v>85</v>
      </c>
    </row>
    <row r="24" s="10" customFormat="1" ht="24.05" customHeight="1" spans="2:81">
      <c r="B24" s="389" t="s">
        <v>81</v>
      </c>
      <c r="C24" s="385" t="s">
        <v>126</v>
      </c>
      <c r="D24" s="386" t="s">
        <v>127</v>
      </c>
      <c r="E24" s="388"/>
      <c r="F24" s="388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8"/>
      <c r="S24" s="388"/>
      <c r="T24" s="388"/>
      <c r="U24" s="402"/>
      <c r="V24" s="402"/>
      <c r="W24" s="402"/>
      <c r="X24" s="402"/>
      <c r="Y24" s="402"/>
      <c r="Z24" s="402"/>
      <c r="AA24" s="402"/>
      <c r="AB24" s="402"/>
      <c r="AC24" s="402"/>
      <c r="AD24" s="402"/>
      <c r="AE24" s="402"/>
      <c r="AF24" s="402"/>
      <c r="AG24" s="402"/>
      <c r="AH24" s="402"/>
      <c r="AI24" s="409"/>
      <c r="AJ24" s="409"/>
      <c r="AK24" s="409"/>
      <c r="AL24" s="409"/>
      <c r="AM24" s="409"/>
      <c r="AN24" s="409"/>
      <c r="AO24" s="409"/>
      <c r="AP24" s="409"/>
      <c r="AQ24" s="409"/>
      <c r="AR24" s="409"/>
      <c r="AS24" s="409"/>
      <c r="AT24" s="409"/>
      <c r="AU24" s="409"/>
      <c r="AV24" s="409"/>
      <c r="AW24" s="409"/>
      <c r="AX24" s="409"/>
      <c r="AY24" s="409"/>
      <c r="AZ24" s="409"/>
      <c r="BA24" s="409"/>
      <c r="BB24" s="409"/>
      <c r="BC24" s="409"/>
      <c r="BD24" s="409"/>
      <c r="BE24" s="409"/>
      <c r="BF24" s="409"/>
      <c r="BG24" s="409"/>
      <c r="BH24" s="409">
        <v>2727.82</v>
      </c>
      <c r="BI24" s="409">
        <v>0</v>
      </c>
      <c r="BJ24" s="409">
        <v>5455.64</v>
      </c>
      <c r="BK24" s="409">
        <v>0</v>
      </c>
      <c r="BL24" s="409">
        <v>0</v>
      </c>
      <c r="BM24" s="409">
        <v>0</v>
      </c>
      <c r="BN24" s="409"/>
      <c r="BO24" s="409"/>
      <c r="BP24" s="409">
        <f t="shared" si="2"/>
        <v>8183.46</v>
      </c>
      <c r="BQ24" s="409"/>
      <c r="BR24" s="409"/>
      <c r="BS24" s="356"/>
      <c r="BT24" s="356"/>
      <c r="BU24" s="310"/>
      <c r="BV24" s="310"/>
      <c r="BW24" s="310" t="s">
        <v>84</v>
      </c>
      <c r="BX24" s="441">
        <f t="shared" si="13"/>
        <v>8183.46</v>
      </c>
      <c r="BY24" s="441"/>
      <c r="BZ24" s="441">
        <v>8183.46</v>
      </c>
      <c r="CA24" s="441">
        <f t="shared" si="3"/>
        <v>0</v>
      </c>
      <c r="CB24" s="402">
        <f t="shared" si="4"/>
        <v>0</v>
      </c>
      <c r="CC24" s="457" t="s">
        <v>96</v>
      </c>
    </row>
    <row r="25" s="10" customFormat="1" ht="24.05" customHeight="1" spans="2:81">
      <c r="B25" s="389" t="s">
        <v>81</v>
      </c>
      <c r="C25" s="385" t="s">
        <v>128</v>
      </c>
      <c r="D25" s="386" t="s">
        <v>129</v>
      </c>
      <c r="E25" s="388"/>
      <c r="F25" s="388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8"/>
      <c r="S25" s="388"/>
      <c r="T25" s="388"/>
      <c r="U25" s="402"/>
      <c r="V25" s="402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9"/>
      <c r="AJ25" s="409"/>
      <c r="AK25" s="409"/>
      <c r="AL25" s="409"/>
      <c r="AM25" s="409"/>
      <c r="AN25" s="409"/>
      <c r="AO25" s="409"/>
      <c r="AP25" s="409"/>
      <c r="AQ25" s="409"/>
      <c r="AR25" s="409"/>
      <c r="AS25" s="409"/>
      <c r="AT25" s="409"/>
      <c r="AU25" s="409">
        <v>4079.3</v>
      </c>
      <c r="AV25" s="409"/>
      <c r="AW25" s="409"/>
      <c r="AX25" s="409"/>
      <c r="AY25" s="409"/>
      <c r="AZ25" s="409"/>
      <c r="BA25" s="409"/>
      <c r="BB25" s="409"/>
      <c r="BC25" s="409"/>
      <c r="BD25" s="409"/>
      <c r="BE25" s="409"/>
      <c r="BF25" s="409"/>
      <c r="BG25" s="409"/>
      <c r="BH25" s="409">
        <v>59459.33</v>
      </c>
      <c r="BI25" s="409">
        <v>0</v>
      </c>
      <c r="BJ25" s="409">
        <v>72778.73</v>
      </c>
      <c r="BK25" s="409">
        <v>63602.05</v>
      </c>
      <c r="BL25" s="409">
        <v>8678.4</v>
      </c>
      <c r="BM25" s="409">
        <v>261193.39</v>
      </c>
      <c r="BN25" s="409">
        <v>0</v>
      </c>
      <c r="BO25" s="409">
        <v>32061.81</v>
      </c>
      <c r="BP25" s="409">
        <f t="shared" si="2"/>
        <v>501853.01</v>
      </c>
      <c r="BQ25" s="409"/>
      <c r="BR25" s="409"/>
      <c r="BS25" s="356"/>
      <c r="BT25" s="356"/>
      <c r="BU25" s="310"/>
      <c r="BV25" s="310"/>
      <c r="BW25" s="310" t="s">
        <v>84</v>
      </c>
      <c r="BX25" s="441">
        <f t="shared" si="13"/>
        <v>501853.01</v>
      </c>
      <c r="BY25" s="441"/>
      <c r="BZ25" s="441">
        <v>6520.1</v>
      </c>
      <c r="CA25" s="441">
        <f t="shared" si="3"/>
        <v>495332.91</v>
      </c>
      <c r="CB25" s="402">
        <f t="shared" si="4"/>
        <v>463271.1</v>
      </c>
      <c r="CC25" s="457" t="s">
        <v>85</v>
      </c>
    </row>
    <row r="26" s="10" customFormat="1" ht="24.05" customHeight="1" spans="2:81">
      <c r="B26" s="389" t="s">
        <v>81</v>
      </c>
      <c r="C26" s="385" t="s">
        <v>130</v>
      </c>
      <c r="D26" s="386" t="s">
        <v>131</v>
      </c>
      <c r="E26" s="388"/>
      <c r="F26" s="388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8"/>
      <c r="S26" s="388"/>
      <c r="T26" s="388"/>
      <c r="U26" s="402"/>
      <c r="V26" s="402"/>
      <c r="W26" s="402"/>
      <c r="X26" s="402"/>
      <c r="Y26" s="402"/>
      <c r="Z26" s="402"/>
      <c r="AA26" s="402"/>
      <c r="AB26" s="402"/>
      <c r="AC26" s="402"/>
      <c r="AD26" s="402"/>
      <c r="AE26" s="402"/>
      <c r="AF26" s="402"/>
      <c r="AG26" s="402"/>
      <c r="AH26" s="402"/>
      <c r="AI26" s="409"/>
      <c r="AJ26" s="409"/>
      <c r="AK26" s="409"/>
      <c r="AL26" s="409"/>
      <c r="AM26" s="409"/>
      <c r="AN26" s="409"/>
      <c r="AO26" s="409"/>
      <c r="AP26" s="409"/>
      <c r="AQ26" s="409"/>
      <c r="AR26" s="409"/>
      <c r="AS26" s="409"/>
      <c r="AT26" s="409"/>
      <c r="AU26" s="409"/>
      <c r="AV26" s="409"/>
      <c r="AW26" s="409"/>
      <c r="AX26" s="409"/>
      <c r="AY26" s="409"/>
      <c r="AZ26" s="409"/>
      <c r="BA26" s="409"/>
      <c r="BB26" s="409"/>
      <c r="BC26" s="409"/>
      <c r="BD26" s="409"/>
      <c r="BE26" s="409"/>
      <c r="BF26" s="409"/>
      <c r="BG26" s="409"/>
      <c r="BH26" s="409">
        <v>0</v>
      </c>
      <c r="BI26" s="409">
        <v>0</v>
      </c>
      <c r="BJ26" s="409">
        <v>0</v>
      </c>
      <c r="BK26" s="409">
        <v>0</v>
      </c>
      <c r="BL26" s="409">
        <v>15576.8</v>
      </c>
      <c r="BM26" s="409">
        <v>0</v>
      </c>
      <c r="BN26" s="409">
        <v>0</v>
      </c>
      <c r="BO26" s="409"/>
      <c r="BP26" s="409">
        <f t="shared" si="2"/>
        <v>15576.8</v>
      </c>
      <c r="BQ26" s="409"/>
      <c r="BR26" s="409"/>
      <c r="BS26" s="356"/>
      <c r="BT26" s="356"/>
      <c r="BU26" s="310"/>
      <c r="BV26" s="310"/>
      <c r="BW26" s="310" t="s">
        <v>84</v>
      </c>
      <c r="BX26" s="441">
        <f t="shared" si="13"/>
        <v>15576.8</v>
      </c>
      <c r="BY26" s="441"/>
      <c r="BZ26" s="441"/>
      <c r="CA26" s="441">
        <f t="shared" si="3"/>
        <v>15576.8</v>
      </c>
      <c r="CB26" s="402">
        <f t="shared" si="4"/>
        <v>15576.8</v>
      </c>
      <c r="CC26" s="457" t="s">
        <v>85</v>
      </c>
    </row>
    <row r="27" s="10" customFormat="1" ht="24.05" customHeight="1" spans="2:81">
      <c r="B27" s="389" t="s">
        <v>81</v>
      </c>
      <c r="C27" s="385" t="s">
        <v>132</v>
      </c>
      <c r="D27" s="386" t="s">
        <v>133</v>
      </c>
      <c r="E27" s="388"/>
      <c r="F27" s="388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8"/>
      <c r="S27" s="388"/>
      <c r="T27" s="388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9"/>
      <c r="AJ27" s="409"/>
      <c r="AK27" s="409"/>
      <c r="AL27" s="409"/>
      <c r="AM27" s="409"/>
      <c r="AN27" s="409"/>
      <c r="AO27" s="409"/>
      <c r="AP27" s="409"/>
      <c r="AQ27" s="409"/>
      <c r="AR27" s="409"/>
      <c r="AS27" s="409"/>
      <c r="AT27" s="409"/>
      <c r="AU27" s="409"/>
      <c r="AV27" s="409"/>
      <c r="AW27" s="409"/>
      <c r="AX27" s="409"/>
      <c r="AY27" s="409"/>
      <c r="AZ27" s="409"/>
      <c r="BA27" s="409"/>
      <c r="BB27" s="409"/>
      <c r="BC27" s="409"/>
      <c r="BD27" s="409"/>
      <c r="BE27" s="409"/>
      <c r="BF27" s="409"/>
      <c r="BG27" s="409"/>
      <c r="BH27" s="409"/>
      <c r="BI27" s="409"/>
      <c r="BJ27" s="409"/>
      <c r="BK27" s="409">
        <v>224865.48</v>
      </c>
      <c r="BL27" s="409">
        <v>192741.84</v>
      </c>
      <c r="BM27" s="409"/>
      <c r="BN27" s="409">
        <v>1060080.12</v>
      </c>
      <c r="BO27" s="409"/>
      <c r="BP27" s="409">
        <f t="shared" si="2"/>
        <v>1477687.44</v>
      </c>
      <c r="BQ27" s="409"/>
      <c r="BR27" s="409"/>
      <c r="BS27" s="356"/>
      <c r="BT27" s="356"/>
      <c r="BU27" s="310"/>
      <c r="BV27" s="310"/>
      <c r="BW27" s="310" t="s">
        <v>84</v>
      </c>
      <c r="BX27" s="441">
        <f t="shared" ref="BX27" si="14">BP27</f>
        <v>1477687.44</v>
      </c>
      <c r="BY27" s="441"/>
      <c r="BZ27" s="441">
        <v>224865.48</v>
      </c>
      <c r="CA27" s="441">
        <f t="shared" ref="CA27:CA31" si="15">BX27-BZ27</f>
        <v>1252821.96</v>
      </c>
      <c r="CB27" s="402">
        <f t="shared" si="4"/>
        <v>1252821.96</v>
      </c>
      <c r="CC27" s="457" t="s">
        <v>85</v>
      </c>
    </row>
    <row r="28" s="10" customFormat="1" ht="24.05" customHeight="1" spans="2:81">
      <c r="B28" s="389" t="s">
        <v>134</v>
      </c>
      <c r="C28" s="385">
        <v>1951024</v>
      </c>
      <c r="D28" s="386" t="s">
        <v>135</v>
      </c>
      <c r="E28" s="388"/>
      <c r="F28" s="388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8"/>
      <c r="S28" s="388"/>
      <c r="T28" s="388"/>
      <c r="U28" s="402"/>
      <c r="V28" s="402"/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402"/>
      <c r="AI28" s="409"/>
      <c r="AJ28" s="409"/>
      <c r="AK28" s="409"/>
      <c r="AL28" s="409"/>
      <c r="AM28" s="409"/>
      <c r="AN28" s="409"/>
      <c r="AO28" s="409"/>
      <c r="AP28" s="409"/>
      <c r="AQ28" s="409"/>
      <c r="AR28" s="409"/>
      <c r="AS28" s="409"/>
      <c r="AT28" s="409"/>
      <c r="AU28" s="409"/>
      <c r="AV28" s="409"/>
      <c r="AW28" s="409"/>
      <c r="AX28" s="409"/>
      <c r="AY28" s="409"/>
      <c r="AZ28" s="409"/>
      <c r="BA28" s="409"/>
      <c r="BB28" s="409"/>
      <c r="BC28" s="409"/>
      <c r="BD28" s="409"/>
      <c r="BE28" s="409"/>
      <c r="BF28" s="409"/>
      <c r="BG28" s="409"/>
      <c r="BH28" s="409"/>
      <c r="BI28" s="409"/>
      <c r="BJ28" s="409">
        <v>0</v>
      </c>
      <c r="BK28" s="409"/>
      <c r="BL28" s="409">
        <v>207645.47</v>
      </c>
      <c r="BM28" s="409"/>
      <c r="BN28" s="409"/>
      <c r="BO28" s="409"/>
      <c r="BP28" s="409">
        <f t="shared" si="2"/>
        <v>207645.47</v>
      </c>
      <c r="BQ28" s="409"/>
      <c r="BR28" s="409"/>
      <c r="BS28" s="356"/>
      <c r="BT28" s="356"/>
      <c r="BU28" s="310"/>
      <c r="BV28" s="310"/>
      <c r="BW28" s="310" t="s">
        <v>84</v>
      </c>
      <c r="BX28" s="441">
        <f t="shared" si="13"/>
        <v>207645.47</v>
      </c>
      <c r="BY28" s="441"/>
      <c r="BZ28" s="441">
        <v>207645.47</v>
      </c>
      <c r="CA28" s="441">
        <f t="shared" si="15"/>
        <v>0</v>
      </c>
      <c r="CB28" s="402">
        <f t="shared" si="4"/>
        <v>0</v>
      </c>
      <c r="CC28" s="457" t="s">
        <v>111</v>
      </c>
    </row>
    <row r="29" s="10" customFormat="1" ht="24.05" customHeight="1" spans="2:81">
      <c r="B29" s="389" t="s">
        <v>81</v>
      </c>
      <c r="C29" s="391" t="s">
        <v>136</v>
      </c>
      <c r="D29" s="392" t="s">
        <v>137</v>
      </c>
      <c r="E29" s="388"/>
      <c r="F29" s="388"/>
      <c r="G29" s="387"/>
      <c r="H29" s="387"/>
      <c r="I29" s="387"/>
      <c r="J29" s="387"/>
      <c r="K29" s="387"/>
      <c r="L29" s="387"/>
      <c r="M29" s="387"/>
      <c r="N29" s="387"/>
      <c r="O29" s="387"/>
      <c r="P29" s="387"/>
      <c r="Q29" s="387"/>
      <c r="R29" s="388"/>
      <c r="S29" s="388"/>
      <c r="T29" s="388"/>
      <c r="U29" s="402"/>
      <c r="V29" s="402"/>
      <c r="W29" s="402"/>
      <c r="X29" s="402"/>
      <c r="Y29" s="402"/>
      <c r="Z29" s="402"/>
      <c r="AA29" s="402"/>
      <c r="AB29" s="402"/>
      <c r="AC29" s="402"/>
      <c r="AD29" s="402"/>
      <c r="AE29" s="402"/>
      <c r="AF29" s="402"/>
      <c r="AG29" s="402"/>
      <c r="AH29" s="402"/>
      <c r="AI29" s="409"/>
      <c r="AJ29" s="409"/>
      <c r="AK29" s="409"/>
      <c r="AL29" s="409"/>
      <c r="AM29" s="409"/>
      <c r="AN29" s="409"/>
      <c r="AO29" s="409"/>
      <c r="AP29" s="409"/>
      <c r="AQ29" s="409"/>
      <c r="AR29" s="409"/>
      <c r="AS29" s="409"/>
      <c r="AT29" s="409"/>
      <c r="AU29" s="409"/>
      <c r="AV29" s="409"/>
      <c r="AW29" s="409"/>
      <c r="AX29" s="409"/>
      <c r="AY29" s="409"/>
      <c r="AZ29" s="409"/>
      <c r="BA29" s="409"/>
      <c r="BB29" s="409"/>
      <c r="BC29" s="409"/>
      <c r="BD29" s="409"/>
      <c r="BE29" s="409"/>
      <c r="BF29" s="409"/>
      <c r="BG29" s="409"/>
      <c r="BH29" s="409"/>
      <c r="BI29" s="409"/>
      <c r="BJ29" s="409"/>
      <c r="BK29" s="409"/>
      <c r="BL29" s="409"/>
      <c r="BM29" s="409">
        <v>79579.74</v>
      </c>
      <c r="BN29" s="409"/>
      <c r="BO29" s="409"/>
      <c r="BP29" s="409">
        <f t="shared" si="2"/>
        <v>79579.74</v>
      </c>
      <c r="BQ29" s="431"/>
      <c r="BR29" s="431"/>
      <c r="BS29" s="442"/>
      <c r="BT29" s="442"/>
      <c r="BU29" s="313"/>
      <c r="BV29" s="313"/>
      <c r="BW29" s="310" t="s">
        <v>84</v>
      </c>
      <c r="BX29" s="441">
        <f t="shared" si="13"/>
        <v>79579.74</v>
      </c>
      <c r="BY29" s="443"/>
      <c r="BZ29" s="443"/>
      <c r="CA29" s="441">
        <f t="shared" si="15"/>
        <v>79579.74</v>
      </c>
      <c r="CB29" s="402">
        <f t="shared" si="4"/>
        <v>79579.74</v>
      </c>
      <c r="CC29" s="458" t="s">
        <v>85</v>
      </c>
    </row>
    <row r="30" s="10" customFormat="1" ht="24.05" customHeight="1" spans="2:81">
      <c r="B30" s="389" t="s">
        <v>81</v>
      </c>
      <c r="C30" s="391" t="s">
        <v>138</v>
      </c>
      <c r="D30" s="392" t="s">
        <v>139</v>
      </c>
      <c r="E30" s="388"/>
      <c r="F30" s="388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8"/>
      <c r="S30" s="388"/>
      <c r="T30" s="388"/>
      <c r="U30" s="402"/>
      <c r="V30" s="402"/>
      <c r="W30" s="402"/>
      <c r="X30" s="402"/>
      <c r="Y30" s="402"/>
      <c r="Z30" s="402"/>
      <c r="AA30" s="402"/>
      <c r="AB30" s="402"/>
      <c r="AC30" s="402"/>
      <c r="AD30" s="402"/>
      <c r="AE30" s="402"/>
      <c r="AF30" s="402"/>
      <c r="AG30" s="402"/>
      <c r="AH30" s="402"/>
      <c r="AI30" s="409"/>
      <c r="AJ30" s="409"/>
      <c r="AK30" s="409"/>
      <c r="AL30" s="409"/>
      <c r="AM30" s="409"/>
      <c r="AN30" s="409"/>
      <c r="AO30" s="409"/>
      <c r="AP30" s="409"/>
      <c r="AQ30" s="409"/>
      <c r="AR30" s="409"/>
      <c r="AS30" s="409"/>
      <c r="AT30" s="409"/>
      <c r="AU30" s="409"/>
      <c r="AV30" s="409"/>
      <c r="AW30" s="409"/>
      <c r="AX30" s="409"/>
      <c r="AY30" s="409"/>
      <c r="AZ30" s="409"/>
      <c r="BA30" s="409"/>
      <c r="BB30" s="409"/>
      <c r="BC30" s="409"/>
      <c r="BD30" s="409"/>
      <c r="BE30" s="409"/>
      <c r="BF30" s="409"/>
      <c r="BG30" s="409"/>
      <c r="BH30" s="409"/>
      <c r="BI30" s="409"/>
      <c r="BJ30" s="409"/>
      <c r="BK30" s="409"/>
      <c r="BL30" s="409"/>
      <c r="BM30" s="429">
        <v>4430</v>
      </c>
      <c r="BN30" s="409"/>
      <c r="BO30" s="409"/>
      <c r="BP30" s="409">
        <f t="shared" si="2"/>
        <v>4430</v>
      </c>
      <c r="BQ30" s="431"/>
      <c r="BR30" s="431"/>
      <c r="BS30" s="442"/>
      <c r="BT30" s="442"/>
      <c r="BU30" s="313"/>
      <c r="BV30" s="313"/>
      <c r="BW30" s="310" t="s">
        <v>84</v>
      </c>
      <c r="BX30" s="441">
        <f t="shared" si="13"/>
        <v>4430</v>
      </c>
      <c r="BY30" s="443"/>
      <c r="BZ30" s="443"/>
      <c r="CA30" s="441">
        <f t="shared" si="15"/>
        <v>4430</v>
      </c>
      <c r="CB30" s="402">
        <f t="shared" si="4"/>
        <v>4430</v>
      </c>
      <c r="CC30" s="458" t="s">
        <v>101</v>
      </c>
    </row>
    <row r="31" s="10" customFormat="1" ht="24.05" customHeight="1" spans="2:81">
      <c r="B31" s="389" t="s">
        <v>81</v>
      </c>
      <c r="C31" s="391" t="s">
        <v>140</v>
      </c>
      <c r="D31" s="392" t="s">
        <v>141</v>
      </c>
      <c r="E31" s="388"/>
      <c r="F31" s="388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8"/>
      <c r="S31" s="388"/>
      <c r="T31" s="388"/>
      <c r="U31" s="402"/>
      <c r="V31" s="402"/>
      <c r="W31" s="402"/>
      <c r="X31" s="402"/>
      <c r="Y31" s="402"/>
      <c r="Z31" s="402"/>
      <c r="AA31" s="402"/>
      <c r="AB31" s="402"/>
      <c r="AC31" s="402"/>
      <c r="AD31" s="402"/>
      <c r="AE31" s="402"/>
      <c r="AF31" s="402"/>
      <c r="AG31" s="402"/>
      <c r="AH31" s="402"/>
      <c r="AI31" s="409"/>
      <c r="AJ31" s="409"/>
      <c r="AK31" s="409"/>
      <c r="AL31" s="409"/>
      <c r="AM31" s="409"/>
      <c r="AN31" s="409"/>
      <c r="AO31" s="409"/>
      <c r="AP31" s="409"/>
      <c r="AQ31" s="409"/>
      <c r="AR31" s="409"/>
      <c r="AS31" s="409"/>
      <c r="AT31" s="409"/>
      <c r="AU31" s="409"/>
      <c r="AV31" s="409"/>
      <c r="AW31" s="409"/>
      <c r="AX31" s="409"/>
      <c r="AY31" s="409"/>
      <c r="AZ31" s="409"/>
      <c r="BA31" s="409"/>
      <c r="BB31" s="409"/>
      <c r="BC31" s="409"/>
      <c r="BD31" s="409"/>
      <c r="BE31" s="409"/>
      <c r="BF31" s="409"/>
      <c r="BG31" s="409"/>
      <c r="BH31" s="409"/>
      <c r="BI31" s="409"/>
      <c r="BJ31" s="409"/>
      <c r="BK31" s="409"/>
      <c r="BL31" s="409"/>
      <c r="BM31" s="429"/>
      <c r="BN31" s="409">
        <v>40002</v>
      </c>
      <c r="BO31" s="409"/>
      <c r="BP31" s="409">
        <f t="shared" si="2"/>
        <v>40002</v>
      </c>
      <c r="BQ31" s="431"/>
      <c r="BR31" s="431"/>
      <c r="BS31" s="442"/>
      <c r="BT31" s="442"/>
      <c r="BU31" s="313"/>
      <c r="BV31" s="313"/>
      <c r="BW31" s="310" t="s">
        <v>84</v>
      </c>
      <c r="BX31" s="441">
        <f t="shared" si="13"/>
        <v>40002</v>
      </c>
      <c r="BY31" s="443"/>
      <c r="BZ31" s="443"/>
      <c r="CA31" s="441">
        <f t="shared" si="15"/>
        <v>40002</v>
      </c>
      <c r="CB31" s="402">
        <f t="shared" si="4"/>
        <v>40002</v>
      </c>
      <c r="CC31" s="458" t="s">
        <v>101</v>
      </c>
    </row>
    <row r="32" s="12" customFormat="1" ht="24.05" customHeight="1" spans="2:81">
      <c r="B32" s="395"/>
      <c r="C32" s="396"/>
      <c r="D32" s="397" t="s">
        <v>142</v>
      </c>
      <c r="E32" s="398">
        <f t="shared" ref="E32:L32" si="16">SUM(E5:E28)</f>
        <v>22682532.6</v>
      </c>
      <c r="F32" s="398">
        <f t="shared" si="16"/>
        <v>24733449.16</v>
      </c>
      <c r="G32" s="398">
        <f t="shared" si="16"/>
        <v>25636156.67</v>
      </c>
      <c r="H32" s="398">
        <f t="shared" si="16"/>
        <v>24304613.27</v>
      </c>
      <c r="I32" s="398">
        <f t="shared" si="16"/>
        <v>24512398.23</v>
      </c>
      <c r="J32" s="398">
        <f t="shared" si="16"/>
        <v>24540876.54</v>
      </c>
      <c r="K32" s="398">
        <f t="shared" si="16"/>
        <v>24615719.22</v>
      </c>
      <c r="L32" s="398">
        <f t="shared" si="16"/>
        <v>24452662.85</v>
      </c>
      <c r="M32" s="398"/>
      <c r="N32" s="398"/>
      <c r="O32" s="398"/>
      <c r="P32" s="398"/>
      <c r="Q32" s="405" t="e">
        <f>VLOOKUP(D32,'[1]6期末'!$A$1:$D$65536,4,0)</f>
        <v>#N/A</v>
      </c>
      <c r="R32" s="398">
        <f t="shared" ref="R32:AA32" si="17">SUM(R5:R28)</f>
        <v>2663855</v>
      </c>
      <c r="S32" s="398">
        <f t="shared" si="17"/>
        <v>3163641</v>
      </c>
      <c r="T32" s="398">
        <f t="shared" si="17"/>
        <v>4722673.16</v>
      </c>
      <c r="U32" s="398">
        <f t="shared" si="17"/>
        <v>2025507.01</v>
      </c>
      <c r="V32" s="398">
        <f t="shared" si="17"/>
        <v>4000000</v>
      </c>
      <c r="W32" s="398">
        <f t="shared" si="17"/>
        <v>3349664.31</v>
      </c>
      <c r="X32" s="398">
        <f t="shared" si="17"/>
        <v>4130000</v>
      </c>
      <c r="Y32" s="398">
        <f t="shared" si="17"/>
        <v>711934.21</v>
      </c>
      <c r="Z32" s="398">
        <f t="shared" si="17"/>
        <v>2603768.33</v>
      </c>
      <c r="AA32" s="398">
        <f t="shared" si="17"/>
        <v>5183000</v>
      </c>
      <c r="AB32" s="398"/>
      <c r="AC32" s="398"/>
      <c r="AD32" s="398"/>
      <c r="AE32" s="398"/>
      <c r="AF32" s="398"/>
      <c r="AG32" s="411" t="e">
        <f>VLOOKUP(D32,'[1]10付款'!$A$1:$B$65536,2,0)</f>
        <v>#N/A</v>
      </c>
      <c r="AH32" s="411" t="e">
        <f>VLOOKUP(D32,'[1]11付款'!$A$1:$B$65536,2,0)</f>
        <v>#N/A</v>
      </c>
      <c r="AI32" s="398">
        <f t="shared" ref="AI32:AP32" si="18">SUM(AI5:AI28)</f>
        <v>-2084742.09</v>
      </c>
      <c r="AJ32" s="398">
        <f t="shared" si="18"/>
        <v>2630029.47</v>
      </c>
      <c r="AK32" s="398">
        <f t="shared" si="18"/>
        <v>6696377.98</v>
      </c>
      <c r="AL32" s="398">
        <f t="shared" si="18"/>
        <v>2300739.41</v>
      </c>
      <c r="AM32" s="398">
        <f t="shared" si="18"/>
        <v>-3659401.82</v>
      </c>
      <c r="AN32" s="398">
        <f t="shared" si="18"/>
        <v>369076.49</v>
      </c>
      <c r="AO32" s="398">
        <f t="shared" si="18"/>
        <v>-899704.179999999</v>
      </c>
      <c r="AP32" s="398">
        <f t="shared" si="18"/>
        <v>3067239.45</v>
      </c>
      <c r="AQ32" s="398"/>
      <c r="AR32" s="398"/>
      <c r="AS32" s="398"/>
      <c r="AT32" s="398"/>
      <c r="AU32" s="398">
        <f t="shared" ref="AU32:BI32" si="19">SUM(AU5:AU28)</f>
        <v>17512.09</v>
      </c>
      <c r="AV32" s="398">
        <f t="shared" si="19"/>
        <v>3781853.16</v>
      </c>
      <c r="AW32" s="398">
        <f t="shared" si="19"/>
        <v>3490060.51</v>
      </c>
      <c r="AX32" s="398">
        <f t="shared" si="19"/>
        <v>3391129.76</v>
      </c>
      <c r="AY32" s="398">
        <f t="shared" si="19"/>
        <v>2245811.18</v>
      </c>
      <c r="AZ32" s="398">
        <f t="shared" si="19"/>
        <v>3575191.58</v>
      </c>
      <c r="BA32" s="398">
        <f t="shared" si="19"/>
        <v>2945964.11</v>
      </c>
      <c r="BB32" s="398">
        <f t="shared" si="19"/>
        <v>3966943.63</v>
      </c>
      <c r="BC32" s="398">
        <f t="shared" si="19"/>
        <v>2713530.34</v>
      </c>
      <c r="BD32" s="398">
        <f t="shared" si="19"/>
        <v>2708120.38</v>
      </c>
      <c r="BE32" s="398">
        <f t="shared" si="19"/>
        <v>4609510.63</v>
      </c>
      <c r="BF32" s="398">
        <f t="shared" si="19"/>
        <v>5500560.87</v>
      </c>
      <c r="BG32" s="398">
        <f t="shared" si="19"/>
        <v>4036029.36</v>
      </c>
      <c r="BH32" s="398">
        <f t="shared" si="19"/>
        <v>317655.91</v>
      </c>
      <c r="BI32" s="398">
        <f t="shared" si="19"/>
        <v>1533206.14</v>
      </c>
      <c r="BJ32" s="398">
        <f t="shared" ref="BJ32:BP32" si="20">SUM(BJ5:BJ31)</f>
        <v>3380829.91</v>
      </c>
      <c r="BK32" s="398">
        <f t="shared" si="20"/>
        <v>3440970.86</v>
      </c>
      <c r="BL32" s="398">
        <f t="shared" si="20"/>
        <v>3221715.13</v>
      </c>
      <c r="BM32" s="398">
        <f t="shared" si="20"/>
        <v>908640.82</v>
      </c>
      <c r="BN32" s="398">
        <f t="shared" si="20"/>
        <v>3706666.15</v>
      </c>
      <c r="BO32" s="398">
        <f t="shared" si="20"/>
        <v>782819.53</v>
      </c>
      <c r="BP32" s="398">
        <f t="shared" si="20"/>
        <v>17310016.54</v>
      </c>
      <c r="BQ32" s="366">
        <f t="shared" ref="BQ32:BW32" si="21">SUM(BQ5:BQ28)</f>
        <v>4937473.71</v>
      </c>
      <c r="BR32" s="366">
        <f t="shared" si="21"/>
        <v>0</v>
      </c>
      <c r="BS32" s="366">
        <f t="shared" si="21"/>
        <v>0</v>
      </c>
      <c r="BT32" s="366">
        <f t="shared" si="21"/>
        <v>0</v>
      </c>
      <c r="BU32" s="366">
        <f t="shared" si="21"/>
        <v>0</v>
      </c>
      <c r="BV32" s="366">
        <f t="shared" si="21"/>
        <v>0</v>
      </c>
      <c r="BW32" s="366">
        <f t="shared" si="21"/>
        <v>0</v>
      </c>
      <c r="BX32" s="366">
        <f>SUM(BX5:BX31)</f>
        <v>17310016.54</v>
      </c>
      <c r="BY32" s="366">
        <f>SUM(BY5:BY28)</f>
        <v>10</v>
      </c>
      <c r="BZ32" s="366">
        <f>SUM(BZ5:BZ31)</f>
        <v>6508601.48</v>
      </c>
      <c r="CA32" s="366">
        <f>SUM(CA5:CA31)</f>
        <v>10801415.06</v>
      </c>
      <c r="CB32" s="366">
        <f>SUM(CB5:CB31)</f>
        <v>10146850.53</v>
      </c>
      <c r="CC32" s="367"/>
    </row>
    <row r="33" ht="15.05" customHeight="1" spans="5:71">
      <c r="E33" s="399"/>
      <c r="F33" s="399"/>
      <c r="G33" s="399"/>
      <c r="H33" s="399"/>
      <c r="I33" s="399"/>
      <c r="J33" s="399"/>
      <c r="K33" s="399"/>
      <c r="L33" s="399"/>
      <c r="M33" s="399"/>
      <c r="N33" s="399"/>
      <c r="O33" s="399"/>
      <c r="P33" s="399"/>
      <c r="Q33" s="399"/>
      <c r="R33" s="399"/>
      <c r="S33" s="399"/>
      <c r="T33" s="399"/>
      <c r="U33" s="399"/>
      <c r="V33" s="399"/>
      <c r="W33" s="399"/>
      <c r="X33" s="399"/>
      <c r="Y33" s="399"/>
      <c r="Z33" s="399"/>
      <c r="AA33" s="399"/>
      <c r="AB33" s="399"/>
      <c r="AC33" s="399"/>
      <c r="AD33" s="399"/>
      <c r="AE33" s="399"/>
      <c r="AF33" s="399"/>
      <c r="AG33" s="399"/>
      <c r="AH33" s="399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414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444"/>
    </row>
    <row r="34" ht="15.05" customHeight="1" spans="5:80">
      <c r="E34" s="399"/>
      <c r="F34" s="399"/>
      <c r="G34" s="399"/>
      <c r="H34" s="399"/>
      <c r="I34" s="399"/>
      <c r="J34" s="399"/>
      <c r="K34" s="399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399"/>
      <c r="AA34" s="399"/>
      <c r="AB34" s="399"/>
      <c r="AC34" s="399"/>
      <c r="AD34" s="399"/>
      <c r="AE34" s="399"/>
      <c r="AF34" s="399"/>
      <c r="AG34" s="399"/>
      <c r="AH34" s="399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414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444"/>
      <c r="CB34" s="19"/>
    </row>
    <row r="35" spans="4:79">
      <c r="D35" s="67" t="s">
        <v>143</v>
      </c>
      <c r="E35" s="400"/>
      <c r="F35" s="400"/>
      <c r="G35" s="400"/>
      <c r="H35" s="400"/>
      <c r="I35" s="400"/>
      <c r="J35" s="400"/>
      <c r="K35" s="400"/>
      <c r="L35" s="400"/>
      <c r="M35" s="400"/>
      <c r="N35" s="400"/>
      <c r="O35" s="400"/>
      <c r="P35" s="400"/>
      <c r="Q35" s="400"/>
      <c r="R35" s="400" t="s">
        <v>144</v>
      </c>
      <c r="S35" s="400"/>
      <c r="T35" s="400"/>
      <c r="U35" s="400"/>
      <c r="V35" s="400"/>
      <c r="W35" s="40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BS35" s="400"/>
      <c r="BY35" s="13"/>
      <c r="BZ35" s="13"/>
      <c r="CA35" s="13"/>
    </row>
    <row r="46" spans="60:79">
      <c r="BH46" s="418"/>
      <c r="BI46" s="418"/>
      <c r="BJ46" s="418"/>
      <c r="BK46" s="419"/>
      <c r="BL46" s="419"/>
      <c r="BM46" s="419"/>
      <c r="BN46" s="419"/>
      <c r="BO46" s="419"/>
      <c r="BP46" s="419"/>
      <c r="BQ46" s="432"/>
      <c r="BR46" s="432"/>
      <c r="BS46" s="432"/>
      <c r="BT46" s="432"/>
      <c r="BU46" s="432"/>
      <c r="BV46" s="432"/>
      <c r="BW46" s="432"/>
      <c r="BX46" s="445"/>
      <c r="BY46" s="13"/>
      <c r="BZ46" s="13"/>
      <c r="CA46" s="13"/>
    </row>
    <row r="47" spans="60:79">
      <c r="BH47" s="418" t="s">
        <v>145</v>
      </c>
      <c r="BI47" s="418" t="s">
        <v>146</v>
      </c>
      <c r="BJ47" s="418" t="s">
        <v>147</v>
      </c>
      <c r="BK47" s="419"/>
      <c r="BL47" s="419"/>
      <c r="BM47" s="419"/>
      <c r="BN47" s="419"/>
      <c r="BO47" s="419"/>
      <c r="BP47" s="419" t="s">
        <v>36</v>
      </c>
      <c r="BQ47" s="432"/>
      <c r="BR47" s="432"/>
      <c r="BS47" s="432"/>
      <c r="BT47" s="432"/>
      <c r="BU47" s="432"/>
      <c r="BV47" s="432"/>
      <c r="BW47" s="432"/>
      <c r="BX47" s="445"/>
      <c r="BY47" s="13"/>
      <c r="BZ47" s="13"/>
      <c r="CA47" s="13"/>
    </row>
    <row r="48" spans="60:79">
      <c r="BH48" s="418">
        <v>220</v>
      </c>
      <c r="BI48" s="418" t="s">
        <v>148</v>
      </c>
      <c r="BJ48" s="420">
        <v>200</v>
      </c>
      <c r="BK48" s="420"/>
      <c r="BL48" s="420"/>
      <c r="BM48" s="420"/>
      <c r="BN48" s="420"/>
      <c r="BO48" s="420"/>
      <c r="BP48" s="418"/>
      <c r="BQ48" s="418"/>
      <c r="BR48" s="418"/>
      <c r="BS48" s="418"/>
      <c r="BT48" s="418"/>
      <c r="BU48" s="418"/>
      <c r="BV48" s="418"/>
      <c r="BW48" s="418"/>
      <c r="BX48" s="418"/>
      <c r="BY48" s="13"/>
      <c r="BZ48" s="13"/>
      <c r="CA48" s="13"/>
    </row>
    <row r="49" spans="60:79">
      <c r="BH49" s="418">
        <v>46</v>
      </c>
      <c r="BI49" s="418" t="s">
        <v>149</v>
      </c>
      <c r="BJ49" s="418">
        <v>750</v>
      </c>
      <c r="BK49" s="421"/>
      <c r="BL49" s="421"/>
      <c r="BM49" s="421"/>
      <c r="BN49" s="421"/>
      <c r="BO49" s="421"/>
      <c r="BP49" s="433" t="s">
        <v>150</v>
      </c>
      <c r="BQ49" s="434"/>
      <c r="BR49" s="434"/>
      <c r="BS49" s="434"/>
      <c r="BT49" s="434"/>
      <c r="BU49" s="434"/>
      <c r="BV49" s="434"/>
      <c r="BW49" s="434"/>
      <c r="BX49" s="446"/>
      <c r="BY49" s="13"/>
      <c r="BZ49" s="13"/>
      <c r="CA49" s="13"/>
    </row>
    <row r="50" spans="60:79">
      <c r="BH50" s="418">
        <v>247</v>
      </c>
      <c r="BI50" s="418" t="s">
        <v>149</v>
      </c>
      <c r="BJ50" s="418"/>
      <c r="BK50" s="422"/>
      <c r="BL50" s="422"/>
      <c r="BM50" s="422"/>
      <c r="BN50" s="422"/>
      <c r="BO50" s="422"/>
      <c r="BP50" s="435"/>
      <c r="BQ50" s="436"/>
      <c r="BR50" s="436"/>
      <c r="BS50" s="436"/>
      <c r="BT50" s="436"/>
      <c r="BU50" s="436"/>
      <c r="BV50" s="436"/>
      <c r="BW50" s="436"/>
      <c r="BX50" s="447"/>
      <c r="BY50" s="13"/>
      <c r="BZ50" s="13"/>
      <c r="CA50" s="13"/>
    </row>
    <row r="51" spans="2:79">
      <c r="B51" s="13"/>
      <c r="D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418">
        <v>100</v>
      </c>
      <c r="BI51" s="418" t="s">
        <v>149</v>
      </c>
      <c r="BJ51" s="418"/>
      <c r="BK51" s="423"/>
      <c r="BL51" s="423"/>
      <c r="BM51" s="423"/>
      <c r="BN51" s="423"/>
      <c r="BO51" s="423"/>
      <c r="BP51" s="437"/>
      <c r="BQ51" s="438"/>
      <c r="BR51" s="438"/>
      <c r="BS51" s="438"/>
      <c r="BT51" s="438"/>
      <c r="BU51" s="438"/>
      <c r="BV51" s="438"/>
      <c r="BW51" s="438"/>
      <c r="BX51" s="448"/>
      <c r="BY51" s="13"/>
      <c r="BZ51" s="13"/>
      <c r="CA51" s="13"/>
    </row>
    <row r="52" spans="2:79">
      <c r="B52" s="13"/>
      <c r="D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418">
        <v>200</v>
      </c>
      <c r="BI52" s="418" t="s">
        <v>151</v>
      </c>
      <c r="BJ52" s="424">
        <v>200</v>
      </c>
      <c r="BK52" s="424"/>
      <c r="BL52" s="424"/>
      <c r="BM52" s="424"/>
      <c r="BN52" s="424"/>
      <c r="BO52" s="424"/>
      <c r="BP52" s="418"/>
      <c r="BQ52" s="418"/>
      <c r="BR52" s="418"/>
      <c r="BS52" s="418"/>
      <c r="BT52" s="418"/>
      <c r="BU52" s="418"/>
      <c r="BV52" s="418"/>
      <c r="BW52" s="418"/>
      <c r="BX52" s="418"/>
      <c r="BY52" s="13"/>
      <c r="BZ52" s="13"/>
      <c r="CA52" s="13"/>
    </row>
    <row r="53" spans="2:79">
      <c r="B53" s="13"/>
      <c r="D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418">
        <v>140</v>
      </c>
      <c r="BI53" s="418" t="s">
        <v>152</v>
      </c>
      <c r="BJ53" s="420">
        <v>320</v>
      </c>
      <c r="BK53" s="420"/>
      <c r="BL53" s="420"/>
      <c r="BM53" s="420"/>
      <c r="BN53" s="420"/>
      <c r="BO53" s="420"/>
      <c r="BP53" s="418" t="s">
        <v>153</v>
      </c>
      <c r="BQ53" s="418"/>
      <c r="BR53" s="418"/>
      <c r="BS53" s="418"/>
      <c r="BT53" s="418"/>
      <c r="BU53" s="418"/>
      <c r="BV53" s="418"/>
      <c r="BW53" s="418"/>
      <c r="BX53" s="418"/>
      <c r="BY53" s="13"/>
      <c r="BZ53" s="13"/>
      <c r="CA53" s="13"/>
    </row>
    <row r="54" spans="2:79">
      <c r="B54" s="13"/>
      <c r="D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418">
        <f>SUM(BH48:BH53)</f>
        <v>953</v>
      </c>
      <c r="BI54" s="418" t="s">
        <v>154</v>
      </c>
      <c r="BJ54" s="418">
        <f>SUM(BJ48:BJ53)</f>
        <v>1470</v>
      </c>
      <c r="BK54" s="418"/>
      <c r="BL54" s="418"/>
      <c r="BM54" s="418"/>
      <c r="BN54" s="418"/>
      <c r="BO54" s="418"/>
      <c r="BP54" s="418"/>
      <c r="BQ54" s="418"/>
      <c r="BR54" s="418" t="s">
        <v>155</v>
      </c>
      <c r="BS54" s="449"/>
      <c r="BT54" s="449"/>
      <c r="BU54" s="449"/>
      <c r="BV54" s="449"/>
      <c r="BW54" s="449"/>
      <c r="BX54" s="424"/>
      <c r="BY54" s="13"/>
      <c r="BZ54" s="13"/>
      <c r="CA54" s="13"/>
    </row>
    <row r="55" spans="2:79">
      <c r="B55" s="13"/>
      <c r="D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425" t="s">
        <v>156</v>
      </c>
      <c r="BI55" s="426"/>
      <c r="BJ55" s="426"/>
      <c r="BK55" s="426"/>
      <c r="BL55" s="426"/>
      <c r="BM55" s="426"/>
      <c r="BN55" s="426"/>
      <c r="BO55" s="426"/>
      <c r="BP55" s="426"/>
      <c r="BQ55" s="426"/>
      <c r="BR55" s="426"/>
      <c r="BS55" s="426"/>
      <c r="BT55" s="426"/>
      <c r="BU55" s="426"/>
      <c r="BV55" s="426"/>
      <c r="BW55" s="426"/>
      <c r="BX55" s="450"/>
      <c r="BY55" s="13"/>
      <c r="BZ55" s="13"/>
      <c r="CA55" s="13"/>
    </row>
    <row r="56" spans="2:79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427"/>
      <c r="BI56" s="428"/>
      <c r="BJ56" s="428"/>
      <c r="BK56" s="428"/>
      <c r="BL56" s="428"/>
      <c r="BM56" s="428"/>
      <c r="BN56" s="428"/>
      <c r="BO56" s="428"/>
      <c r="BP56" s="428"/>
      <c r="BQ56" s="428"/>
      <c r="BR56" s="428"/>
      <c r="BS56" s="428"/>
      <c r="BT56" s="428"/>
      <c r="BU56" s="428"/>
      <c r="BV56" s="428"/>
      <c r="BW56" s="428"/>
      <c r="BX56" s="451"/>
      <c r="BY56" s="13"/>
      <c r="BZ56" s="13"/>
      <c r="CA56" s="13"/>
    </row>
    <row r="95" s="13" customFormat="1" spans="18:34">
      <c r="R95" s="459"/>
      <c r="S95" s="459"/>
      <c r="T95" s="459"/>
      <c r="U95" s="459"/>
      <c r="V95" s="459"/>
      <c r="W95" s="459"/>
      <c r="X95" s="459"/>
      <c r="Y95" s="459"/>
      <c r="Z95" s="459"/>
      <c r="AA95" s="459"/>
      <c r="AB95" s="459"/>
      <c r="AC95" s="459"/>
      <c r="AD95" s="459"/>
      <c r="AE95" s="459"/>
      <c r="AF95" s="459"/>
      <c r="AG95" s="459"/>
      <c r="AH95" s="459"/>
    </row>
    <row r="98" s="13" customFormat="1" spans="18:34">
      <c r="R98" s="460"/>
      <c r="S98" s="460"/>
      <c r="T98" s="460"/>
      <c r="U98" s="460"/>
      <c r="V98" s="460"/>
      <c r="W98" s="460"/>
      <c r="X98" s="460"/>
      <c r="Y98" s="460"/>
      <c r="Z98" s="460"/>
      <c r="AA98" s="460"/>
      <c r="AB98" s="460"/>
      <c r="AC98" s="460"/>
      <c r="AD98" s="460"/>
      <c r="AE98" s="460"/>
      <c r="AF98" s="460"/>
      <c r="AG98" s="460"/>
      <c r="AH98" s="460"/>
    </row>
  </sheetData>
  <mergeCells count="89">
    <mergeCell ref="B1:CB1"/>
    <mergeCell ref="AI2:BP2"/>
    <mergeCell ref="BQ2:BR2"/>
    <mergeCell ref="BU2:BX2"/>
    <mergeCell ref="BP46:BX46"/>
    <mergeCell ref="BP47:BX47"/>
    <mergeCell ref="BP48:BX48"/>
    <mergeCell ref="BP52:BX52"/>
    <mergeCell ref="BP53:BX53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49:BJ51"/>
    <mergeCell ref="BK3:BK4"/>
    <mergeCell ref="BL3:BL4"/>
    <mergeCell ref="BM3:BM4"/>
    <mergeCell ref="BN3:BN4"/>
    <mergeCell ref="BO3:BO4"/>
    <mergeCell ref="BP3:BP4"/>
    <mergeCell ref="BQ3:BQ4"/>
    <mergeCell ref="BR3:BR4"/>
    <mergeCell ref="BS2:BS4"/>
    <mergeCell ref="BT2:BT4"/>
    <mergeCell ref="BU3:BU4"/>
    <mergeCell ref="BV3:BV4"/>
    <mergeCell ref="BW3:BW4"/>
    <mergeCell ref="BZ2:BZ4"/>
    <mergeCell ref="CA2:CA4"/>
    <mergeCell ref="CB2:CB4"/>
    <mergeCell ref="CC2:CC4"/>
    <mergeCell ref="BH55:BX56"/>
    <mergeCell ref="BP49:BX51"/>
  </mergeCells>
  <pageMargins left="0.7" right="0.7" top="0.75" bottom="0.75" header="0.3" footer="0.3"/>
  <pageSetup paperSize="9" orientation="portrait"/>
  <headerFooter/>
  <ignoredErrors>
    <ignoredError sqref="CB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M78"/>
  <sheetViews>
    <sheetView zoomScale="85" zoomScaleNormal="85" workbookViewId="0">
      <pane xSplit="8" ySplit="4" topLeftCell="T5" activePane="bottomRight" state="frozen"/>
      <selection/>
      <selection pane="topRight"/>
      <selection pane="bottomLeft"/>
      <selection pane="bottomRight" activeCell="AC8" sqref="AC8"/>
    </sheetView>
  </sheetViews>
  <sheetFormatPr defaultColWidth="8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3" hidden="1" customWidth="1"/>
    <col min="8" max="8" width="13.2" style="17" customWidth="1"/>
    <col min="9" max="9" width="13.2" style="13" customWidth="1"/>
    <col min="10" max="12" width="10.4" style="13" customWidth="1"/>
    <col min="13" max="14" width="13.9" style="13" customWidth="1"/>
    <col min="15" max="19" width="14.5" style="15" customWidth="1"/>
    <col min="20" max="28" width="17.2" style="15" customWidth="1"/>
    <col min="29" max="29" width="13.6" style="15" customWidth="1"/>
    <col min="30" max="30" width="13.2" style="13" hidden="1" customWidth="1"/>
    <col min="31" max="31" width="9.4" style="13" hidden="1" customWidth="1"/>
    <col min="32" max="32" width="12.4" style="13" hidden="1" customWidth="1"/>
    <col min="33" max="33" width="19.1" style="13" hidden="1" customWidth="1"/>
    <col min="34" max="34" width="19.1" style="13" customWidth="1"/>
    <col min="35" max="35" width="19.3" style="13" customWidth="1"/>
    <col min="36" max="37" width="13.1" style="13" customWidth="1"/>
    <col min="38" max="38" width="12.6" style="13" customWidth="1"/>
    <col min="39" max="39" width="10.4" style="290" customWidth="1"/>
    <col min="40" max="40" width="8" style="13"/>
    <col min="41" max="41" width="10.4" style="13"/>
    <col min="42" max="42" width="11.5" style="13"/>
    <col min="43" max="16384" width="8" style="13"/>
  </cols>
  <sheetData>
    <row r="1" ht="20.95" customHeight="1" spans="2:35">
      <c r="B1" s="20" t="s">
        <v>422</v>
      </c>
      <c r="C1" s="21"/>
      <c r="D1" s="21"/>
      <c r="E1" s="22"/>
      <c r="F1" s="21"/>
      <c r="G1" s="21"/>
      <c r="H1" s="23"/>
      <c r="I1" s="21"/>
      <c r="J1" s="21"/>
      <c r="K1" s="21"/>
      <c r="L1" s="21"/>
      <c r="M1" s="21"/>
      <c r="N1" s="21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21"/>
      <c r="AE1" s="21"/>
      <c r="AF1" s="21"/>
      <c r="AG1" s="21"/>
      <c r="AH1" s="21"/>
      <c r="AI1" s="21"/>
    </row>
    <row r="2" ht="18" customHeight="1" spans="2:37">
      <c r="B2" s="24" t="s">
        <v>1</v>
      </c>
      <c r="C2" s="25" t="s">
        <v>2</v>
      </c>
      <c r="D2" s="26" t="s">
        <v>3</v>
      </c>
      <c r="E2" s="27"/>
      <c r="F2" s="28"/>
      <c r="G2" s="28"/>
      <c r="H2" s="29"/>
      <c r="I2" s="28"/>
      <c r="J2" s="28"/>
      <c r="K2" s="28"/>
      <c r="L2" s="28"/>
      <c r="M2" s="28"/>
      <c r="N2" s="28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300" t="s">
        <v>37</v>
      </c>
      <c r="AE2" s="301"/>
      <c r="AF2" s="302"/>
      <c r="AG2" s="78" t="s">
        <v>339</v>
      </c>
      <c r="AH2" s="78" t="s">
        <v>423</v>
      </c>
      <c r="AI2" s="80" t="s">
        <v>36</v>
      </c>
      <c r="AJ2" s="80" t="s">
        <v>424</v>
      </c>
      <c r="AK2" s="80" t="s">
        <v>234</v>
      </c>
    </row>
    <row r="3" ht="31.6" customHeight="1" spans="2:37">
      <c r="B3" s="30"/>
      <c r="C3" s="31"/>
      <c r="D3" s="32"/>
      <c r="E3" s="33" t="s">
        <v>203</v>
      </c>
      <c r="F3" s="34" t="s">
        <v>425</v>
      </c>
      <c r="G3" s="34" t="s">
        <v>341</v>
      </c>
      <c r="H3" s="35" t="s">
        <v>342</v>
      </c>
      <c r="I3" s="36" t="s">
        <v>343</v>
      </c>
      <c r="J3" s="36" t="s">
        <v>344</v>
      </c>
      <c r="K3" s="36" t="s">
        <v>345</v>
      </c>
      <c r="L3" s="36" t="s">
        <v>346</v>
      </c>
      <c r="M3" s="36" t="s">
        <v>351</v>
      </c>
      <c r="N3" s="36" t="s">
        <v>352</v>
      </c>
      <c r="O3" s="36" t="s">
        <v>353</v>
      </c>
      <c r="P3" s="36" t="s">
        <v>344</v>
      </c>
      <c r="Q3" s="36" t="s">
        <v>354</v>
      </c>
      <c r="R3" s="71" t="s">
        <v>355</v>
      </c>
      <c r="S3" s="71" t="s">
        <v>356</v>
      </c>
      <c r="T3" s="36" t="s">
        <v>357</v>
      </c>
      <c r="U3" s="36" t="s">
        <v>358</v>
      </c>
      <c r="V3" s="36" t="s">
        <v>359</v>
      </c>
      <c r="W3" s="36" t="s">
        <v>360</v>
      </c>
      <c r="X3" s="36" t="s">
        <v>361</v>
      </c>
      <c r="Y3" s="36" t="s">
        <v>362</v>
      </c>
      <c r="Z3" s="36" t="s">
        <v>363</v>
      </c>
      <c r="AA3" s="36" t="s">
        <v>364</v>
      </c>
      <c r="AB3" s="36" t="s">
        <v>365</v>
      </c>
      <c r="AC3" s="303" t="s">
        <v>366</v>
      </c>
      <c r="AD3" s="304" t="s">
        <v>367</v>
      </c>
      <c r="AE3" s="305" t="s">
        <v>368</v>
      </c>
      <c r="AF3" s="306" t="s">
        <v>369</v>
      </c>
      <c r="AG3" s="81"/>
      <c r="AH3" s="81"/>
      <c r="AI3" s="83"/>
      <c r="AJ3" s="83"/>
      <c r="AK3" s="83"/>
    </row>
    <row r="4" ht="18" customHeight="1" spans="2:37">
      <c r="B4" s="30"/>
      <c r="C4" s="31"/>
      <c r="D4" s="32"/>
      <c r="E4" s="33"/>
      <c r="F4" s="37"/>
      <c r="G4" s="37"/>
      <c r="H4" s="38"/>
      <c r="I4" s="36"/>
      <c r="J4" s="36"/>
      <c r="K4" s="36"/>
      <c r="L4" s="36"/>
      <c r="M4" s="36"/>
      <c r="N4" s="36"/>
      <c r="O4" s="36"/>
      <c r="P4" s="36"/>
      <c r="Q4" s="36"/>
      <c r="R4" s="71"/>
      <c r="S4" s="71"/>
      <c r="T4" s="36"/>
      <c r="U4" s="36"/>
      <c r="V4" s="36"/>
      <c r="W4" s="36"/>
      <c r="X4" s="36"/>
      <c r="Y4" s="36"/>
      <c r="Z4" s="36"/>
      <c r="AA4" s="36"/>
      <c r="AB4" s="36"/>
      <c r="AC4" s="303"/>
      <c r="AD4" s="304"/>
      <c r="AE4" s="307"/>
      <c r="AF4" s="308"/>
      <c r="AG4" s="81"/>
      <c r="AH4" s="81"/>
      <c r="AI4" s="83"/>
      <c r="AJ4" s="83"/>
      <c r="AK4" s="83"/>
    </row>
    <row r="5" s="10" customFormat="1" ht="24.05" customHeight="1" spans="2:39">
      <c r="B5" s="45" t="s">
        <v>81</v>
      </c>
      <c r="C5" s="46" t="str">
        <f>'2023年'!C5</f>
        <v>1922339</v>
      </c>
      <c r="D5" s="46" t="str">
        <f>'2023年'!D5</f>
        <v>长春市夸克普精汽车电子有限责</v>
      </c>
      <c r="E5" s="52">
        <v>90</v>
      </c>
      <c r="F5" s="42">
        <f>IF(SUM(I5:Z5)&gt;0,SUM(I5:Z5),0)</f>
        <v>134643</v>
      </c>
      <c r="G5" s="291">
        <f>SUM(I5:R5)</f>
        <v>96675</v>
      </c>
      <c r="H5" s="43">
        <f>IF(SUM(J5:AC5)&gt;0,SUM(J5:AC5),"0")</f>
        <v>284557.84</v>
      </c>
      <c r="I5" s="298"/>
      <c r="J5" s="217"/>
      <c r="K5" s="217"/>
      <c r="L5" s="217"/>
      <c r="M5" s="217" t="str">
        <f>IF('2023年'!$AZ5&gt;(SUM('2023年'!V5:AG5)+SUM('2023年'!M5:$T5)),'2023年'!M5,IF('2023年'!$AZ5-SUM('2023年'!V5:AG5)-SUM('2023年'!N5:$T5)&gt;0,'2023年'!$AZ5-SUM('2023年'!V5:AG5)-SUM('2023年'!N5:$T5),""))</f>
        <v/>
      </c>
      <c r="N5" s="217">
        <v>28536</v>
      </c>
      <c r="O5" s="217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P5" s="217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Q5" s="217">
        <f>IF('2023年'!$AZ5&gt;(SUM('2023年'!V5:AG5)+'2023年'!T5+'2023年'!Q5),'2023年'!Q5+'2023年'!T5,IF('2023年'!$AZ5-SUM('2023年'!V5:AG5)&gt;0,'2023年'!$AZ5-SUM('2023年'!V5:AG5),""))</f>
        <v>0</v>
      </c>
      <c r="R5" s="221">
        <f>IF('2023年'!$AZ5&gt;=SUM('2023年'!V5:$AG5),'2023年'!V5,IF('2023年'!$AZ5-SUM('2023年'!W5:$AG5)&gt;0,'2023年'!$AZ5-SUM('2023年'!W5:$AG5),0))</f>
        <v>49042</v>
      </c>
      <c r="S5" s="221">
        <f>IF('2023年'!$AZ5&gt;=SUM('2023年'!W5:$AG5),'2023年'!W5,IF('2023年'!$AZ5-SUM('2023年'!X5:$AG5)&gt;0,'2023年'!$AZ5-SUM('2023年'!X5:$AG5),0))</f>
        <v>0</v>
      </c>
      <c r="T5" s="221">
        <f>IF('2023年'!$AZ5&gt;=SUM('2023年'!X5:$AG5),'2023年'!X5,IF('2023年'!$AZ5-SUM('2023年'!Y5:$AG5)&gt;0,'2023年'!$AZ5-SUM('2023年'!Y5:$AG5),0))</f>
        <v>0</v>
      </c>
      <c r="U5" s="44">
        <f>IF('2023年'!$AZ5&gt;=SUM('2023年'!Y5:$AG5),'2023年'!Y5,IF('2023年'!$AZ5-SUM('2023年'!Z5:$AG5)&gt;0,'2023年'!$AZ5-SUM('2023年'!Z5:$AG5),0))</f>
        <v>0</v>
      </c>
      <c r="V5" s="44">
        <f>IF('2023年'!$AZ5&gt;=SUM('2023年'!Z5:$AG5),'2023年'!Z5,IF('2023年'!$AZ5-SUM('2023年'!AA5:$AG5)&gt;0,'2023年'!$AZ5-SUM('2023年'!AA5:$AG5),0))</f>
        <v>21696</v>
      </c>
      <c r="W5" s="44">
        <f>IF('2023年'!$AZ5&gt;=SUM('2023年'!AA5:$AG5),'2023年'!AA5,IF('2023年'!$AZ5-SUM('2023年'!AB5:$AG5)&gt;0,'2023年'!$AZ5-SUM('2023年'!AB5:$AG5),0))</f>
        <v>0</v>
      </c>
      <c r="X5" s="44">
        <f>IF('2023年'!$AZ5&gt;=SUM('2023年'!AB5:$AG5),'2023年'!AB5,IF('2023年'!$AZ5-SUM('2023年'!AC5:$AG5)&gt;0,'2023年'!$AZ5-SUM('2023年'!AC5:$AG5),0))</f>
        <v>16272</v>
      </c>
      <c r="Y5" s="44">
        <f>IF('2023年'!$AZ5&gt;=SUM('2023年'!AC5:$AG5),'2023年'!AC5,IF('2023年'!$AZ5-SUM('2023年'!AD5:$AG5)&gt;0,'2023年'!$AZ5-SUM('2023年'!AD5:$AG5),0))</f>
        <v>0</v>
      </c>
      <c r="Z5" s="44">
        <f>IF('2023年'!$AZ5&gt;=SUM('2023年'!AD5:$AG5),'2023年'!AD5,IF('2023年'!$AZ5-SUM('2023年'!AE5:$AG5)&gt;0,'2023年'!$AZ5-SUM('2023年'!AE5:$AG5),0))</f>
        <v>0</v>
      </c>
      <c r="AA5" s="44">
        <f>IF('2023年'!$AZ5&gt;=SUM('2023年'!AE5:$AG5),'2023年'!AE5,IF('2023年'!$AZ5-SUM('2023年'!AF5:$AG5)&gt;0,'2023年'!$AZ5-SUM('2023年'!AF5:$AG5),0))</f>
        <v>0</v>
      </c>
      <c r="AB5" s="44">
        <f>IF('2023年'!$AZ5&gt;=SUM('2023年'!AF5:$AG5),'2023年'!AF5,IF('2023年'!$AZ5-SUM('2023年'!AG5:$AG5)&gt;0,'2023年'!$AZ5-SUM('2023年'!AG5:$AG5),0))</f>
        <v>0</v>
      </c>
      <c r="AC5" s="44">
        <f>IF('2023年'!$AZ5&gt;=SUM('2023年'!AG5:$AG5),'2023年'!AG5,IF('2023年'!$AZ5-SUM('2023年'!$AG5:AH5)&gt;0,'2023年'!$AZ5-SUM('2023年'!$AG5:AH5),0))</f>
        <v>149914.84</v>
      </c>
      <c r="AD5" s="309"/>
      <c r="AE5" s="310"/>
      <c r="AF5" s="311"/>
      <c r="AG5" s="84" t="s">
        <v>370</v>
      </c>
      <c r="AH5" s="84" t="s">
        <v>426</v>
      </c>
      <c r="AI5" s="314"/>
      <c r="AJ5" s="86">
        <f>SUM(X5:AC5)/6*0.8</f>
        <v>22158.2453333333</v>
      </c>
      <c r="AK5" s="91"/>
      <c r="AL5" s="10">
        <f>'2023年'!AZ5</f>
        <v>284557.84</v>
      </c>
      <c r="AM5" s="96">
        <f t="shared" ref="AM5:AM61" si="0">H5-AL5</f>
        <v>0</v>
      </c>
    </row>
    <row r="6" s="10" customFormat="1" ht="24.05" customHeight="1" spans="2:39">
      <c r="B6" s="45" t="s">
        <v>81</v>
      </c>
      <c r="C6" s="46" t="str">
        <f>'2023年'!C6</f>
        <v>1931396A</v>
      </c>
      <c r="D6" s="46" t="str">
        <f>'2023年'!D6</f>
        <v>芜湖卓人汽车配件有限公司</v>
      </c>
      <c r="E6" s="52">
        <v>90</v>
      </c>
      <c r="F6" s="42">
        <f>IF(SUM(I6:Z6)&gt;0,SUM(I6:Z6),0)</f>
        <v>44472.9</v>
      </c>
      <c r="G6" s="291">
        <f>SUM(I6:R6)</f>
        <v>0</v>
      </c>
      <c r="H6" s="43">
        <f t="shared" ref="H6:H13" si="1">IF(SUM(J6:AC6)&gt;0,SUM(J6:AC6),"0")</f>
        <v>51962.54</v>
      </c>
      <c r="I6" s="298"/>
      <c r="J6" s="217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217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217"/>
      <c r="M6" s="217" t="str">
        <f>IF('2023年'!$AZ6&gt;(SUM('2023年'!V6:AG6)+SUM('2023年'!M6:$T6)),'2023年'!M6,IF('2023年'!$AZ6-SUM('2023年'!V6:AG6)-SUM('2023年'!N6:$T6)&gt;0,'2023年'!$AZ6-SUM('2023年'!V6:AG6)-SUM('2023年'!N6:$T6),""))</f>
        <v/>
      </c>
      <c r="N6" s="217" t="str">
        <f>IF('2023年'!$AZ6&gt;(SUM('2023年'!V6:AG6)+SUM('2023年'!N6:$T6)),'2023年'!N6,IF('2023年'!$AZ6-SUM('2023年'!V6:AG6)-SUM('2023年'!O6:$T6)&gt;0,'2023年'!$AZ6-SUM('2023年'!V6:AG6)-SUM('2023年'!O6:$T6),""))</f>
        <v/>
      </c>
      <c r="O6" s="217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P6" s="217"/>
      <c r="Q6" s="217" t="str">
        <f>IF('2023年'!$AZ6&gt;(SUM('2023年'!V6:AG6)+'2023年'!T6+'2023年'!Q6),'2023年'!Q6+'2023年'!T6,IF('2023年'!$AZ6-SUM('2023年'!V6:AG6)&gt;0,'2023年'!$AZ6-SUM('2023年'!V6:AG6),""))</f>
        <v/>
      </c>
      <c r="R6" s="221">
        <f>IF('2023年'!$AZ6&gt;=SUM('2023年'!V6:$AG6),'2023年'!V6,IF('2023年'!$AZ6-SUM('2023年'!W6:$AG6)&gt;0,'2023年'!$AZ6-SUM('2023年'!W6:$AG6),0))</f>
        <v>0</v>
      </c>
      <c r="S6" s="221">
        <f>IF('2023年'!$AZ6&gt;=SUM('2023年'!W6:$AG6),'2023年'!W6,IF('2023年'!$AZ6-SUM('2023年'!X6:$AG6)&gt;0,'2023年'!$AZ6-SUM('2023年'!X6:$AG6),0))</f>
        <v>0</v>
      </c>
      <c r="T6" s="221">
        <f>IF('2023年'!$AZ6&gt;=SUM('2023年'!X6:$AG6),'2023年'!X6,IF('2023年'!$AZ6-SUM('2023年'!Y6:$AG6)&gt;0,'2023年'!$AZ6-SUM('2023年'!Y6:$AG6),0))</f>
        <v>0</v>
      </c>
      <c r="U6" s="44">
        <f>IF('2023年'!$AZ6&gt;=SUM('2023年'!Y6:$AG6),'2023年'!Y6,IF('2023年'!$AZ6-SUM('2023年'!Z6:$AG6)&gt;0,'2023年'!$AZ6-SUM('2023年'!Z6:$AG6),0))</f>
        <v>0</v>
      </c>
      <c r="V6" s="44">
        <f>IF('2023年'!$AZ6&gt;=SUM('2023年'!Z6:$AG6),'2023年'!Z6,IF('2023年'!$AZ6-SUM('2023年'!AA6:$AG6)&gt;0,'2023年'!$AZ6-SUM('2023年'!AA6:$AG6),0))</f>
        <v>14503.04</v>
      </c>
      <c r="W6" s="44">
        <f>IF('2023年'!$AZ6&gt;=SUM('2023年'!AA6:$AG6),'2023年'!AA6,IF('2023年'!$AZ6-SUM('2023年'!AB6:$AG6)&gt;0,'2023年'!$AZ6-SUM('2023年'!AB6:$AG6),0))</f>
        <v>17261.88</v>
      </c>
      <c r="X6" s="44">
        <f>IF('2023年'!$AZ6&gt;=SUM('2023年'!AB6:$AG6),'2023年'!AB6,IF('2023年'!$AZ6-SUM('2023年'!AC6:$AG6)&gt;0,'2023年'!$AZ6-SUM('2023年'!AC6:$AG6),0))</f>
        <v>12265.02</v>
      </c>
      <c r="Y6" s="44">
        <f>IF('2023年'!$AZ6&gt;=SUM('2023年'!AC6:$AG6),'2023年'!AC6,IF('2023年'!$AZ6-SUM('2023年'!AD6:$AG6)&gt;0,'2023年'!$AZ6-SUM('2023年'!AD6:$AG6),0))</f>
        <v>442.96</v>
      </c>
      <c r="Z6" s="44">
        <f>IF('2023年'!$AZ6&gt;=SUM('2023年'!AD6:$AG6),'2023年'!AD6,IF('2023年'!$AZ6-SUM('2023年'!AE6:$AG6)&gt;0,'2023年'!$AZ6-SUM('2023年'!AE6:$AG6),0))</f>
        <v>0</v>
      </c>
      <c r="AA6" s="44">
        <f>IF('2023年'!$AZ6&gt;=SUM('2023年'!AE6:$AG6),'2023年'!AE6,IF('2023年'!$AZ6-SUM('2023年'!AF6:$AG6)&gt;0,'2023年'!$AZ6-SUM('2023年'!AF6:$AG6),0))</f>
        <v>7268.16</v>
      </c>
      <c r="AB6" s="44">
        <f>IF('2023年'!$AZ6&gt;=SUM('2023年'!AF6:$AG6),'2023年'!AF6,IF('2023年'!$AZ6-SUM('2023年'!AG6:$AG6)&gt;0,'2023年'!$AZ6-SUM('2023年'!AG6:$AG6),0))</f>
        <v>221.48</v>
      </c>
      <c r="AC6" s="44">
        <f>IF('2023年'!$AZ6&gt;=SUM('2023年'!AG6:$AG6),'2023年'!AG6,IF('2023年'!$AZ6-SUM('2023年'!$AG6:AH6)&gt;0,'2023年'!$AZ6-SUM('2023年'!$AG6:AH6),0))</f>
        <v>0</v>
      </c>
      <c r="AD6" s="309"/>
      <c r="AE6" s="310"/>
      <c r="AF6" s="311"/>
      <c r="AG6" s="84" t="s">
        <v>371</v>
      </c>
      <c r="AH6" s="84" t="s">
        <v>426</v>
      </c>
      <c r="AI6" s="314"/>
      <c r="AJ6" s="86">
        <f t="shared" ref="AJ6:AJ16" si="2">SUM(X6:AC6)/6*0.8</f>
        <v>2693.016</v>
      </c>
      <c r="AK6" s="91"/>
      <c r="AL6" s="10">
        <f>'2023年'!AZ6</f>
        <v>51962.54</v>
      </c>
      <c r="AM6" s="96">
        <f t="shared" si="0"/>
        <v>0</v>
      </c>
    </row>
    <row r="7" s="10" customFormat="1" ht="24.05" customHeight="1" spans="2:39">
      <c r="B7" s="45" t="s">
        <v>81</v>
      </c>
      <c r="C7" s="46" t="str">
        <f>'2023年'!C7</f>
        <v>1933001</v>
      </c>
      <c r="D7" s="46" t="str">
        <f>'2023年'!D7</f>
        <v>宁波市北仑屹昌机械有限公司</v>
      </c>
      <c r="E7" s="52">
        <v>90</v>
      </c>
      <c r="F7" s="42">
        <f>IF(SUM(I7:Z7)&gt;0,SUM(I7:Z7),0)</f>
        <v>314969.27</v>
      </c>
      <c r="G7" s="291">
        <f>SUM(I7:R7)</f>
        <v>0</v>
      </c>
      <c r="H7" s="43">
        <f t="shared" si="1"/>
        <v>591529.89</v>
      </c>
      <c r="I7" s="298"/>
      <c r="J7" s="217">
        <v>0</v>
      </c>
      <c r="K7" s="217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217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217" t="str">
        <f>IF('2023年'!$AZ7&gt;(SUM('2023年'!V7:AG7)+SUM('2023年'!M7:$T7)),'2023年'!M7,IF('2023年'!$AZ7-SUM('2023年'!V7:AG7)-SUM('2023年'!N7:$T7)&gt;0,'2023年'!$AZ7-SUM('2023年'!V7:AG7)-SUM('2023年'!N7:$T7),""))</f>
        <v/>
      </c>
      <c r="N7" s="217" t="str">
        <f>IF('2023年'!$AZ7&gt;(SUM('2023年'!V7:AG7)+SUM('2023年'!N7:$T7)),'2023年'!N7,IF('2023年'!$AZ7-SUM('2023年'!V7:AG7)-SUM('2023年'!O7:$T7)&gt;0,'2023年'!$AZ7-SUM('2023年'!V7:AG7)-SUM('2023年'!O7:$T7),""))</f>
        <v/>
      </c>
      <c r="O7" s="217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P7" s="217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Q7" s="217" t="str">
        <f>IF('2023年'!$AZ7&gt;(SUM('2023年'!V7:AG7)+'2023年'!T7+'2023年'!Q7),'2023年'!Q7+'2023年'!T7,IF('2023年'!$AZ7-SUM('2023年'!V7:AG7)&gt;0,'2023年'!$AZ7-SUM('2023年'!V7:AG7),""))</f>
        <v/>
      </c>
      <c r="R7" s="221">
        <f>IF('2023年'!$AZ7&gt;=SUM('2023年'!V7:$AG7),'2023年'!V7,IF('2023年'!$AZ7-SUM('2023年'!W7:$AG7)&gt;0,'2023年'!$AZ7-SUM('2023年'!W7:$AG7),0))</f>
        <v>0</v>
      </c>
      <c r="S7" s="221">
        <f>IF('2023年'!$AZ7&gt;=SUM('2023年'!W7:$AG7),'2023年'!W7,IF('2023年'!$AZ7-SUM('2023年'!X7:$AG7)&gt;0,'2023年'!$AZ7-SUM('2023年'!X7:$AG7),0))</f>
        <v>0</v>
      </c>
      <c r="T7" s="221">
        <f>IF('2023年'!$AZ7&gt;=SUM('2023年'!X7:$AG7),'2023年'!X7,IF('2023年'!$AZ7-SUM('2023年'!Y7:$AG7)&gt;0,'2023年'!$AZ7-SUM('2023年'!Y7:$AG7),0))</f>
        <v>0</v>
      </c>
      <c r="U7" s="44">
        <f>IF('2023年'!$AZ7&gt;=SUM('2023年'!Y7:$AG7),'2023年'!Y7,IF('2023年'!$AZ7-SUM('2023年'!Z7:$AG7)&gt;0,'2023年'!$AZ7-SUM('2023年'!Z7:$AG7),0))</f>
        <v>0</v>
      </c>
      <c r="V7" s="44">
        <f>IF('2023年'!$AZ7&gt;=SUM('2023年'!Z7:$AG7),'2023年'!Z7,IF('2023年'!$AZ7-SUM('2023年'!AA7:$AG7)&gt;0,'2023年'!$AZ7-SUM('2023年'!AA7:$AG7),0))</f>
        <v>0</v>
      </c>
      <c r="W7" s="44">
        <f>IF('2023年'!$AZ7&gt;=SUM('2023年'!AA7:$AG7),'2023年'!AA7,IF('2023年'!$AZ7-SUM('2023年'!AB7:$AG7)&gt;0,'2023年'!$AZ7-SUM('2023年'!AB7:$AG7),0))</f>
        <v>9272.73000000021</v>
      </c>
      <c r="X7" s="44">
        <f>IF('2023年'!$AZ7&gt;=SUM('2023年'!AB7:$AG7),'2023年'!AB7,IF('2023年'!$AZ7-SUM('2023年'!AC7:$AG7)&gt;0,'2023年'!$AZ7-SUM('2023年'!AC7:$AG7),0))</f>
        <v>216571.33</v>
      </c>
      <c r="Y7" s="44">
        <f>IF('2023年'!$AZ7&gt;=SUM('2023年'!AC7:$AG7),'2023年'!AC7,IF('2023年'!$AZ7-SUM('2023年'!AD7:$AG7)&gt;0,'2023年'!$AZ7-SUM('2023年'!AD7:$AG7),0))</f>
        <v>42820.86</v>
      </c>
      <c r="Z7" s="44">
        <f>IF('2023年'!$AZ7&gt;=SUM('2023年'!AD7:$AG7),'2023年'!AD7,IF('2023年'!$AZ7-SUM('2023年'!AE7:$AG7)&gt;0,'2023年'!$AZ7-SUM('2023年'!AE7:$AG7),0))</f>
        <v>46304.35</v>
      </c>
      <c r="AA7" s="44">
        <f>IF('2023年'!$AZ7&gt;=SUM('2023年'!AE7:$AG7),'2023年'!AE7,IF('2023年'!$AZ7-SUM('2023年'!AF7:$AG7)&gt;0,'2023年'!$AZ7-SUM('2023年'!AF7:$AG7),0))</f>
        <v>121434.8</v>
      </c>
      <c r="AB7" s="44">
        <f>IF('2023年'!$AZ7&gt;=SUM('2023年'!AF7:$AG7),'2023年'!AF7,IF('2023年'!$AZ7-SUM('2023年'!AG7:$AG7)&gt;0,'2023年'!$AZ7-SUM('2023年'!AG7:$AG7),0))</f>
        <v>68031.5</v>
      </c>
      <c r="AC7" s="44">
        <f>IF('2023年'!$AZ7&gt;=SUM('2023年'!AG7:$AG7),'2023年'!AG7,IF('2023年'!$AZ7-SUM('2023年'!$AG7:AH7)&gt;0,'2023年'!$AZ7-SUM('2023年'!$AG7:AH7),0))</f>
        <v>87094.32</v>
      </c>
      <c r="AD7" s="309"/>
      <c r="AE7" s="310"/>
      <c r="AF7" s="311" t="s">
        <v>372</v>
      </c>
      <c r="AG7" s="84" t="s">
        <v>373</v>
      </c>
      <c r="AH7" s="84" t="s">
        <v>426</v>
      </c>
      <c r="AI7" s="314"/>
      <c r="AJ7" s="86">
        <f t="shared" si="2"/>
        <v>77634.288</v>
      </c>
      <c r="AK7" s="91"/>
      <c r="AL7" s="10">
        <f>'2023年'!AZ7</f>
        <v>591529.89</v>
      </c>
      <c r="AM7" s="96">
        <f t="shared" si="0"/>
        <v>0</v>
      </c>
    </row>
    <row r="8" s="10" customFormat="1" ht="24.05" customHeight="1" spans="2:39">
      <c r="B8" s="45" t="s">
        <v>81</v>
      </c>
      <c r="C8" s="46" t="str">
        <f>'2023年'!C8</f>
        <v>1933361</v>
      </c>
      <c r="D8" s="46" t="str">
        <f>'2023年'!D8</f>
        <v>宁波精成车业有限公司</v>
      </c>
      <c r="E8" s="41">
        <v>60</v>
      </c>
      <c r="F8" s="42">
        <f>SUM(I8:AA8)</f>
        <v>0</v>
      </c>
      <c r="G8" s="291">
        <f>SUM(I8:S8)</f>
        <v>0</v>
      </c>
      <c r="H8" s="43">
        <f t="shared" si="1"/>
        <v>164900.45</v>
      </c>
      <c r="I8" s="298"/>
      <c r="J8" s="217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217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217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217" t="str">
        <f>IF('2023年'!$AZ8&gt;(SUM('2023年'!V8:AG8)+SUM('2023年'!M8:$T8)),'2023年'!M8,IF('2023年'!$AZ8-SUM('2023年'!V8:AG8)-SUM('2023年'!N8:$T8)&gt;0,'2023年'!$AZ8-SUM('2023年'!V8:AG8)-SUM('2023年'!N8:$T8),""))</f>
        <v/>
      </c>
      <c r="N8" s="217" t="str">
        <f>IF('2023年'!$AZ8&gt;(SUM('2023年'!V8:AG8)+SUM('2023年'!N8:$T8)),'2023年'!N8,IF('2023年'!$AZ8-SUM('2023年'!V8:AG8)-SUM('2023年'!O8:$T8)&gt;0,'2023年'!$AZ8-SUM('2023年'!V8:AG8)-SUM('2023年'!O8:$T8),""))</f>
        <v/>
      </c>
      <c r="O8" s="217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P8" s="217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Q8" s="217" t="str">
        <f>IF('2023年'!$AZ8&gt;(SUM('2023年'!V8:AG8)+'2023年'!T8+'2023年'!Q8),'2023年'!Q8+'2023年'!T8,IF('2023年'!$AZ8-SUM('2023年'!V8:AG8)&gt;0,'2023年'!$AZ8-SUM('2023年'!V8:AG8),""))</f>
        <v/>
      </c>
      <c r="R8" s="221">
        <f>IF('2023年'!$AZ8&gt;=SUM('2023年'!V8:$AG8),'2023年'!V8,IF('2023年'!$AZ8-SUM('2023年'!W8:$AG8)&gt;0,'2023年'!$AZ8-SUM('2023年'!W8:$AG8),0))</f>
        <v>0</v>
      </c>
      <c r="S8" s="221">
        <f>IF('2023年'!$AZ8&gt;=SUM('2023年'!W8:$AG8),'2023年'!W8,IF('2023年'!$AZ8-SUM('2023年'!X8:$AG8)&gt;0,'2023年'!$AZ8-SUM('2023年'!X8:$AG8),0))</f>
        <v>0</v>
      </c>
      <c r="T8" s="221">
        <f>IF('2023年'!$AZ8&gt;=SUM('2023年'!X8:$AG8),'2023年'!X8,IF('2023年'!$AZ8-SUM('2023年'!Y8:$AG8)&gt;0,'2023年'!$AZ8-SUM('2023年'!Y8:$AG8),0))</f>
        <v>0</v>
      </c>
      <c r="U8" s="44">
        <f>IF('2023年'!$AZ8&gt;=SUM('2023年'!Y8:$AG8),'2023年'!Y8,IF('2023年'!$AZ8-SUM('2023年'!Z8:$AG8)&gt;0,'2023年'!$AZ8-SUM('2023年'!Z8:$AG8),0))</f>
        <v>0</v>
      </c>
      <c r="V8" s="44">
        <f>IF('2023年'!$AZ8&gt;=SUM('2023年'!Z8:$AG8),'2023年'!Z8,IF('2023年'!$AZ8-SUM('2023年'!AA8:$AG8)&gt;0,'2023年'!$AZ8-SUM('2023年'!AA8:$AG8),0))</f>
        <v>0</v>
      </c>
      <c r="W8" s="44">
        <f>IF('2023年'!$AZ8&gt;=SUM('2023年'!AA8:$AG8),'2023年'!AA8,IF('2023年'!$AZ8-SUM('2023年'!AB8:$AG8)&gt;0,'2023年'!$AZ8-SUM('2023年'!AB8:$AG8),0))</f>
        <v>0</v>
      </c>
      <c r="X8" s="44">
        <f>IF('2023年'!$AZ8&gt;=SUM('2023年'!AB8:$AG8),'2023年'!AB8,IF('2023年'!$AZ8-SUM('2023年'!AC8:$AG8)&gt;0,'2023年'!$AZ8-SUM('2023年'!AC8:$AG8),0))</f>
        <v>0</v>
      </c>
      <c r="Y8" s="44">
        <f>IF('2023年'!$AZ8&gt;=SUM('2023年'!AC8:$AG8),'2023年'!AC8,IF('2023年'!$AZ8-SUM('2023年'!AD8:$AG8)&gt;0,'2023年'!$AZ8-SUM('2023年'!AD8:$AG8),0))</f>
        <v>0</v>
      </c>
      <c r="Z8" s="44">
        <f>IF('2023年'!$AZ8&gt;=SUM('2023年'!AD8:$AG8),'2023年'!AD8,IF('2023年'!$AZ8-SUM('2023年'!AE8:$AG8)&gt;0,'2023年'!$AZ8-SUM('2023年'!AE8:$AG8),0))</f>
        <v>0</v>
      </c>
      <c r="AA8" s="44">
        <f>IF('2023年'!$AZ8&gt;=SUM('2023年'!AE8:$AG8),'2023年'!AE8,IF('2023年'!$AZ8-SUM('2023年'!AF8:$AG8)&gt;0,'2023年'!$AZ8-SUM('2023年'!AF8:$AG8),0))</f>
        <v>0</v>
      </c>
      <c r="AB8" s="44">
        <f>IF('2023年'!$AZ8&gt;=SUM('2023年'!AF8:$AG8),'2023年'!AF8,IF('2023年'!$AZ8-SUM('2023年'!AG8:$AG8)&gt;0,'2023年'!$AZ8-SUM('2023年'!AG8:$AG8),0))</f>
        <v>109933.63</v>
      </c>
      <c r="AC8" s="44">
        <f>IF('2023年'!$AZ8&gt;=SUM('2023年'!AG8:$AG8),'2023年'!AG8,IF('2023年'!$AZ8-SUM('2023年'!$AG8:AH8)&gt;0,'2023年'!$AZ8-SUM('2023年'!$AG8:AH8),0))</f>
        <v>54966.82</v>
      </c>
      <c r="AD8" s="309"/>
      <c r="AE8" s="310"/>
      <c r="AF8" s="311" t="s">
        <v>374</v>
      </c>
      <c r="AG8" s="84" t="s">
        <v>375</v>
      </c>
      <c r="AH8" s="84" t="s">
        <v>426</v>
      </c>
      <c r="AI8" s="314"/>
      <c r="AJ8" s="86">
        <f t="shared" si="2"/>
        <v>21986.7266666667</v>
      </c>
      <c r="AK8" s="91"/>
      <c r="AL8" s="10">
        <f>'2023年'!AZ8</f>
        <v>164900.45</v>
      </c>
      <c r="AM8" s="96">
        <f t="shared" si="0"/>
        <v>0</v>
      </c>
    </row>
    <row r="9" s="10" customFormat="1" ht="24.05" customHeight="1" spans="2:39">
      <c r="B9" s="45" t="s">
        <v>81</v>
      </c>
      <c r="C9" s="46" t="str">
        <f>'2023年'!C9</f>
        <v>1933511</v>
      </c>
      <c r="D9" s="46" t="str">
        <f>'2023年'!D9</f>
        <v>浙江万福机电科技有限公司</v>
      </c>
      <c r="E9" s="41" t="s">
        <v>111</v>
      </c>
      <c r="F9" s="42">
        <f>SUM(I9:X9)</f>
        <v>0</v>
      </c>
      <c r="G9" s="291">
        <f>SUM(I9:P9)</f>
        <v>0</v>
      </c>
      <c r="H9" s="43">
        <f t="shared" si="1"/>
        <v>62.7000000000698</v>
      </c>
      <c r="I9" s="298"/>
      <c r="J9" s="217">
        <v>0</v>
      </c>
      <c r="K9" s="217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217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217" t="str">
        <f>IF('2023年'!$AZ9&gt;(SUM('2023年'!V9:AG9)+SUM('2023年'!M9:$T9)),'2023年'!M9,IF('2023年'!$AZ9-SUM('2023年'!V9:AG9)-SUM('2023年'!N9:$T9)&gt;0,'2023年'!$AZ9-SUM('2023年'!V9:AG9)-SUM('2023年'!N9:$T9),""))</f>
        <v/>
      </c>
      <c r="N9" s="217" t="str">
        <f>IF('2023年'!$AZ9&gt;(SUM('2023年'!V9:AG9)+SUM('2023年'!N9:$T9)),'2023年'!N9,IF('2023年'!$AZ9-SUM('2023年'!V9:AG9)-SUM('2023年'!O9:$T9)&gt;0,'2023年'!$AZ9-SUM('2023年'!V9:AG9)-SUM('2023年'!O9:$T9),""))</f>
        <v/>
      </c>
      <c r="O9" s="217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P9" s="217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Q9" s="217" t="str">
        <f>IF('2023年'!$AZ9&gt;(SUM('2023年'!V9:AG9)+'2023年'!T9+'2023年'!Q9),'2023年'!Q9+'2023年'!T9,IF('2023年'!$AZ9-SUM('2023年'!V9:AG9)&gt;0,'2023年'!$AZ9-SUM('2023年'!V9:AG9),""))</f>
        <v/>
      </c>
      <c r="R9" s="221">
        <f>IF('2023年'!$AZ9&gt;=SUM('2023年'!V9:$AG9),'2023年'!V9,IF('2023年'!$AZ9-SUM('2023年'!W9:$AG9)&gt;0,'2023年'!$AZ9-SUM('2023年'!W9:$AG9),0))</f>
        <v>0</v>
      </c>
      <c r="S9" s="221">
        <f>IF('2023年'!$AZ9&gt;=SUM('2023年'!W9:$AG9),'2023年'!W9,IF('2023年'!$AZ9-SUM('2023年'!X9:$AG9)&gt;0,'2023年'!$AZ9-SUM('2023年'!X9:$AG9),0))</f>
        <v>0</v>
      </c>
      <c r="T9" s="221">
        <f>IF('2023年'!$AZ9&gt;=SUM('2023年'!X9:$AG9),'2023年'!X9,IF('2023年'!$AZ9-SUM('2023年'!Y9:$AG9)&gt;0,'2023年'!$AZ9-SUM('2023年'!Y9:$AG9),0))</f>
        <v>0</v>
      </c>
      <c r="U9" s="44">
        <f>IF('2023年'!$AZ9&gt;=SUM('2023年'!Y9:$AG9),'2023年'!Y9,IF('2023年'!$AZ9-SUM('2023年'!Z9:$AG9)&gt;0,'2023年'!$AZ9-SUM('2023年'!Z9:$AG9),0))</f>
        <v>0</v>
      </c>
      <c r="V9" s="44">
        <f>IF('2023年'!$AZ9&gt;=SUM('2023年'!Z9:$AG9),'2023年'!Z9,IF('2023年'!$AZ9-SUM('2023年'!AA9:$AG9)&gt;0,'2023年'!$AZ9-SUM('2023年'!AA9:$AG9),0))</f>
        <v>0</v>
      </c>
      <c r="W9" s="44">
        <v>0</v>
      </c>
      <c r="X9" s="44">
        <f>IF('2023年'!$AZ9&gt;=SUM('2023年'!AB9:$AG9),'2023年'!AB9,IF('2023年'!$AZ9-SUM('2023年'!AC9:$AG9)&gt;0,'2023年'!$AZ9-SUM('2023年'!AC9:$AG9),0))</f>
        <v>0</v>
      </c>
      <c r="Y9" s="44">
        <f>IF('2023年'!$AZ9&gt;=SUM('2023年'!AC9:$AG9),'2023年'!AC9,IF('2023年'!$AZ9-SUM('2023年'!AD9:$AG9)&gt;0,'2023年'!$AZ9-SUM('2023年'!AD9:$AG9),0))</f>
        <v>0</v>
      </c>
      <c r="Z9" s="44">
        <f>IF('2023年'!$AZ9&gt;=SUM('2023年'!AD9:$AG9),'2023年'!AD9,IF('2023年'!$AZ9-SUM('2023年'!AE9:$AG9)&gt;0,'2023年'!$AZ9-SUM('2023年'!AE9:$AG9),0))</f>
        <v>0</v>
      </c>
      <c r="AA9" s="44">
        <f>IF('2023年'!$AZ9&gt;=SUM('2023年'!AE9:$AG9),'2023年'!AE9,IF('2023年'!$AZ9-SUM('2023年'!AF9:$AG9)&gt;0,'2023年'!$AZ9-SUM('2023年'!AF9:$AG9),0))</f>
        <v>0</v>
      </c>
      <c r="AB9" s="44">
        <f>IF('2023年'!$AZ9&gt;=SUM('2023年'!AF9:$AG9),'2023年'!AF9,IF('2023年'!$AZ9-SUM('2023年'!AG9:$AG9)&gt;0,'2023年'!$AZ9-SUM('2023年'!AG9:$AG9),0))</f>
        <v>62.7000000000698</v>
      </c>
      <c r="AC9" s="44">
        <f>IF('2023年'!$AZ9&gt;=SUM('2023年'!AG9:$AG9),'2023年'!AG9,IF('2023年'!$AZ9-SUM('2023年'!$AG9:AH9)&gt;0,'2023年'!$AZ9-SUM('2023年'!$AG9:AH9),0))</f>
        <v>0</v>
      </c>
      <c r="AD9" s="309"/>
      <c r="AE9" s="310"/>
      <c r="AF9" s="311" t="s">
        <v>372</v>
      </c>
      <c r="AG9" s="84" t="s">
        <v>376</v>
      </c>
      <c r="AH9" s="84"/>
      <c r="AI9" s="314"/>
      <c r="AJ9" s="86">
        <f t="shared" si="2"/>
        <v>8.36000000000931</v>
      </c>
      <c r="AK9" s="91"/>
      <c r="AL9" s="10">
        <f>'2023年'!AZ9</f>
        <v>62.7000000000698</v>
      </c>
      <c r="AM9" s="96">
        <f t="shared" si="0"/>
        <v>0</v>
      </c>
    </row>
    <row r="10" s="10" customFormat="1" ht="24.05" customHeight="1" spans="2:39">
      <c r="B10" s="45" t="s">
        <v>81</v>
      </c>
      <c r="C10" s="46" t="str">
        <f>'2023年'!C10</f>
        <v>1937045</v>
      </c>
      <c r="D10" s="46" t="str">
        <f>'2023年'!D10</f>
        <v>烟台美龙汽车部件有限公司</v>
      </c>
      <c r="E10" s="52">
        <v>90</v>
      </c>
      <c r="F10" s="42">
        <f>IF(SUM(I10:Z10)&gt;0,SUM(I10:Z10),0)</f>
        <v>244874.96</v>
      </c>
      <c r="G10" s="291">
        <f>SUM(I10:R10)</f>
        <v>0</v>
      </c>
      <c r="H10" s="43">
        <f t="shared" si="1"/>
        <v>380296.93</v>
      </c>
      <c r="I10" s="298"/>
      <c r="J10" s="217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217"/>
      <c r="L10" s="217"/>
      <c r="M10" s="217" t="str">
        <f>IF('2023年'!$AZ10&gt;(SUM('2023年'!V10:AG10)+SUM('2023年'!M10:$T10)),'2023年'!M10,IF('2023年'!$AZ10-SUM('2023年'!V10:AG10)-SUM('2023年'!N10:$T10)&gt;0,'2023年'!$AZ10-SUM('2023年'!V10:AG10)-SUM('2023年'!N10:$T10),""))</f>
        <v/>
      </c>
      <c r="N10" s="217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O10" s="217" t="str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/>
      </c>
      <c r="P10" s="217" t="str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/>
      </c>
      <c r="Q10" s="217" t="str">
        <f>IF('2023年'!$AZ10&gt;(SUM('2023年'!V10:AG10)+'2023年'!T10+'2023年'!Q10),'2023年'!Q10+'2023年'!T10,IF('2023年'!$AZ10-SUM('2023年'!V10:AG10)&gt;0,'2023年'!$AZ10-SUM('2023年'!V10:AG10),""))</f>
        <v/>
      </c>
      <c r="R10" s="221">
        <f>IF('2023年'!$AZ10&gt;=SUM('2023年'!V10:$AG10),'2023年'!V10,IF('2023年'!$AZ10-SUM('2023年'!W10:$AG10)&gt;0,'2023年'!$AZ10-SUM('2023年'!W10:$AG10),0))</f>
        <v>0</v>
      </c>
      <c r="S10" s="221">
        <f>IF('2023年'!$AZ10&gt;=SUM('2023年'!W10:$AG10),'2023年'!W10,IF('2023年'!$AZ10-SUM('2023年'!X10:$AG10)&gt;0,'2023年'!$AZ10-SUM('2023年'!X10:$AG10),0))</f>
        <v>155279.13</v>
      </c>
      <c r="T10" s="221">
        <f>IF('2023年'!$AZ10&gt;=SUM('2023年'!X10:$AG10),'2023年'!X10,IF('2023年'!$AZ10-SUM('2023年'!Y10:$AG10)&gt;0,'2023年'!$AZ10-SUM('2023年'!Y10:$AG10),0))</f>
        <v>0</v>
      </c>
      <c r="U10" s="44">
        <f>IF('2023年'!$AZ10&gt;=SUM('2023年'!Y10:$AG10),'2023年'!Y10,IF('2023年'!$AZ10-SUM('2023年'!Z10:$AG10)&gt;0,'2023年'!$AZ10-SUM('2023年'!Z10:$AG10),0))</f>
        <v>0</v>
      </c>
      <c r="V10" s="44">
        <f>IF('2023年'!$AZ10&gt;=SUM('2023年'!Z10:$AG10),'2023年'!Z10,IF('2023年'!$AZ10-SUM('2023年'!AA10:$AG10)&gt;0,'2023年'!$AZ10-SUM('2023年'!AA10:$AG10),0))</f>
        <v>0</v>
      </c>
      <c r="W10" s="44">
        <f>IF('2023年'!$AZ10&gt;=SUM('2023年'!AA10:$AG10),'2023年'!AA10,IF('2023年'!$AZ10-SUM('2023年'!AB10:$AG10)&gt;0,'2023年'!$AZ10-SUM('2023年'!AB10:$AG10),0))</f>
        <v>0</v>
      </c>
      <c r="X10" s="44">
        <f>IF('2023年'!$AZ10&gt;=SUM('2023年'!AB10:$AG10),'2023年'!AB10,IF('2023年'!$AZ10-SUM('2023年'!AC10:$AG10)&gt;0,'2023年'!$AZ10-SUM('2023年'!AC10:$AG10),0))</f>
        <v>89595.83</v>
      </c>
      <c r="Y10" s="44">
        <f>IF('2023年'!$AZ10&gt;=SUM('2023年'!AC10:$AG10),'2023年'!AC10,IF('2023年'!$AZ10-SUM('2023年'!AD10:$AG10)&gt;0,'2023年'!$AZ10-SUM('2023年'!AD10:$AG10),0))</f>
        <v>0</v>
      </c>
      <c r="Z10" s="44">
        <f>IF('2023年'!$AZ10&gt;=SUM('2023年'!AD10:$AG10),'2023年'!AD10,IF('2023年'!$AZ10-SUM('2023年'!AE10:$AG10)&gt;0,'2023年'!$AZ10-SUM('2023年'!AE10:$AG10),0))</f>
        <v>0</v>
      </c>
      <c r="AA10" s="44">
        <f>IF('2023年'!$AZ10&gt;=SUM('2023年'!AE10:$AG10),'2023年'!AE10,IF('2023年'!$AZ10-SUM('2023年'!AF10:$AG10)&gt;0,'2023年'!$AZ10-SUM('2023年'!AF10:$AG10),0))</f>
        <v>0</v>
      </c>
      <c r="AB10" s="44">
        <f>IF('2023年'!$AZ10&gt;=SUM('2023年'!AF10:$AG10),'2023年'!AF10,IF('2023年'!$AZ10-SUM('2023年'!AG10:$AG10)&gt;0,'2023年'!$AZ10-SUM('2023年'!AG10:$AG10),0))</f>
        <v>0</v>
      </c>
      <c r="AC10" s="44">
        <f>IF('2023年'!$AZ10&gt;=SUM('2023年'!AG10:$AG10),'2023年'!AG10,IF('2023年'!$AZ10-SUM('2023年'!$AG10:AH10)&gt;0,'2023年'!$AZ10-SUM('2023年'!$AG10:AH10),0))</f>
        <v>135421.97</v>
      </c>
      <c r="AD10" s="309"/>
      <c r="AE10" s="310"/>
      <c r="AF10" s="311"/>
      <c r="AG10" s="84" t="s">
        <v>377</v>
      </c>
      <c r="AH10" s="84" t="s">
        <v>426</v>
      </c>
      <c r="AI10" s="314"/>
      <c r="AJ10" s="86">
        <f t="shared" si="2"/>
        <v>30002.3733333333</v>
      </c>
      <c r="AK10" s="91"/>
      <c r="AL10" s="10">
        <f>'2023年'!AZ10</f>
        <v>380296.93</v>
      </c>
      <c r="AM10" s="96">
        <f t="shared" si="0"/>
        <v>0</v>
      </c>
    </row>
    <row r="11" s="10" customFormat="1" ht="24.05" customHeight="1" spans="2:39">
      <c r="B11" s="48" t="s">
        <v>81</v>
      </c>
      <c r="C11" s="46" t="str">
        <f>'2023年'!C11</f>
        <v>L4153</v>
      </c>
      <c r="D11" s="46" t="str">
        <f>'2023年'!D11</f>
        <v>上海发之源电器有限公司</v>
      </c>
      <c r="E11" s="41">
        <v>60</v>
      </c>
      <c r="F11" s="42">
        <f>SUM(I11:AA11)</f>
        <v>0</v>
      </c>
      <c r="G11" s="291">
        <f>SUM(I11:S11)</f>
        <v>0</v>
      </c>
      <c r="H11" s="43">
        <f t="shared" si="1"/>
        <v>337926.12</v>
      </c>
      <c r="I11" s="298"/>
      <c r="J11" s="217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217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217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217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N11" s="217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O11" s="217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P11" s="217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Q11" s="217" t="str">
        <f>IF('2023年'!$AZ11&gt;(SUM('2023年'!V11:AG11)+'2023年'!T11+'2023年'!Q11),'2023年'!Q11+'2023年'!T11,IF('2023年'!$AZ11-SUM('2023年'!V11:AG11)&gt;0,'2023年'!$AZ11-SUM('2023年'!V11:AG11),""))</f>
        <v/>
      </c>
      <c r="R11" s="221">
        <f>IF('2023年'!$AZ11&gt;=SUM('2023年'!V11:$AG11),'2023年'!V11,IF('2023年'!$AZ11-SUM('2023年'!W11:$AG11)&gt;0,'2023年'!$AZ11-SUM('2023年'!W11:$AG11),0))</f>
        <v>0</v>
      </c>
      <c r="S11" s="221">
        <f>IF('2023年'!$AZ11&gt;=SUM('2023年'!W11:$AG11),'2023年'!W11,IF('2023年'!$AZ11-SUM('2023年'!X11:$AG11)&gt;0,'2023年'!$AZ11-SUM('2023年'!X11:$AG11),0))</f>
        <v>0</v>
      </c>
      <c r="T11" s="221">
        <f>IF('2023年'!$AZ11&gt;=SUM('2023年'!X11:$AG11),'2023年'!X11,IF('2023年'!$AZ11-SUM('2023年'!Y11:$AG11)&gt;0,'2023年'!$AZ11-SUM('2023年'!Y11:$AG11),0))</f>
        <v>0</v>
      </c>
      <c r="U11" s="44">
        <f>IF('2023年'!$AZ11&gt;=SUM('2023年'!Y11:$AG11),'2023年'!Y11,IF('2023年'!$AZ11-SUM('2023年'!Z11:$AG11)&gt;0,'2023年'!$AZ11-SUM('2023年'!Z11:$AG11),0))</f>
        <v>0</v>
      </c>
      <c r="V11" s="44">
        <f>IF('2023年'!$AZ11&gt;=SUM('2023年'!Z11:$AG11),'2023年'!Z11,IF('2023年'!$AZ11-SUM('2023年'!AA11:$AG11)&gt;0,'2023年'!$AZ11-SUM('2023年'!AA11:$AG11),0))</f>
        <v>0</v>
      </c>
      <c r="W11" s="44">
        <f>IF('2023年'!$AZ11&gt;=SUM('2023年'!AA11:$AG11),'2023年'!AA11,IF('2023年'!$AZ11-SUM('2023年'!AB11:$AG11)&gt;0,'2023年'!$AZ11-SUM('2023年'!AB11:$AG11),0))</f>
        <v>0</v>
      </c>
      <c r="X11" s="44">
        <f>IF('2023年'!$AZ11&gt;=SUM('2023年'!AB11:$AG11),'2023年'!AB11,IF('2023年'!$AZ11-SUM('2023年'!AC11:$AG11)&gt;0,'2023年'!$AZ11-SUM('2023年'!AC11:$AG11),0))</f>
        <v>0</v>
      </c>
      <c r="Y11" s="44">
        <f>IF('2023年'!$AZ11&gt;=SUM('2023年'!AC11:$AG11),'2023年'!AC11,IF('2023年'!$AZ11-SUM('2023年'!AD11:$AG11)&gt;0,'2023年'!$AZ11-SUM('2023年'!AD11:$AG11),0))</f>
        <v>0</v>
      </c>
      <c r="Z11" s="44">
        <f>IF('2023年'!$AZ11&gt;=SUM('2023年'!AD11:$AG11),'2023年'!AD11,IF('2023年'!$AZ11-SUM('2023年'!AE11:$AG11)&gt;0,'2023年'!$AZ11-SUM('2023年'!AE11:$AG11),0))</f>
        <v>0</v>
      </c>
      <c r="AA11" s="44">
        <f>IF('2023年'!$AZ11&gt;=SUM('2023年'!AE11:$AG11),'2023年'!AE11,IF('2023年'!$AZ11-SUM('2023年'!AF11:$AG11)&gt;0,'2023年'!$AZ11-SUM('2023年'!AF11:$AG11),0))</f>
        <v>0</v>
      </c>
      <c r="AB11" s="44">
        <f>IF('2023年'!$AZ11&gt;=SUM('2023年'!AF11:$AG11),'2023年'!AF11,IF('2023年'!$AZ11-SUM('2023年'!AG11:$AG11)&gt;0,'2023年'!$AZ11-SUM('2023年'!AG11:$AG11),0))</f>
        <v>200873.82</v>
      </c>
      <c r="AC11" s="44">
        <f>IF('2023年'!$AZ11&gt;=SUM('2023年'!AG11:$AG11),'2023年'!AG11,IF('2023年'!$AZ11-SUM('2023年'!$AG11:AH11)&gt;0,'2023年'!$AZ11-SUM('2023年'!$AG11:AH11),0))</f>
        <v>137052.3</v>
      </c>
      <c r="AD11" s="309"/>
      <c r="AE11" s="310"/>
      <c r="AF11" s="311"/>
      <c r="AG11" s="84" t="s">
        <v>378</v>
      </c>
      <c r="AH11" s="84" t="s">
        <v>426</v>
      </c>
      <c r="AI11" s="314"/>
      <c r="AJ11" s="86">
        <f t="shared" si="2"/>
        <v>45056.816</v>
      </c>
      <c r="AK11" s="91"/>
      <c r="AL11" s="10">
        <f>'2023年'!AZ11</f>
        <v>337926.12</v>
      </c>
      <c r="AM11" s="96">
        <f t="shared" si="0"/>
        <v>0</v>
      </c>
    </row>
    <row r="12" s="10" customFormat="1" ht="24.05" customHeight="1" spans="2:39">
      <c r="B12" s="48" t="s">
        <v>81</v>
      </c>
      <c r="C12" s="46" t="str">
        <f>'2023年'!C12</f>
        <v>L4154</v>
      </c>
      <c r="D12" s="46" t="str">
        <f>'2023年'!D12</f>
        <v>抚州锐而简实业有限公司</v>
      </c>
      <c r="E12" s="52">
        <v>90</v>
      </c>
      <c r="F12" s="42">
        <f>IF(SUM(I12:Z12)&gt;0,SUM(I12:Z12),0)</f>
        <v>43378.44</v>
      </c>
      <c r="G12" s="291">
        <f>SUM(I12:R12)</f>
        <v>43378.44</v>
      </c>
      <c r="H12" s="43">
        <f t="shared" si="1"/>
        <v>43378.44</v>
      </c>
      <c r="I12" s="298"/>
      <c r="J12" s="217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217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217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217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N12" s="217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O12" s="217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P12" s="217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Q12" s="217">
        <f>IF('2023年'!$AZ12&gt;(SUM('2023年'!V12:AG12)+'2023年'!T12+'2023年'!Q12),'2023年'!Q12+'2023年'!T12,IF('2023年'!$AZ12-SUM('2023年'!V12:AG12)&gt;0,'2023年'!$AZ12-SUM('2023年'!V12:AG12),""))</f>
        <v>0</v>
      </c>
      <c r="R12" s="221">
        <f>IF('2023年'!$AZ12&gt;=SUM('2023年'!V12:$AG12),'2023年'!V12,IF('2023年'!$AZ12-SUM('2023年'!W12:$AG12)&gt;0,'2023年'!$AZ12-SUM('2023年'!W12:$AG12),0))</f>
        <v>0</v>
      </c>
      <c r="S12" s="221">
        <f>IF('2023年'!$AZ12&gt;=SUM('2023年'!W12:$AG12),'2023年'!W12,IF('2023年'!$AZ12-SUM('2023年'!X12:$AG12)&gt;0,'2023年'!$AZ12-SUM('2023年'!X12:$AG12),0))</f>
        <v>0</v>
      </c>
      <c r="T12" s="221">
        <f>IF('2023年'!$AZ12&gt;=SUM('2023年'!X12:$AG12),'2023年'!X12,IF('2023年'!$AZ12-SUM('2023年'!Y12:$AG12)&gt;0,'2023年'!$AZ12-SUM('2023年'!Y12:$AG12),0))</f>
        <v>0</v>
      </c>
      <c r="U12" s="44">
        <f>IF('2023年'!$AZ12&gt;=SUM('2023年'!Y12:$AG12),'2023年'!Y12,IF('2023年'!$AZ12-SUM('2023年'!Z12:$AG12)&gt;0,'2023年'!$AZ12-SUM('2023年'!Z12:$AG12),0))</f>
        <v>0</v>
      </c>
      <c r="V12" s="44">
        <f>IF('2023年'!$AZ12&gt;=SUM('2023年'!Z12:$AG12),'2023年'!Z12,IF('2023年'!$AZ12-SUM('2023年'!AA12:$AG12)&gt;0,'2023年'!$AZ12-SUM('2023年'!AA12:$AG12),0))</f>
        <v>0</v>
      </c>
      <c r="W12" s="44">
        <f>IF('2023年'!$AZ12&gt;=SUM('2023年'!AA12:$AG12),'2023年'!AA12,IF('2023年'!$AZ12-SUM('2023年'!AB12:$AG12)&gt;0,'2023年'!$AZ12-SUM('2023年'!AB12:$AG12),0))</f>
        <v>0</v>
      </c>
      <c r="X12" s="44">
        <f>IF('2023年'!$AZ12&gt;=SUM('2023年'!AB12:$AG12),'2023年'!AB12,IF('2023年'!$AZ12-SUM('2023年'!AC12:$AG12)&gt;0,'2023年'!$AZ12-SUM('2023年'!AC12:$AG12),0))</f>
        <v>0</v>
      </c>
      <c r="Y12" s="44">
        <f>IF('2023年'!$AZ12&gt;=SUM('2023年'!AC12:$AG12),'2023年'!AC12,IF('2023年'!$AZ12-SUM('2023年'!AD12:$AG12)&gt;0,'2023年'!$AZ12-SUM('2023年'!AD12:$AG12),0))</f>
        <v>0</v>
      </c>
      <c r="Z12" s="44">
        <f>IF('2023年'!$AZ12&gt;=SUM('2023年'!AD12:$AG12),'2023年'!AD12,IF('2023年'!$AZ12-SUM('2023年'!AE12:$AG12)&gt;0,'2023年'!$AZ12-SUM('2023年'!AE12:$AG12),0))</f>
        <v>0</v>
      </c>
      <c r="AA12" s="44">
        <f>IF('2023年'!$AZ12&gt;=SUM('2023年'!AE12:$AG12),'2023年'!AE12,IF('2023年'!$AZ12-SUM('2023年'!AF12:$AG12)&gt;0,'2023年'!$AZ12-SUM('2023年'!AF12:$AG12),0))</f>
        <v>0</v>
      </c>
      <c r="AB12" s="44">
        <f>IF('2023年'!$AZ12&gt;=SUM('2023年'!AF12:$AG12),'2023年'!AF12,IF('2023年'!$AZ12-SUM('2023年'!AG12:$AG12)&gt;0,'2023年'!$AZ12-SUM('2023年'!AG12:$AG12),0))</f>
        <v>0</v>
      </c>
      <c r="AC12" s="44">
        <f>IF('2023年'!$AZ12&gt;=SUM('2023年'!AG12:$AG12),'2023年'!AG12,IF('2023年'!$AZ12-SUM('2023年'!$AG12:AH12)&gt;0,'2023年'!$AZ12-SUM('2023年'!$AG12:AH12),0))</f>
        <v>0</v>
      </c>
      <c r="AD12" s="309"/>
      <c r="AE12" s="310"/>
      <c r="AF12" s="311"/>
      <c r="AG12" s="84" t="s">
        <v>379</v>
      </c>
      <c r="AH12" s="84"/>
      <c r="AI12" s="314" t="s">
        <v>380</v>
      </c>
      <c r="AJ12" s="86">
        <f t="shared" si="2"/>
        <v>0</v>
      </c>
      <c r="AK12" s="91"/>
      <c r="AL12" s="10">
        <f>'2023年'!AZ12</f>
        <v>43378.44</v>
      </c>
      <c r="AM12" s="96">
        <f t="shared" si="0"/>
        <v>0</v>
      </c>
    </row>
    <row r="13" s="10" customFormat="1" ht="24.05" customHeight="1" spans="2:39">
      <c r="B13" s="48" t="s">
        <v>81</v>
      </c>
      <c r="C13" s="46" t="str">
        <f>'2023年'!C13</f>
        <v>L4392</v>
      </c>
      <c r="D13" s="46" t="str">
        <f>'2023年'!D13</f>
        <v>阿诺德紧固件（沈阳）有限公司</v>
      </c>
      <c r="E13" s="41">
        <v>60</v>
      </c>
      <c r="F13" s="42">
        <f>SUM(I13:AA13)</f>
        <v>160745.48</v>
      </c>
      <c r="G13" s="291">
        <f>SUM(I13:S13)</f>
        <v>0</v>
      </c>
      <c r="H13" s="43">
        <f t="shared" si="1"/>
        <v>166352.4</v>
      </c>
      <c r="I13" s="298"/>
      <c r="J13" s="217"/>
      <c r="K13" s="217"/>
      <c r="L13" s="217"/>
      <c r="M13" s="217"/>
      <c r="N13" s="217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O13" s="217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P13" s="217"/>
      <c r="Q13" s="217" t="str">
        <f>IF('2023年'!$AZ13&gt;(SUM('2023年'!V13:AG13)+'2023年'!T13+'2023年'!Q13),'2023年'!Q13+'2023年'!T13,IF('2023年'!$AZ13-SUM('2023年'!V13:AG13)&gt;0,'2023年'!$AZ13-SUM('2023年'!V13:AG13),""))</f>
        <v/>
      </c>
      <c r="R13" s="221">
        <f>IF('2023年'!$AZ13&gt;=SUM('2023年'!V13:$AG13),'2023年'!V13,IF('2023年'!$AZ13-SUM('2023年'!W13:$AG13)&gt;0,'2023年'!$AZ13-SUM('2023年'!W13:$AG13),0))</f>
        <v>0</v>
      </c>
      <c r="S13" s="221">
        <f>IF('2023年'!$AZ13&gt;=SUM('2023年'!W13:$AG13),'2023年'!W13,IF('2023年'!$AZ13-SUM('2023年'!X13:$AG13)&gt;0,'2023年'!$AZ13-SUM('2023年'!X13:$AG13),0))</f>
        <v>0</v>
      </c>
      <c r="T13" s="221">
        <f>IF('2023年'!$AZ13&gt;=SUM('2023年'!X13:$AG13),'2023年'!X13,IF('2023年'!$AZ13-SUM('2023年'!Y13:$AG13)&gt;0,'2023年'!$AZ13-SUM('2023年'!Y13:$AG13),0))</f>
        <v>0</v>
      </c>
      <c r="U13" s="44">
        <f>IF('2023年'!$AZ13&gt;=SUM('2023年'!Y13:$AG13),'2023年'!Y13,IF('2023年'!$AZ13-SUM('2023年'!Z13:$AG13)&gt;0,'2023年'!$AZ13-SUM('2023年'!Z13:$AG13),0))</f>
        <v>27483.7600000001</v>
      </c>
      <c r="V13" s="44">
        <f>IF('2023年'!$AZ13&gt;=SUM('2023年'!Z13:$AG13),'2023年'!Z13,IF('2023年'!$AZ13-SUM('2023年'!AA13:$AG13)&gt;0,'2023年'!$AZ13-SUM('2023年'!AA13:$AG13),0))</f>
        <v>0</v>
      </c>
      <c r="W13" s="44">
        <f>IF('2023年'!$AZ13&gt;=SUM('2023年'!AA13:$AG13),'2023年'!AA13,IF('2023年'!$AZ13-SUM('2023年'!AB13:$AG13)&gt;0,'2023年'!$AZ13-SUM('2023年'!AB13:$AG13),0))</f>
        <v>60857.28</v>
      </c>
      <c r="X13" s="44">
        <f>IF('2023年'!$AZ13&gt;=SUM('2023年'!AB13:$AG13),'2023年'!AB13,IF('2023年'!$AZ13-SUM('2023年'!AC13:$AG13)&gt;0,'2023年'!$AZ13-SUM('2023年'!AC13:$AG13),0))</f>
        <v>6068.1</v>
      </c>
      <c r="Y13" s="44">
        <f>IF('2023年'!$AZ13&gt;=SUM('2023年'!AC13:$AG13),'2023年'!AC13,IF('2023年'!$AZ13-SUM('2023年'!AD13:$AG13)&gt;0,'2023年'!$AZ13-SUM('2023年'!AD13:$AG13),0))</f>
        <v>13979.23</v>
      </c>
      <c r="Z13" s="44">
        <f>IF('2023年'!$AZ13&gt;=SUM('2023年'!AD13:$AG13),'2023年'!AD13,IF('2023年'!$AZ13-SUM('2023年'!AE13:$AG13)&gt;0,'2023年'!$AZ13-SUM('2023年'!AE13:$AG13),0))</f>
        <v>0</v>
      </c>
      <c r="AA13" s="44">
        <f>IF('2023年'!$AZ13&gt;=SUM('2023年'!AE13:$AG13),'2023年'!AE13,IF('2023年'!$AZ13-SUM('2023年'!AF13:$AG13)&gt;0,'2023年'!$AZ13-SUM('2023年'!AF13:$AG13),0))</f>
        <v>52357.11</v>
      </c>
      <c r="AB13" s="44">
        <f>IF('2023年'!$AZ13&gt;=SUM('2023年'!AF13:$AG13),'2023年'!AF13,IF('2023年'!$AZ13-SUM('2023年'!AG13:$AG13)&gt;0,'2023年'!$AZ13-SUM('2023年'!AG13:$AG13),0))</f>
        <v>5606.92</v>
      </c>
      <c r="AC13" s="44">
        <f>IF('2023年'!$AZ13&gt;=SUM('2023年'!AG13:$AG13),'2023年'!AG13,IF('2023年'!$AZ13-SUM('2023年'!$AG13:AH13)&gt;0,'2023年'!$AZ13-SUM('2023年'!$AG13:AH13),0))</f>
        <v>0</v>
      </c>
      <c r="AD13" s="309"/>
      <c r="AE13" s="310"/>
      <c r="AF13" s="311"/>
      <c r="AG13" s="84" t="s">
        <v>381</v>
      </c>
      <c r="AH13" s="84" t="s">
        <v>426</v>
      </c>
      <c r="AI13" s="314"/>
      <c r="AJ13" s="86">
        <f t="shared" si="2"/>
        <v>10401.5146666667</v>
      </c>
      <c r="AK13" s="91"/>
      <c r="AL13" s="10">
        <f>'2023年'!AZ13</f>
        <v>166352.4</v>
      </c>
      <c r="AM13" s="96">
        <f t="shared" si="0"/>
        <v>0</v>
      </c>
    </row>
    <row r="14" s="10" customFormat="1" ht="24.05" customHeight="1" spans="2:39">
      <c r="B14" s="48" t="s">
        <v>81</v>
      </c>
      <c r="C14" s="46" t="str">
        <f>'2023年'!C14</f>
        <v>L4410</v>
      </c>
      <c r="D14" s="46" t="str">
        <f>'2023年'!D14</f>
        <v>上海坤达五金制品有限公司</v>
      </c>
      <c r="E14" s="41">
        <v>60</v>
      </c>
      <c r="F14" s="42">
        <f>SUM(I14:AA14)</f>
        <v>7000</v>
      </c>
      <c r="G14" s="291">
        <f>SUM(I14:S14)</f>
        <v>0</v>
      </c>
      <c r="H14" s="291">
        <f>SUM(I14:AC14)</f>
        <v>7000</v>
      </c>
      <c r="I14" s="298"/>
      <c r="J14" s="217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217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217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217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N14" s="217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O14" s="217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P14" s="217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Q14" s="217" t="str">
        <f>IF('2023年'!$AZ14&gt;(SUM('2023年'!V14:AG14)+'2023年'!T14+'2023年'!Q14),'2023年'!Q14+'2023年'!T14,IF('2023年'!$AZ14-SUM('2023年'!V14:AG14)&gt;0,'2023年'!$AZ14-SUM('2023年'!V14:AG14),""))</f>
        <v/>
      </c>
      <c r="R14" s="221">
        <f>IF('2023年'!$AZ14&gt;=SUM('2023年'!V14:$AG14),'2023年'!V14,IF('2023年'!$AZ14-SUM('2023年'!W14:$AG14)&gt;0,'2023年'!$AZ14-SUM('2023年'!W14:$AG14),0))</f>
        <v>0</v>
      </c>
      <c r="S14" s="221">
        <f>IF('2023年'!$AZ14&gt;=SUM('2023年'!W14:$AG14),'2023年'!W14,IF('2023年'!$AZ14-SUM('2023年'!X14:$AG14)&gt;0,'2023年'!$AZ14-SUM('2023年'!X14:$AG14),0))</f>
        <v>0</v>
      </c>
      <c r="T14" s="221">
        <f>IF('2023年'!$AZ14&gt;=SUM('2023年'!X14:$AG14),'2023年'!X14,IF('2023年'!$AZ14-SUM('2023年'!Y14:$AG14)&gt;0,'2023年'!$AZ14-SUM('2023年'!Y14:$AG14),0))</f>
        <v>0</v>
      </c>
      <c r="U14" s="44">
        <f>IF('2023年'!$AZ14&gt;=SUM('2023年'!Y14:$AG14),'2023年'!Y14,IF('2023年'!$AZ14-SUM('2023年'!Z14:$AG14)&gt;0,'2023年'!$AZ14-SUM('2023年'!Z14:$AG14),0))</f>
        <v>0</v>
      </c>
      <c r="V14" s="44">
        <f>IF('2023年'!$AZ14&gt;=SUM('2023年'!Z14:$AG14),'2023年'!Z14,IF('2023年'!$AZ14-SUM('2023年'!AA14:$AG14)&gt;0,'2023年'!$AZ14-SUM('2023年'!AA14:$AG14),0))</f>
        <v>0</v>
      </c>
      <c r="W14" s="44">
        <f>IF('2023年'!$AZ14&gt;=SUM('2023年'!AA14:$AG14),'2023年'!AA14,IF('2023年'!$AZ14-SUM('2023年'!AB14:$AG14)&gt;0,'2023年'!$AZ14-SUM('2023年'!AB14:$AG14),0))</f>
        <v>0</v>
      </c>
      <c r="X14" s="44">
        <f>IF('2023年'!$AZ14&gt;=SUM('2023年'!AB14:$AG14),'2023年'!AB14,IF('2023年'!$AZ14-SUM('2023年'!AC14:$AG14)&gt;0,'2023年'!$AZ14-SUM('2023年'!AC14:$AG14),0))</f>
        <v>0</v>
      </c>
      <c r="Y14" s="44">
        <f>IF('2023年'!$AZ14&gt;=SUM('2023年'!AC14:$AG14),'2023年'!AC14,IF('2023年'!$AZ14-SUM('2023年'!AD14:$AG14)&gt;0,'2023年'!$AZ14-SUM('2023年'!AD14:$AG14),0))</f>
        <v>0</v>
      </c>
      <c r="Z14" s="44">
        <f>IF('2023年'!$AZ14&gt;=SUM('2023年'!AD14:$AG14),'2023年'!AD14,IF('2023年'!$AZ14-SUM('2023年'!AE14:$AG14)&gt;0,'2023年'!$AZ14-SUM('2023年'!AE14:$AG14),0))</f>
        <v>7000</v>
      </c>
      <c r="AA14" s="44">
        <f>IF('2023年'!$AZ14&gt;=SUM('2023年'!AE14:$AG14),'2023年'!AE14,IF('2023年'!$AZ14-SUM('2023年'!AF14:$AG14)&gt;0,'2023年'!$AZ14-SUM('2023年'!AF14:$AG14),0))</f>
        <v>0</v>
      </c>
      <c r="AB14" s="44">
        <f>IF('2023年'!$AZ14&gt;=SUM('2023年'!AF14:$AG14),'2023年'!AF14,IF('2023年'!$AZ14-SUM('2023年'!AG14:$AG14)&gt;0,'2023年'!$AZ14-SUM('2023年'!AG14:$AG14),0))</f>
        <v>0</v>
      </c>
      <c r="AC14" s="44">
        <f>IF('2023年'!$AZ14&gt;=SUM('2023年'!AG14:$AG14),'2023年'!AG14,IF('2023年'!$AZ14-SUM('2023年'!$AG14:AH14)&gt;0,'2023年'!$AZ14-SUM('2023年'!$AG14:AH14),0))</f>
        <v>0</v>
      </c>
      <c r="AD14" s="309"/>
      <c r="AE14" s="310"/>
      <c r="AF14" s="311"/>
      <c r="AG14" s="84" t="s">
        <v>382</v>
      </c>
      <c r="AH14" s="84" t="s">
        <v>427</v>
      </c>
      <c r="AI14" s="314"/>
      <c r="AJ14" s="86">
        <f t="shared" si="2"/>
        <v>933.333333333333</v>
      </c>
      <c r="AK14" s="91"/>
      <c r="AL14" s="10">
        <f>'2023年'!AZ14</f>
        <v>7000</v>
      </c>
      <c r="AM14" s="10">
        <f t="shared" si="0"/>
        <v>0</v>
      </c>
    </row>
    <row r="15" s="10" customFormat="1" ht="24.05" customHeight="1" spans="2:39">
      <c r="B15" s="292" t="s">
        <v>81</v>
      </c>
      <c r="C15" s="40" t="str">
        <f>'2023年'!C15</f>
        <v>1932031</v>
      </c>
      <c r="D15" s="40" t="str">
        <f>'2023年'!D15</f>
        <v>江苏海德莱特汽车部件有限公司</v>
      </c>
      <c r="E15" s="41">
        <v>30</v>
      </c>
      <c r="F15" s="42">
        <f>SUM(I15:AB15)</f>
        <v>557221.06</v>
      </c>
      <c r="G15" s="291">
        <f>SUM(I15:T15)</f>
        <v>0</v>
      </c>
      <c r="H15" s="43">
        <f>IF(SUM(J15:AC15)&gt;0,SUM(J15:AC15),"0")</f>
        <v>650950.46</v>
      </c>
      <c r="I15" s="298"/>
      <c r="J15" s="217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217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217">
        <v>0</v>
      </c>
      <c r="M15" s="217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N15" s="217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O15" s="217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P15" s="217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Q15" s="217" t="str">
        <f>IF('2023年'!$AZ15&gt;(SUM('2023年'!V15:AG15)+'2023年'!T15+'2023年'!Q15),'2023年'!Q15+'2023年'!T15,IF('2023年'!$AZ15-SUM('2023年'!V15:AG15)&gt;0,'2023年'!$AZ15-SUM('2023年'!V15:AG15),""))</f>
        <v/>
      </c>
      <c r="R15" s="221">
        <f>IF('2023年'!$AZ15&gt;=SUM('2023年'!V15:$AG15),'2023年'!V15,IF('2023年'!$AZ15-SUM('2023年'!W15:$AG15)&gt;0,'2023年'!$AZ15-SUM('2023年'!W15:$AG15),0))</f>
        <v>0</v>
      </c>
      <c r="S15" s="221">
        <f>IF('2023年'!$AZ15&gt;=SUM('2023年'!W15:$AG15),'2023年'!W15,IF('2023年'!$AZ15-SUM('2023年'!X15:$AG15)&gt;0,'2023年'!$AZ15-SUM('2023年'!X15:$AG15),0))</f>
        <v>0</v>
      </c>
      <c r="T15" s="221">
        <f>IF('2023年'!$AZ15&gt;=SUM('2023年'!X15:$AG15),'2023年'!X15,IF('2023年'!$AZ15-SUM('2023年'!Y15:$AG15)&gt;0,'2023年'!$AZ15-SUM('2023年'!Y15:$AG15),0))</f>
        <v>0</v>
      </c>
      <c r="U15" s="44">
        <f>IF('2023年'!$AZ15&gt;=SUM('2023年'!Y15:$AG15),'2023年'!Y15,IF('2023年'!$AZ15-SUM('2023年'!Z15:$AG15)&gt;0,'2023年'!$AZ15-SUM('2023年'!Z15:$AG15),0))</f>
        <v>0</v>
      </c>
      <c r="V15" s="44">
        <f>IF('2023年'!$AZ15&gt;=SUM('2023年'!Z15:$AG15),'2023年'!Z15,IF('2023年'!$AZ15-SUM('2023年'!AA15:$AG15)&gt;0,'2023年'!$AZ15-SUM('2023年'!AA15:$AG15),0))</f>
        <v>0</v>
      </c>
      <c r="W15" s="44">
        <f>IF('2023年'!$AZ15&gt;=SUM('2023年'!AA15:$AG15),'2023年'!AA15,IF('2023年'!$AZ15-SUM('2023年'!AB15:$AG15)&gt;0,'2023年'!$AZ15-SUM('2023年'!AB15:$AG15),0))</f>
        <v>91779.2799999997</v>
      </c>
      <c r="X15" s="44">
        <f>IF('2023年'!$AZ15&gt;=SUM('2023年'!AB15:$AG15),'2023年'!AB15,IF('2023年'!$AZ15-SUM('2023年'!AC15:$AG15)&gt;0,'2023年'!$AZ15-SUM('2023年'!AC15:$AG15),0))</f>
        <v>61657.48</v>
      </c>
      <c r="Y15" s="44">
        <f>IF('2023年'!$AZ15&gt;=SUM('2023年'!AC15:$AG15),'2023年'!AC15,IF('2023年'!$AZ15-SUM('2023年'!AD15:$AG15)&gt;0,'2023年'!$AZ15-SUM('2023年'!AD15:$AG15),0))</f>
        <v>30056.2</v>
      </c>
      <c r="Z15" s="44">
        <f>IF('2023年'!$AZ15&gt;=SUM('2023年'!AD15:$AG15),'2023年'!AD15,IF('2023年'!$AZ15-SUM('2023年'!AE15:$AG15)&gt;0,'2023年'!$AZ15-SUM('2023年'!AE15:$AG15),0))</f>
        <v>241590.94</v>
      </c>
      <c r="AA15" s="44">
        <f>IF('2023年'!$AZ15&gt;=SUM('2023年'!AE15:$AG15),'2023年'!AE15,IF('2023年'!$AZ15-SUM('2023年'!AF15:$AG15)&gt;0,'2023年'!$AZ15-SUM('2023年'!AF15:$AG15),0))</f>
        <v>26463.54</v>
      </c>
      <c r="AB15" s="44">
        <f>IF('2023年'!$AZ15&gt;=SUM('2023年'!AF15:$AG15),'2023年'!AF15,IF('2023年'!$AZ15-SUM('2023年'!AG15:$AG15)&gt;0,'2023年'!$AZ15-SUM('2023年'!AG15:$AG15),0))</f>
        <v>105673.62</v>
      </c>
      <c r="AC15" s="44">
        <f>IF('2023年'!$AZ15&gt;=SUM('2023年'!AG15:$AG15),'2023年'!AG15,IF('2023年'!$AZ15-SUM('2023年'!$AG15:AH15)&gt;0,'2023年'!$AZ15-SUM('2023年'!$AG15:AH15),0))</f>
        <v>93729.4</v>
      </c>
      <c r="AD15" s="309"/>
      <c r="AE15" s="310"/>
      <c r="AF15" s="311"/>
      <c r="AG15" s="84" t="s">
        <v>383</v>
      </c>
      <c r="AH15" s="84" t="s">
        <v>426</v>
      </c>
      <c r="AI15" s="314" t="s">
        <v>384</v>
      </c>
      <c r="AJ15" s="86">
        <f t="shared" si="2"/>
        <v>74556.1573333333</v>
      </c>
      <c r="AK15" s="91"/>
      <c r="AL15" s="10">
        <f>'2023年'!AZ15</f>
        <v>650950.46</v>
      </c>
      <c r="AM15" s="96">
        <f t="shared" si="0"/>
        <v>0</v>
      </c>
    </row>
    <row r="16" s="10" customFormat="1" ht="24.05" customHeight="1" spans="2:39">
      <c r="B16" s="292" t="s">
        <v>81</v>
      </c>
      <c r="C16" s="40" t="str">
        <f>'2023年'!C16</f>
        <v>L5273</v>
      </c>
      <c r="D16" s="40" t="str">
        <f>'2023年'!D16</f>
        <v>江苏日盈电子股份有限公司</v>
      </c>
      <c r="E16" s="41">
        <v>30</v>
      </c>
      <c r="F16" s="42">
        <f>SUM(I16:AB16)</f>
        <v>0</v>
      </c>
      <c r="G16" s="291">
        <f>SUM(I16:T16)</f>
        <v>0</v>
      </c>
      <c r="H16" s="43">
        <f>IF(SUM(J16:AC16)&gt;0,SUM(J16:AC16),"0")</f>
        <v>220702.74</v>
      </c>
      <c r="I16" s="298"/>
      <c r="J16" s="217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217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217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217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N16" s="217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O16" s="217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P16" s="217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Q16" s="217" t="str">
        <f>IF('2023年'!$AZ16&gt;(SUM('2023年'!V16:AG16)+'2023年'!T16+'2023年'!Q16),'2023年'!Q16+'2023年'!T16,IF('2023年'!$AZ16-SUM('2023年'!V16:AG16)&gt;0,'2023年'!$AZ16-SUM('2023年'!V16:AG16),""))</f>
        <v/>
      </c>
      <c r="R16" s="221">
        <f>IF('2023年'!$AZ16&gt;=SUM('2023年'!V16:$AG16),'2023年'!V16,IF('2023年'!$AZ16-SUM('2023年'!W16:$AG16)&gt;0,'2023年'!$AZ16-SUM('2023年'!W16:$AG16),0))</f>
        <v>0</v>
      </c>
      <c r="S16" s="221">
        <f>IF('2023年'!$AZ16&gt;=SUM('2023年'!W16:$AG16),'2023年'!W16,IF('2023年'!$AZ16-SUM('2023年'!X16:$AG16)&gt;0,'2023年'!$AZ16-SUM('2023年'!X16:$AG16),0))</f>
        <v>0</v>
      </c>
      <c r="T16" s="221">
        <f>IF('2023年'!$AZ16&gt;=SUM('2023年'!X16:$AG16),'2023年'!X16,IF('2023年'!$AZ16-SUM('2023年'!Y16:$AG16)&gt;0,'2023年'!$AZ16-SUM('2023年'!Y16:$AG16),0))</f>
        <v>0</v>
      </c>
      <c r="U16" s="44">
        <f>IF('2023年'!$AZ16&gt;=SUM('2023年'!Y16:$AG16),'2023年'!Y16,IF('2023年'!$AZ16-SUM('2023年'!Z16:$AG16)&gt;0,'2023年'!$AZ16-SUM('2023年'!Z16:$AG16),0))</f>
        <v>0</v>
      </c>
      <c r="V16" s="44">
        <f>IF('2023年'!$AZ16&gt;=SUM('2023年'!Z16:$AG16),'2023年'!Z16,IF('2023年'!$AZ16-SUM('2023年'!AA16:$AG16)&gt;0,'2023年'!$AZ16-SUM('2023年'!AA16:$AG16),0))</f>
        <v>0</v>
      </c>
      <c r="W16" s="44">
        <f>IF('2023年'!$AZ16&gt;=SUM('2023年'!AA16:$AG16),'2023年'!AA16,IF('2023年'!$AZ16-SUM('2023年'!AB16:$AG16)&gt;0,'2023年'!$AZ16-SUM('2023年'!AB16:$AG16),0))</f>
        <v>0</v>
      </c>
      <c r="X16" s="44">
        <f>IF('2023年'!$AZ16&gt;=SUM('2023年'!AB16:$AG16),'2023年'!AB16,IF('2023年'!$AZ16-SUM('2023年'!AC16:$AG16)&gt;0,'2023年'!$AZ16-SUM('2023年'!AC16:$AG16),0))</f>
        <v>0</v>
      </c>
      <c r="Y16" s="44">
        <f>IF('2023年'!$AZ16&gt;=SUM('2023年'!AC16:$AG16),'2023年'!AC16,IF('2023年'!$AZ16-SUM('2023年'!AD16:$AG16)&gt;0,'2023年'!$AZ16-SUM('2023年'!AD16:$AG16),0))</f>
        <v>0</v>
      </c>
      <c r="Z16" s="44">
        <f>IF('2023年'!$AZ16&gt;=SUM('2023年'!AD16:$AG16),'2023年'!AD16,IF('2023年'!$AZ16-SUM('2023年'!AE16:$AG16)&gt;0,'2023年'!$AZ16-SUM('2023年'!AE16:$AG16),0))</f>
        <v>0</v>
      </c>
      <c r="AA16" s="44">
        <f>IF('2023年'!$AZ16&gt;=SUM('2023年'!AE16:$AG16),'2023年'!AE16,IF('2023年'!$AZ16-SUM('2023年'!AF16:$AG16)&gt;0,'2023年'!$AZ16-SUM('2023年'!AF16:$AG16),0))</f>
        <v>0</v>
      </c>
      <c r="AB16" s="44">
        <f>IF('2023年'!$AZ16&gt;=SUM('2023年'!AF16:$AG16),'2023年'!AF16,IF('2023年'!$AZ16-SUM('2023年'!AG16:$AG16)&gt;0,'2023年'!$AZ16-SUM('2023年'!AG16:$AG16),0))</f>
        <v>0</v>
      </c>
      <c r="AC16" s="44">
        <f>IF('2023年'!$AZ16&gt;=SUM('2023年'!AG16:$AG16),'2023年'!AG16,IF('2023年'!$AZ16-SUM('2023年'!$AG16:AH16)&gt;0,'2023年'!$AZ16-SUM('2023年'!$AG16:AH16),0))</f>
        <v>220702.74</v>
      </c>
      <c r="AD16" s="309"/>
      <c r="AE16" s="310"/>
      <c r="AF16" s="311"/>
      <c r="AG16" s="84" t="s">
        <v>385</v>
      </c>
      <c r="AH16" s="84" t="s">
        <v>426</v>
      </c>
      <c r="AI16" s="314" t="s">
        <v>384</v>
      </c>
      <c r="AJ16" s="86">
        <f t="shared" si="2"/>
        <v>29427.032</v>
      </c>
      <c r="AK16" s="91"/>
      <c r="AL16" s="10">
        <f>'2023年'!AZ16</f>
        <v>220702.74</v>
      </c>
      <c r="AM16" s="96">
        <f t="shared" si="0"/>
        <v>0</v>
      </c>
    </row>
    <row r="17" s="10" customFormat="1" ht="24.05" customHeight="1" spans="2:39">
      <c r="B17" s="292" t="s">
        <v>81</v>
      </c>
      <c r="C17" s="40" t="str">
        <f>'2023年'!C17</f>
        <v>L4437</v>
      </c>
      <c r="D17" s="40" t="str">
        <f>'2023年'!D17</f>
        <v>法雷奥汽车内部控制（深圳）有</v>
      </c>
      <c r="E17" s="41">
        <v>30</v>
      </c>
      <c r="F17" s="42">
        <f>SUM(I17:AB17)</f>
        <v>0</v>
      </c>
      <c r="G17" s="291">
        <f>SUM(I17:T17)</f>
        <v>0</v>
      </c>
      <c r="H17" s="291">
        <f>SUM(I17:AC17)</f>
        <v>0</v>
      </c>
      <c r="I17" s="298"/>
      <c r="J17" s="217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217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217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217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N17" s="217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O17" s="217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P17" s="217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Q17" s="217"/>
      <c r="R17" s="221">
        <f>IF('2023年'!$AZ17&gt;=SUM('2023年'!V17:$AG17),'2023年'!V17,IF('2023年'!$AZ17-SUM('2023年'!W17:$AG17)&gt;0,'2023年'!$AZ17-SUM('2023年'!W17:$AG17),0))</f>
        <v>0</v>
      </c>
      <c r="S17" s="221">
        <f>IF('2023年'!$AZ17&gt;=SUM('2023年'!W17:$AG17),'2023年'!W17,IF('2023年'!$AZ17-SUM('2023年'!X17:$AG17)&gt;0,'2023年'!$AZ17-SUM('2023年'!X17:$AG17),0))</f>
        <v>0</v>
      </c>
      <c r="T17" s="221">
        <f>IF('2023年'!$AZ17&gt;=SUM('2023年'!X17:$AG17),'2023年'!X17,IF('2023年'!$AZ17-SUM('2023年'!Y17:$AG17)&gt;0,'2023年'!$AZ17-SUM('2023年'!Y17:$AG17),0))</f>
        <v>0</v>
      </c>
      <c r="U17" s="44">
        <f>IF('2023年'!$AZ17&gt;=SUM('2023年'!Y17:$AG17),'2023年'!Y17,IF('2023年'!$AZ17-SUM('2023年'!Z17:$AG17)&gt;0,'2023年'!$AZ17-SUM('2023年'!Z17:$AG17),0))</f>
        <v>0</v>
      </c>
      <c r="V17" s="44">
        <f>IF('2023年'!$AZ17&gt;=SUM('2023年'!Z17:$AG17),'2023年'!Z17,IF('2023年'!$AZ17-SUM('2023年'!AA17:$AG17)&gt;0,'2023年'!$AZ17-SUM('2023年'!AA17:$AG17),0))</f>
        <v>0</v>
      </c>
      <c r="W17" s="44">
        <f>IF('2023年'!$AZ17&gt;=SUM('2023年'!AA17:$AG17),'2023年'!AA17,IF('2023年'!$AZ17-SUM('2023年'!AB17:$AG17)&gt;0,'2023年'!$AZ17-SUM('2023年'!AB17:$AG17),0))</f>
        <v>0</v>
      </c>
      <c r="X17" s="44">
        <f>IF('2023年'!$AZ17&gt;=SUM('2023年'!AB17:$AG17),'2023年'!AB17,IF('2023年'!$AZ17-SUM('2023年'!AC17:$AG17)&gt;0,'2023年'!$AZ17-SUM('2023年'!AC17:$AG17),0))</f>
        <v>0</v>
      </c>
      <c r="Y17" s="44">
        <f>IF('2023年'!$AZ17&gt;=SUM('2023年'!AC17:$AG17),'2023年'!AC17,IF('2023年'!$AZ17-SUM('2023年'!AD17:$AG17)&gt;0,'2023年'!$AZ17-SUM('2023年'!AD17:$AG17),0))</f>
        <v>0</v>
      </c>
      <c r="Z17" s="44">
        <f>IF('2023年'!$AZ17&gt;=SUM('2023年'!AD17:$AG17),'2023年'!AD17,IF('2023年'!$AZ17-SUM('2023年'!AE17:$AG17)&gt;0,'2023年'!$AZ17-SUM('2023年'!AE17:$AG17),0))</f>
        <v>0</v>
      </c>
      <c r="AA17" s="44">
        <f>IF('2023年'!$AZ17&gt;=SUM('2023年'!AE17:$AG17),'2023年'!AE17,IF('2023年'!$AZ17-SUM('2023年'!AF17:$AG17)&gt;0,'2023年'!$AZ17-SUM('2023年'!AF17:$AG17),0))</f>
        <v>0</v>
      </c>
      <c r="AB17" s="44">
        <f>IF('2023年'!$AZ17&gt;=SUM('2023年'!AF17:$AG17),'2023年'!AF17,IF('2023年'!$AZ17-SUM('2023年'!AG17:$AG17)&gt;0,'2023年'!$AZ17-SUM('2023年'!AG17:$AG17),0))</f>
        <v>0</v>
      </c>
      <c r="AC17" s="44">
        <f>IF('2023年'!$AZ17&gt;=SUM('2023年'!AG17:$AG17),'2023年'!AG17,IF('2023年'!$AZ17-SUM('2023年'!$AG17:AH17)&gt;0,'2023年'!$AZ17-SUM('2023年'!$AG17:AH17),0))</f>
        <v>0</v>
      </c>
      <c r="AD17" s="309"/>
      <c r="AE17" s="310"/>
      <c r="AF17" s="311"/>
      <c r="AG17" s="84" t="s">
        <v>385</v>
      </c>
      <c r="AH17" s="84"/>
      <c r="AI17" s="277" t="s">
        <v>384</v>
      </c>
      <c r="AJ17" s="91"/>
      <c r="AK17" s="91"/>
      <c r="AL17" s="10">
        <f>'2023年'!AZ17</f>
        <v>0</v>
      </c>
      <c r="AM17" s="10">
        <f t="shared" si="0"/>
        <v>0</v>
      </c>
    </row>
    <row r="18" s="10" customFormat="1" ht="24.05" customHeight="1" spans="2:39">
      <c r="B18" s="48" t="s">
        <v>81</v>
      </c>
      <c r="C18" s="46" t="str">
        <f>'2023年'!C18</f>
        <v>L4617</v>
      </c>
      <c r="D18" s="46" t="str">
        <f>'2023年'!D18</f>
        <v>无锡市汇源机械科技有限公司</v>
      </c>
      <c r="E18" s="293" t="s">
        <v>222</v>
      </c>
      <c r="F18" s="42">
        <f>IF(SUM(I18:Z18)&gt;0,SUM(I18:Z18),0)</f>
        <v>349406.19</v>
      </c>
      <c r="G18" s="291">
        <f>SUM(I18:R18)</f>
        <v>121722.63</v>
      </c>
      <c r="H18" s="43">
        <f>IF(SUM(J18:AC18)&gt;0,SUM(J18:AC18),"0")</f>
        <v>441257.19</v>
      </c>
      <c r="I18" s="298"/>
      <c r="J18" s="217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217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217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217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N18" s="217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O18" s="217" t="str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/>
      </c>
      <c r="P18" s="217"/>
      <c r="Q18" s="217">
        <v>75679.3500000002</v>
      </c>
      <c r="R18" s="221">
        <f>IF('2023年'!$AZ18&gt;=SUM('2023年'!V18:$AG18),'2023年'!V18,IF('2023年'!$AZ18-SUM('2023年'!W18:$AG18)&gt;0,'2023年'!$AZ18-SUM('2023年'!W18:$AG18),0))</f>
        <v>46043.28</v>
      </c>
      <c r="S18" s="221">
        <f>IF('2023年'!$AZ18&gt;=SUM('2023年'!W18:$AG18),'2023年'!W18,IF('2023年'!$AZ18-SUM('2023年'!X18:$AG18)&gt;0,'2023年'!$AZ18-SUM('2023年'!X18:$AG18),0))</f>
        <v>0</v>
      </c>
      <c r="T18" s="221">
        <f>IF('2023年'!$AZ18&gt;=SUM('2023年'!X18:$AG18),'2023年'!X18,IF('2023年'!$AZ18-SUM('2023年'!Y18:$AG18)&gt;0,'2023年'!$AZ18-SUM('2023年'!Y18:$AG18),0))</f>
        <v>16.72</v>
      </c>
      <c r="U18" s="44">
        <f>IF('2023年'!$AZ18&gt;=SUM('2023年'!Y18:$AG18),'2023年'!Y18,IF('2023年'!$AZ18-SUM('2023年'!Z18:$AG18)&gt;0,'2023年'!$AZ18-SUM('2023年'!Z18:$AG18),0))</f>
        <v>42395.78</v>
      </c>
      <c r="V18" s="44">
        <f>IF('2023年'!$AZ18&gt;=SUM('2023年'!Z18:$AG18),'2023年'!Z18,IF('2023年'!$AZ18-SUM('2023年'!AA18:$AG18)&gt;0,'2023年'!$AZ18-SUM('2023年'!AA18:$AG18),0))</f>
        <v>47545.77</v>
      </c>
      <c r="W18" s="44">
        <f>IF('2023年'!$AZ18&gt;=SUM('2023年'!AA18:$AG18),'2023年'!AA18,IF('2023年'!$AZ18-SUM('2023年'!AB18:$AG18)&gt;0,'2023年'!$AZ18-SUM('2023年'!AB18:$AG18),0))</f>
        <v>0</v>
      </c>
      <c r="X18" s="44">
        <f>IF('2023年'!$AZ18&gt;=SUM('2023年'!AB18:$AG18),'2023年'!AB18,IF('2023年'!$AZ18-SUM('2023年'!AC18:$AG18)&gt;0,'2023年'!$AZ18-SUM('2023年'!AC18:$AG18),0))</f>
        <v>91824.79</v>
      </c>
      <c r="Y18" s="44">
        <f>IF('2023年'!$AZ18&gt;=SUM('2023年'!AC18:$AG18),'2023年'!AC18,IF('2023年'!$AZ18-SUM('2023年'!AD18:$AG18)&gt;0,'2023年'!$AZ18-SUM('2023年'!AD18:$AG18),0))</f>
        <v>0</v>
      </c>
      <c r="Z18" s="44">
        <f>IF('2023年'!$AZ18&gt;=SUM('2023年'!AD18:$AG18),'2023年'!AD18,IF('2023年'!$AZ18-SUM('2023年'!AE18:$AG18)&gt;0,'2023年'!$AZ18-SUM('2023年'!AE18:$AG18),0))</f>
        <v>45900.5</v>
      </c>
      <c r="AA18" s="44">
        <f>IF('2023年'!$AZ18&gt;=SUM('2023年'!AE18:$AG18),'2023年'!AE18,IF('2023年'!$AZ18-SUM('2023年'!AF18:$AG18)&gt;0,'2023年'!$AZ18-SUM('2023年'!AF18:$AG18),0))</f>
        <v>45864.8</v>
      </c>
      <c r="AB18" s="44">
        <f>IF('2023年'!$AZ18&gt;=SUM('2023年'!AF18:$AG18),'2023年'!AF18,IF('2023年'!$AZ18-SUM('2023年'!AG18:$AG18)&gt;0,'2023年'!$AZ18-SUM('2023年'!AG18:$AG18),0))</f>
        <v>45986.2</v>
      </c>
      <c r="AC18" s="44">
        <f>IF('2023年'!$AZ18&gt;=SUM('2023年'!AG18:$AG18),'2023年'!AG18,IF('2023年'!$AZ18-SUM('2023年'!$AG18:AH18)&gt;0,'2023年'!$AZ18-SUM('2023年'!$AG18:AH18),0))</f>
        <v>0</v>
      </c>
      <c r="AD18" s="312"/>
      <c r="AE18" s="313"/>
      <c r="AF18" s="311" t="s">
        <v>372</v>
      </c>
      <c r="AG18" s="88" t="s">
        <v>386</v>
      </c>
      <c r="AH18" s="88" t="s">
        <v>426</v>
      </c>
      <c r="AI18" s="315"/>
      <c r="AJ18" s="86">
        <f>SUM(X18:AC18)/6*0.8</f>
        <v>30610.172</v>
      </c>
      <c r="AK18" s="91"/>
      <c r="AL18" s="10">
        <f>'2023年'!AZ18</f>
        <v>441257.19</v>
      </c>
      <c r="AM18" s="96">
        <f t="shared" si="0"/>
        <v>0</v>
      </c>
    </row>
    <row r="19" s="10" customFormat="1" ht="24.05" customHeight="1" spans="2:39">
      <c r="B19" s="48" t="s">
        <v>81</v>
      </c>
      <c r="C19" s="46" t="str">
        <f>'2023年'!C19</f>
        <v>1931679</v>
      </c>
      <c r="D19" s="46" t="str">
        <f>'2023年'!D19</f>
        <v>上海金山张泾五金弹簧有限公司</v>
      </c>
      <c r="E19" s="56" t="s">
        <v>96</v>
      </c>
      <c r="F19" s="42">
        <f>SUM(I19:Q19)</f>
        <v>0</v>
      </c>
      <c r="G19" s="291">
        <f>SUM(I19:P19)</f>
        <v>0</v>
      </c>
      <c r="H19" s="291">
        <f>SUM(I19:AC19)</f>
        <v>0</v>
      </c>
      <c r="I19" s="298"/>
      <c r="J19" s="217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217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217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217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N19" s="217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O19" s="217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P19" s="217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Q19" s="217" t="str">
        <f>IF('2023年'!$AZ19&gt;(SUM('2023年'!V19:AG19)+'2023年'!T19+'2023年'!Q19),'2023年'!Q19+'2023年'!T19,IF('2023年'!$AZ19-SUM('2023年'!V19:AG19)&gt;0,'2023年'!$AZ19-SUM('2023年'!V19:AG19),""))</f>
        <v/>
      </c>
      <c r="R19" s="221">
        <f>IF('2023年'!$AZ19&gt;=SUM('2023年'!V19:$AG19),'2023年'!V19,IF('2023年'!$AZ19-SUM('2023年'!W19:$AG19)&gt;0,'2023年'!$AZ19-SUM('2023年'!W19:$AG19),0))</f>
        <v>0</v>
      </c>
      <c r="S19" s="221">
        <f>IF('2023年'!$AZ19&gt;=SUM('2023年'!W19:$AG19),'2023年'!W19,IF('2023年'!$AZ19-SUM('2023年'!X19:$AG19)&gt;0,'2023年'!$AZ19-SUM('2023年'!X19:$AG19),0))</f>
        <v>0</v>
      </c>
      <c r="T19" s="221">
        <f>IF('2023年'!$AZ19&gt;=SUM('2023年'!X19:$AG19),'2023年'!X19,IF('2023年'!$AZ19-SUM('2023年'!Y19:$AG19)&gt;0,'2023年'!$AZ19-SUM('2023年'!Y19:$AG19),0))</f>
        <v>0</v>
      </c>
      <c r="U19" s="44">
        <f>IF('2023年'!$AZ19&gt;=SUM('2023年'!Y19:$AG19),'2023年'!Y19,IF('2023年'!$AZ19-SUM('2023年'!Z19:$AG19)&gt;0,'2023年'!$AZ19-SUM('2023年'!Z19:$AG19),0))</f>
        <v>0</v>
      </c>
      <c r="V19" s="44">
        <f>IF('2023年'!$AZ19&gt;=SUM('2023年'!Z19:$AG19),'2023年'!Z19,IF('2023年'!$AZ19-SUM('2023年'!AA19:$AG19)&gt;0,'2023年'!$AZ19-SUM('2023年'!AA19:$AG19),0))</f>
        <v>0</v>
      </c>
      <c r="W19" s="44">
        <f>IF('2023年'!$AZ19&gt;=SUM('2023年'!AA19:$AG19),'2023年'!AA19,IF('2023年'!$AZ19-SUM('2023年'!AB19:$AG19)&gt;0,'2023年'!$AZ19-SUM('2023年'!AB19:$AG19),0))</f>
        <v>0</v>
      </c>
      <c r="X19" s="44">
        <f>IF('2023年'!$AZ19&gt;=SUM('2023年'!AB19:$AG19),'2023年'!AB19,IF('2023年'!$AZ19-SUM('2023年'!AC19:$AG19)&gt;0,'2023年'!$AZ19-SUM('2023年'!AC19:$AG19),0))</f>
        <v>0</v>
      </c>
      <c r="Y19" s="44">
        <f>IF('2023年'!$AZ19&gt;=SUM('2023年'!AC19:$AG19),'2023年'!AC19,IF('2023年'!$AZ19-SUM('2023年'!AD19:$AG19)&gt;0,'2023年'!$AZ19-SUM('2023年'!AD19:$AG19),0))</f>
        <v>0</v>
      </c>
      <c r="Z19" s="44">
        <f>IF('2023年'!$AZ19&gt;=SUM('2023年'!AD19:$AG19),'2023年'!AD19,IF('2023年'!$AZ19-SUM('2023年'!AE19:$AG19)&gt;0,'2023年'!$AZ19-SUM('2023年'!AE19:$AG19),0))</f>
        <v>0</v>
      </c>
      <c r="AA19" s="44">
        <f>IF('2023年'!$AZ19&gt;=SUM('2023年'!AE19:$AG19),'2023年'!AE19,IF('2023年'!$AZ19-SUM('2023年'!AF19:$AG19)&gt;0,'2023年'!$AZ19-SUM('2023年'!AF19:$AG19),0))</f>
        <v>0</v>
      </c>
      <c r="AB19" s="44">
        <f>IF('2023年'!$AZ19&gt;=SUM('2023年'!AF19:$AG19),'2023年'!AF19,IF('2023年'!$AZ19-SUM('2023年'!AG19:$AG19)&gt;0,'2023年'!$AZ19-SUM('2023年'!AG19:$AG19),0))</f>
        <v>0</v>
      </c>
      <c r="AC19" s="44">
        <f>IF('2023年'!$AZ19&gt;=SUM('2023年'!AG19:$AG19),'2023年'!AG19,IF('2023年'!$AZ19-SUM('2023年'!$AG19:AH19)&gt;0,'2023年'!$AZ19-SUM('2023年'!$AG19:AH19),0))</f>
        <v>0</v>
      </c>
      <c r="AD19" s="312"/>
      <c r="AE19" s="313"/>
      <c r="AF19" s="311"/>
      <c r="AG19" s="88" t="s">
        <v>382</v>
      </c>
      <c r="AH19" s="88"/>
      <c r="AI19" s="279"/>
      <c r="AJ19" s="91"/>
      <c r="AK19" s="91"/>
      <c r="AL19" s="10">
        <f>'2023年'!AZ19</f>
        <v>0</v>
      </c>
      <c r="AM19" s="10">
        <f t="shared" si="0"/>
        <v>0</v>
      </c>
    </row>
    <row r="20" s="10" customFormat="1" ht="24.05" customHeight="1" spans="2:39">
      <c r="B20" s="48" t="s">
        <v>81</v>
      </c>
      <c r="C20" s="46" t="str">
        <f>'2023年'!C20</f>
        <v>L4878</v>
      </c>
      <c r="D20" s="46" t="str">
        <f>'2023年'!D20</f>
        <v>江阴宝曼电子科技有限公司</v>
      </c>
      <c r="E20" s="293" t="s">
        <v>85</v>
      </c>
      <c r="F20" s="42">
        <f>SUM(I20:AA20)</f>
        <v>0</v>
      </c>
      <c r="G20" s="291">
        <f>SUM(I20:S20)</f>
        <v>0</v>
      </c>
      <c r="H20" s="43" t="str">
        <f t="shared" ref="H20:H34" si="3">IF(SUM(J20:AC20)&gt;0,SUM(J20:AC20),"0")</f>
        <v>0</v>
      </c>
      <c r="I20" s="298"/>
      <c r="J20" s="217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217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217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217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N20" s="217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O20" s="217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P20" s="217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Q20" s="217" t="str">
        <f>IF('2023年'!$AZ20&gt;(SUM('2023年'!V20:AG20)+'2023年'!T20+'2023年'!Q20),'2023年'!Q20+'2023年'!T20,IF('2023年'!$AZ20-SUM('2023年'!V20:AG20)&gt;0,'2023年'!$AZ20-SUM('2023年'!V20:AG20),""))</f>
        <v/>
      </c>
      <c r="R20" s="221">
        <f>IF('2023年'!$AZ20&gt;=SUM('2023年'!V20:$AG20),'2023年'!V20,IF('2023年'!$AZ20-SUM('2023年'!W20:$AG20)&gt;0,'2023年'!$AZ20-SUM('2023年'!W20:$AG20),0))</f>
        <v>0</v>
      </c>
      <c r="S20" s="221">
        <f>IF('2023年'!$AZ20&gt;=SUM('2023年'!W20:$AG20),'2023年'!W20,IF('2023年'!$AZ20-SUM('2023年'!X20:$AG20)&gt;0,'2023年'!$AZ20-SUM('2023年'!X20:$AG20),0))</f>
        <v>0</v>
      </c>
      <c r="T20" s="221">
        <f>IF('2023年'!$AZ20&gt;=SUM('2023年'!X20:$AG20),'2023年'!X20,IF('2023年'!$AZ20-SUM('2023年'!Y20:$AG20)&gt;0,'2023年'!$AZ20-SUM('2023年'!Y20:$AG20),0))</f>
        <v>0</v>
      </c>
      <c r="U20" s="44">
        <f>IF('2023年'!$AZ20&gt;=SUM('2023年'!Y20:$AG20),'2023年'!Y20,IF('2023年'!$AZ20-SUM('2023年'!Z20:$AG20)&gt;0,'2023年'!$AZ20-SUM('2023年'!Z20:$AG20),0))</f>
        <v>0</v>
      </c>
      <c r="V20" s="44">
        <f>IF('2023年'!$AZ20&gt;=SUM('2023年'!Z20:$AG20),'2023年'!Z20,IF('2023年'!$AZ20-SUM('2023年'!AA20:$AG20)&gt;0,'2023年'!$AZ20-SUM('2023年'!AA20:$AG20),0))</f>
        <v>0</v>
      </c>
      <c r="W20" s="44">
        <f>IF('2023年'!$AZ20&gt;=SUM('2023年'!AA20:$AG20),'2023年'!AA20,IF('2023年'!$AZ20-SUM('2023年'!AB20:$AG20)&gt;0,'2023年'!$AZ20-SUM('2023年'!AB20:$AG20),0))</f>
        <v>0</v>
      </c>
      <c r="X20" s="44">
        <f>IF('2023年'!$AZ20&gt;=SUM('2023年'!AB20:$AG20),'2023年'!AB20,IF('2023年'!$AZ20-SUM('2023年'!AC20:$AG20)&gt;0,'2023年'!$AZ20-SUM('2023年'!AC20:$AG20),0))</f>
        <v>0</v>
      </c>
      <c r="Y20" s="44">
        <f>IF('2023年'!$AZ20&gt;=SUM('2023年'!AC20:$AG20),'2023年'!AC20,IF('2023年'!$AZ20-SUM('2023年'!AD20:$AG20)&gt;0,'2023年'!$AZ20-SUM('2023年'!AD20:$AG20),0))</f>
        <v>0</v>
      </c>
      <c r="Z20" s="44">
        <f>IF('2023年'!$AZ20&gt;=SUM('2023年'!AD20:$AG20),'2023年'!AD20,IF('2023年'!$AZ20-SUM('2023年'!AE20:$AG20)&gt;0,'2023年'!$AZ20-SUM('2023年'!AE20:$AG20),0))</f>
        <v>0</v>
      </c>
      <c r="AA20" s="44">
        <f>IF('2023年'!$AZ20&gt;=SUM('2023年'!AE20:$AG20),'2023年'!AE20,IF('2023年'!$AZ20-SUM('2023年'!AF20:$AG20)&gt;0,'2023年'!$AZ20-SUM('2023年'!AF20:$AG20),0))</f>
        <v>0</v>
      </c>
      <c r="AB20" s="44">
        <f>IF('2023年'!$AZ20&gt;=SUM('2023年'!AF20:$AG20),'2023年'!AF20,IF('2023年'!$AZ20-SUM('2023年'!AG20:$AG20)&gt;0,'2023年'!$AZ20-SUM('2023年'!AG20:$AG20),0))</f>
        <v>0</v>
      </c>
      <c r="AC20" s="44">
        <f>IF('2023年'!$AZ20&gt;=SUM('2023年'!AG20:$AG20),'2023年'!AG20,IF('2023年'!$AZ20-SUM('2023年'!$AG20:AH20)&gt;0,'2023年'!$AZ20-SUM('2023年'!$AG20:AH20),0))</f>
        <v>0</v>
      </c>
      <c r="AD20" s="312"/>
      <c r="AE20" s="313"/>
      <c r="AF20" s="311"/>
      <c r="AG20" s="88" t="s">
        <v>370</v>
      </c>
      <c r="AH20" s="88" t="s">
        <v>426</v>
      </c>
      <c r="AI20" s="315"/>
      <c r="AJ20" s="86">
        <f t="shared" ref="AJ20:AJ34" si="4">SUM(X20:AC20)/6*0.8</f>
        <v>0</v>
      </c>
      <c r="AK20" s="91"/>
      <c r="AL20" s="10">
        <f>'2023年'!AZ20</f>
        <v>0</v>
      </c>
      <c r="AM20" s="96">
        <f t="shared" si="0"/>
        <v>0</v>
      </c>
    </row>
    <row r="21" s="10" customFormat="1" ht="24.05" customHeight="1" spans="2:39">
      <c r="B21" s="48" t="s">
        <v>81</v>
      </c>
      <c r="C21" s="46" t="str">
        <f>'2023年'!C21</f>
        <v>L4749</v>
      </c>
      <c r="D21" s="46" t="str">
        <f>'2023年'!D21</f>
        <v>麦格纳（太仓）汽车科技有限公</v>
      </c>
      <c r="E21" s="47">
        <v>30</v>
      </c>
      <c r="F21" s="42">
        <f>SUM(I21:AB21)</f>
        <v>403623.8</v>
      </c>
      <c r="G21" s="291">
        <f>SUM(I21:T21)</f>
        <v>0</v>
      </c>
      <c r="H21" s="43">
        <f t="shared" si="3"/>
        <v>403623.8</v>
      </c>
      <c r="I21" s="298"/>
      <c r="J21" s="217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217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217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217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N21" s="217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O21" s="217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P21" s="217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Q21" s="217" t="str">
        <f>IF('2023年'!$AZ21&gt;(SUM('2023年'!V21:AG21)+'2023年'!T21+'2023年'!Q21),'2023年'!Q21+'2023年'!T21,IF('2023年'!$AZ21-SUM('2023年'!V21:AG21)&gt;0,'2023年'!$AZ21-SUM('2023年'!V21:AG21),""))</f>
        <v/>
      </c>
      <c r="R21" s="221">
        <f>IF('2023年'!$AZ21&gt;=SUM('2023年'!V21:$AG21),'2023年'!V21,IF('2023年'!$AZ21-SUM('2023年'!W21:$AG21)&gt;0,'2023年'!$AZ21-SUM('2023年'!W21:$AG21),0))</f>
        <v>0</v>
      </c>
      <c r="S21" s="221">
        <f>IF('2023年'!$AZ21&gt;=SUM('2023年'!W21:$AG21),'2023年'!W21,IF('2023年'!$AZ21-SUM('2023年'!X21:$AG21)&gt;0,'2023年'!$AZ21-SUM('2023年'!X21:$AG21),0))</f>
        <v>0</v>
      </c>
      <c r="T21" s="221">
        <f>IF('2023年'!$AZ21&gt;=SUM('2023年'!X21:$AG21),'2023年'!X21,IF('2023年'!$AZ21-SUM('2023年'!Y21:$AG21)&gt;0,'2023年'!$AZ21-SUM('2023年'!Y21:$AG21),0))</f>
        <v>0</v>
      </c>
      <c r="U21" s="44">
        <f>IF('2023年'!$AZ21&gt;=SUM('2023年'!Y21:$AG21),'2023年'!Y21,IF('2023年'!$AZ21-SUM('2023年'!Z21:$AG21)&gt;0,'2023年'!$AZ21-SUM('2023年'!Z21:$AG21),0))</f>
        <v>0</v>
      </c>
      <c r="V21" s="44">
        <f>IF('2023年'!$AZ21&gt;=SUM('2023年'!Z21:$AG21),'2023年'!Z21,IF('2023年'!$AZ21-SUM('2023年'!AA21:$AG21)&gt;0,'2023年'!$AZ21-SUM('2023年'!AA21:$AG21),0))</f>
        <v>0</v>
      </c>
      <c r="W21" s="44">
        <f>IF('2023年'!$AZ21&gt;=SUM('2023年'!AA21:$AG21),'2023年'!AA21,IF('2023年'!$AZ21-SUM('2023年'!AB21:$AG21)&gt;0,'2023年'!$AZ21-SUM('2023年'!AB21:$AG21),0))</f>
        <v>0</v>
      </c>
      <c r="X21" s="44">
        <f>IF('2023年'!$AZ21&gt;=SUM('2023年'!AB21:$AG21),'2023年'!AB21,IF('2023年'!$AZ21-SUM('2023年'!AC21:$AG21)&gt;0,'2023年'!$AZ21-SUM('2023年'!AC21:$AG21),0))</f>
        <v>0</v>
      </c>
      <c r="Y21" s="44">
        <f>IF('2023年'!$AZ21&gt;=SUM('2023年'!AC21:$AG21),'2023年'!AC21,IF('2023年'!$AZ21-SUM('2023年'!AD21:$AG21)&gt;0,'2023年'!$AZ21-SUM('2023年'!AD21:$AG21),0))</f>
        <v>68832.84</v>
      </c>
      <c r="Z21" s="44">
        <f>IF('2023年'!$AZ21&gt;=SUM('2023年'!AD21:$AG21),'2023年'!AD21,IF('2023年'!$AZ21-SUM('2023年'!AE21:$AG21)&gt;0,'2023年'!$AZ21-SUM('2023年'!AE21:$AG21),0))</f>
        <v>167395.48</v>
      </c>
      <c r="AA21" s="44">
        <f>IF('2023年'!$AZ21&gt;=SUM('2023年'!AE21:$AG21),'2023年'!AE21,IF('2023年'!$AZ21-SUM('2023年'!AF21:$AG21)&gt;0,'2023年'!$AZ21-SUM('2023年'!AF21:$AG21),0))</f>
        <v>167395.48</v>
      </c>
      <c r="AB21" s="44">
        <f>IF('2023年'!$AZ21&gt;=SUM('2023年'!AF21:$AG21),'2023年'!AF21,IF('2023年'!$AZ21-SUM('2023年'!AG21:$AG21)&gt;0,'2023年'!$AZ21-SUM('2023年'!AG21:$AG21),0))</f>
        <v>0</v>
      </c>
      <c r="AC21" s="44">
        <f>IF('2023年'!$AZ21&gt;=SUM('2023年'!AG21:$AG21),'2023年'!AG21,IF('2023年'!$AZ21-SUM('2023年'!$AG21:AH21)&gt;0,'2023年'!$AZ21-SUM('2023年'!$AG21:AH21),0))</f>
        <v>0</v>
      </c>
      <c r="AD21" s="312"/>
      <c r="AE21" s="313"/>
      <c r="AF21" s="311"/>
      <c r="AG21" s="88" t="s">
        <v>387</v>
      </c>
      <c r="AH21" s="88" t="s">
        <v>426</v>
      </c>
      <c r="AI21" s="315"/>
      <c r="AJ21" s="86">
        <f t="shared" si="4"/>
        <v>53816.5066666667</v>
      </c>
      <c r="AK21" s="91"/>
      <c r="AL21" s="10">
        <f>'2023年'!AZ21</f>
        <v>403623.8</v>
      </c>
      <c r="AM21" s="96">
        <f t="shared" si="0"/>
        <v>0</v>
      </c>
    </row>
    <row r="22" s="10" customFormat="1" ht="24.05" customHeight="1" spans="2:39">
      <c r="B22" s="48" t="s">
        <v>81</v>
      </c>
      <c r="C22" s="46" t="str">
        <f>'2023年'!C22</f>
        <v>1913023</v>
      </c>
      <c r="D22" s="46" t="str">
        <f>'2023年'!D22</f>
        <v>海兴中盛弹簧制品有限公司</v>
      </c>
      <c r="E22" s="294">
        <v>90</v>
      </c>
      <c r="F22" s="42">
        <f>IF(SUM(I22:Z22)&gt;0,SUM(I22:Z22),0)</f>
        <v>140640.88</v>
      </c>
      <c r="G22" s="291">
        <f>SUM(I22:R22)</f>
        <v>9790.31000000003</v>
      </c>
      <c r="H22" s="43">
        <f t="shared" si="3"/>
        <v>162072.46</v>
      </c>
      <c r="I22" s="298"/>
      <c r="J22" s="217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217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217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217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N22" s="217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O22" s="217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P22" s="217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Q22" s="217">
        <f>IF('2023年'!$AZ22&gt;(SUM('2023年'!V22:AG22)+'2023年'!T22+'2023年'!Q22),'2023年'!Q22+'2023年'!T22,IF('2023年'!$AZ22-SUM('2023年'!V22:AG22)&gt;0,'2023年'!$AZ22-SUM('2023年'!V22:AG22),""))</f>
        <v>9790.31000000003</v>
      </c>
      <c r="R22" s="221">
        <f>IF('2023年'!$AZ22&gt;=SUM('2023年'!V22:$AG22),'2023年'!V22,IF('2023年'!$AZ22-SUM('2023年'!W22:$AG22)&gt;0,'2023年'!$AZ22-SUM('2023年'!W22:$AG22),0))</f>
        <v>0</v>
      </c>
      <c r="S22" s="221">
        <f>IF('2023年'!$AZ22&gt;=SUM('2023年'!W22:$AG22),'2023年'!W22,IF('2023年'!$AZ22-SUM('2023年'!X22:$AG22)&gt;0,'2023年'!$AZ22-SUM('2023年'!X22:$AG22),0))</f>
        <v>0</v>
      </c>
      <c r="T22" s="221">
        <f>IF('2023年'!$AZ22&gt;=SUM('2023年'!X22:$AG22),'2023年'!X22,IF('2023年'!$AZ22-SUM('2023年'!Y22:$AG22)&gt;0,'2023年'!$AZ22-SUM('2023年'!Y22:$AG22),0))</f>
        <v>19628.1</v>
      </c>
      <c r="U22" s="44">
        <f>IF('2023年'!$AZ22&gt;=SUM('2023年'!Y22:$AG22),'2023年'!Y22,IF('2023年'!$AZ22-SUM('2023年'!Z22:$AG22)&gt;0,'2023年'!$AZ22-SUM('2023年'!Z22:$AG22),0))</f>
        <v>0</v>
      </c>
      <c r="V22" s="44">
        <f>IF('2023年'!$AZ22&gt;=SUM('2023年'!Z22:$AG22),'2023年'!Z22,IF('2023年'!$AZ22-SUM('2023年'!AA22:$AG22)&gt;0,'2023年'!$AZ22-SUM('2023年'!AA22:$AG22),0))</f>
        <v>36679.8</v>
      </c>
      <c r="W22" s="44">
        <f>IF('2023年'!$AZ22&gt;=SUM('2023年'!AA22:$AG22),'2023年'!AA22,IF('2023年'!$AZ22-SUM('2023年'!AB22:$AG22)&gt;0,'2023年'!$AZ22-SUM('2023年'!AB22:$AG22),0))</f>
        <v>0</v>
      </c>
      <c r="X22" s="44">
        <f>IF('2023年'!$AZ22&gt;=SUM('2023年'!AB22:$AG22),'2023年'!AB22,IF('2023年'!$AZ22-SUM('2023年'!AC22:$AG22)&gt;0,'2023年'!$AZ22-SUM('2023年'!AC22:$AG22),0))</f>
        <v>71506.4</v>
      </c>
      <c r="Y22" s="44">
        <f>IF('2023年'!$AZ22&gt;=SUM('2023年'!AC22:$AG22),'2023年'!AC22,IF('2023年'!$AZ22-SUM('2023年'!AD22:$AG22)&gt;0,'2023年'!$AZ22-SUM('2023年'!AD22:$AG22),0))</f>
        <v>0</v>
      </c>
      <c r="Z22" s="44">
        <f>IF('2023年'!$AZ22&gt;=SUM('2023年'!AD22:$AG22),'2023年'!AD22,IF('2023年'!$AZ22-SUM('2023年'!AE22:$AG22)&gt;0,'2023年'!$AZ22-SUM('2023年'!AE22:$AG22),0))</f>
        <v>3036.27</v>
      </c>
      <c r="AA22" s="44">
        <f>IF('2023年'!$AZ22&gt;=SUM('2023年'!AE22:$AG22),'2023年'!AE22,IF('2023年'!$AZ22-SUM('2023年'!AF22:$AG22)&gt;0,'2023年'!$AZ22-SUM('2023年'!AF22:$AG22),0))</f>
        <v>0</v>
      </c>
      <c r="AB22" s="44">
        <f>IF('2023年'!$AZ22&gt;=SUM('2023年'!AF22:$AG22),'2023年'!AF22,IF('2023年'!$AZ22-SUM('2023年'!AG22:$AG22)&gt;0,'2023年'!$AZ22-SUM('2023年'!AG22:$AG22),0))</f>
        <v>21431.58</v>
      </c>
      <c r="AC22" s="44">
        <f>IF('2023年'!$AZ22&gt;=SUM('2023年'!AG22:$AG22),'2023年'!AG22,IF('2023年'!$AZ22-SUM('2023年'!$AG22:AH22)&gt;0,'2023年'!$AZ22-SUM('2023年'!$AG22:AH22),0))</f>
        <v>0</v>
      </c>
      <c r="AD22" s="312"/>
      <c r="AE22" s="313"/>
      <c r="AF22" s="311"/>
      <c r="AG22" s="88" t="s">
        <v>388</v>
      </c>
      <c r="AH22" s="88" t="s">
        <v>426</v>
      </c>
      <c r="AI22" s="315"/>
      <c r="AJ22" s="86">
        <f t="shared" si="4"/>
        <v>12796.5666666667</v>
      </c>
      <c r="AK22" s="91"/>
      <c r="AL22" s="10">
        <f>'2023年'!AZ22</f>
        <v>162072.46</v>
      </c>
      <c r="AM22" s="96">
        <f t="shared" si="0"/>
        <v>0</v>
      </c>
    </row>
    <row r="23" s="10" customFormat="1" ht="24.05" customHeight="1" spans="2:39">
      <c r="B23" s="48" t="s">
        <v>81</v>
      </c>
      <c r="C23" s="46" t="str">
        <f>'2023年'!C23</f>
        <v>1951035</v>
      </c>
      <c r="D23" s="46" t="str">
        <f>'2023年'!D23</f>
        <v>长春力登维科技产业有限公司成</v>
      </c>
      <c r="E23" s="294" t="s">
        <v>222</v>
      </c>
      <c r="F23" s="42">
        <f>IF(SUM(I23:Z23)&gt;0,SUM(I23:Z23),0)</f>
        <v>25883.9</v>
      </c>
      <c r="G23" s="291">
        <f>SUM(I23:R23)</f>
        <v>0</v>
      </c>
      <c r="H23" s="43">
        <f t="shared" si="3"/>
        <v>44867.9</v>
      </c>
      <c r="I23" s="298"/>
      <c r="J23" s="217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217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217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217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N23" s="217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O23" s="217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P23" s="217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Q23" s="217" t="str">
        <f>IF('2023年'!$AZ23&gt;(SUM('2023年'!V23:AG23)+'2023年'!T23+'2023年'!Q23),'2023年'!Q23+'2023年'!T23,IF('2023年'!$AZ23-SUM('2023年'!V23:AG23)&gt;0,'2023年'!$AZ23-SUM('2023年'!V23:AG23),""))</f>
        <v/>
      </c>
      <c r="R23" s="221">
        <f>IF('2023年'!$AZ23&gt;=SUM('2023年'!V23:$AG23),'2023年'!V23,IF('2023年'!$AZ23-SUM('2023年'!W23:$AG23)&gt;0,'2023年'!$AZ23-SUM('2023年'!W23:$AG23),0))</f>
        <v>0</v>
      </c>
      <c r="S23" s="221">
        <f>IF('2023年'!$AZ23&gt;=SUM('2023年'!W23:$AG23),'2023年'!W23,IF('2023年'!$AZ23-SUM('2023年'!X23:$AG23)&gt;0,'2023年'!$AZ23-SUM('2023年'!X23:$AG23),0))</f>
        <v>0</v>
      </c>
      <c r="T23" s="221">
        <f>IF('2023年'!$AZ23&gt;=SUM('2023年'!X23:$AG23),'2023年'!X23,IF('2023年'!$AZ23-SUM('2023年'!Y23:$AG23)&gt;0,'2023年'!$AZ23-SUM('2023年'!Y23:$AG23),0))</f>
        <v>0</v>
      </c>
      <c r="U23" s="44">
        <f>IF('2023年'!$AZ23&gt;=SUM('2023年'!Y23:$AG23),'2023年'!Y23,IF('2023年'!$AZ23-SUM('2023年'!Z23:$AG23)&gt;0,'2023年'!$AZ23-SUM('2023年'!Z23:$AG23),0))</f>
        <v>0</v>
      </c>
      <c r="V23" s="44">
        <f>IF('2023年'!$AZ23&gt;=SUM('2023年'!Z23:$AG23),'2023年'!Z23,IF('2023年'!$AZ23-SUM('2023年'!AA23:$AG23)&gt;0,'2023年'!$AZ23-SUM('2023年'!AA23:$AG23),0))</f>
        <v>9747.49999999999</v>
      </c>
      <c r="W23" s="44">
        <f>IF('2023年'!$AZ23&gt;=SUM('2023年'!AA23:$AG23),'2023年'!AA23,IF('2023年'!$AZ23-SUM('2023年'!AB23:$AG23)&gt;0,'2023年'!$AZ23-SUM('2023年'!AB23:$AG23),0))</f>
        <v>0</v>
      </c>
      <c r="X23" s="44">
        <f>IF('2023年'!$AZ23&gt;=SUM('2023年'!AB23:$AG23),'2023年'!AB23,IF('2023年'!$AZ23-SUM('2023年'!AC23:$AG23)&gt;0,'2023年'!$AZ23-SUM('2023年'!AC23:$AG23),0))</f>
        <v>6644.4</v>
      </c>
      <c r="Y23" s="44">
        <f>IF('2023年'!$AZ23&gt;=SUM('2023年'!AC23:$AG23),'2023年'!AC23,IF('2023年'!$AZ23-SUM('2023年'!AD23:$AG23)&gt;0,'2023年'!$AZ23-SUM('2023年'!AD23:$AG23),0))</f>
        <v>4746</v>
      </c>
      <c r="Z23" s="44">
        <f>IF('2023年'!$AZ23&gt;=SUM('2023年'!AD23:$AG23),'2023年'!AD23,IF('2023年'!$AZ23-SUM('2023年'!AE23:$AG23)&gt;0,'2023年'!$AZ23-SUM('2023年'!AE23:$AG23),0))</f>
        <v>4746</v>
      </c>
      <c r="AA23" s="44">
        <f>IF('2023年'!$AZ23&gt;=SUM('2023年'!AE23:$AG23),'2023年'!AE23,IF('2023年'!$AZ23-SUM('2023年'!AF23:$AG23)&gt;0,'2023年'!$AZ23-SUM('2023年'!AF23:$AG23),0))</f>
        <v>9492</v>
      </c>
      <c r="AB23" s="44">
        <f>IF('2023年'!$AZ23&gt;=SUM('2023年'!AF23:$AG23),'2023年'!AF23,IF('2023年'!$AZ23-SUM('2023年'!AG23:$AG23)&gt;0,'2023年'!$AZ23-SUM('2023年'!AG23:$AG23),0))</f>
        <v>4746</v>
      </c>
      <c r="AC23" s="44">
        <f>IF('2023年'!$AZ23&gt;=SUM('2023年'!AG23:$AG23),'2023年'!AG23,IF('2023年'!$AZ23-SUM('2023年'!$AG23:AH23)&gt;0,'2023年'!$AZ23-SUM('2023年'!$AG23:AH23),0))</f>
        <v>4746</v>
      </c>
      <c r="AD23" s="312"/>
      <c r="AE23" s="313"/>
      <c r="AF23" s="311"/>
      <c r="AG23" s="88" t="s">
        <v>371</v>
      </c>
      <c r="AH23" s="88" t="s">
        <v>426</v>
      </c>
      <c r="AI23" s="315"/>
      <c r="AJ23" s="86">
        <f t="shared" si="4"/>
        <v>4682.72</v>
      </c>
      <c r="AK23" s="91"/>
      <c r="AL23" s="10">
        <f>'2023年'!AZ23</f>
        <v>44867.9</v>
      </c>
      <c r="AM23" s="96">
        <f t="shared" si="0"/>
        <v>0</v>
      </c>
    </row>
    <row r="24" s="10" customFormat="1" ht="24.05" customHeight="1" spans="2:39">
      <c r="B24" s="48" t="s">
        <v>81</v>
      </c>
      <c r="C24" s="46" t="str">
        <f>'2023年'!C24</f>
        <v>1951047</v>
      </c>
      <c r="D24" s="46" t="str">
        <f>'2023年'!D24</f>
        <v>上海中鹏岳博实业发展有限公司</v>
      </c>
      <c r="E24" s="295">
        <v>60</v>
      </c>
      <c r="F24" s="42">
        <f>SUM(I24:AA24)</f>
        <v>9919.14</v>
      </c>
      <c r="G24" s="291">
        <f>SUM(I24:S24)</f>
        <v>0</v>
      </c>
      <c r="H24" s="43">
        <f>IF(SUM(I24:AC24)&gt;0,SUM(I24:AC24),"0")</f>
        <v>9919.14</v>
      </c>
      <c r="I24" s="298"/>
      <c r="J24" s="217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217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217" t="str">
        <f>IF('2023年'!$AZ24&gt;(SUM('2023年'!$V24:AG24)+SUM('2023年'!H24:$T24)),'2023年'!H24,IF('2023年'!$AZ24-SUM('2023年'!$V24:AG24)-SUM('2023年'!I24:$T24)&gt;0,'2023年'!$AZ24-SUM('2023年'!$V24:AG24)-SUM('2023年'!I24:$T24),""))</f>
        <v/>
      </c>
      <c r="M24" s="217" t="str">
        <f>IF('2023年'!$AZ24&gt;(SUM('2023年'!V24:AG24)+SUM('2023年'!M24:$T24)),'2023年'!M24,IF('2023年'!$AZ24-SUM('2023年'!V24:AG24)-SUM('2023年'!N24:$T24)&gt;0,'2023年'!$AZ24-SUM('2023年'!V24:AG24)-SUM('2023年'!N24:$T24),""))</f>
        <v/>
      </c>
      <c r="N24" s="217" t="str">
        <f>IF('2023年'!$AZ24&gt;(SUM('2023年'!V24:AG24)+SUM('2023年'!N24:$T24)),'2023年'!N24,IF('2023年'!$AZ24-SUM('2023年'!V24:AG24)-SUM('2023年'!O24:$T24)&gt;0,'2023年'!$AZ24-SUM('2023年'!V24:AG24)-SUM('2023年'!O24:$T24),""))</f>
        <v/>
      </c>
      <c r="O24" s="217" t="str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/>
      </c>
      <c r="P24" s="217" t="str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/>
      </c>
      <c r="Q24" s="217" t="str">
        <f>IF('2023年'!$AZ24&gt;(SUM('2023年'!V24:AG24)+'2023年'!T24+'2023年'!Q24),'2023年'!Q24+'2023年'!T24,IF('2023年'!$AZ24-SUM('2023年'!V24:AG24)&gt;0,'2023年'!$AZ24-SUM('2023年'!V24:AG24),""))</f>
        <v/>
      </c>
      <c r="R24" s="221">
        <f>IF('2023年'!$AZ24&gt;=SUM('2023年'!V24:$AG24),'2023年'!V24,IF('2023年'!$AZ24-SUM('2023年'!W24:$AG24)&gt;0,'2023年'!$AZ24-SUM('2023年'!W24:$AG24),0))</f>
        <v>0</v>
      </c>
      <c r="S24" s="221">
        <f>IF('2023年'!$AZ24&gt;=SUM('2023年'!W24:$AG24),'2023年'!W24,IF('2023年'!$AZ24-SUM('2023年'!X24:$AG24)&gt;0,'2023年'!$AZ24-SUM('2023年'!X24:$AG24),0))</f>
        <v>0</v>
      </c>
      <c r="T24" s="221">
        <f>IF('2023年'!$AZ24&gt;=SUM('2023年'!X24:$AG24),'2023年'!X24,IF('2023年'!$AZ24-SUM('2023年'!Y24:$AG24)&gt;0,'2023年'!$AZ24-SUM('2023年'!Y24:$AG24),0))</f>
        <v>0</v>
      </c>
      <c r="U24" s="44">
        <f>IF('2023年'!$AZ24&gt;=SUM('2023年'!Y24:$AG24),'2023年'!Y24,IF('2023年'!$AZ24-SUM('2023年'!Z24:$AG24)&gt;0,'2023年'!$AZ24-SUM('2023年'!Z24:$AG24),0))</f>
        <v>0</v>
      </c>
      <c r="V24" s="44">
        <f>IF('2023年'!$AZ24&gt;=SUM('2023年'!Z24:$AG24),'2023年'!Z24,IF('2023年'!$AZ24-SUM('2023年'!AA24:$AG24)&gt;0,'2023年'!$AZ24-SUM('2023年'!AA24:$AG24),0))</f>
        <v>0</v>
      </c>
      <c r="W24" s="44">
        <f>IF('2023年'!$AZ24&gt;=SUM('2023年'!AA24:$AG24),'2023年'!AA24,IF('2023年'!$AZ24-SUM('2023年'!AB24:$AG24)&gt;0,'2023年'!$AZ24-SUM('2023年'!AB24:$AG24),0))</f>
        <v>0</v>
      </c>
      <c r="X24" s="44">
        <f>IF('2023年'!$AZ24&gt;=SUM('2023年'!AB24:$AG24),'2023年'!AB24,IF('2023年'!$AZ24-SUM('2023年'!AC24:$AG24)&gt;0,'2023年'!$AZ24-SUM('2023年'!AC24:$AG24),0))</f>
        <v>0</v>
      </c>
      <c r="Y24" s="44">
        <f>IF('2023年'!$AZ24&gt;=SUM('2023年'!AC24:$AG24),'2023年'!AC24,IF('2023年'!$AZ24-SUM('2023年'!AD24:$AG24)&gt;0,'2023年'!$AZ24-SUM('2023年'!AD24:$AG24),0))</f>
        <v>0</v>
      </c>
      <c r="Z24" s="44">
        <f>IF('2023年'!$AZ24&gt;=SUM('2023年'!AD24:$AG24),'2023年'!AD24,IF('2023年'!$AZ24-SUM('2023年'!AE24:$AG24)&gt;0,'2023年'!$AZ24-SUM('2023年'!AE24:$AG24),0))</f>
        <v>0</v>
      </c>
      <c r="AA24" s="44">
        <f>IF('2023年'!$AZ24&gt;=SUM('2023年'!AE24:$AG24),'2023年'!AE24,IF('2023年'!$AZ24-SUM('2023年'!AF24:$AG24)&gt;0,'2023年'!$AZ24-SUM('2023年'!AF24:$AG24),0))</f>
        <v>9919.14</v>
      </c>
      <c r="AB24" s="44">
        <f>IF('2023年'!$AZ24&gt;=SUM('2023年'!AF24:$AG24),'2023年'!AF24,IF('2023年'!$AZ24-SUM('2023年'!AG24:$AG24)&gt;0,'2023年'!$AZ24-SUM('2023年'!AG24:$AG24),0))</f>
        <v>0</v>
      </c>
      <c r="AC24" s="44">
        <f>IF('2023年'!$AZ24&gt;=SUM('2023年'!AG24:$AG24),'2023年'!AG24,IF('2023年'!$AZ24-SUM('2023年'!$AG24:AH24)&gt;0,'2023年'!$AZ24-SUM('2023年'!$AG24:AH24),0))</f>
        <v>0</v>
      </c>
      <c r="AD24" s="312"/>
      <c r="AE24" s="313"/>
      <c r="AF24" s="311" t="s">
        <v>372</v>
      </c>
      <c r="AG24" s="88" t="s">
        <v>389</v>
      </c>
      <c r="AH24" s="88" t="s">
        <v>427</v>
      </c>
      <c r="AI24" s="315" t="s">
        <v>270</v>
      </c>
      <c r="AJ24" s="86">
        <f t="shared" si="4"/>
        <v>1322.552</v>
      </c>
      <c r="AK24" s="91"/>
      <c r="AL24" s="10">
        <f>'2023年'!AZ24</f>
        <v>9919.14</v>
      </c>
      <c r="AM24" s="96">
        <f t="shared" si="0"/>
        <v>0</v>
      </c>
    </row>
    <row r="25" s="10" customFormat="1" ht="24.05" customHeight="1" spans="2:39">
      <c r="B25" s="48" t="s">
        <v>81</v>
      </c>
      <c r="C25" s="46" t="str">
        <f>'2023年'!C25</f>
        <v>1922009</v>
      </c>
      <c r="D25" s="46" t="str">
        <f>'2023年'!D25</f>
        <v>长春鸿德汽车照明有限公司</v>
      </c>
      <c r="E25" s="41">
        <v>90</v>
      </c>
      <c r="F25" s="42">
        <f>IF(SUM(I25:Z25)&gt;0,SUM(I25:Z25),0)</f>
        <v>971586.19</v>
      </c>
      <c r="G25" s="291">
        <f>SUM(I25:R25)</f>
        <v>0</v>
      </c>
      <c r="H25" s="43">
        <f t="shared" si="3"/>
        <v>1207481.37</v>
      </c>
      <c r="I25" s="298"/>
      <c r="J25" s="217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217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217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217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N25" s="217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O25" s="217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P25" s="217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Q25" s="217" t="str">
        <f>IF('2023年'!$AZ25&gt;(SUM('2023年'!V25:AG25)+'2023年'!T25+'2023年'!Q25),'2023年'!Q25+'2023年'!T25,IF('2023年'!$AZ25-SUM('2023年'!V25:AG25)&gt;0,'2023年'!$AZ25-SUM('2023年'!V25:AG25),""))</f>
        <v/>
      </c>
      <c r="R25" s="221">
        <f>IF('2023年'!$AZ25&gt;=SUM('2023年'!V25:$AG25),'2023年'!V25,IF('2023年'!$AZ25-SUM('2023年'!W25:$AG25)&gt;0,'2023年'!$AZ25-SUM('2023年'!W25:$AG25),0))</f>
        <v>0</v>
      </c>
      <c r="S25" s="221">
        <f>IF('2023年'!$AZ25&gt;=SUM('2023年'!W25:$AG25),'2023年'!W25,IF('2023年'!$AZ25-SUM('2023年'!X25:$AG25)&gt;0,'2023年'!$AZ25-SUM('2023年'!X25:$AG25),0))</f>
        <v>0</v>
      </c>
      <c r="T25" s="221">
        <f>IF('2023年'!$AZ25&gt;=SUM('2023年'!X25:$AG25),'2023年'!X25,IF('2023年'!$AZ25-SUM('2023年'!Y25:$AG25)&gt;0,'2023年'!$AZ25-SUM('2023年'!Y25:$AG25),0))</f>
        <v>0</v>
      </c>
      <c r="U25" s="44">
        <f>IF('2023年'!$AZ25&gt;=SUM('2023年'!Y25:$AG25),'2023年'!Y25,IF('2023年'!$AZ25-SUM('2023年'!Z25:$AG25)&gt;0,'2023年'!$AZ25-SUM('2023年'!Z25:$AG25),0))</f>
        <v>0</v>
      </c>
      <c r="V25" s="44">
        <f>IF('2023年'!$AZ25&gt;=SUM('2023年'!Z25:$AG25),'2023年'!Z25,IF('2023年'!$AZ25-SUM('2023年'!AA25:$AG25)&gt;0,'2023年'!$AZ25-SUM('2023年'!AA25:$AG25),0))</f>
        <v>0</v>
      </c>
      <c r="W25" s="44">
        <f>IF('2023年'!$AZ25&gt;=SUM('2023年'!AA25:$AG25),'2023年'!AA25,IF('2023年'!$AZ25-SUM('2023年'!AB25:$AG25)&gt;0,'2023年'!$AZ25-SUM('2023年'!AB25:$AG25),0))</f>
        <v>691402.68</v>
      </c>
      <c r="X25" s="44">
        <f>IF('2023年'!$AZ25&gt;=SUM('2023年'!AB25:$AG25),'2023年'!AB25,IF('2023年'!$AZ25-SUM('2023年'!AC25:$AG25)&gt;0,'2023年'!$AZ25-SUM('2023年'!AC25:$AG25),0))</f>
        <v>280183.51</v>
      </c>
      <c r="Y25" s="44">
        <f>IF('2023年'!$AZ25&gt;=SUM('2023年'!AC25:$AG25),'2023年'!AC25,IF('2023年'!$AZ25-SUM('2023年'!AD25:$AG25)&gt;0,'2023年'!$AZ25-SUM('2023年'!AD25:$AG25),0))</f>
        <v>0</v>
      </c>
      <c r="Z25" s="44">
        <f>IF('2023年'!$AZ25&gt;=SUM('2023年'!AD25:$AG25),'2023年'!AD25,IF('2023年'!$AZ25-SUM('2023年'!AE25:$AG25)&gt;0,'2023年'!$AZ25-SUM('2023年'!AE25:$AG25),0))</f>
        <v>0</v>
      </c>
      <c r="AA25" s="44">
        <f>IF('2023年'!$AZ25&gt;=SUM('2023年'!AE25:$AG25),'2023年'!AE25,IF('2023年'!$AZ25-SUM('2023年'!AF25:$AG25)&gt;0,'2023年'!$AZ25-SUM('2023年'!AF25:$AG25),0))</f>
        <v>0</v>
      </c>
      <c r="AB25" s="44">
        <f>IF('2023年'!$AZ25&gt;=SUM('2023年'!AF25:$AG25),'2023年'!AF25,IF('2023年'!$AZ25-SUM('2023年'!AG25:$AG25)&gt;0,'2023年'!$AZ25-SUM('2023年'!AG25:$AG25),0))</f>
        <v>0</v>
      </c>
      <c r="AC25" s="44">
        <f>IF('2023年'!$AZ25&gt;=SUM('2023年'!AG25:$AG25),'2023年'!AG25,IF('2023年'!$AZ25-SUM('2023年'!$AG25:AH25)&gt;0,'2023年'!$AZ25-SUM('2023年'!$AG25:AH25),0))</f>
        <v>235895.18</v>
      </c>
      <c r="AD25" s="309"/>
      <c r="AE25" s="310"/>
      <c r="AF25" s="311"/>
      <c r="AG25" s="84" t="s">
        <v>390</v>
      </c>
      <c r="AH25" s="84" t="s">
        <v>426</v>
      </c>
      <c r="AI25" s="314" t="s">
        <v>391</v>
      </c>
      <c r="AJ25" s="86">
        <f t="shared" si="4"/>
        <v>68810.492</v>
      </c>
      <c r="AK25" s="91"/>
      <c r="AL25" s="10">
        <f>'2023年'!AZ25</f>
        <v>1207481.37</v>
      </c>
      <c r="AM25" s="96">
        <f t="shared" si="0"/>
        <v>0</v>
      </c>
    </row>
    <row r="26" s="10" customFormat="1" ht="24.05" customHeight="1" spans="2:39">
      <c r="B26" s="48" t="s">
        <v>81</v>
      </c>
      <c r="C26" s="46" t="str">
        <f>'2023年'!C26</f>
        <v>1931704</v>
      </c>
      <c r="D26" s="46" t="str">
        <f>'2023年'!D26</f>
        <v>上海努辰金属制品有限公司</v>
      </c>
      <c r="E26" s="295">
        <v>90</v>
      </c>
      <c r="F26" s="42">
        <f>IF(SUM(I26:Z26)&gt;0,SUM(I26:Z26),0)</f>
        <v>16222.05</v>
      </c>
      <c r="G26" s="291">
        <f>SUM(I26:R26)</f>
        <v>0</v>
      </c>
      <c r="H26" s="43">
        <f t="shared" si="3"/>
        <v>26581.89</v>
      </c>
      <c r="I26" s="298"/>
      <c r="J26" s="217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217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217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217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N26" s="217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O26" s="217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P26" s="217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Q26" s="217" t="str">
        <f>IF('2023年'!$AZ26&gt;(SUM('2023年'!V26:AG26)+'2023年'!T26+'2023年'!Q26),'2023年'!Q26+'2023年'!T26,IF('2023年'!$AZ26-SUM('2023年'!V26:AG26)&gt;0,'2023年'!$AZ26-SUM('2023年'!V26:AG26),""))</f>
        <v/>
      </c>
      <c r="R26" s="221">
        <f>IF('2023年'!$AZ26&gt;=SUM('2023年'!V26:$AG26),'2023年'!V26,IF('2023年'!$AZ26-SUM('2023年'!W26:$AG26)&gt;0,'2023年'!$AZ26-SUM('2023年'!W26:$AG26),0))</f>
        <v>0</v>
      </c>
      <c r="S26" s="221">
        <f>IF('2023年'!$AZ26&gt;=SUM('2023年'!W26:$AG26),'2023年'!W26,IF('2023年'!$AZ26-SUM('2023年'!X26:$AG26)&gt;0,'2023年'!$AZ26-SUM('2023年'!X26:$AG26),0))</f>
        <v>0</v>
      </c>
      <c r="T26" s="221">
        <f>IF('2023年'!$AZ26&gt;=SUM('2023年'!X26:$AG26),'2023年'!X26,IF('2023年'!$AZ26-SUM('2023年'!Y26:$AG26)&gt;0,'2023年'!$AZ26-SUM('2023年'!Y26:$AG26),0))</f>
        <v>0</v>
      </c>
      <c r="U26" s="44">
        <f>IF('2023年'!$AZ26&gt;=SUM('2023年'!Y26:$AG26),'2023年'!Y26,IF('2023年'!$AZ26-SUM('2023年'!Z26:$AG26)&gt;0,'2023年'!$AZ26-SUM('2023年'!Z26:$AG26),0))</f>
        <v>0</v>
      </c>
      <c r="V26" s="44">
        <f>IF('2023年'!$AZ26&gt;=SUM('2023年'!Z26:$AG26),'2023年'!Z26,IF('2023年'!$AZ26-SUM('2023年'!AA26:$AG26)&gt;0,'2023年'!$AZ26-SUM('2023年'!AA26:$AG26),0))</f>
        <v>0</v>
      </c>
      <c r="W26" s="44">
        <f>IF('2023年'!$AZ26&gt;=SUM('2023年'!AA26:$AG26),'2023年'!AA26,IF('2023年'!$AZ26-SUM('2023年'!AB26:$AG26)&gt;0,'2023年'!$AZ26-SUM('2023年'!AB26:$AG26),0))</f>
        <v>2462.03999999999</v>
      </c>
      <c r="X26" s="44">
        <f>IF('2023年'!$AZ26&gt;=SUM('2023年'!AB26:$AG26),'2023年'!AB26,IF('2023年'!$AZ26-SUM('2023年'!AC26:$AG26)&gt;0,'2023年'!$AZ26-SUM('2023年'!AC26:$AG26),0))</f>
        <v>0</v>
      </c>
      <c r="Y26" s="44">
        <f>IF('2023年'!$AZ26&gt;=SUM('2023年'!AC26:$AG26),'2023年'!AC26,IF('2023年'!$AZ26-SUM('2023年'!AD26:$AG26)&gt;0,'2023年'!$AZ26-SUM('2023年'!AD26:$AG26),0))</f>
        <v>13760.01</v>
      </c>
      <c r="Z26" s="44">
        <f>IF('2023年'!$AZ26&gt;=SUM('2023年'!AD26:$AG26),'2023年'!AD26,IF('2023年'!$AZ26-SUM('2023年'!AE26:$AG26)&gt;0,'2023年'!$AZ26-SUM('2023年'!AE26:$AG26),0))</f>
        <v>0</v>
      </c>
      <c r="AA26" s="44">
        <f>IF('2023年'!$AZ26&gt;=SUM('2023年'!AE26:$AG26),'2023年'!AE26,IF('2023年'!$AZ26-SUM('2023年'!AF26:$AG26)&gt;0,'2023年'!$AZ26-SUM('2023年'!AF26:$AG26),0))</f>
        <v>10359.84</v>
      </c>
      <c r="AB26" s="44">
        <f>IF('2023年'!$AZ26&gt;=SUM('2023年'!AF26:$AG26),'2023年'!AF26,IF('2023年'!$AZ26-SUM('2023年'!AG26:$AG26)&gt;0,'2023年'!$AZ26-SUM('2023年'!AG26:$AG26),0))</f>
        <v>0</v>
      </c>
      <c r="AC26" s="44">
        <f>IF('2023年'!$AZ26&gt;=SUM('2023年'!AG26:$AG26),'2023年'!AG26,IF('2023年'!$AZ26-SUM('2023年'!$AG26:AH26)&gt;0,'2023年'!$AZ26-SUM('2023年'!$AG26:AH26),0))</f>
        <v>0</v>
      </c>
      <c r="AD26" s="312"/>
      <c r="AE26" s="310"/>
      <c r="AF26" s="311">
        <v>0</v>
      </c>
      <c r="AG26" s="88" t="s">
        <v>392</v>
      </c>
      <c r="AH26" s="88" t="s">
        <v>426</v>
      </c>
      <c r="AI26" s="315"/>
      <c r="AJ26" s="86">
        <f t="shared" si="4"/>
        <v>3215.98</v>
      </c>
      <c r="AK26" s="91"/>
      <c r="AL26" s="10">
        <f>'2023年'!AZ26</f>
        <v>26581.89</v>
      </c>
      <c r="AM26" s="96">
        <f t="shared" si="0"/>
        <v>0</v>
      </c>
    </row>
    <row r="27" s="10" customFormat="1" ht="24.05" customHeight="1" spans="2:39">
      <c r="B27" s="48" t="s">
        <v>81</v>
      </c>
      <c r="C27" s="46" t="str">
        <f>'2023年'!C27</f>
        <v>L5389</v>
      </c>
      <c r="D27" s="46" t="str">
        <f>'2023年'!D27</f>
        <v>上海博迩森汽车部件有限公司</v>
      </c>
      <c r="E27" s="41">
        <v>30</v>
      </c>
      <c r="F27" s="42">
        <f>SUM(I27:AB27)</f>
        <v>0</v>
      </c>
      <c r="G27" s="291">
        <f>SUM(I27:T27)</f>
        <v>0</v>
      </c>
      <c r="H27" s="43">
        <f t="shared" si="3"/>
        <v>168098.8</v>
      </c>
      <c r="I27" s="298"/>
      <c r="J27" s="217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217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217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217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N27" s="217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O27" s="217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P27" s="217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Q27" s="217" t="str">
        <f>IF('2023年'!$AZ27&gt;(SUM('2023年'!V27:AG27)+'2023年'!T27+'2023年'!Q27),'2023年'!Q27+'2023年'!T27,IF('2023年'!$AZ27-SUM('2023年'!V27:AG27)&gt;0,'2023年'!$AZ27-SUM('2023年'!V27:AG27),""))</f>
        <v/>
      </c>
      <c r="R27" s="221">
        <f>IF('2023年'!$AZ27&gt;=SUM('2023年'!V27:$AG27),'2023年'!V27,IF('2023年'!$AZ27-SUM('2023年'!W27:$AG27)&gt;0,'2023年'!$AZ27-SUM('2023年'!W27:$AG27),0))</f>
        <v>0</v>
      </c>
      <c r="S27" s="221">
        <f>IF('2023年'!$AZ27&gt;=SUM('2023年'!W27:$AG27),'2023年'!W27,IF('2023年'!$AZ27-SUM('2023年'!X27:$AG27)&gt;0,'2023年'!$AZ27-SUM('2023年'!X27:$AG27),0))</f>
        <v>0</v>
      </c>
      <c r="T27" s="221">
        <f>IF('2023年'!$AZ27&gt;=SUM('2023年'!X27:$AG27),'2023年'!X27,IF('2023年'!$AZ27-SUM('2023年'!Y27:$AG27)&gt;0,'2023年'!$AZ27-SUM('2023年'!Y27:$AG27),0))</f>
        <v>0</v>
      </c>
      <c r="U27" s="44">
        <f>IF('2023年'!$AZ27&gt;=SUM('2023年'!Y27:$AG27),'2023年'!Y27,IF('2023年'!$AZ27-SUM('2023年'!Z27:$AG27)&gt;0,'2023年'!$AZ27-SUM('2023年'!Z27:$AG27),0))</f>
        <v>0</v>
      </c>
      <c r="V27" s="44">
        <f>IF('2023年'!$AZ27&gt;=SUM('2023年'!Z27:$AG27),'2023年'!Z27,IF('2023年'!$AZ27-SUM('2023年'!AA27:$AG27)&gt;0,'2023年'!$AZ27-SUM('2023年'!AA27:$AG27),0))</f>
        <v>0</v>
      </c>
      <c r="W27" s="44">
        <f>IF('2023年'!$AZ27&gt;=SUM('2023年'!AA27:$AG27),'2023年'!AA27,IF('2023年'!$AZ27-SUM('2023年'!AB27:$AG27)&gt;0,'2023年'!$AZ27-SUM('2023年'!AB27:$AG27),0))</f>
        <v>0</v>
      </c>
      <c r="X27" s="44">
        <f>IF('2023年'!$AZ27&gt;=SUM('2023年'!AB27:$AG27),'2023年'!AB27,IF('2023年'!$AZ27-SUM('2023年'!AC27:$AG27)&gt;0,'2023年'!$AZ27-SUM('2023年'!AC27:$AG27),0))</f>
        <v>0</v>
      </c>
      <c r="Y27" s="44">
        <f>IF('2023年'!$AZ27&gt;=SUM('2023年'!AC27:$AG27),'2023年'!AC27,IF('2023年'!$AZ27-SUM('2023年'!AD27:$AG27)&gt;0,'2023年'!$AZ27-SUM('2023年'!AD27:$AG27),0))</f>
        <v>0</v>
      </c>
      <c r="Z27" s="44">
        <f>IF('2023年'!$AZ27&gt;=SUM('2023年'!AD27:$AG27),'2023年'!AD27,IF('2023年'!$AZ27-SUM('2023年'!AE27:$AG27)&gt;0,'2023年'!$AZ27-SUM('2023年'!AE27:$AG27),0))</f>
        <v>0</v>
      </c>
      <c r="AA27" s="44">
        <f>IF('2023年'!$AZ27&gt;=SUM('2023年'!AE27:$AG27),'2023年'!AE27,IF('2023年'!$AZ27-SUM('2023年'!AF27:$AG27)&gt;0,'2023年'!$AZ27-SUM('2023年'!AF27:$AG27),0))</f>
        <v>0</v>
      </c>
      <c r="AB27" s="44">
        <f>IF('2023年'!$AZ27&gt;=SUM('2023年'!AF27:$AG27),'2023年'!AF27,IF('2023年'!$AZ27-SUM('2023年'!AG27:$AG27)&gt;0,'2023年'!$AZ27-SUM('2023年'!AG27:$AG27),0))</f>
        <v>0</v>
      </c>
      <c r="AC27" s="44">
        <f>IF('2023年'!$AZ27&gt;=SUM('2023年'!AG27:$AG27),'2023年'!AG27,IF('2023年'!$AZ27-SUM('2023年'!$AG27:AH27)&gt;0,'2023年'!$AZ27-SUM('2023年'!$AG27:AH27),0))</f>
        <v>168098.8</v>
      </c>
      <c r="AD27" s="312"/>
      <c r="AE27" s="310"/>
      <c r="AF27" s="311"/>
      <c r="AG27" s="88" t="s">
        <v>378</v>
      </c>
      <c r="AH27" s="88" t="s">
        <v>426</v>
      </c>
      <c r="AI27" s="315"/>
      <c r="AJ27" s="86">
        <f t="shared" si="4"/>
        <v>22413.1733333333</v>
      </c>
      <c r="AK27" s="91"/>
      <c r="AL27" s="10">
        <f>'2023年'!AZ27</f>
        <v>168098.8</v>
      </c>
      <c r="AM27" s="96">
        <f t="shared" si="0"/>
        <v>0</v>
      </c>
    </row>
    <row r="28" s="10" customFormat="1" ht="24.05" customHeight="1" spans="2:39">
      <c r="B28" s="45" t="s">
        <v>81</v>
      </c>
      <c r="C28" s="46" t="str">
        <f>'2023年'!C28</f>
        <v>1944520</v>
      </c>
      <c r="D28" s="46" t="str">
        <f>'2023年'!D28</f>
        <v>中山市华胜汽车部件有限公司</v>
      </c>
      <c r="E28" s="52" t="s">
        <v>222</v>
      </c>
      <c r="F28" s="42">
        <f t="shared" ref="F28:F34" si="5">IF(SUM(I28:Z28)&gt;0,SUM(I28:Z28),0)</f>
        <v>179956.39</v>
      </c>
      <c r="G28" s="291">
        <f>SUM(I28:R28)</f>
        <v>0</v>
      </c>
      <c r="H28" s="43">
        <f t="shared" si="3"/>
        <v>292213.52</v>
      </c>
      <c r="I28" s="298"/>
      <c r="J28" s="217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217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217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217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N28" s="217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O28" s="217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P28" s="217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Q28" s="217" t="str">
        <f>IF('2023年'!$AZ28&gt;(SUM('2023年'!V28:AG28)+'2023年'!T28+'2023年'!Q28),'2023年'!Q28+'2023年'!T28,IF('2023年'!$AZ28-SUM('2023年'!V28:AG28)&gt;0,'2023年'!$AZ28-SUM('2023年'!V28:AG28),""))</f>
        <v/>
      </c>
      <c r="R28" s="221">
        <f>IF('2023年'!$AZ28&gt;=SUM('2023年'!V28:$AG28),'2023年'!V28,IF('2023年'!$AZ28-SUM('2023年'!W28:$AG28)&gt;0,'2023年'!$AZ28-SUM('2023年'!W28:$AG28),0))</f>
        <v>0</v>
      </c>
      <c r="S28" s="221">
        <f>IF('2023年'!$AZ28&gt;=SUM('2023年'!W28:$AG28),'2023年'!W28,IF('2023年'!$AZ28-SUM('2023年'!X28:$AG28)&gt;0,'2023年'!$AZ28-SUM('2023年'!X28:$AG28),0))</f>
        <v>0</v>
      </c>
      <c r="T28" s="221">
        <f>IF('2023年'!$AZ28&gt;=SUM('2023年'!X28:$AG28),'2023年'!X28,IF('2023年'!$AZ28-SUM('2023年'!Y28:$AG28)&gt;0,'2023年'!$AZ28-SUM('2023年'!Y28:$AG28),0))</f>
        <v>0</v>
      </c>
      <c r="U28" s="44">
        <f>IF('2023年'!$AZ28&gt;=SUM('2023年'!Y28:$AG28),'2023年'!Y28,IF('2023年'!$AZ28-SUM('2023年'!Z28:$AG28)&gt;0,'2023年'!$AZ28-SUM('2023年'!Z28:$AG28),0))</f>
        <v>0</v>
      </c>
      <c r="V28" s="44">
        <f>IF('2023年'!$AZ28&gt;=SUM('2023年'!Z28:$AG28),'2023年'!Z28,IF('2023年'!$AZ28-SUM('2023年'!AA28:$AG28)&gt;0,'2023年'!$AZ28-SUM('2023年'!AA28:$AG28),0))</f>
        <v>0</v>
      </c>
      <c r="W28" s="44">
        <f>IF('2023年'!$AZ28&gt;=SUM('2023年'!AA28:$AG28),'2023年'!AA28,IF('2023年'!$AZ28-SUM('2023年'!AB28:$AG28)&gt;0,'2023年'!$AZ28-SUM('2023年'!AB28:$AG28),0))</f>
        <v>26636.86</v>
      </c>
      <c r="X28" s="44">
        <f>IF('2023年'!$AZ28&gt;=SUM('2023年'!AB28:$AG28),'2023年'!AB28,IF('2023年'!$AZ28-SUM('2023年'!AC28:$AG28)&gt;0,'2023年'!$AZ28-SUM('2023年'!AC28:$AG28),0))</f>
        <v>90458.76</v>
      </c>
      <c r="Y28" s="44">
        <f>IF('2023年'!$AZ28&gt;=SUM('2023年'!AC28:$AG28),'2023年'!AC28,IF('2023年'!$AZ28-SUM('2023年'!AD28:$AG28)&gt;0,'2023年'!$AZ28-SUM('2023年'!AD28:$AG28),0))</f>
        <v>28309.89</v>
      </c>
      <c r="Z28" s="44">
        <f>IF('2023年'!$AZ28&gt;=SUM('2023年'!AD28:$AG28),'2023年'!AD28,IF('2023年'!$AZ28-SUM('2023年'!AE28:$AG28)&gt;0,'2023年'!$AZ28-SUM('2023年'!AE28:$AG28),0))</f>
        <v>34550.88</v>
      </c>
      <c r="AA28" s="44">
        <f>IF('2023年'!$AZ28&gt;=SUM('2023年'!AE28:$AG28),'2023年'!AE28,IF('2023年'!$AZ28-SUM('2023年'!AF28:$AG28)&gt;0,'2023年'!$AZ28-SUM('2023年'!AF28:$AG28),0))</f>
        <v>63985.57</v>
      </c>
      <c r="AB28" s="44">
        <f>IF('2023年'!$AZ28&gt;=SUM('2023年'!AF28:$AG28),'2023年'!AF28,IF('2023年'!$AZ28-SUM('2023年'!AG28:$AG28)&gt;0,'2023年'!$AZ28-SUM('2023年'!AG28:$AG28),0))</f>
        <v>48271.56</v>
      </c>
      <c r="AC28" s="44">
        <f>IF('2023年'!$AZ28&gt;=SUM('2023年'!AG28:$AG28),'2023年'!AG28,IF('2023年'!$AZ28-SUM('2023年'!$AG28:AH28)&gt;0,'2023年'!$AZ28-SUM('2023年'!$AG28:AH28),0))</f>
        <v>0</v>
      </c>
      <c r="AD28" s="309"/>
      <c r="AE28" s="310"/>
      <c r="AF28" s="311" t="s">
        <v>372</v>
      </c>
      <c r="AG28" s="84" t="s">
        <v>393</v>
      </c>
      <c r="AH28" s="84" t="s">
        <v>427</v>
      </c>
      <c r="AI28" s="314"/>
      <c r="AJ28" s="86">
        <f t="shared" si="4"/>
        <v>35410.2213333333</v>
      </c>
      <c r="AK28" s="91"/>
      <c r="AL28" s="10">
        <f>'2023年'!AZ28</f>
        <v>292213.52</v>
      </c>
      <c r="AM28" s="96">
        <f t="shared" si="0"/>
        <v>0</v>
      </c>
    </row>
    <row r="29" s="10" customFormat="1" ht="24.05" customHeight="1" spans="2:39">
      <c r="B29" s="45" t="s">
        <v>81</v>
      </c>
      <c r="C29" s="46" t="str">
        <f>'2023年'!C29</f>
        <v>1935343</v>
      </c>
      <c r="D29" s="46" t="str">
        <f>'2023年'!D29</f>
        <v>泉州市福兴塑料五金有限公司</v>
      </c>
      <c r="E29" s="41" t="s">
        <v>222</v>
      </c>
      <c r="F29" s="42">
        <f t="shared" si="5"/>
        <v>4665.45</v>
      </c>
      <c r="G29" s="291">
        <f>SUM(I29:R29)</f>
        <v>0</v>
      </c>
      <c r="H29" s="43">
        <f t="shared" si="3"/>
        <v>78871.99</v>
      </c>
      <c r="I29" s="298"/>
      <c r="J29" s="217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217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217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217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N29" s="217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O29" s="217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P29" s="217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Q29" s="217" t="str">
        <f>IF('2023年'!$AZ29&gt;(SUM('2023年'!V29:AG29)+'2023年'!T29+'2023年'!Q29),'2023年'!Q29+'2023年'!T29,IF('2023年'!$AZ29-SUM('2023年'!V29:AG29)&gt;0,'2023年'!$AZ29-SUM('2023年'!V29:AG29),""))</f>
        <v/>
      </c>
      <c r="R29" s="221">
        <f>IF('2023年'!$AZ29&gt;=SUM('2023年'!V29:$AG29),'2023年'!V29,IF('2023年'!$AZ29-SUM('2023年'!W29:$AG29)&gt;0,'2023年'!$AZ29-SUM('2023年'!W29:$AG29),0))</f>
        <v>0</v>
      </c>
      <c r="S29" s="221">
        <f>IF('2023年'!$AZ29&gt;=SUM('2023年'!W29:$AG29),'2023年'!W29,IF('2023年'!$AZ29-SUM('2023年'!X29:$AG29)&gt;0,'2023年'!$AZ29-SUM('2023年'!X29:$AG29),0))</f>
        <v>0</v>
      </c>
      <c r="T29" s="221">
        <f>IF('2023年'!$AZ29&gt;=SUM('2023年'!X29:$AG29),'2023年'!X29,IF('2023年'!$AZ29-SUM('2023年'!Y29:$AG29)&gt;0,'2023年'!$AZ29-SUM('2023年'!Y29:$AG29),0))</f>
        <v>0</v>
      </c>
      <c r="U29" s="44">
        <f>IF('2023年'!$AZ29&gt;=SUM('2023年'!Y29:$AG29),'2023年'!Y29,IF('2023年'!$AZ29-SUM('2023年'!Z29:$AG29)&gt;0,'2023年'!$AZ29-SUM('2023年'!Z29:$AG29),0))</f>
        <v>0</v>
      </c>
      <c r="V29" s="44">
        <f>IF('2023年'!$AZ29&gt;=SUM('2023年'!Z29:$AG29),'2023年'!Z29,IF('2023年'!$AZ29-SUM('2023年'!AA29:$AG29)&gt;0,'2023年'!$AZ29-SUM('2023年'!AA29:$AG29),0))</f>
        <v>0</v>
      </c>
      <c r="W29" s="44">
        <f>IF('2023年'!$AZ29&gt;=SUM('2023年'!AA29:$AG29),'2023年'!AA29,IF('2023年'!$AZ29-SUM('2023年'!AB29:$AG29)&gt;0,'2023年'!$AZ29-SUM('2023年'!AB29:$AG29),0))</f>
        <v>0</v>
      </c>
      <c r="X29" s="44">
        <f>IF('2023年'!$AZ29&gt;=SUM('2023年'!AB29:$AG29),'2023年'!AB29,IF('2023年'!$AZ29-SUM('2023年'!AC29:$AG29)&gt;0,'2023年'!$AZ29-SUM('2023年'!AC29:$AG29),0))</f>
        <v>4665.45</v>
      </c>
      <c r="Y29" s="44">
        <f>IF('2023年'!$AZ29&gt;=SUM('2023年'!AC29:$AG29),'2023年'!AC29,IF('2023年'!$AZ29-SUM('2023年'!AD29:$AG29)&gt;0,'2023年'!$AZ29-SUM('2023年'!AD29:$AG29),0))</f>
        <v>0</v>
      </c>
      <c r="Z29" s="44">
        <f>IF('2023年'!$AZ29&gt;=SUM('2023年'!AD29:$AG29),'2023年'!AD29,IF('2023年'!$AZ29-SUM('2023年'!AE29:$AG29)&gt;0,'2023年'!$AZ29-SUM('2023年'!AE29:$AG29),0))</f>
        <v>0</v>
      </c>
      <c r="AA29" s="44">
        <f>IF('2023年'!$AZ29&gt;=SUM('2023年'!AE29:$AG29),'2023年'!AE29,IF('2023年'!$AZ29-SUM('2023年'!AF29:$AG29)&gt;0,'2023年'!$AZ29-SUM('2023年'!AF29:$AG29),0))</f>
        <v>74206.54</v>
      </c>
      <c r="AB29" s="44">
        <f>IF('2023年'!$AZ29&gt;=SUM('2023年'!AF29:$AG29),'2023年'!AF29,IF('2023年'!$AZ29-SUM('2023年'!AG29:$AG29)&gt;0,'2023年'!$AZ29-SUM('2023年'!AG29:$AG29),0))</f>
        <v>0</v>
      </c>
      <c r="AC29" s="44">
        <f>IF('2023年'!$AZ29&gt;=SUM('2023年'!AG29:$AG29),'2023年'!AG29,IF('2023年'!$AZ29-SUM('2023年'!$AG29:AH29)&gt;0,'2023年'!$AZ29-SUM('2023年'!$AG29:AH29),0))</f>
        <v>0</v>
      </c>
      <c r="AD29" s="312"/>
      <c r="AE29" s="310"/>
      <c r="AF29" s="311">
        <v>0</v>
      </c>
      <c r="AG29" s="88" t="s">
        <v>394</v>
      </c>
      <c r="AH29" s="88" t="s">
        <v>428</v>
      </c>
      <c r="AI29" s="315"/>
      <c r="AJ29" s="86">
        <f t="shared" si="4"/>
        <v>10516.2653333333</v>
      </c>
      <c r="AK29" s="91"/>
      <c r="AL29" s="10">
        <f>'2023年'!AZ29</f>
        <v>78871.99</v>
      </c>
      <c r="AM29" s="96">
        <f t="shared" si="0"/>
        <v>0</v>
      </c>
    </row>
    <row r="30" s="10" customFormat="1" ht="24.05" customHeight="1" spans="2:39">
      <c r="B30" s="45" t="s">
        <v>81</v>
      </c>
      <c r="C30" s="46" t="str">
        <f>'2023年'!C30</f>
        <v>L2124</v>
      </c>
      <c r="D30" s="46" t="str">
        <f>'2023年'!D30</f>
        <v>西安光华荣昌汽车部件有限公司</v>
      </c>
      <c r="E30" s="41" t="s">
        <v>222</v>
      </c>
      <c r="F30" s="42">
        <f t="shared" si="5"/>
        <v>329747.45</v>
      </c>
      <c r="G30" s="291">
        <f>SUM(I30:R30)</f>
        <v>0</v>
      </c>
      <c r="H30" s="43">
        <f t="shared" si="3"/>
        <v>461767.12</v>
      </c>
      <c r="I30" s="298"/>
      <c r="J30" s="217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217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217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217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N30" s="217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O30" s="217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P30" s="217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Q30" s="217" t="str">
        <f>IF('2023年'!$AZ30&gt;(SUM('2023年'!V30:AG30)+'2023年'!T30+'2023年'!Q30),'2023年'!Q30+'2023年'!T30,IF('2023年'!$AZ30-SUM('2023年'!V30:AG30)&gt;0,'2023年'!$AZ30-SUM('2023年'!V30:AG30),""))</f>
        <v/>
      </c>
      <c r="R30" s="221">
        <f>IF('2023年'!$AZ30&gt;=SUM('2023年'!V30:$AG30),'2023年'!V30,IF('2023年'!$AZ30-SUM('2023年'!W30:$AG30)&gt;0,'2023年'!$AZ30-SUM('2023年'!W30:$AG30),0))</f>
        <v>0</v>
      </c>
      <c r="S30" s="221">
        <f>IF('2023年'!$AZ30&gt;=SUM('2023年'!W30:$AG30),'2023年'!W30,IF('2023年'!$AZ30-SUM('2023年'!X30:$AG30)&gt;0,'2023年'!$AZ30-SUM('2023年'!X30:$AG30),0))</f>
        <v>0</v>
      </c>
      <c r="T30" s="221">
        <f>IF('2023年'!$AZ30&gt;=SUM('2023年'!X30:$AG30),'2023年'!X30,IF('2023年'!$AZ30-SUM('2023年'!Y30:$AG30)&gt;0,'2023年'!$AZ30-SUM('2023年'!Y30:$AG30),0))</f>
        <v>156897.18</v>
      </c>
      <c r="U30" s="44">
        <f>IF('2023年'!$AZ30&gt;=SUM('2023年'!Y30:$AG30),'2023年'!Y30,IF('2023年'!$AZ30-SUM('2023年'!Z30:$AG30)&gt;0,'2023年'!$AZ30-SUM('2023年'!Z30:$AG30),0))</f>
        <v>40061.43</v>
      </c>
      <c r="V30" s="44">
        <f>IF('2023年'!$AZ30&gt;=SUM('2023年'!Z30:$AG30),'2023年'!Z30,IF('2023年'!$AZ30-SUM('2023年'!AA30:$AG30)&gt;0,'2023年'!$AZ30-SUM('2023年'!AA30:$AG30),0))</f>
        <v>24892.05</v>
      </c>
      <c r="W30" s="44">
        <f>IF('2023年'!$AZ30&gt;=SUM('2023年'!AA30:$AG30),'2023年'!AA30,IF('2023年'!$AZ30-SUM('2023年'!AB30:$AG30)&gt;0,'2023年'!$AZ30-SUM('2023年'!AB30:$AG30),0))</f>
        <v>12725.95</v>
      </c>
      <c r="X30" s="44">
        <f>IF('2023年'!$AZ30&gt;=SUM('2023年'!AB30:$AG30),'2023年'!AB30,IF('2023年'!$AZ30-SUM('2023年'!AC30:$AG30)&gt;0,'2023年'!$AZ30-SUM('2023年'!AC30:$AG30),0))</f>
        <v>95100.09</v>
      </c>
      <c r="Y30" s="44">
        <f>IF('2023年'!$AZ30&gt;=SUM('2023年'!AC30:$AG30),'2023年'!AC30,IF('2023年'!$AZ30-SUM('2023年'!AD30:$AG30)&gt;0,'2023年'!$AZ30-SUM('2023年'!AD30:$AG30),0))</f>
        <v>0</v>
      </c>
      <c r="Z30" s="44">
        <f>IF('2023年'!$AZ30&gt;=SUM('2023年'!AD30:$AG30),'2023年'!AD30,IF('2023年'!$AZ30-SUM('2023年'!AE30:$AG30)&gt;0,'2023年'!$AZ30-SUM('2023年'!AE30:$AG30),0))</f>
        <v>70.75</v>
      </c>
      <c r="AA30" s="44">
        <f>IF('2023年'!$AZ30&gt;=SUM('2023年'!AE30:$AG30),'2023年'!AE30,IF('2023年'!$AZ30-SUM('2023年'!AF30:$AG30)&gt;0,'2023年'!$AZ30-SUM('2023年'!AF30:$AG30),0))</f>
        <v>120886.07</v>
      </c>
      <c r="AB30" s="44">
        <f>IF('2023年'!$AZ30&gt;=SUM('2023年'!AF30:$AG30),'2023年'!AF30,IF('2023年'!$AZ30-SUM('2023年'!AG30:$AG30)&gt;0,'2023年'!$AZ30-SUM('2023年'!AG30:$AG30),0))</f>
        <v>66283.25</v>
      </c>
      <c r="AC30" s="44">
        <f>IF('2023年'!$AZ30&gt;=SUM('2023年'!AG30:$AG30),'2023年'!AG30,IF('2023年'!$AZ30-SUM('2023年'!$AG30:AH30)&gt;0,'2023年'!$AZ30-SUM('2023年'!$AG30:AH30),0))</f>
        <v>-55149.65</v>
      </c>
      <c r="AD30" s="312"/>
      <c r="AE30" s="310"/>
      <c r="AF30" s="311"/>
      <c r="AG30" s="88" t="s">
        <v>395</v>
      </c>
      <c r="AH30" s="88" t="s">
        <v>428</v>
      </c>
      <c r="AI30" s="315"/>
      <c r="AJ30" s="86">
        <f t="shared" si="4"/>
        <v>30292.068</v>
      </c>
      <c r="AK30" s="91"/>
      <c r="AL30" s="101">
        <f>'2023年'!AZ30</f>
        <v>461767.12</v>
      </c>
      <c r="AM30" s="96">
        <f t="shared" si="0"/>
        <v>0</v>
      </c>
    </row>
    <row r="31" s="10" customFormat="1" ht="24.05" customHeight="1" spans="2:39">
      <c r="B31" s="45" t="s">
        <v>81</v>
      </c>
      <c r="C31" s="46" t="str">
        <f>'2023年'!C31</f>
        <v>L5211</v>
      </c>
      <c r="D31" s="46" t="str">
        <f>'2023年'!D31</f>
        <v>西安海容塑料制品有限责任公司</v>
      </c>
      <c r="E31" s="41">
        <v>90</v>
      </c>
      <c r="F31" s="42">
        <f t="shared" si="5"/>
        <v>0</v>
      </c>
      <c r="G31" s="291">
        <f>SUM(I31:P31)</f>
        <v>0</v>
      </c>
      <c r="H31" s="43" t="str">
        <f t="shared" si="3"/>
        <v>0</v>
      </c>
      <c r="I31" s="298"/>
      <c r="J31" s="217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217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217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217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N31" s="217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O31" s="217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P31" s="217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Q31" s="217" t="str">
        <f>IF('2023年'!$AZ31&gt;(SUM('2023年'!V31:AG31)+'2023年'!T31+'2023年'!Q31),'2023年'!Q31+'2023年'!T31,IF('2023年'!$AZ31-SUM('2023年'!V31:AG31)&gt;0,'2023年'!$AZ31-SUM('2023年'!V31:AG31),""))</f>
        <v/>
      </c>
      <c r="R31" s="221">
        <f>IF('2023年'!$AZ31&gt;=SUM('2023年'!V31:$AG31),'2023年'!V31,IF('2023年'!$AZ31-SUM('2023年'!W31:$AG31)&gt;0,'2023年'!$AZ31-SUM('2023年'!W31:$AG31),0))</f>
        <v>0</v>
      </c>
      <c r="S31" s="221">
        <f>IF('2023年'!$AZ31&gt;=SUM('2023年'!W31:$AG31),'2023年'!W31,IF('2023年'!$AZ31-SUM('2023年'!X31:$AG31)&gt;0,'2023年'!$AZ31-SUM('2023年'!X31:$AG31),0))</f>
        <v>0</v>
      </c>
      <c r="T31" s="221">
        <f>IF('2023年'!$AZ31&gt;=SUM('2023年'!X31:$AG31),'2023年'!X31,IF('2023年'!$AZ31-SUM('2023年'!Y31:$AG31)&gt;0,'2023年'!$AZ31-SUM('2023年'!Y31:$AG31),0))</f>
        <v>0</v>
      </c>
      <c r="U31" s="44">
        <f>IF('2023年'!$AZ31&gt;=SUM('2023年'!Y31:$AG31),'2023年'!Y31,IF('2023年'!$AZ31-SUM('2023年'!Z31:$AG31)&gt;0,'2023年'!$AZ31-SUM('2023年'!Z31:$AG31),0))</f>
        <v>0</v>
      </c>
      <c r="V31" s="44">
        <f>IF('2023年'!$AZ31&gt;=SUM('2023年'!Z31:$AG31),'2023年'!Z31,IF('2023年'!$AZ31-SUM('2023年'!AA31:$AG31)&gt;0,'2023年'!$AZ31-SUM('2023年'!AA31:$AG31),0))</f>
        <v>0</v>
      </c>
      <c r="W31" s="44">
        <f>IF('2023年'!$AZ31&gt;=SUM('2023年'!AA31:$AG31),'2023年'!AA31,IF('2023年'!$AZ31-SUM('2023年'!AB31:$AG31)&gt;0,'2023年'!$AZ31-SUM('2023年'!AB31:$AG31),0))</f>
        <v>0</v>
      </c>
      <c r="X31" s="44">
        <f>IF('2023年'!$AZ31&gt;=SUM('2023年'!AB31:$AG31),'2023年'!AB31,IF('2023年'!$AZ31-SUM('2023年'!AC31:$AG31)&gt;0,'2023年'!$AZ31-SUM('2023年'!AC31:$AG31),0))</f>
        <v>0</v>
      </c>
      <c r="Y31" s="44">
        <f>IF('2023年'!$AZ31&gt;=SUM('2023年'!AC31:$AG31),'2023年'!AC31,IF('2023年'!$AZ31-SUM('2023年'!AD31:$AG31)&gt;0,'2023年'!$AZ31-SUM('2023年'!AD31:$AG31),0))</f>
        <v>0</v>
      </c>
      <c r="Z31" s="44">
        <f>IF('2023年'!$AZ31&gt;=SUM('2023年'!AD31:$AG31),'2023年'!AD31,IF('2023年'!$AZ31-SUM('2023年'!AE31:$AG31)&gt;0,'2023年'!$AZ31-SUM('2023年'!AE31:$AG31),0))</f>
        <v>0</v>
      </c>
      <c r="AA31" s="44">
        <f>IF('2023年'!$AZ31&gt;=SUM('2023年'!AE31:$AG31),'2023年'!AE31,IF('2023年'!$AZ31-SUM('2023年'!AF31:$AG31)&gt;0,'2023年'!$AZ31-SUM('2023年'!AF31:$AG31),0))</f>
        <v>0</v>
      </c>
      <c r="AB31" s="44">
        <f>IF('2023年'!$AZ31&gt;=SUM('2023年'!AF31:$AG31),'2023年'!AF31,IF('2023年'!$AZ31-SUM('2023年'!AG31:$AG31)&gt;0,'2023年'!$AZ31-SUM('2023年'!AG31:$AG31),0))</f>
        <v>0</v>
      </c>
      <c r="AC31" s="44">
        <f>IF('2023年'!$AZ31&gt;=SUM('2023年'!AG31:$AG31),'2023年'!AG31,IF('2023年'!$AZ31-SUM('2023年'!$AG31:AH31)&gt;0,'2023年'!$AZ31-SUM('2023年'!$AG31:AH31),0))</f>
        <v>0</v>
      </c>
      <c r="AD31" s="312"/>
      <c r="AE31" s="310"/>
      <c r="AF31" s="311" t="s">
        <v>372</v>
      </c>
      <c r="AG31" s="88" t="s">
        <v>396</v>
      </c>
      <c r="AH31" s="88" t="s">
        <v>428</v>
      </c>
      <c r="AI31" s="315"/>
      <c r="AJ31" s="86">
        <f t="shared" si="4"/>
        <v>0</v>
      </c>
      <c r="AK31" s="91"/>
      <c r="AL31" s="10">
        <f>'2023年'!AZ31</f>
        <v>0</v>
      </c>
      <c r="AM31" s="96">
        <f t="shared" si="0"/>
        <v>0</v>
      </c>
    </row>
    <row r="32" s="10" customFormat="1" ht="24.05" customHeight="1" spans="2:39">
      <c r="B32" s="45" t="s">
        <v>81</v>
      </c>
      <c r="C32" s="46" t="str">
        <f>'2023年'!C32</f>
        <v>1932034</v>
      </c>
      <c r="D32" s="46" t="str">
        <f>'2023年'!D32</f>
        <v>江苏福美汽车镜有限公司</v>
      </c>
      <c r="E32" s="41" t="s">
        <v>222</v>
      </c>
      <c r="F32" s="42">
        <f t="shared" si="5"/>
        <v>377213.58</v>
      </c>
      <c r="G32" s="291">
        <f>SUM(I32:R32)</f>
        <v>0</v>
      </c>
      <c r="H32" s="43">
        <f t="shared" si="3"/>
        <v>498228.44</v>
      </c>
      <c r="I32" s="298"/>
      <c r="J32" s="217"/>
      <c r="K32" s="217"/>
      <c r="L32" s="217"/>
      <c r="M32" s="217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N32" s="217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O32" s="217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P32" s="217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Q32" s="217" t="str">
        <f>IF('2023年'!$AZ32&gt;(SUM('2023年'!V32:AG32)+'2023年'!T32+'2023年'!Q32),'2023年'!Q32+'2023年'!T32,IF('2023年'!$AZ32-SUM('2023年'!V32:AG32)&gt;0,'2023年'!$AZ32-SUM('2023年'!V32:AG32),""))</f>
        <v/>
      </c>
      <c r="R32" s="221">
        <f>IF('2023年'!$AZ32&gt;=SUM('2023年'!V32:$AG32),'2023年'!V32,IF('2023年'!$AZ32-SUM('2023年'!W32:$AG32)&gt;0,'2023年'!$AZ32-SUM('2023年'!W32:$AG32),0))</f>
        <v>0</v>
      </c>
      <c r="S32" s="221">
        <f>IF('2023年'!$AZ32&gt;=SUM('2023年'!W32:$AG32),'2023年'!W32,IF('2023年'!$AZ32-SUM('2023年'!X32:$AG32)&gt;0,'2023年'!$AZ32-SUM('2023年'!X32:$AG32),0))</f>
        <v>125408.67</v>
      </c>
      <c r="T32" s="221">
        <f>IF('2023年'!$AZ32&gt;=SUM('2023年'!X32:$AG32),'2023年'!X32,IF('2023年'!$AZ32-SUM('2023年'!Y32:$AG32)&gt;0,'2023年'!$AZ32-SUM('2023年'!Y32:$AG32),0))</f>
        <v>0</v>
      </c>
      <c r="U32" s="44">
        <f>IF('2023年'!$AZ32&gt;=SUM('2023年'!Y32:$AG32),'2023年'!Y32,IF('2023年'!$AZ32-SUM('2023年'!Z32:$AG32)&gt;0,'2023年'!$AZ32-SUM('2023年'!Z32:$AG32),0))</f>
        <v>0</v>
      </c>
      <c r="V32" s="44">
        <f>IF('2023年'!$AZ32&gt;=SUM('2023年'!Z32:$AG32),'2023年'!Z32,IF('2023年'!$AZ32-SUM('2023年'!AA32:$AG32)&gt;0,'2023年'!$AZ32-SUM('2023年'!AA32:$AG32),0))</f>
        <v>0</v>
      </c>
      <c r="W32" s="44">
        <f>IF('2023年'!$AZ32&gt;=SUM('2023年'!AA32:$AG32),'2023年'!AA32,IF('2023年'!$AZ32-SUM('2023年'!AB32:$AG32)&gt;0,'2023年'!$AZ32-SUM('2023年'!AB32:$AG32),0))</f>
        <v>0</v>
      </c>
      <c r="X32" s="44">
        <f>IF('2023年'!$AZ32&gt;=SUM('2023年'!AB32:$AG32),'2023年'!AB32,IF('2023年'!$AZ32-SUM('2023年'!AC32:$AG32)&gt;0,'2023年'!$AZ32-SUM('2023年'!AC32:$AG32),0))</f>
        <v>251804.91</v>
      </c>
      <c r="Y32" s="44">
        <f>IF('2023年'!$AZ32&gt;=SUM('2023年'!AC32:$AG32),'2023年'!AC32,IF('2023年'!$AZ32-SUM('2023年'!AD32:$AG32)&gt;0,'2023年'!$AZ32-SUM('2023年'!AD32:$AG32),0))</f>
        <v>0</v>
      </c>
      <c r="Z32" s="44">
        <f>IF('2023年'!$AZ32&gt;=SUM('2023年'!AD32:$AG32),'2023年'!AD32,IF('2023年'!$AZ32-SUM('2023年'!AE32:$AG32)&gt;0,'2023年'!$AZ32-SUM('2023年'!AE32:$AG32),0))</f>
        <v>0</v>
      </c>
      <c r="AA32" s="44">
        <f>IF('2023年'!$AZ32&gt;=SUM('2023年'!AE32:$AG32),'2023年'!AE32,IF('2023年'!$AZ32-SUM('2023年'!AF32:$AG32)&gt;0,'2023年'!$AZ32-SUM('2023年'!AF32:$AG32),0))</f>
        <v>0</v>
      </c>
      <c r="AB32" s="44">
        <f>IF('2023年'!$AZ32&gt;=SUM('2023年'!AF32:$AG32),'2023年'!AF32,IF('2023年'!$AZ32-SUM('2023年'!AG32:$AG32)&gt;0,'2023年'!$AZ32-SUM('2023年'!AG32:$AG32),0))</f>
        <v>0</v>
      </c>
      <c r="AC32" s="44">
        <f>IF('2023年'!$AZ32&gt;=SUM('2023年'!AG32:$AG32),'2023年'!AG32,IF('2023年'!$AZ32-SUM('2023年'!$AG32:AH32)&gt;0,'2023年'!$AZ32-SUM('2023年'!$AG32:AH32),0))</f>
        <v>121014.86</v>
      </c>
      <c r="AD32" s="312"/>
      <c r="AE32" s="310"/>
      <c r="AF32" s="311"/>
      <c r="AG32" s="88" t="s">
        <v>377</v>
      </c>
      <c r="AH32" s="88" t="s">
        <v>426</v>
      </c>
      <c r="AI32" s="315"/>
      <c r="AJ32" s="86">
        <f t="shared" si="4"/>
        <v>49709.3026666667</v>
      </c>
      <c r="AK32" s="91"/>
      <c r="AL32" s="10">
        <f>'2023年'!AZ32</f>
        <v>498228.44</v>
      </c>
      <c r="AM32" s="96">
        <f t="shared" si="0"/>
        <v>0</v>
      </c>
    </row>
    <row r="33" s="10" customFormat="1" ht="24.05" customHeight="1" spans="2:39">
      <c r="B33" s="45" t="s">
        <v>81</v>
      </c>
      <c r="C33" s="46" t="str">
        <f>'2023年'!C33</f>
        <v>1913037</v>
      </c>
      <c r="D33" s="46" t="str">
        <f>'2023年'!D33</f>
        <v>河北光华荣昌汽车部件有限公司</v>
      </c>
      <c r="E33" s="41" t="s">
        <v>222</v>
      </c>
      <c r="F33" s="42">
        <f t="shared" si="5"/>
        <v>0</v>
      </c>
      <c r="G33" s="291">
        <f>SUM(I33:R33)</f>
        <v>94275.6500000002</v>
      </c>
      <c r="H33" s="43" t="str">
        <f t="shared" si="3"/>
        <v>0</v>
      </c>
      <c r="I33" s="298"/>
      <c r="J33" s="217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217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217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217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N33" s="217">
        <v>0</v>
      </c>
      <c r="O33" s="217">
        <v>0</v>
      </c>
      <c r="P33" s="217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Q33" s="217" t="str">
        <f>IF('2023年'!$AZ33&gt;(SUM('2023年'!V33:AG33)+'2023年'!T33+'2023年'!Q33),'2023年'!Q33+'2023年'!T33,IF('2023年'!$AZ33-SUM('2023年'!V33:AG33)&gt;0,'2023年'!$AZ33-SUM('2023年'!V33:AG33),""))</f>
        <v/>
      </c>
      <c r="R33" s="221">
        <f>IF('2023年'!$AZ33&gt;=SUM('2023年'!V33:$AG33),'2023年'!V33,IF('2023年'!$AZ33-SUM('2023年'!W33:$AG33)&gt;0,'2023年'!$AZ33-SUM('2023年'!W33:$AG33),0))</f>
        <v>94275.6500000002</v>
      </c>
      <c r="S33" s="221">
        <f>IF('2023年'!$AZ33&gt;=SUM('2023年'!W33:$AG33),'2023年'!W33,IF('2023年'!$AZ33-SUM('2023年'!X33:$AG33)&gt;0,'2023年'!$AZ33-SUM('2023年'!X33:$AG33),0))</f>
        <v>316289.99</v>
      </c>
      <c r="T33" s="221">
        <f>IF('2023年'!$AZ33&gt;=SUM('2023年'!X33:$AG33),'2023年'!X33,IF('2023年'!$AZ33-SUM('2023年'!Y33:$AG33)&gt;0,'2023年'!$AZ33-SUM('2023年'!Y33:$AG33),0))</f>
        <v>0</v>
      </c>
      <c r="U33" s="44">
        <f>IF('2023年'!$AZ33&gt;=SUM('2023年'!Y33:$AG33),'2023年'!Y33,IF('2023年'!$AZ33-SUM('2023年'!Z33:$AG33)&gt;0,'2023年'!$AZ33-SUM('2023年'!Z33:$AG33),0))</f>
        <v>690585.84</v>
      </c>
      <c r="V33" s="44">
        <f>IF('2023年'!$AZ33&gt;=SUM('2023年'!Z33:$AG33),'2023年'!Z33,IF('2023年'!$AZ33-SUM('2023年'!AA33:$AG33)&gt;0,'2023年'!$AZ33-SUM('2023年'!AA33:$AG33),0))</f>
        <v>-127171.15</v>
      </c>
      <c r="W33" s="44">
        <f>IF('2023年'!$AZ33&gt;=SUM('2023年'!AA33:$AG33),'2023年'!AA33,IF('2023年'!$AZ33-SUM('2023年'!AB33:$AG33)&gt;0,'2023年'!$AZ33-SUM('2023年'!AB33:$AG33),0))</f>
        <v>-1147525.78</v>
      </c>
      <c r="X33" s="44">
        <f>IF('2023年'!$AZ33&gt;=SUM('2023年'!AB33:$AG33),'2023年'!AB33,IF('2023年'!$AZ33-SUM('2023年'!AC33:$AG33)&gt;0,'2023年'!$AZ33-SUM('2023年'!AC33:$AG33),0))</f>
        <v>0</v>
      </c>
      <c r="Y33" s="44">
        <f>IF('2023年'!$AZ33&gt;=SUM('2023年'!AC33:$AG33),'2023年'!AC33,IF('2023年'!$AZ33-SUM('2023年'!AD33:$AG33)&gt;0,'2023年'!$AZ33-SUM('2023年'!AD33:$AG33),0))</f>
        <v>0</v>
      </c>
      <c r="Z33" s="44">
        <f>IF('2023年'!$AZ33&gt;=SUM('2023年'!AD33:$AG33),'2023年'!AD33,IF('2023年'!$AZ33-SUM('2023年'!AE33:$AG33)&gt;0,'2023年'!$AZ33-SUM('2023年'!AE33:$AG33),0))</f>
        <v>0</v>
      </c>
      <c r="AA33" s="44">
        <f>IF('2023年'!$AZ33&gt;=SUM('2023年'!AE33:$AG33),'2023年'!AE33,IF('2023年'!$AZ33-SUM('2023年'!AF33:$AG33)&gt;0,'2023年'!$AZ33-SUM('2023年'!AF33:$AG33),0))</f>
        <v>0</v>
      </c>
      <c r="AB33" s="44">
        <f>IF('2023年'!$AZ33&gt;=SUM('2023年'!AF33:$AG33),'2023年'!AF33,IF('2023年'!$AZ33-SUM('2023年'!AG33:$AG33)&gt;0,'2023年'!$AZ33-SUM('2023年'!AG33:$AG33),0))</f>
        <v>0</v>
      </c>
      <c r="AC33" s="44">
        <f>IF('2023年'!$AZ33&gt;=SUM('2023年'!AG33:$AG33),'2023年'!AG33,IF('2023年'!$AZ33-SUM('2023年'!$AG33:AH33)&gt;0,'2023年'!$AZ33-SUM('2023年'!$AG33:AH33),0))</f>
        <v>0</v>
      </c>
      <c r="AD33" s="312"/>
      <c r="AE33" s="310" t="s">
        <v>84</v>
      </c>
      <c r="AF33" s="311" t="s">
        <v>84</v>
      </c>
      <c r="AG33" s="88" t="s">
        <v>397</v>
      </c>
      <c r="AH33" s="88" t="s">
        <v>429</v>
      </c>
      <c r="AI33" s="315"/>
      <c r="AJ33" s="86">
        <f t="shared" si="4"/>
        <v>0</v>
      </c>
      <c r="AK33" s="91"/>
      <c r="AL33" s="10">
        <f>'2023年'!AZ33</f>
        <v>45306.7200000001</v>
      </c>
      <c r="AM33" s="96">
        <f t="shared" si="0"/>
        <v>-45306.7200000001</v>
      </c>
    </row>
    <row r="34" s="10" customFormat="1" ht="24.05" customHeight="1" spans="2:39">
      <c r="B34" s="45" t="s">
        <v>81</v>
      </c>
      <c r="C34" s="46" t="str">
        <f>'2023年'!C34</f>
        <v>1913730</v>
      </c>
      <c r="D34" s="46" t="str">
        <f>'2023年'!D34</f>
        <v>文安县恒德汽车座椅制造有限公</v>
      </c>
      <c r="E34" s="41" t="s">
        <v>222</v>
      </c>
      <c r="F34" s="42">
        <f t="shared" si="5"/>
        <v>190174.03</v>
      </c>
      <c r="G34" s="291">
        <f>SUM(I34:R34)</f>
        <v>0</v>
      </c>
      <c r="H34" s="43">
        <f t="shared" si="3"/>
        <v>398950.31</v>
      </c>
      <c r="I34" s="298"/>
      <c r="J34" s="217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217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217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217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N34" s="217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O34" s="217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P34" s="217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Q34" s="217" t="str">
        <f>IF('2023年'!$AZ34&gt;(SUM('2023年'!V34:AG34)+'2023年'!T34+'2023年'!Q34),'2023年'!Q34+'2023年'!T34,IF('2023年'!$AZ34-SUM('2023年'!V34:AG34)&gt;0,'2023年'!$AZ34-SUM('2023年'!V34:AG34),""))</f>
        <v/>
      </c>
      <c r="R34" s="221">
        <f>IF('2023年'!$AZ34&gt;=SUM('2023年'!V34:$AG34),'2023年'!V34,IF('2023年'!$AZ34-SUM('2023年'!W34:$AG34)&gt;0,'2023年'!$AZ34-SUM('2023年'!W34:$AG34),0))</f>
        <v>0</v>
      </c>
      <c r="S34" s="221">
        <f>IF('2023年'!$AZ34&gt;=SUM('2023年'!W34:$AG34),'2023年'!W34,IF('2023年'!$AZ34-SUM('2023年'!X34:$AG34)&gt;0,'2023年'!$AZ34-SUM('2023年'!X34:$AG34),0))</f>
        <v>0</v>
      </c>
      <c r="T34" s="221">
        <f>IF('2023年'!$AZ34&gt;=SUM('2023年'!X34:$AG34),'2023年'!X34,IF('2023年'!$AZ34-SUM('2023年'!Y34:$AG34)&gt;0,'2023年'!$AZ34-SUM('2023年'!Y34:$AG34),0))</f>
        <v>0</v>
      </c>
      <c r="U34" s="44">
        <f>IF('2023年'!$AZ34&gt;=SUM('2023年'!Y34:$AG34),'2023年'!Y34,IF('2023年'!$AZ34-SUM('2023年'!Z34:$AG34)&gt;0,'2023年'!$AZ34-SUM('2023年'!Z34:$AG34),0))</f>
        <v>0</v>
      </c>
      <c r="V34" s="44">
        <f>IF('2023年'!$AZ34&gt;=SUM('2023年'!Z34:$AG34),'2023年'!Z34,IF('2023年'!$AZ34-SUM('2023年'!AA34:$AG34)&gt;0,'2023年'!$AZ34-SUM('2023年'!AA34:$AG34),0))</f>
        <v>0</v>
      </c>
      <c r="W34" s="44">
        <f>IF('2023年'!$AZ34&gt;=SUM('2023年'!AA34:$AG34),'2023年'!AA34,IF('2023年'!$AZ34-SUM('2023年'!AB34:$AG34)&gt;0,'2023年'!$AZ34-SUM('2023年'!AB34:$AG34),0))</f>
        <v>49728.49</v>
      </c>
      <c r="X34" s="44">
        <f>IF('2023年'!$AZ34&gt;=SUM('2023年'!AB34:$AG34),'2023年'!AB34,IF('2023年'!$AZ34-SUM('2023年'!AC34:$AG34)&gt;0,'2023年'!$AZ34-SUM('2023年'!AC34:$AG34),0))</f>
        <v>0</v>
      </c>
      <c r="Y34" s="44">
        <f>IF('2023年'!$AZ34&gt;=SUM('2023年'!AC34:$AG34),'2023年'!AC34,IF('2023年'!$AZ34-SUM('2023年'!AD34:$AG34)&gt;0,'2023年'!$AZ34-SUM('2023年'!AD34:$AG34),0))</f>
        <v>79529.04</v>
      </c>
      <c r="Z34" s="44">
        <f>IF('2023年'!$AZ34&gt;=SUM('2023年'!AD34:$AG34),'2023年'!AD34,IF('2023年'!$AZ34-SUM('2023年'!AE34:$AG34)&gt;0,'2023年'!$AZ34-SUM('2023年'!AE34:$AG34),0))</f>
        <v>60916.5</v>
      </c>
      <c r="AA34" s="44">
        <f>IF('2023年'!$AZ34&gt;=SUM('2023年'!AE34:$AG34),'2023年'!AE34,IF('2023年'!$AZ34-SUM('2023年'!AF34:$AG34)&gt;0,'2023年'!$AZ34-SUM('2023年'!AF34:$AG34),0))</f>
        <v>0</v>
      </c>
      <c r="AB34" s="44">
        <f>IF('2023年'!$AZ34&gt;=SUM('2023年'!AF34:$AG34),'2023年'!AF34,IF('2023年'!$AZ34-SUM('2023年'!AG34:$AG34)&gt;0,'2023年'!$AZ34-SUM('2023年'!AG34:$AG34),0))</f>
        <v>72024.12</v>
      </c>
      <c r="AC34" s="44">
        <f>IF('2023年'!$AZ34&gt;=SUM('2023年'!AG34:$AG34),'2023年'!AG34,IF('2023年'!$AZ34-SUM('2023年'!$AG34:AH34)&gt;0,'2023年'!$AZ34-SUM('2023年'!$AG34:AH34),0))</f>
        <v>136752.16</v>
      </c>
      <c r="AD34" s="312" t="s">
        <v>398</v>
      </c>
      <c r="AE34" s="310" t="s">
        <v>399</v>
      </c>
      <c r="AF34" s="311" t="s">
        <v>400</v>
      </c>
      <c r="AG34" s="88" t="s">
        <v>401</v>
      </c>
      <c r="AH34" s="88" t="s">
        <v>428</v>
      </c>
      <c r="AI34" s="315"/>
      <c r="AJ34" s="86">
        <f t="shared" si="4"/>
        <v>46562.9093333333</v>
      </c>
      <c r="AK34" s="91"/>
      <c r="AL34" s="10">
        <f>'2023年'!AZ34</f>
        <v>398950.31</v>
      </c>
      <c r="AM34" s="96">
        <f t="shared" si="0"/>
        <v>0</v>
      </c>
    </row>
    <row r="35" s="10" customFormat="1" ht="24.05" customHeight="1" spans="2:39">
      <c r="B35" s="45" t="s">
        <v>81</v>
      </c>
      <c r="C35" s="46" t="str">
        <f>'2023年'!C35</f>
        <v>L5258</v>
      </c>
      <c r="D35" s="46" t="str">
        <f>'2023年'!D35</f>
        <v>北京美好生活家居用品有限公司</v>
      </c>
      <c r="E35" s="41" t="s">
        <v>85</v>
      </c>
      <c r="F35" s="42">
        <f>SUM(I35:AA35)</f>
        <v>0</v>
      </c>
      <c r="G35" s="291">
        <f>SUM(I35:S35)</f>
        <v>0</v>
      </c>
      <c r="H35" s="291">
        <f>SUM(I35:AC35)</f>
        <v>0</v>
      </c>
      <c r="I35" s="298"/>
      <c r="J35" s="217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217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217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217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N35" s="217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O35" s="217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P35" s="217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Q35" s="217" t="str">
        <f>IF('2023年'!$AZ35&gt;(SUM('2023年'!V35:AG35)+'2023年'!T35+'2023年'!Q35),'2023年'!Q35+'2023年'!T35,IF('2023年'!$AZ35-SUM('2023年'!V35:AG35)&gt;0,'2023年'!$AZ35-SUM('2023年'!V35:AG35),""))</f>
        <v/>
      </c>
      <c r="R35" s="221">
        <f>IF('2023年'!$AZ35&gt;=SUM('2023年'!V35:$AG35),'2023年'!V35,IF('2023年'!$AZ35-SUM('2023年'!W35:$AG35)&gt;0,'2023年'!$AZ35-SUM('2023年'!W35:$AG35),0))</f>
        <v>0</v>
      </c>
      <c r="S35" s="221">
        <f>IF('2023年'!$AZ35&gt;=SUM('2023年'!W35:$AG35),'2023年'!W35,IF('2023年'!$AZ35-SUM('2023年'!X35:$AG35)&gt;0,'2023年'!$AZ35-SUM('2023年'!X35:$AG35),0))</f>
        <v>0</v>
      </c>
      <c r="T35" s="221">
        <f>IF('2023年'!$AZ35&gt;=SUM('2023年'!X35:$AG35),'2023年'!X35,IF('2023年'!$AZ35-SUM('2023年'!Y35:$AG35)&gt;0,'2023年'!$AZ35-SUM('2023年'!Y35:$AG35),0))</f>
        <v>0</v>
      </c>
      <c r="U35" s="44">
        <f>IF('2023年'!$AZ35&gt;=SUM('2023年'!Y35:$AG35),'2023年'!Y35,IF('2023年'!$AZ35-SUM('2023年'!Z35:$AG35)&gt;0,'2023年'!$AZ35-SUM('2023年'!Z35:$AG35),0))</f>
        <v>0</v>
      </c>
      <c r="V35" s="44">
        <f>IF('2023年'!$AZ35&gt;=SUM('2023年'!Z35:$AG35),'2023年'!Z35,IF('2023年'!$AZ35-SUM('2023年'!AA35:$AG35)&gt;0,'2023年'!$AZ35-SUM('2023年'!AA35:$AG35),0))</f>
        <v>0</v>
      </c>
      <c r="W35" s="44">
        <f>IF('2023年'!$AZ35&gt;=SUM('2023年'!AA35:$AG35),'2023年'!AA35,IF('2023年'!$AZ35-SUM('2023年'!AB35:$AG35)&gt;0,'2023年'!$AZ35-SUM('2023年'!AB35:$AG35),0))</f>
        <v>0</v>
      </c>
      <c r="X35" s="44"/>
      <c r="Y35" s="44"/>
      <c r="Z35" s="44"/>
      <c r="AA35" s="44"/>
      <c r="AB35" s="44"/>
      <c r="AC35" s="44"/>
      <c r="AD35" s="312" t="s">
        <v>402</v>
      </c>
      <c r="AE35" s="310" t="s">
        <v>403</v>
      </c>
      <c r="AF35" s="311" t="s">
        <v>372</v>
      </c>
      <c r="AG35" s="88" t="s">
        <v>404</v>
      </c>
      <c r="AH35" s="88"/>
      <c r="AI35" s="279"/>
      <c r="AJ35" s="91"/>
      <c r="AK35" s="91"/>
      <c r="AL35" s="10">
        <f>'2023年'!AZ35</f>
        <v>0</v>
      </c>
      <c r="AM35" s="10">
        <f t="shared" si="0"/>
        <v>0</v>
      </c>
    </row>
    <row r="36" s="10" customFormat="1" ht="24.05" customHeight="1" spans="2:39">
      <c r="B36" s="45" t="s">
        <v>81</v>
      </c>
      <c r="C36" s="46" t="str">
        <f>'2023年'!C36</f>
        <v>1911127</v>
      </c>
      <c r="D36" s="46" t="str">
        <f>'2023年'!D36</f>
        <v>北京浦东三浦标准件有限公司</v>
      </c>
      <c r="E36" s="41" t="s">
        <v>222</v>
      </c>
      <c r="F36" s="42">
        <f t="shared" ref="F36:F43" si="6">IF(SUM(I36:Z36)&gt;0,SUM(I36:Z36),0)</f>
        <v>0</v>
      </c>
      <c r="G36" s="291">
        <f t="shared" ref="G36:G41" si="7">SUM(I36:R36)</f>
        <v>0</v>
      </c>
      <c r="H36" s="291">
        <f>SUM(I36:AC36)</f>
        <v>0</v>
      </c>
      <c r="I36" s="298"/>
      <c r="J36" s="217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217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217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217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N36" s="217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O36" s="217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P36" s="217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Q36" s="217" t="str">
        <f>IF('2023年'!$AZ36&gt;(SUM('2023年'!V36:AG36)+'2023年'!T36+'2023年'!Q36),'2023年'!Q36+'2023年'!T36,IF('2023年'!$AZ36-SUM('2023年'!V36:AG36)&gt;0,'2023年'!$AZ36-SUM('2023年'!V36:AG36),""))</f>
        <v/>
      </c>
      <c r="R36" s="221">
        <f>IF('2023年'!$AZ36&gt;=SUM('2023年'!V36:$AG36),'2023年'!V36,IF('2023年'!$AZ36-SUM('2023年'!W36:$AG36)&gt;0,'2023年'!$AZ36-SUM('2023年'!W36:$AG36),0))</f>
        <v>0</v>
      </c>
      <c r="S36" s="221">
        <f>IF('2023年'!$AZ36&gt;=SUM('2023年'!W36:$AG36),'2023年'!W36,IF('2023年'!$AZ36-SUM('2023年'!X36:$AG36)&gt;0,'2023年'!$AZ36-SUM('2023年'!X36:$AG36),0))</f>
        <v>0</v>
      </c>
      <c r="T36" s="221">
        <f>IF('2023年'!$AZ36&gt;=SUM('2023年'!X36:$AG36),'2023年'!X36,IF('2023年'!$AZ36-SUM('2023年'!Y36:$AG36)&gt;0,'2023年'!$AZ36-SUM('2023年'!Y36:$AG36),0))</f>
        <v>0</v>
      </c>
      <c r="U36" s="44">
        <f>IF('2023年'!$AZ36&gt;=SUM('2023年'!Y36:$AG36),'2023年'!Y36,IF('2023年'!$AZ36-SUM('2023年'!Z36:$AG36)&gt;0,'2023年'!$AZ36-SUM('2023年'!Z36:$AG36),0))</f>
        <v>0</v>
      </c>
      <c r="V36" s="44">
        <f>IF('2023年'!$AZ36&gt;=SUM('2023年'!Z36:$AG36),'2023年'!Z36,IF('2023年'!$AZ36-SUM('2023年'!AA36:$AG36)&gt;0,'2023年'!$AZ36-SUM('2023年'!AA36:$AG36),0))</f>
        <v>0</v>
      </c>
      <c r="W36" s="44">
        <f>IF('2023年'!$AZ36&gt;=SUM('2023年'!AA36:$AG36),'2023年'!AA36,IF('2023年'!$AZ36-SUM('2023年'!AB36:$AG36)&gt;0,'2023年'!$AZ36-SUM('2023年'!AB36:$AG36),0))</f>
        <v>0</v>
      </c>
      <c r="X36" s="44"/>
      <c r="Y36" s="44"/>
      <c r="Z36" s="44"/>
      <c r="AA36" s="44">
        <f>IF('2023年'!$AZ36&gt;=SUM('2023年'!AE36:$AG36),'2023年'!AE36,IF('2023年'!$AZ36-SUM('2023年'!AF36:$AG36)&gt;0,'2023年'!$AZ36-SUM('2023年'!AF36:$AG36),0))</f>
        <v>0</v>
      </c>
      <c r="AB36" s="44">
        <f>IF('2023年'!$AZ36&gt;=SUM('2023年'!AF36:$AG36),'2023年'!AF36,IF('2023年'!$AZ36-SUM('2023年'!AG36:$AG36)&gt;0,'2023年'!$AZ36-SUM('2023年'!AG36:$AG36),0))</f>
        <v>0</v>
      </c>
      <c r="AC36" s="44">
        <f>IF('2023年'!$AZ36&gt;=SUM('2023年'!AG36:$AG36),'2023年'!AG36,IF('2023年'!$AZ36-SUM('2023年'!$AG36:AH36)&gt;0,'2023年'!$AZ36-SUM('2023年'!$AG36:AH36),0))</f>
        <v>0</v>
      </c>
      <c r="AD36" s="312" t="s">
        <v>405</v>
      </c>
      <c r="AE36" s="310">
        <v>0.03</v>
      </c>
      <c r="AF36" s="311" t="s">
        <v>400</v>
      </c>
      <c r="AG36" s="88" t="s">
        <v>406</v>
      </c>
      <c r="AH36" s="88"/>
      <c r="AI36" s="279"/>
      <c r="AJ36" s="91"/>
      <c r="AK36" s="91"/>
      <c r="AL36" s="10">
        <f>'2023年'!AZ36</f>
        <v>0</v>
      </c>
      <c r="AM36" s="10">
        <f t="shared" si="0"/>
        <v>0</v>
      </c>
    </row>
    <row r="37" s="10" customFormat="1" ht="24.05" customHeight="1" spans="2:39">
      <c r="B37" s="45" t="s">
        <v>81</v>
      </c>
      <c r="C37" s="46" t="str">
        <f>'2023年'!C37</f>
        <v>1911138</v>
      </c>
      <c r="D37" s="46" t="str">
        <f>'2023年'!D37</f>
        <v>北京瑞隆祥模具有限公司</v>
      </c>
      <c r="E37" s="41" t="s">
        <v>222</v>
      </c>
      <c r="F37" s="42">
        <f t="shared" si="6"/>
        <v>0</v>
      </c>
      <c r="G37" s="291">
        <f t="shared" si="7"/>
        <v>0</v>
      </c>
      <c r="H37" s="291">
        <f>SUM(I37:AC37)</f>
        <v>0</v>
      </c>
      <c r="I37" s="298"/>
      <c r="J37" s="217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217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217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217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N37" s="217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O37" s="217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P37" s="217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Q37" s="217" t="str">
        <f>IF('2023年'!$AZ37&gt;(SUM('2023年'!V37:AG37)+'2023年'!T37+'2023年'!Q37),'2023年'!Q37+'2023年'!T37,IF('2023年'!$AZ37-SUM('2023年'!V37:AG37)&gt;0,'2023年'!$AZ37-SUM('2023年'!V37:AG37),""))</f>
        <v/>
      </c>
      <c r="R37" s="221">
        <f>IF('2023年'!$AZ37&gt;=SUM('2023年'!V37:$AG37),'2023年'!V37,IF('2023年'!$AZ37-SUM('2023年'!W37:$AG37)&gt;0,'2023年'!$AZ37-SUM('2023年'!W37:$AG37),0))</f>
        <v>0</v>
      </c>
      <c r="S37" s="221">
        <f>IF('2023年'!$AZ37&gt;=SUM('2023年'!W37:$AG37),'2023年'!W37,IF('2023年'!$AZ37-SUM('2023年'!X37:$AG37)&gt;0,'2023年'!$AZ37-SUM('2023年'!X37:$AG37),0))</f>
        <v>0</v>
      </c>
      <c r="T37" s="221">
        <f>IF('2023年'!$AZ37&gt;=SUM('2023年'!X37:$AG37),'2023年'!X37,IF('2023年'!$AZ37-SUM('2023年'!Y37:$AG37)&gt;0,'2023年'!$AZ37-SUM('2023年'!Y37:$AG37),0))</f>
        <v>0</v>
      </c>
      <c r="U37" s="44">
        <f>IF('2023年'!$AZ37&gt;=SUM('2023年'!Y37:$AG37),'2023年'!Y37,IF('2023年'!$AZ37-SUM('2023年'!Z37:$AG37)&gt;0,'2023年'!$AZ37-SUM('2023年'!Z37:$AG37),0))</f>
        <v>0</v>
      </c>
      <c r="V37" s="44">
        <f>IF('2023年'!$AZ37&gt;=SUM('2023年'!Z37:$AG37),'2023年'!Z37,IF('2023年'!$AZ37-SUM('2023年'!AA37:$AG37)&gt;0,'2023年'!$AZ37-SUM('2023年'!AA37:$AG37),0))</f>
        <v>0</v>
      </c>
      <c r="W37" s="44">
        <f>IF('2023年'!$AZ37&gt;=SUM('2023年'!AA37:$AG37),'2023年'!AA37,IF('2023年'!$AZ37-SUM('2023年'!AB37:$AG37)&gt;0,'2023年'!$AZ37-SUM('2023年'!AB37:$AG37),0))</f>
        <v>0</v>
      </c>
      <c r="X37" s="44"/>
      <c r="Y37" s="44"/>
      <c r="Z37" s="44"/>
      <c r="AA37" s="44">
        <f>IF('2023年'!$AZ37&gt;=SUM('2023年'!AE37:$AG37),'2023年'!AE37,IF('2023年'!$AZ37-SUM('2023年'!AF37:$AG37)&gt;0,'2023年'!$AZ37-SUM('2023年'!AF37:$AG37),0))</f>
        <v>0</v>
      </c>
      <c r="AB37" s="44">
        <f>IF('2023年'!$AZ37&gt;=SUM('2023年'!AF37:$AG37),'2023年'!AF37,IF('2023年'!$AZ37-SUM('2023年'!AG37:$AG37)&gt;0,'2023年'!$AZ37-SUM('2023年'!AG37:$AG37),0))</f>
        <v>0</v>
      </c>
      <c r="AC37" s="44">
        <f>IF('2023年'!$AZ37&gt;=SUM('2023年'!AG37:$AG37),'2023年'!AG37,IF('2023年'!$AZ37-SUM('2023年'!$AG37:AH37)&gt;0,'2023年'!$AZ37-SUM('2023年'!$AG37:AH37),0))</f>
        <v>0</v>
      </c>
      <c r="AD37" s="312" t="s">
        <v>405</v>
      </c>
      <c r="AE37" s="310">
        <v>0.03</v>
      </c>
      <c r="AF37" s="311" t="s">
        <v>400</v>
      </c>
      <c r="AG37" s="88" t="s">
        <v>407</v>
      </c>
      <c r="AH37" s="88"/>
      <c r="AI37" s="279"/>
      <c r="AJ37" s="91"/>
      <c r="AK37" s="91"/>
      <c r="AL37" s="10">
        <f>'2023年'!AZ37</f>
        <v>0</v>
      </c>
      <c r="AM37" s="10">
        <f t="shared" si="0"/>
        <v>0</v>
      </c>
    </row>
    <row r="38" s="10" customFormat="1" ht="24.05" customHeight="1" spans="2:39">
      <c r="B38" s="45" t="s">
        <v>81</v>
      </c>
      <c r="C38" s="46" t="str">
        <f>'2023年'!C38</f>
        <v>1933006</v>
      </c>
      <c r="D38" s="46" t="str">
        <f>'2023年'!D38</f>
        <v>杭州阳晨聚氨酯制品有限公司</v>
      </c>
      <c r="E38" s="41" t="s">
        <v>222</v>
      </c>
      <c r="F38" s="42">
        <f t="shared" si="6"/>
        <v>0</v>
      </c>
      <c r="G38" s="291">
        <f t="shared" si="7"/>
        <v>0</v>
      </c>
      <c r="H38" s="291">
        <f>SUM(I38:AC38)</f>
        <v>0</v>
      </c>
      <c r="I38" s="298"/>
      <c r="J38" s="217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217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217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217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N38" s="217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O38" s="217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P38" s="217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Q38" s="217" t="str">
        <f>IF('2023年'!$AZ38&gt;(SUM('2023年'!V38:AG38)+'2023年'!T38+'2023年'!Q38),'2023年'!Q38+'2023年'!T38,IF('2023年'!$AZ38-SUM('2023年'!V38:AG38)&gt;0,'2023年'!$AZ38-SUM('2023年'!V38:AG38),""))</f>
        <v/>
      </c>
      <c r="R38" s="221">
        <f>IF('2023年'!$AZ38&gt;=SUM('2023年'!V38:$AG38),'2023年'!V38,IF('2023年'!$AZ38-SUM('2023年'!W38:$AG38)&gt;0,'2023年'!$AZ38-SUM('2023年'!W38:$AG38),0))</f>
        <v>0</v>
      </c>
      <c r="S38" s="221">
        <f>IF('2023年'!$AZ38&gt;=SUM('2023年'!W38:$AG38),'2023年'!W38,IF('2023年'!$AZ38-SUM('2023年'!X38:$AG38)&gt;0,'2023年'!$AZ38-SUM('2023年'!X38:$AG38),0))</f>
        <v>0</v>
      </c>
      <c r="T38" s="221">
        <f>IF('2023年'!$AZ38&gt;=SUM('2023年'!X38:$AG38),'2023年'!X38,IF('2023年'!$AZ38-SUM('2023年'!Y38:$AG38)&gt;0,'2023年'!$AZ38-SUM('2023年'!Y38:$AG38),0))</f>
        <v>0</v>
      </c>
      <c r="U38" s="44">
        <f>IF('2023年'!$AZ38&gt;=SUM('2023年'!Y38:$AG38),'2023年'!Y38,IF('2023年'!$AZ38-SUM('2023年'!Z38:$AG38)&gt;0,'2023年'!$AZ38-SUM('2023年'!Z38:$AG38),0))</f>
        <v>0</v>
      </c>
      <c r="V38" s="44">
        <f>IF('2023年'!$AZ38&gt;=SUM('2023年'!Z38:$AG38),'2023年'!Z38,IF('2023年'!$AZ38-SUM('2023年'!AA38:$AG38)&gt;0,'2023年'!$AZ38-SUM('2023年'!AA38:$AG38),0))</f>
        <v>0</v>
      </c>
      <c r="W38" s="44">
        <f>IF('2023年'!$AZ38&gt;=SUM('2023年'!AA38:$AG38),'2023年'!AA38,IF('2023年'!$AZ38-SUM('2023年'!AB38:$AG38)&gt;0,'2023年'!$AZ38-SUM('2023年'!AB38:$AG38),0))</f>
        <v>0</v>
      </c>
      <c r="X38" s="44"/>
      <c r="Y38" s="44"/>
      <c r="Z38" s="44"/>
      <c r="AA38" s="44">
        <f>IF('2023年'!$AZ38&gt;=SUM('2023年'!AE38:$AG38),'2023年'!AE38,IF('2023年'!$AZ38-SUM('2023年'!AF38:$AG38)&gt;0,'2023年'!$AZ38-SUM('2023年'!AF38:$AG38),0))</f>
        <v>0</v>
      </c>
      <c r="AB38" s="44">
        <f>IF('2023年'!$AZ38&gt;=SUM('2023年'!AF38:$AG38),'2023年'!AF38,IF('2023年'!$AZ38-SUM('2023年'!AG38:$AG38)&gt;0,'2023年'!$AZ38-SUM('2023年'!AG38:$AG38),0))</f>
        <v>0</v>
      </c>
      <c r="AC38" s="44">
        <f>IF('2023年'!$AZ38&gt;=SUM('2023年'!AG38:$AG38),'2023年'!AG38,IF('2023年'!$AZ38-SUM('2023年'!$AG38:AH38)&gt;0,'2023年'!$AZ38-SUM('2023年'!$AG38:AH38),0))</f>
        <v>0</v>
      </c>
      <c r="AD38" s="312" t="s">
        <v>405</v>
      </c>
      <c r="AE38" s="310"/>
      <c r="AF38" s="311" t="s">
        <v>372</v>
      </c>
      <c r="AG38" s="88" t="s">
        <v>408</v>
      </c>
      <c r="AH38" s="88"/>
      <c r="AI38" s="315"/>
      <c r="AJ38" s="86">
        <f>SUM(X38:AC38)/6*0.8</f>
        <v>0</v>
      </c>
      <c r="AK38" s="91"/>
      <c r="AL38" s="10">
        <f>'2023年'!AZ38</f>
        <v>0</v>
      </c>
      <c r="AM38" s="10">
        <f t="shared" si="0"/>
        <v>0</v>
      </c>
    </row>
    <row r="39" s="10" customFormat="1" ht="24.05" customHeight="1" spans="2:39">
      <c r="B39" s="45" t="s">
        <v>81</v>
      </c>
      <c r="C39" s="46" t="str">
        <f>'2023年'!C39</f>
        <v>1913025A</v>
      </c>
      <c r="D39" s="46" t="str">
        <f>'2023年'!D39</f>
        <v>河北新强力机械制造有限公司</v>
      </c>
      <c r="E39" s="41" t="s">
        <v>222</v>
      </c>
      <c r="F39" s="42">
        <f t="shared" si="6"/>
        <v>147990.48</v>
      </c>
      <c r="G39" s="291">
        <f t="shared" si="7"/>
        <v>0</v>
      </c>
      <c r="H39" s="43">
        <f>IF(SUM(J39:AC39)&gt;0,SUM(J39:AC39),"0")</f>
        <v>147990.48</v>
      </c>
      <c r="I39" s="298"/>
      <c r="J39" s="217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217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217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217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N39" s="217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O39" s="217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P39" s="217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Q39" s="217" t="str">
        <f>IF('2023年'!$AZ39&gt;(SUM('2023年'!V39:AG39)+'2023年'!T39+'2023年'!Q39),'2023年'!Q39+'2023年'!T39,IF('2023年'!$AZ39-SUM('2023年'!V39:AG39)&gt;0,'2023年'!$AZ39-SUM('2023年'!V39:AG39),""))</f>
        <v/>
      </c>
      <c r="R39" s="221">
        <f>IF('2023年'!$AZ39&gt;=SUM('2023年'!V39:$AG39),'2023年'!V39,IF('2023年'!$AZ39-SUM('2023年'!W39:$AG39)&gt;0,'2023年'!$AZ39-SUM('2023年'!W39:$AG39),0))</f>
        <v>0</v>
      </c>
      <c r="S39" s="221">
        <f>IF('2023年'!$AZ39&gt;=SUM('2023年'!W39:$AG39),'2023年'!W39,IF('2023年'!$AZ39-SUM('2023年'!X39:$AG39)&gt;0,'2023年'!$AZ39-SUM('2023年'!X39:$AG39),0))</f>
        <v>0</v>
      </c>
      <c r="T39" s="221">
        <f>IF('2023年'!$AZ39&gt;=SUM('2023年'!X39:$AG39),'2023年'!X39,IF('2023年'!$AZ39-SUM('2023年'!Y39:$AG39)&gt;0,'2023年'!$AZ39-SUM('2023年'!Y39:$AG39),0))</f>
        <v>0</v>
      </c>
      <c r="U39" s="44">
        <f>IF('2023年'!$AZ39&gt;=SUM('2023年'!Y39:$AG39),'2023年'!Y39,IF('2023年'!$AZ39-SUM('2023年'!Z39:$AG39)&gt;0,'2023年'!$AZ39-SUM('2023年'!Z39:$AG39),0))</f>
        <v>0</v>
      </c>
      <c r="V39" s="44">
        <f>IF('2023年'!$AZ39&gt;=SUM('2023年'!Z39:$AG39),'2023年'!Z39,IF('2023年'!$AZ39-SUM('2023年'!AA39:$AG39)&gt;0,'2023年'!$AZ39-SUM('2023年'!AA39:$AG39),0))</f>
        <v>102223.08</v>
      </c>
      <c r="W39" s="44">
        <f>IF('2023年'!$AZ39&gt;=SUM('2023年'!AA39:$AG39),'2023年'!AA39,IF('2023年'!$AZ39-SUM('2023年'!AB39:$AG39)&gt;0,'2023年'!$AZ39-SUM('2023年'!AB39:$AG39),0))</f>
        <v>0</v>
      </c>
      <c r="X39" s="44">
        <f>IF('2023年'!$AZ39&gt;=SUM('2023年'!AB39:$AG39),'2023年'!AB39,IF('2023年'!$AZ39-SUM('2023年'!AC39:$AG39)&gt;0,'2023年'!$AZ39-SUM('2023年'!AC39:$AG39),0))</f>
        <v>0</v>
      </c>
      <c r="Y39" s="44">
        <f>IF('2023年'!$AZ39&gt;=SUM('2023年'!AC39:$AG39),'2023年'!AC39,IF('2023年'!$AZ39-SUM('2023年'!AD39:$AG39)&gt;0,'2023年'!$AZ39-SUM('2023年'!AD39:$AG39),0))</f>
        <v>0</v>
      </c>
      <c r="Z39" s="44">
        <f>IF('2023年'!$AZ39&gt;=SUM('2023年'!AD39:$AG39),'2023年'!AD39,IF('2023年'!$AZ39-SUM('2023年'!AE39:$AG39)&gt;0,'2023年'!$AZ39-SUM('2023年'!AE39:$AG39),0))</f>
        <v>45767.4</v>
      </c>
      <c r="AA39" s="44">
        <f>IF('2023年'!$AZ39&gt;=SUM('2023年'!AE39:$AG39),'2023年'!AE39,IF('2023年'!$AZ39-SUM('2023年'!AF39:$AG39)&gt;0,'2023年'!$AZ39-SUM('2023年'!AF39:$AG39),0))</f>
        <v>0</v>
      </c>
      <c r="AB39" s="44">
        <f>IF('2023年'!$AZ39&gt;=SUM('2023年'!AF39:$AG39),'2023年'!AF39,IF('2023年'!$AZ39-SUM('2023年'!AG39:$AG39)&gt;0,'2023年'!$AZ39-SUM('2023年'!AG39:$AG39),0))</f>
        <v>0</v>
      </c>
      <c r="AC39" s="44">
        <f>IF('2023年'!$AZ39&gt;=SUM('2023年'!AG39:$AG39),'2023年'!AG39,IF('2023年'!$AZ39-SUM('2023年'!$AG39:AH39)&gt;0,'2023年'!$AZ39-SUM('2023年'!$AG39:AH39),0))</f>
        <v>0</v>
      </c>
      <c r="AD39" s="312" t="s">
        <v>398</v>
      </c>
      <c r="AE39" s="310">
        <v>0.03</v>
      </c>
      <c r="AF39" s="311" t="s">
        <v>400</v>
      </c>
      <c r="AG39" s="88" t="s">
        <v>409</v>
      </c>
      <c r="AH39" s="88" t="s">
        <v>428</v>
      </c>
      <c r="AI39" s="315"/>
      <c r="AJ39" s="86">
        <f>SUM(X39:AC39)/6*0.8</f>
        <v>6102.32</v>
      </c>
      <c r="AK39" s="91"/>
      <c r="AL39" s="10">
        <f>'2023年'!AZ39</f>
        <v>147990.48</v>
      </c>
      <c r="AM39" s="96">
        <f t="shared" si="0"/>
        <v>0</v>
      </c>
    </row>
    <row r="40" s="10" customFormat="1" ht="24.05" customHeight="1" spans="2:39">
      <c r="B40" s="45" t="s">
        <v>81</v>
      </c>
      <c r="C40" s="46" t="e">
        <f>'2023年'!C40</f>
        <v>#N/A</v>
      </c>
      <c r="D40" s="46" t="str">
        <f>'2023年'!D40</f>
        <v>黄骅市汇铭汽车部件有限公司</v>
      </c>
      <c r="E40" s="41" t="s">
        <v>222</v>
      </c>
      <c r="F40" s="42">
        <f t="shared" si="6"/>
        <v>0</v>
      </c>
      <c r="G40" s="291">
        <f t="shared" si="7"/>
        <v>0</v>
      </c>
      <c r="H40" s="291">
        <f>SUM(I40:AC40)</f>
        <v>0</v>
      </c>
      <c r="I40" s="298"/>
      <c r="J40" s="217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217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217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217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N40" s="217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O40" s="217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P40" s="217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Q40" s="217" t="str">
        <f>IF('2023年'!$AZ40&gt;(SUM('2023年'!V40:AG40)+'2023年'!T40+'2023年'!Q40),'2023年'!Q40+'2023年'!T40,IF('2023年'!$AZ40-SUM('2023年'!V40:AG40)&gt;0,'2023年'!$AZ40-SUM('2023年'!V40:AG40),""))</f>
        <v/>
      </c>
      <c r="R40" s="221">
        <f>IF('2023年'!$AZ40&gt;=SUM('2023年'!V40:$AG40),'2023年'!V40,IF('2023年'!$AZ40-SUM('2023年'!W40:$AG40)&gt;0,'2023年'!$AZ40-SUM('2023年'!W40:$AG40),0))</f>
        <v>0</v>
      </c>
      <c r="S40" s="221">
        <f>IF('2023年'!$AZ40&gt;=SUM('2023年'!W40:$AG40),'2023年'!W40,IF('2023年'!$AZ40-SUM('2023年'!X40:$AG40)&gt;0,'2023年'!$AZ40-SUM('2023年'!X40:$AG40),0))</f>
        <v>0</v>
      </c>
      <c r="T40" s="221">
        <f>IF('2023年'!$AZ40&gt;=SUM('2023年'!X40:$AG40),'2023年'!X40,IF('2023年'!$AZ40-SUM('2023年'!Y40:$AG40)&gt;0,'2023年'!$AZ40-SUM('2023年'!Y40:$AG40),0))</f>
        <v>0</v>
      </c>
      <c r="U40" s="44">
        <f>IF('2023年'!$AZ40&gt;=SUM('2023年'!Y40:$AG40),'2023年'!Y40,IF('2023年'!$AZ40-SUM('2023年'!Z40:$AG40)&gt;0,'2023年'!$AZ40-SUM('2023年'!Z40:$AG40),0))</f>
        <v>0</v>
      </c>
      <c r="V40" s="44">
        <f>IF('2023年'!$AZ40&gt;=SUM('2023年'!Z40:$AG40),'2023年'!Z40,IF('2023年'!$AZ40-SUM('2023年'!AA40:$AG40)&gt;0,'2023年'!$AZ40-SUM('2023年'!AA40:$AG40),0))</f>
        <v>0</v>
      </c>
      <c r="W40" s="44">
        <f>IF('2023年'!$AZ40&gt;=SUM('2023年'!AA40:$AG40),'2023年'!AA40,IF('2023年'!$AZ40-SUM('2023年'!AB40:$AG40)&gt;0,'2023年'!$AZ40-SUM('2023年'!AB40:$AG40),0))</f>
        <v>0</v>
      </c>
      <c r="X40" s="44"/>
      <c r="Y40" s="44"/>
      <c r="Z40" s="44"/>
      <c r="AA40" s="44">
        <f>IF('2023年'!$AZ40&gt;=SUM('2023年'!AE40:$AG40),'2023年'!AE40,IF('2023年'!$AZ40-SUM('2023年'!AF40:$AG40)&gt;0,'2023年'!$AZ40-SUM('2023年'!AF40:$AG40),0))</f>
        <v>0</v>
      </c>
      <c r="AB40" s="44">
        <f>IF('2023年'!$AZ40&gt;=SUM('2023年'!AF40:$AG40),'2023年'!AF40,IF('2023年'!$AZ40-SUM('2023年'!AG40:$AG40)&gt;0,'2023年'!$AZ40-SUM('2023年'!AG40:$AG40),0))</f>
        <v>0</v>
      </c>
      <c r="AC40" s="44">
        <f>IF('2023年'!$AZ40&gt;=SUM('2023年'!AG40:$AG40),'2023年'!AG40,IF('2023年'!$AZ40-SUM('2023年'!$AG40:AH40)&gt;0,'2023年'!$AZ40-SUM('2023年'!$AG40:AH40),0))</f>
        <v>0</v>
      </c>
      <c r="AD40" s="312" t="s">
        <v>398</v>
      </c>
      <c r="AE40" s="310">
        <v>0.03</v>
      </c>
      <c r="AF40" s="311" t="s">
        <v>400</v>
      </c>
      <c r="AG40" s="88"/>
      <c r="AH40" s="88"/>
      <c r="AI40" s="279"/>
      <c r="AJ40" s="91"/>
      <c r="AK40" s="91"/>
      <c r="AL40" s="10">
        <f>'2023年'!AZ40</f>
        <v>0</v>
      </c>
      <c r="AM40" s="10">
        <f t="shared" si="0"/>
        <v>0</v>
      </c>
    </row>
    <row r="41" s="10" customFormat="1" ht="24.05" customHeight="1" spans="2:39">
      <c r="B41" s="45" t="s">
        <v>81</v>
      </c>
      <c r="C41" s="46" t="str">
        <f>'2023年'!C41</f>
        <v>1913101</v>
      </c>
      <c r="D41" s="46" t="str">
        <f>'2023年'!D41</f>
        <v>黄骅市建昌塑料制品有限公司</v>
      </c>
      <c r="E41" s="41" t="s">
        <v>222</v>
      </c>
      <c r="F41" s="42">
        <f t="shared" si="6"/>
        <v>17503.96</v>
      </c>
      <c r="G41" s="291">
        <f t="shared" si="7"/>
        <v>0</v>
      </c>
      <c r="H41" s="291">
        <f>SUM(I41:AC41)</f>
        <v>28728.25</v>
      </c>
      <c r="I41" s="298"/>
      <c r="J41" s="217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217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217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217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N41" s="217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O41" s="217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P41" s="217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Q41" s="217" t="str">
        <f>IF('2023年'!$AZ41&gt;(SUM('2023年'!V41:AG41)+'2023年'!T41+'2023年'!Q41),'2023年'!Q41+'2023年'!T41,IF('2023年'!$AZ41-SUM('2023年'!V41:AG41)&gt;0,'2023年'!$AZ41-SUM('2023年'!V41:AG41),""))</f>
        <v/>
      </c>
      <c r="R41" s="221">
        <f>IF('2023年'!$AZ41&gt;=SUM('2023年'!V41:$AG41),'2023年'!V41,IF('2023年'!$AZ41-SUM('2023年'!W41:$AG41)&gt;0,'2023年'!$AZ41-SUM('2023年'!W41:$AG41),0))</f>
        <v>0</v>
      </c>
      <c r="S41" s="221">
        <f>IF('2023年'!$AZ41&gt;=SUM('2023年'!W41:$AG41),'2023年'!W41,IF('2023年'!$AZ41-SUM('2023年'!X41:$AG41)&gt;0,'2023年'!$AZ41-SUM('2023年'!X41:$AG41),0))</f>
        <v>0</v>
      </c>
      <c r="T41" s="221">
        <f>IF('2023年'!$AZ41&gt;=SUM('2023年'!X41:$AG41),'2023年'!X41,IF('2023年'!$AZ41-SUM('2023年'!Y41:$AG41)&gt;0,'2023年'!$AZ41-SUM('2023年'!Y41:$AG41),0))</f>
        <v>0</v>
      </c>
      <c r="U41" s="44">
        <f>IF('2023年'!$AZ41&gt;=SUM('2023年'!Y41:$AG41),'2023年'!Y41,IF('2023年'!$AZ41-SUM('2023年'!Z41:$AG41)&gt;0,'2023年'!$AZ41-SUM('2023年'!Z41:$AG41),0))</f>
        <v>0</v>
      </c>
      <c r="V41" s="44">
        <f>IF('2023年'!$AZ41&gt;=SUM('2023年'!Z41:$AG41),'2023年'!Z41,IF('2023年'!$AZ41-SUM('2023年'!AA41:$AG41)&gt;0,'2023年'!$AZ41-SUM('2023年'!AA41:$AG41),0))</f>
        <v>0</v>
      </c>
      <c r="W41" s="44">
        <f>IF('2023年'!$AZ41&gt;=SUM('2023年'!AA41:$AG41),'2023年'!AA41,IF('2023年'!$AZ41-SUM('2023年'!AB41:$AG41)&gt;0,'2023年'!$AZ41-SUM('2023年'!AB41:$AG41),0))</f>
        <v>17503.96</v>
      </c>
      <c r="X41" s="44"/>
      <c r="Y41" s="44"/>
      <c r="Z41" s="44">
        <f>IF('2023年'!$AZ41&gt;=SUM('2023年'!AD41:$AG41),'2023年'!AD41,IF('2023年'!$AZ41-SUM('2023年'!AE41:$AG41)&gt;0,'2023年'!$AZ41-SUM('2023年'!AE41:$AG41),0))</f>
        <v>0</v>
      </c>
      <c r="AA41" s="44">
        <f>IF('2023年'!$AZ41&gt;=SUM('2023年'!AE41:$AG41),'2023年'!AE41,IF('2023年'!$AZ41-SUM('2023年'!AF41:$AG41)&gt;0,'2023年'!$AZ41-SUM('2023年'!AF41:$AG41),0))</f>
        <v>11224.29</v>
      </c>
      <c r="AB41" s="44">
        <f>IF('2023年'!$AZ41&gt;=SUM('2023年'!AF41:$AG41),'2023年'!AF41,IF('2023年'!$AZ41-SUM('2023年'!AG41:$AG41)&gt;0,'2023年'!$AZ41-SUM('2023年'!AG41:$AG41),0))</f>
        <v>0</v>
      </c>
      <c r="AC41" s="44">
        <f>IF('2023年'!$AZ41&gt;=SUM('2023年'!AG41:$AG41),'2023年'!AG41,IF('2023年'!$AZ41-SUM('2023年'!$AG41:AH41)&gt;0,'2023年'!$AZ41-SUM('2023年'!$AG41:AH41),0))</f>
        <v>0</v>
      </c>
      <c r="AD41" s="312" t="s">
        <v>398</v>
      </c>
      <c r="AE41" s="310">
        <v>0.03</v>
      </c>
      <c r="AF41" s="311" t="s">
        <v>400</v>
      </c>
      <c r="AG41" s="88" t="s">
        <v>410</v>
      </c>
      <c r="AH41" s="88" t="s">
        <v>428</v>
      </c>
      <c r="AI41" s="315"/>
      <c r="AJ41" s="86">
        <f>SUM(X41:AC41)/6*0.8</f>
        <v>1496.572</v>
      </c>
      <c r="AK41" s="91"/>
      <c r="AL41" s="10">
        <f>'2023年'!AZ41</f>
        <v>28728.25</v>
      </c>
      <c r="AM41" s="10">
        <f t="shared" si="0"/>
        <v>0</v>
      </c>
    </row>
    <row r="42" s="10" customFormat="1" ht="24.05" customHeight="1" spans="2:39">
      <c r="B42" s="45" t="s">
        <v>81</v>
      </c>
      <c r="C42" s="46" t="str">
        <f>'2023年'!C42</f>
        <v>1913734</v>
      </c>
      <c r="D42" s="46" t="str">
        <f>'2023年'!D42</f>
        <v>黄骅市旗锐塑料制品有限公司</v>
      </c>
      <c r="E42" s="41" t="s">
        <v>222</v>
      </c>
      <c r="F42" s="42">
        <f t="shared" si="6"/>
        <v>11865</v>
      </c>
      <c r="G42" s="291">
        <f>SUM(I42:Q42)</f>
        <v>0</v>
      </c>
      <c r="H42" s="291">
        <f>SUM(I42:AC42)</f>
        <v>11865</v>
      </c>
      <c r="I42" s="298"/>
      <c r="J42" s="217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217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217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217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N42" s="217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O42" s="217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P42" s="217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Q42" s="217" t="str">
        <f>IF('2023年'!$AZ42&gt;(SUM('2023年'!V42:AG42)+'2023年'!T42+'2023年'!Q42),'2023年'!Q42+'2023年'!T42,IF('2023年'!$AZ42-SUM('2023年'!V42:AG42)&gt;0,'2023年'!$AZ42-SUM('2023年'!V42:AG42),""))</f>
        <v/>
      </c>
      <c r="R42" s="221">
        <f>IF('2023年'!$AZ42&gt;=SUM('2023年'!V42:$AG42),'2023年'!V42,IF('2023年'!$AZ42-SUM('2023年'!W42:$AG42)&gt;0,'2023年'!$AZ42-SUM('2023年'!W42:$AG42),0))</f>
        <v>0</v>
      </c>
      <c r="S42" s="221">
        <f>IF('2023年'!$AZ42&gt;=SUM('2023年'!W42:$AG42),'2023年'!W42,IF('2023年'!$AZ42-SUM('2023年'!X42:$AG42)&gt;0,'2023年'!$AZ42-SUM('2023年'!X42:$AG42),0))</f>
        <v>0</v>
      </c>
      <c r="T42" s="221">
        <f>IF('2023年'!$AZ42&gt;=SUM('2023年'!X42:$AG42),'2023年'!X42,IF('2023年'!$AZ42-SUM('2023年'!Y42:$AG42)&gt;0,'2023年'!$AZ42-SUM('2023年'!Y42:$AG42),0))</f>
        <v>0</v>
      </c>
      <c r="U42" s="44">
        <f>IF('2023年'!$AZ42&gt;=SUM('2023年'!Y42:$AG42),'2023年'!Y42,IF('2023年'!$AZ42-SUM('2023年'!Z42:$AG42)&gt;0,'2023年'!$AZ42-SUM('2023年'!Z42:$AG42),0))</f>
        <v>0</v>
      </c>
      <c r="V42" s="44">
        <f>IF('2023年'!$AZ42&gt;=SUM('2023年'!Z42:$AG42),'2023年'!Z42,IF('2023年'!$AZ42-SUM('2023年'!AA42:$AG42)&gt;0,'2023年'!$AZ42-SUM('2023年'!AA42:$AG42),0))</f>
        <v>0</v>
      </c>
      <c r="W42" s="44">
        <f>IF('2023年'!$AZ42&gt;=SUM('2023年'!AA42:$AG42),'2023年'!AA42,IF('2023年'!$AZ42-SUM('2023年'!AB42:$AG42)&gt;0,'2023年'!$AZ42-SUM('2023年'!AB42:$AG42),0))</f>
        <v>11865</v>
      </c>
      <c r="X42" s="44"/>
      <c r="Y42" s="44"/>
      <c r="Z42" s="44">
        <f>IF('2023年'!$AZ42&gt;=SUM('2023年'!AD42:$AG42),'2023年'!AD42,IF('2023年'!$AZ42-SUM('2023年'!AE42:$AG42)&gt;0,'2023年'!$AZ42-SUM('2023年'!AE42:$AG42),0))</f>
        <v>0</v>
      </c>
      <c r="AA42" s="44">
        <f>IF('2023年'!$AZ42&gt;=SUM('2023年'!AE42:$AG42),'2023年'!AE42,IF('2023年'!$AZ42-SUM('2023年'!AF42:$AG42)&gt;0,'2023年'!$AZ42-SUM('2023年'!AF42:$AG42),0))</f>
        <v>0</v>
      </c>
      <c r="AB42" s="44">
        <f>IF('2023年'!$AZ42&gt;=SUM('2023年'!AF42:$AG42),'2023年'!AF42,IF('2023年'!$AZ42-SUM('2023年'!AG42:$AG42)&gt;0,'2023年'!$AZ42-SUM('2023年'!AG42:$AG42),0))</f>
        <v>0</v>
      </c>
      <c r="AC42" s="44">
        <f>IF('2023年'!$AZ42&gt;=SUM('2023年'!AG42:$AG42),'2023年'!AG42,IF('2023年'!$AZ42-SUM('2023年'!$AG42:AH42)&gt;0,'2023年'!$AZ42-SUM('2023年'!$AG42:AH42),0))</f>
        <v>0</v>
      </c>
      <c r="AD42" s="312" t="s">
        <v>402</v>
      </c>
      <c r="AE42" s="310"/>
      <c r="AF42" s="311"/>
      <c r="AG42" s="88" t="s">
        <v>411</v>
      </c>
      <c r="AH42" s="88" t="s">
        <v>428</v>
      </c>
      <c r="AI42" s="315"/>
      <c r="AJ42" s="86">
        <f>SUM(X42:AC42)/6*0.8</f>
        <v>0</v>
      </c>
      <c r="AK42" s="91"/>
      <c r="AL42" s="10">
        <f>'2023年'!AZ42</f>
        <v>11865</v>
      </c>
      <c r="AM42" s="10">
        <f t="shared" si="0"/>
        <v>0</v>
      </c>
    </row>
    <row r="43" s="10" customFormat="1" ht="24.05" customHeight="1" spans="2:39">
      <c r="B43" s="45" t="s">
        <v>81</v>
      </c>
      <c r="C43" s="46" t="str">
        <f>'2023年'!C43</f>
        <v>1913017</v>
      </c>
      <c r="D43" s="46" t="str">
        <f>'2023年'!D43</f>
        <v>黄骅市鑫祺汽车配件有限公司</v>
      </c>
      <c r="E43" s="41" t="s">
        <v>222</v>
      </c>
      <c r="F43" s="42">
        <f t="shared" si="6"/>
        <v>0</v>
      </c>
      <c r="G43" s="291">
        <f>SUM(I43:R43)</f>
        <v>0</v>
      </c>
      <c r="H43" s="291">
        <f>SUM(I43:AC43)</f>
        <v>0</v>
      </c>
      <c r="I43" s="298"/>
      <c r="J43" s="217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217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217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217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N43" s="217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O43" s="217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P43" s="217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Q43" s="217" t="str">
        <f>IF('2023年'!$AZ43&gt;(SUM('2023年'!V43:AG43)+'2023年'!T43+'2023年'!Q43),'2023年'!Q43+'2023年'!T43,IF('2023年'!$AZ43-SUM('2023年'!V43:AG43)&gt;0,'2023年'!$AZ43-SUM('2023年'!V43:AG43),""))</f>
        <v/>
      </c>
      <c r="R43" s="221">
        <f>IF('2023年'!$AZ43&gt;=SUM('2023年'!V43:$AG43),'2023年'!V43,IF('2023年'!$AZ43-SUM('2023年'!W43:$AG43)&gt;0,'2023年'!$AZ43-SUM('2023年'!W43:$AG43),0))</f>
        <v>0</v>
      </c>
      <c r="S43" s="221">
        <f>IF('2023年'!$AZ43&gt;=SUM('2023年'!W43:$AG43),'2023年'!W43,IF('2023年'!$AZ43-SUM('2023年'!X43:$AG43)&gt;0,'2023年'!$AZ43-SUM('2023年'!X43:$AG43),0))</f>
        <v>0</v>
      </c>
      <c r="T43" s="221">
        <f>IF('2023年'!$AZ43&gt;=SUM('2023年'!X43:$AG43),'2023年'!X43,IF('2023年'!$AZ43-SUM('2023年'!Y43:$AG43)&gt;0,'2023年'!$AZ43-SUM('2023年'!Y43:$AG43),0))</f>
        <v>0</v>
      </c>
      <c r="U43" s="44">
        <f>IF('2023年'!$AZ43&gt;=SUM('2023年'!Y43:$AG43),'2023年'!Y43,IF('2023年'!$AZ43-SUM('2023年'!Z43:$AG43)&gt;0,'2023年'!$AZ43-SUM('2023年'!Z43:$AG43),0))</f>
        <v>0</v>
      </c>
      <c r="V43" s="44">
        <f>IF('2023年'!$AZ43&gt;=SUM('2023年'!Z43:$AG43),'2023年'!Z43,IF('2023年'!$AZ43-SUM('2023年'!AA43:$AG43)&gt;0,'2023年'!$AZ43-SUM('2023年'!AA43:$AG43),0))</f>
        <v>0</v>
      </c>
      <c r="W43" s="44">
        <f>IF('2023年'!$AZ43&gt;=SUM('2023年'!AA43:$AG43),'2023年'!AA43,IF('2023年'!$AZ43-SUM('2023年'!AB43:$AG43)&gt;0,'2023年'!$AZ43-SUM('2023年'!AB43:$AG43),0))</f>
        <v>0</v>
      </c>
      <c r="X43" s="44"/>
      <c r="Y43" s="44"/>
      <c r="Z43" s="44"/>
      <c r="AA43" s="44"/>
      <c r="AB43" s="44"/>
      <c r="AC43" s="44"/>
      <c r="AD43" s="312" t="s">
        <v>398</v>
      </c>
      <c r="AE43" s="310">
        <v>0.03</v>
      </c>
      <c r="AF43" s="311" t="s">
        <v>400</v>
      </c>
      <c r="AG43" s="88" t="s">
        <v>412</v>
      </c>
      <c r="AH43" s="88"/>
      <c r="AI43" s="279"/>
      <c r="AJ43" s="91"/>
      <c r="AK43" s="91"/>
      <c r="AL43" s="10">
        <f>'2023年'!AZ43</f>
        <v>0</v>
      </c>
      <c r="AM43" s="10">
        <f t="shared" si="0"/>
        <v>0</v>
      </c>
    </row>
    <row r="44" s="10" customFormat="1" ht="24.05" customHeight="1" spans="2:39">
      <c r="B44" s="45" t="s">
        <v>81</v>
      </c>
      <c r="C44" s="46" t="str">
        <f>'2023年'!C44</f>
        <v>1913005</v>
      </c>
      <c r="D44" s="46" t="str">
        <f>'2023年'!D44</f>
        <v>黄骅市长生汽车灯镜有限公司</v>
      </c>
      <c r="E44" s="41">
        <v>30</v>
      </c>
      <c r="F44" s="42">
        <f>SUM(I44:AB44)</f>
        <v>186875.24</v>
      </c>
      <c r="G44" s="291">
        <f>SUM(I44:T44)</f>
        <v>0</v>
      </c>
      <c r="H44" s="43">
        <f>IF(SUM(J44:AC44)&gt;0,SUM(J44:AC44),"0")</f>
        <v>238150.69</v>
      </c>
      <c r="I44" s="298"/>
      <c r="J44" s="217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217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217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217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N44" s="217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O44" s="217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P44" s="217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Q44" s="217" t="str">
        <f>IF('2023年'!$AZ44&gt;(SUM('2023年'!V44:AG44)+'2023年'!T44+'2023年'!Q44),'2023年'!Q44+'2023年'!T44,IF('2023年'!$AZ44-SUM('2023年'!V44:AG44)&gt;0,'2023年'!$AZ44-SUM('2023年'!V44:AG44),""))</f>
        <v/>
      </c>
      <c r="R44" s="221">
        <f>IF('2023年'!$AZ44&gt;=SUM('2023年'!V44:$AG44),'2023年'!V44,IF('2023年'!$AZ44-SUM('2023年'!W44:$AG44)&gt;0,'2023年'!$AZ44-SUM('2023年'!W44:$AG44),0))</f>
        <v>0</v>
      </c>
      <c r="S44" s="221">
        <f>IF('2023年'!$AZ44&gt;=SUM('2023年'!W44:$AG44),'2023年'!W44,IF('2023年'!$AZ44-SUM('2023年'!X44:$AG44)&gt;0,'2023年'!$AZ44-SUM('2023年'!X44:$AG44),0))</f>
        <v>0</v>
      </c>
      <c r="T44" s="221">
        <f>IF('2023年'!$AZ44&gt;=SUM('2023年'!X44:$AG44),'2023年'!X44,IF('2023年'!$AZ44-SUM('2023年'!Y44:$AG44)&gt;0,'2023年'!$AZ44-SUM('2023年'!Y44:$AG44),0))</f>
        <v>0</v>
      </c>
      <c r="U44" s="44">
        <f>IF('2023年'!$AZ44&gt;=SUM('2023年'!Y44:$AG44),'2023年'!Y44,IF('2023年'!$AZ44-SUM('2023年'!Z44:$AG44)&gt;0,'2023年'!$AZ44-SUM('2023年'!Z44:$AG44),0))</f>
        <v>28907.04</v>
      </c>
      <c r="V44" s="44">
        <f>IF('2023年'!$AZ44&gt;=SUM('2023年'!Z44:$AG44),'2023年'!Z44,IF('2023年'!$AZ44-SUM('2023年'!AA44:$AG44)&gt;0,'2023年'!$AZ44-SUM('2023年'!AA44:$AG44),0))</f>
        <v>45297.08</v>
      </c>
      <c r="W44" s="44">
        <f>IF('2023年'!$AZ44&gt;=SUM('2023年'!AA44:$AG44),'2023年'!AA44,IF('2023年'!$AZ44-SUM('2023年'!AB44:$AG44)&gt;0,'2023年'!$AZ44-SUM('2023年'!AB44:$AG44),0))</f>
        <v>46472.83</v>
      </c>
      <c r="X44" s="44">
        <f>IF('2023年'!$AZ44&gt;=SUM('2023年'!AB44:$AG44),'2023年'!AB44,IF('2023年'!$AZ44-SUM('2023年'!AC44:$AG44)&gt;0,'2023年'!$AZ44-SUM('2023年'!AC44:$AG44),0))</f>
        <v>0</v>
      </c>
      <c r="Y44" s="44">
        <f>IF('2023年'!$AZ44&gt;=SUM('2023年'!AC44:$AG44),'2023年'!AC44,IF('2023年'!$AZ44-SUM('2023年'!AD44:$AG44)&gt;0,'2023年'!$AZ44-SUM('2023年'!AD44:$AG44),0))</f>
        <v>0</v>
      </c>
      <c r="Z44" s="44">
        <f>IF('2023年'!$AZ44&gt;=SUM('2023年'!AD44:$AG44),'2023年'!AD44,IF('2023年'!$AZ44-SUM('2023年'!AE44:$AG44)&gt;0,'2023年'!$AZ44-SUM('2023年'!AE44:$AG44),0))</f>
        <v>0</v>
      </c>
      <c r="AA44" s="44">
        <f>IF('2023年'!$AZ44&gt;=SUM('2023年'!AE44:$AG44),'2023年'!AE44,IF('2023年'!$AZ44-SUM('2023年'!AF44:$AG44)&gt;0,'2023年'!$AZ44-SUM('2023年'!AF44:$AG44),0))</f>
        <v>0</v>
      </c>
      <c r="AB44" s="44">
        <f>IF('2023年'!$AZ44&gt;=SUM('2023年'!AF44:$AG44),'2023年'!AF44,IF('2023年'!$AZ44-SUM('2023年'!AG44:$AG44)&gt;0,'2023年'!$AZ44-SUM('2023年'!AG44:$AG44),0))</f>
        <v>66198.29</v>
      </c>
      <c r="AC44" s="44">
        <f>IF('2023年'!$AZ44&gt;=SUM('2023年'!AG44:$AG44),'2023年'!AG44,IF('2023年'!$AZ44-SUM('2023年'!$AG44:AH44)&gt;0,'2023年'!$AZ44-SUM('2023年'!$AG44:AH44),0))</f>
        <v>51275.45</v>
      </c>
      <c r="AD44" s="312" t="s">
        <v>398</v>
      </c>
      <c r="AE44" s="310">
        <v>0.03</v>
      </c>
      <c r="AF44" s="311" t="s">
        <v>400</v>
      </c>
      <c r="AG44" s="88" t="s">
        <v>413</v>
      </c>
      <c r="AH44" s="88" t="s">
        <v>428</v>
      </c>
      <c r="AI44" s="315"/>
      <c r="AJ44" s="86">
        <f>SUM(X44:AC44)/6*0.8</f>
        <v>15663.1653333333</v>
      </c>
      <c r="AK44" s="91"/>
      <c r="AL44" s="10">
        <f>'2023年'!AZ44</f>
        <v>238150.69</v>
      </c>
      <c r="AM44" s="96">
        <f t="shared" si="0"/>
        <v>0</v>
      </c>
    </row>
    <row r="45" s="10" customFormat="1" ht="24.05" customHeight="1" spans="2:39">
      <c r="B45" s="45" t="s">
        <v>81</v>
      </c>
      <c r="C45" s="46" t="str">
        <f>'2023年'!C45</f>
        <v>L5488</v>
      </c>
      <c r="D45" s="46" t="str">
        <f>'2023年'!D45</f>
        <v>厦门市鑫荣飞工贸有限公司</v>
      </c>
      <c r="E45" s="41" t="s">
        <v>222</v>
      </c>
      <c r="F45" s="42">
        <f>IF(SUM(I45:Z45)&gt;0,SUM(I45:Z45),0)</f>
        <v>130843.68</v>
      </c>
      <c r="G45" s="291">
        <f>SUM(I45:R45)</f>
        <v>0</v>
      </c>
      <c r="H45" s="43">
        <f>IF(SUM(J45:AC45)&gt;0,SUM(J45:AC45),"0")</f>
        <v>233529.04</v>
      </c>
      <c r="I45" s="298"/>
      <c r="J45" s="217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217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217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217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N45" s="217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O45" s="217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P45" s="217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Q45" s="217" t="str">
        <f>IF('2023年'!$AZ45&gt;(SUM('2023年'!V45:AG45)+'2023年'!T45+'2023年'!Q45),'2023年'!Q45+'2023年'!T45,IF('2023年'!$AZ45-SUM('2023年'!V45:AG45)&gt;0,'2023年'!$AZ45-SUM('2023年'!V45:AG45),""))</f>
        <v/>
      </c>
      <c r="R45" s="221">
        <f>IF('2023年'!$AZ45&gt;=SUM('2023年'!V45:$AG45),'2023年'!V45,IF('2023年'!$AZ45-SUM('2023年'!W45:$AG45)&gt;0,'2023年'!$AZ45-SUM('2023年'!W45:$AG45),0))</f>
        <v>0</v>
      </c>
      <c r="S45" s="221">
        <f>IF('2023年'!$AZ45&gt;=SUM('2023年'!W45:$AG45),'2023年'!W45,IF('2023年'!$AZ45-SUM('2023年'!X45:$AG45)&gt;0,'2023年'!$AZ45-SUM('2023年'!X45:$AG45),0))</f>
        <v>0</v>
      </c>
      <c r="T45" s="221">
        <f>IF('2023年'!$AZ45&gt;=SUM('2023年'!X45:$AG45),'2023年'!X45,IF('2023年'!$AZ45-SUM('2023年'!Y45:$AG45)&gt;0,'2023年'!$AZ45-SUM('2023年'!Y45:$AG45),0))</f>
        <v>0</v>
      </c>
      <c r="U45" s="44">
        <f>IF('2023年'!$AZ45&gt;=SUM('2023年'!Y45:$AG45),'2023年'!Y45,IF('2023年'!$AZ45-SUM('2023年'!Z45:$AG45)&gt;0,'2023年'!$AZ45-SUM('2023年'!Z45:$AG45),0))</f>
        <v>0</v>
      </c>
      <c r="V45" s="44">
        <f>IF('2023年'!$AZ45&gt;=SUM('2023年'!Z45:$AG45),'2023年'!Z45,IF('2023年'!$AZ45-SUM('2023年'!AA45:$AG45)&gt;0,'2023年'!$AZ45-SUM('2023年'!AA45:$AG45),0))</f>
        <v>65285.6</v>
      </c>
      <c r="W45" s="44">
        <f>IF('2023年'!$AZ45&gt;=SUM('2023年'!AA45:$AG45),'2023年'!AA45,IF('2023年'!$AZ45-SUM('2023年'!AB45:$AG45)&gt;0,'2023年'!$AZ45-SUM('2023年'!AB45:$AG45),0))</f>
        <v>65558.08</v>
      </c>
      <c r="X45" s="44">
        <f>IF('2023年'!$AZ45&gt;=SUM('2023年'!AB45:$AG45),'2023年'!AB45,IF('2023年'!$AZ45-SUM('2023年'!AC45:$AG45)&gt;0,'2023年'!$AZ45-SUM('2023年'!AC45:$AG45),0))</f>
        <v>0</v>
      </c>
      <c r="Y45" s="44">
        <f>IF('2023年'!$AZ45&gt;=SUM('2023年'!AC45:$AG45),'2023年'!AC45,IF('2023年'!$AZ45-SUM('2023年'!AD45:$AG45)&gt;0,'2023年'!$AZ45-SUM('2023年'!AD45:$AG45),0))</f>
        <v>0</v>
      </c>
      <c r="Z45" s="44">
        <f>IF('2023年'!$AZ45&gt;=SUM('2023年'!AD45:$AG45),'2023年'!AD45,IF('2023年'!$AZ45-SUM('2023年'!AE45:$AG45)&gt;0,'2023年'!$AZ45-SUM('2023年'!AE45:$AG45),0))</f>
        <v>0</v>
      </c>
      <c r="AA45" s="44">
        <f>IF('2023年'!$AZ45&gt;=SUM('2023年'!AE45:$AG45),'2023年'!AE45,IF('2023年'!$AZ45-SUM('2023年'!AF45:$AG45)&gt;0,'2023年'!$AZ45-SUM('2023年'!AF45:$AG45),0))</f>
        <v>15905.88</v>
      </c>
      <c r="AB45" s="44">
        <f>IF('2023年'!$AZ45&gt;=SUM('2023年'!AF45:$AG45),'2023年'!AF45,IF('2023年'!$AZ45-SUM('2023年'!AG45:$AG45)&gt;0,'2023年'!$AZ45-SUM('2023年'!AG45:$AG45),0))</f>
        <v>0</v>
      </c>
      <c r="AC45" s="44">
        <f>IF('2023年'!$AZ45&gt;=SUM('2023年'!AG45:$AG45),'2023年'!AG45,IF('2023年'!$AZ45-SUM('2023年'!$AG45:AH45)&gt;0,'2023年'!$AZ45-SUM('2023年'!$AG45:AH45),0))</f>
        <v>86779.48</v>
      </c>
      <c r="AD45" s="312" t="s">
        <v>398</v>
      </c>
      <c r="AE45" s="310" t="s">
        <v>403</v>
      </c>
      <c r="AF45" s="311"/>
      <c r="AG45" s="88" t="s">
        <v>414</v>
      </c>
      <c r="AH45" s="88" t="s">
        <v>428</v>
      </c>
      <c r="AI45" s="315"/>
      <c r="AJ45" s="86">
        <f>SUM(X45:AC45)/6*0.8</f>
        <v>13691.3813333333</v>
      </c>
      <c r="AK45" s="91"/>
      <c r="AL45" s="10">
        <f>'2023年'!AZ45</f>
        <v>233529.04</v>
      </c>
      <c r="AM45" s="96">
        <f t="shared" si="0"/>
        <v>0</v>
      </c>
    </row>
    <row r="46" s="10" customFormat="1" ht="24.05" customHeight="1" spans="2:39">
      <c r="B46" s="45" t="s">
        <v>81</v>
      </c>
      <c r="C46" s="46" t="str">
        <f>'2023年'!C46</f>
        <v>L5388</v>
      </c>
      <c r="D46" s="46" t="str">
        <f>'2023年'!D46</f>
        <v>上海绽奇汽车部件有限公司</v>
      </c>
      <c r="E46" s="41" t="s">
        <v>222</v>
      </c>
      <c r="F46" s="42">
        <f>IF(SUM(I46:Z46)&gt;0,SUM(I46:Z46),0)</f>
        <v>0</v>
      </c>
      <c r="G46" s="291">
        <f>SUM(I46:R46)</f>
        <v>0</v>
      </c>
      <c r="H46" s="43" t="str">
        <f>IF(SUM(J46:AC46)&gt;0,SUM(J46:AC46),"0")</f>
        <v>0</v>
      </c>
      <c r="I46" s="298"/>
      <c r="J46" s="217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217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217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217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N46" s="217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O46" s="217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P46" s="217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Q46" s="217" t="str">
        <f>IF('2023年'!$AZ46&gt;(SUM('2023年'!V46:AG46)+'2023年'!T46+'2023年'!Q46),'2023年'!Q46+'2023年'!T46,IF('2023年'!$AZ46-SUM('2023年'!V46:AG46)&gt;0,'2023年'!$AZ46-SUM('2023年'!V46:AG46),""))</f>
        <v/>
      </c>
      <c r="R46" s="221">
        <f>IF('2023年'!$AZ46&gt;=SUM('2023年'!V46:$AG46),'2023年'!V46,IF('2023年'!$AZ46-SUM('2023年'!W46:$AG46)&gt;0,'2023年'!$AZ46-SUM('2023年'!W46:$AG46),0))</f>
        <v>0</v>
      </c>
      <c r="S46" s="221">
        <f>IF('2023年'!$AZ46&gt;=SUM('2023年'!W46:$AG46),'2023年'!W46,IF('2023年'!$AZ46-SUM('2023年'!X46:$AG46)&gt;0,'2023年'!$AZ46-SUM('2023年'!X46:$AG46),0))</f>
        <v>0</v>
      </c>
      <c r="T46" s="221">
        <f>IF('2023年'!$AZ46&gt;=SUM('2023年'!X46:$AG46),'2023年'!X46,IF('2023年'!$AZ46-SUM('2023年'!Y46:$AG46)&gt;0,'2023年'!$AZ46-SUM('2023年'!Y46:$AG46),0))</f>
        <v>0</v>
      </c>
      <c r="U46" s="44">
        <f>IF('2023年'!$AZ46&gt;=SUM('2023年'!Y46:$AG46),'2023年'!Y46,IF('2023年'!$AZ46-SUM('2023年'!Z46:$AG46)&gt;0,'2023年'!$AZ46-SUM('2023年'!Z46:$AG46),0))</f>
        <v>0</v>
      </c>
      <c r="V46" s="44">
        <f>IF('2023年'!$AZ46&gt;=SUM('2023年'!Z46:$AG46),'2023年'!Z46,IF('2023年'!$AZ46-SUM('2023年'!AA46:$AG46)&gt;0,'2023年'!$AZ46-SUM('2023年'!AA46:$AG46),0))</f>
        <v>0</v>
      </c>
      <c r="W46" s="44">
        <f>IF('2023年'!$AZ46&gt;=SUM('2023年'!AA46:$AG46),'2023年'!AA46,IF('2023年'!$AZ46-SUM('2023年'!AB46:$AG46)&gt;0,'2023年'!$AZ46-SUM('2023年'!AB46:$AG46),0))</f>
        <v>0</v>
      </c>
      <c r="X46" s="44">
        <f>IF('2023年'!$AZ46&gt;=SUM('2023年'!AB46:$AG46),'2023年'!AB46,IF('2023年'!$AZ46-SUM('2023年'!AC46:$AG46)&gt;0,'2023年'!$AZ46-SUM('2023年'!AC46:$AG46),0))</f>
        <v>0</v>
      </c>
      <c r="Y46" s="44">
        <f>IF('2023年'!$AZ46&gt;=SUM('2023年'!AC46:$AG46),'2023年'!AC46,IF('2023年'!$AZ46-SUM('2023年'!AD46:$AG46)&gt;0,'2023年'!$AZ46-SUM('2023年'!AD46:$AG46),0))</f>
        <v>0</v>
      </c>
      <c r="Z46" s="44">
        <f>IF('2023年'!$AZ46&gt;=SUM('2023年'!AD46:$AG46),'2023年'!AD46,IF('2023年'!$AZ46-SUM('2023年'!AE46:$AG46)&gt;0,'2023年'!$AZ46-SUM('2023年'!AE46:$AG46),0))</f>
        <v>0</v>
      </c>
      <c r="AA46" s="44">
        <f>IF('2023年'!$AZ46&gt;=SUM('2023年'!AE46:$AG46),'2023年'!AE46,IF('2023年'!$AZ46-SUM('2023年'!AF46:$AG46)&gt;0,'2023年'!$AZ46-SUM('2023年'!AF46:$AG46),0))</f>
        <v>0</v>
      </c>
      <c r="AB46" s="44">
        <f>IF('2023年'!$AZ46&gt;=SUM('2023年'!AF46:$AG46),'2023年'!AF46,IF('2023年'!$AZ46-SUM('2023年'!AG46:$AG46)&gt;0,'2023年'!$AZ46-SUM('2023年'!AG46:$AG46),0))</f>
        <v>0</v>
      </c>
      <c r="AC46" s="44">
        <f>IF('2023年'!$AZ46&gt;=SUM('2023年'!AG46:$AG46),'2023年'!AG46,IF('2023年'!$AZ46-SUM('2023年'!$AG46:AH46)&gt;0,'2023年'!$AZ46-SUM('2023年'!$AG46:AH46),0))</f>
        <v>0</v>
      </c>
      <c r="AD46" s="312" t="s">
        <v>402</v>
      </c>
      <c r="AE46" s="310" t="s">
        <v>403</v>
      </c>
      <c r="AF46" s="311" t="s">
        <v>400</v>
      </c>
      <c r="AG46" s="88" t="s">
        <v>415</v>
      </c>
      <c r="AH46" s="88" t="s">
        <v>428</v>
      </c>
      <c r="AI46" s="315"/>
      <c r="AJ46" s="86">
        <f>SUM(X46:AC46)/6*0.8</f>
        <v>0</v>
      </c>
      <c r="AK46" s="91"/>
      <c r="AL46" s="10">
        <f>'2023年'!AZ46</f>
        <v>0</v>
      </c>
      <c r="AM46" s="96">
        <f t="shared" si="0"/>
        <v>0</v>
      </c>
    </row>
    <row r="47" s="10" customFormat="1" ht="24.05" customHeight="1" spans="2:39">
      <c r="B47" s="45" t="s">
        <v>81</v>
      </c>
      <c r="C47" s="46" t="str">
        <f>'2023年'!C47</f>
        <v>L5170</v>
      </c>
      <c r="D47" s="46" t="str">
        <f>'2023年'!D47</f>
        <v>上锐（常州）供应链管理有限公</v>
      </c>
      <c r="E47" s="41" t="s">
        <v>85</v>
      </c>
      <c r="F47" s="42">
        <f>SUM(I47:AA47)</f>
        <v>0</v>
      </c>
      <c r="G47" s="291">
        <f>SUM(I47:S47)</f>
        <v>0</v>
      </c>
      <c r="H47" s="291">
        <f>SUM(I47:AC47)</f>
        <v>0</v>
      </c>
      <c r="I47" s="298"/>
      <c r="J47" s="217" t="str">
        <f>IF('2023年'!$AZ47&gt;('2023年'!$W47+'2023年'!$V47+SUM('2023年'!F47:$T47)),'2023年'!F47,IF('2023年'!$AZ47-'2023年'!$V47-'2023年'!$W47-SUM('2023年'!F47:$T47)&gt;0,'2023年'!$AZ47-'2023年'!$V47-'2023年'!$W47-SUM('2023年'!F47:$T47),""))</f>
        <v/>
      </c>
      <c r="K47" s="217" t="str">
        <f>IF('2023年'!$AZ47&gt;('2023年'!$W47+'2023年'!$V47+SUM('2023年'!G47:$T47)),'2023年'!G47,IF('2023年'!$AZ47-'2023年'!$V47-'2023年'!$W47-SUM('2023年'!G47:$T47)&gt;0,'2023年'!$AZ47-'2023年'!$V47-'2023年'!$W47-SUM('2023年'!G47:$T47),""))</f>
        <v/>
      </c>
      <c r="L47" s="217" t="str">
        <f>IF('2023年'!$AZ47&gt;('2023年'!$W47+'2023年'!$V47+SUM('2023年'!H47:$T47)),'2023年'!H47,IF('2023年'!$AZ47-'2023年'!$V47-'2023年'!$W47-SUM('2023年'!H47:$T47)&gt;0,'2023年'!$AZ47-'2023年'!$V47-'2023年'!$W47-SUM('2023年'!H47:$T47),""))</f>
        <v/>
      </c>
      <c r="M47" s="217" t="str">
        <f>IF('2023年'!$AZ47&gt;('2023年'!$W47+'2023年'!$V47+SUM('2023年'!M47:$T47)),'2023年'!M47,IF('2023年'!$AZ47-'2023年'!$V47-'2023年'!$W47-SUM('2023年'!N47:$T47)&gt;0,'2023年'!$AZ47-'2023年'!$V47-'2023年'!$W47-SUM('2023年'!N47:$T47),""))</f>
        <v/>
      </c>
      <c r="N47" s="217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O47" s="217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P47" s="217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Q47" s="217" t="str">
        <f>IF('2023年'!$AZ47&gt;(SUM('2023年'!V47:AG47)+'2023年'!T47+'2023年'!Q47),'2023年'!Q47+'2023年'!T47,IF('2023年'!$AZ47-SUM('2023年'!V47:AG47)&gt;0,'2023年'!$AZ47-SUM('2023年'!V47:AG47),""))</f>
        <v/>
      </c>
      <c r="R47" s="221">
        <f>IF('2023年'!$AZ47&gt;=SUM('2023年'!V47:$AG47),'2023年'!V47,IF('2023年'!$AZ47-SUM('2023年'!W47:$AG47)&gt;0,'2023年'!$AZ47-SUM('2023年'!W47:$AG47),0))</f>
        <v>0</v>
      </c>
      <c r="S47" s="221">
        <f>IF('2023年'!$AZ47&gt;=SUM('2023年'!W47:$AG47),'2023年'!W47,IF('2023年'!$AZ47-SUM('2023年'!X47:$AG47)&gt;0,'2023年'!$AZ47-SUM('2023年'!X47:$AG47),0))</f>
        <v>0</v>
      </c>
      <c r="T47" s="221">
        <f>IF('2023年'!$AZ47&gt;=SUM('2023年'!X47:$AG47),'2023年'!X47,IF('2023年'!$AZ47-SUM('2023年'!Y47:$AG47)&gt;0,'2023年'!$AZ47-SUM('2023年'!Y47:$AG47),0))</f>
        <v>0</v>
      </c>
      <c r="U47" s="44">
        <f>IF('2023年'!$AZ47&gt;=SUM('2023年'!Y47:$AG47),'2023年'!Y47,IF('2023年'!$AZ47-SUM('2023年'!Z47:$AG47)&gt;0,'2023年'!$AZ47-SUM('2023年'!Z47:$AG47),0))</f>
        <v>0</v>
      </c>
      <c r="V47" s="44">
        <f>IF('2023年'!$AZ47&gt;=SUM('2023年'!Z47:$AG47),'2023年'!Z47,IF('2023年'!$AZ47-SUM('2023年'!AA47:$AG47)&gt;0,'2023年'!$AZ47-SUM('2023年'!AA47:$AG47),0))</f>
        <v>0</v>
      </c>
      <c r="W47" s="44">
        <f>IF('2023年'!$AZ47&gt;=SUM('2023年'!AA47:$AG47),'2023年'!AA47,IF('2023年'!$AZ47-SUM('2023年'!AB47:$AG47)&gt;0,'2023年'!$AZ47-SUM('2023年'!AB47:$AG47),0))</f>
        <v>0</v>
      </c>
      <c r="X47" s="44">
        <f>IF('2023年'!$AZ47&gt;=SUM('2023年'!AB47:$AG47),'2023年'!AB47,IF('2023年'!$AZ47-SUM('2023年'!AC47:$AG47)&gt;0,'2023年'!$AZ47-SUM('2023年'!AC47:$AG47),0))</f>
        <v>0</v>
      </c>
      <c r="Y47" s="44">
        <f>IF('2023年'!$AZ47&gt;=SUM('2023年'!AC47:$AG47),'2023年'!AC47,IF('2023年'!$AZ47-SUM('2023年'!AD47:$AG47)&gt;0,'2023年'!$AZ47-SUM('2023年'!AD47:$AG47),0))</f>
        <v>0</v>
      </c>
      <c r="Z47" s="44">
        <f>IF('2023年'!$AZ47&gt;=SUM('2023年'!AD47:$AG47),'2023年'!AD47,IF('2023年'!$AZ47-SUM('2023年'!AE47:$AG47)&gt;0,'2023年'!$AZ47-SUM('2023年'!AE47:$AG47),0))</f>
        <v>0</v>
      </c>
      <c r="AA47" s="44">
        <f>IF('2023年'!$AZ47&gt;=SUM('2023年'!AE47:$AG47),'2023年'!AE47,IF('2023年'!$AZ47-SUM('2023年'!AF47:$AG47)&gt;0,'2023年'!$AZ47-SUM('2023年'!AF47:$AG47),0))</f>
        <v>0</v>
      </c>
      <c r="AB47" s="44">
        <f>IF('2023年'!$AZ47&gt;=SUM('2023年'!AF47:$AG47),'2023年'!AF47,IF('2023年'!$AZ47-SUM('2023年'!AG47:$AG47)&gt;0,'2023年'!$AZ47-SUM('2023年'!AG47:$AG47),0))</f>
        <v>0</v>
      </c>
      <c r="AC47" s="44">
        <f>IF('2023年'!$AZ47&gt;=SUM('2023年'!AG47:$AG47),'2023年'!AG47,IF('2023年'!$AZ47-SUM('2023年'!$AG47:AH47)&gt;0,'2023年'!$AZ47-SUM('2023年'!$AG47:AH47),0))</f>
        <v>0</v>
      </c>
      <c r="AD47" s="312" t="s">
        <v>402</v>
      </c>
      <c r="AE47" s="310" t="s">
        <v>403</v>
      </c>
      <c r="AF47" s="311"/>
      <c r="AG47" s="88" t="s">
        <v>416</v>
      </c>
      <c r="AH47" s="88"/>
      <c r="AI47" s="315"/>
      <c r="AJ47" s="86">
        <f>SUM(X47:AC47)/6*0.8</f>
        <v>0</v>
      </c>
      <c r="AK47" s="91"/>
      <c r="AL47" s="10">
        <f>'2023年'!AZ47</f>
        <v>0</v>
      </c>
      <c r="AM47" s="10">
        <f t="shared" si="0"/>
        <v>0</v>
      </c>
    </row>
    <row r="48" s="10" customFormat="1" ht="24.05" customHeight="1" spans="2:39">
      <c r="B48" s="45" t="s">
        <v>81</v>
      </c>
      <c r="C48" s="46" t="str">
        <f>'2023年'!C48</f>
        <v>1912610</v>
      </c>
      <c r="D48" s="46" t="str">
        <f>'2023年'!D48</f>
        <v>天津生隆纤维材料股份有限公司</v>
      </c>
      <c r="E48" s="41"/>
      <c r="F48" s="42">
        <f>SUM(I48:R48)</f>
        <v>0</v>
      </c>
      <c r="G48" s="291">
        <f>SUM(I48:Q48)</f>
        <v>0</v>
      </c>
      <c r="H48" s="291">
        <f>SUM(I48:AC48)</f>
        <v>0</v>
      </c>
      <c r="I48" s="298"/>
      <c r="J48" s="217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217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217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217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N48" s="217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O48" s="217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P48" s="217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Q48" s="217" t="str">
        <f>IF('2023年'!$AZ48&gt;(SUM('2023年'!V48:AG48)+'2023年'!T48+'2023年'!Q48),'2023年'!Q48+'2023年'!T48,IF('2023年'!$AZ48-SUM('2023年'!V48:AG48)&gt;0,'2023年'!$AZ48-SUM('2023年'!V48:AG48),""))</f>
        <v/>
      </c>
      <c r="R48" s="221">
        <f>IF('2023年'!$AZ48&gt;=SUM('2023年'!V48:$AG48),'2023年'!V48,IF('2023年'!$AZ48-SUM('2023年'!W48:$AG48)&gt;0,'2023年'!$AZ48-SUM('2023年'!W48:$AG48),0))</f>
        <v>0</v>
      </c>
      <c r="S48" s="221">
        <f>IF('2023年'!$AZ48&gt;=SUM('2023年'!W48:$AG48),'2023年'!W48,IF('2023年'!$AZ48-SUM('2023年'!X48:$AG48)&gt;0,'2023年'!$AZ48-SUM('2023年'!X48:$AG48),0))</f>
        <v>0</v>
      </c>
      <c r="T48" s="221">
        <f>IF('2023年'!$AZ48&gt;=SUM('2023年'!X48:$AG48),'2023年'!X48,IF('2023年'!$AZ48-SUM('2023年'!Y48:$AG48)&gt;0,'2023年'!$AZ48-SUM('2023年'!Y48:$AG48),0))</f>
        <v>0</v>
      </c>
      <c r="U48" s="44">
        <f>IF('2023年'!$AZ48&gt;=SUM('2023年'!Y48:$AG48),'2023年'!Y48,IF('2023年'!$AZ48-SUM('2023年'!Z48:$AG48)&gt;0,'2023年'!$AZ48-SUM('2023年'!Z48:$AG48),0))</f>
        <v>0</v>
      </c>
      <c r="V48" s="44">
        <f>IF('2023年'!$AZ48&gt;=SUM('2023年'!Z48:$AG48),'2023年'!Z48,IF('2023年'!$AZ48-SUM('2023年'!AA48:$AG48)&gt;0,'2023年'!$AZ48-SUM('2023年'!AA48:$AG48),0))</f>
        <v>0</v>
      </c>
      <c r="W48" s="44">
        <f>IF('2023年'!$AZ48&gt;=SUM('2023年'!AA48:$AG48),'2023年'!AA48,IF('2023年'!$AZ48-SUM('2023年'!AB48:$AG48)&gt;0,'2023年'!$AZ48-SUM('2023年'!AB48:$AG48),0))</f>
        <v>0</v>
      </c>
      <c r="X48" s="44"/>
      <c r="Y48" s="44"/>
      <c r="Z48" s="44"/>
      <c r="AA48" s="44"/>
      <c r="AB48" s="44"/>
      <c r="AC48" s="44">
        <f>IF('2023年'!$AZ48&gt;=SUM('2023年'!AG48:$AG48),'2023年'!AG48,IF('2023年'!$AZ48-SUM('2023年'!$AG48:AH48)&gt;0,'2023年'!$AZ48-SUM('2023年'!$AG48:AH48),0))</f>
        <v>0</v>
      </c>
      <c r="AD48" s="312" t="s">
        <v>398</v>
      </c>
      <c r="AE48" s="310"/>
      <c r="AF48" s="311" t="s">
        <v>400</v>
      </c>
      <c r="AG48" s="88" t="s">
        <v>417</v>
      </c>
      <c r="AH48" s="88"/>
      <c r="AI48" s="279"/>
      <c r="AJ48" s="97"/>
      <c r="AK48" s="91"/>
      <c r="AL48" s="10">
        <f>'2023年'!AZ48</f>
        <v>0</v>
      </c>
      <c r="AM48" s="10">
        <f t="shared" si="0"/>
        <v>0</v>
      </c>
    </row>
    <row r="49" s="10" customFormat="1" ht="24.05" customHeight="1" spans="2:39">
      <c r="B49" s="45" t="s">
        <v>81</v>
      </c>
      <c r="C49" s="46" t="str">
        <f>'2023年'!C49</f>
        <v>L4896</v>
      </c>
      <c r="D49" s="46" t="str">
        <f>'2023年'!D49</f>
        <v>湘乡简美新材料科技有限公司</v>
      </c>
      <c r="E49" s="41" t="s">
        <v>222</v>
      </c>
      <c r="F49" s="42">
        <f>IF(SUM(I49:Z49)&gt;0,SUM(I49:Z49),0)</f>
        <v>250485.67</v>
      </c>
      <c r="G49" s="291">
        <f>SUM(I49:R49)</f>
        <v>0</v>
      </c>
      <c r="H49" s="43">
        <f>IF(SUM(J49:AC49)&gt;0,SUM(J49:AC49),"0")</f>
        <v>444195.92</v>
      </c>
      <c r="I49" s="298"/>
      <c r="J49" s="217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217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217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217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N49" s="217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O49" s="217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P49" s="217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Q49" s="217" t="str">
        <f>IF('2023年'!$AZ49&gt;(SUM('2023年'!V49:AG49)+'2023年'!T49+'2023年'!Q49),'2023年'!Q49+'2023年'!T49,IF('2023年'!$AZ49-SUM('2023年'!V49:AG49)&gt;0,'2023年'!$AZ49-SUM('2023年'!V49:AG49),""))</f>
        <v/>
      </c>
      <c r="R49" s="221">
        <f>IF('2023年'!$AZ49&gt;=SUM('2023年'!V49:$AG49),'2023年'!V49,IF('2023年'!$AZ49-SUM('2023年'!W49:$AG49)&gt;0,'2023年'!$AZ49-SUM('2023年'!W49:$AG49),0))</f>
        <v>0</v>
      </c>
      <c r="S49" s="221">
        <f>IF('2023年'!$AZ49&gt;=SUM('2023年'!W49:$AG49),'2023年'!W49,IF('2023年'!$AZ49-SUM('2023年'!X49:$AG49)&gt;0,'2023年'!$AZ49-SUM('2023年'!X49:$AG49),0))</f>
        <v>0</v>
      </c>
      <c r="T49" s="221">
        <f>IF('2023年'!$AZ49&gt;=SUM('2023年'!X49:$AG49),'2023年'!X49,IF('2023年'!$AZ49-SUM('2023年'!Y49:$AG49)&gt;0,'2023年'!$AZ49-SUM('2023年'!Y49:$AG49),0))</f>
        <v>0</v>
      </c>
      <c r="U49" s="44">
        <f>IF('2023年'!$AZ49&gt;=SUM('2023年'!Y49:$AG49),'2023年'!Y49,IF('2023年'!$AZ49-SUM('2023年'!Z49:$AG49)&gt;0,'2023年'!$AZ49-SUM('2023年'!Z49:$AG49),0))</f>
        <v>102369.79</v>
      </c>
      <c r="V49" s="44">
        <f>IF('2023年'!$AZ49&gt;=SUM('2023年'!Z49:$AG49),'2023年'!Z49,IF('2023年'!$AZ49-SUM('2023年'!AA49:$AG49)&gt;0,'2023年'!$AZ49-SUM('2023年'!AA49:$AG49),0))</f>
        <v>0</v>
      </c>
      <c r="W49" s="44">
        <f>IF('2023年'!$AZ49&gt;=SUM('2023年'!AA49:$AG49),'2023年'!AA49,IF('2023年'!$AZ49-SUM('2023年'!AB49:$AG49)&gt;0,'2023年'!$AZ49-SUM('2023年'!AB49:$AG49),0))</f>
        <v>148115.88</v>
      </c>
      <c r="X49" s="44">
        <f>IF('2023年'!$AZ49&gt;=SUM('2023年'!AB49:$AG49),'2023年'!AB49,IF('2023年'!$AZ49-SUM('2023年'!AC49:$AG49)&gt;0,'2023年'!$AZ49-SUM('2023年'!AC49:$AG49),0))</f>
        <v>0</v>
      </c>
      <c r="Y49" s="44">
        <f>IF('2023年'!$AZ49&gt;=SUM('2023年'!AC49:$AG49),'2023年'!AC49,IF('2023年'!$AZ49-SUM('2023年'!AD49:$AG49)&gt;0,'2023年'!$AZ49-SUM('2023年'!AD49:$AG49),0))</f>
        <v>0</v>
      </c>
      <c r="Z49" s="44">
        <f>IF('2023年'!$AZ49&gt;=SUM('2023年'!AD49:$AG49),'2023年'!AD49,IF('2023年'!$AZ49-SUM('2023年'!AE49:$AG49)&gt;0,'2023年'!$AZ49-SUM('2023年'!AE49:$AG49),0))</f>
        <v>0</v>
      </c>
      <c r="AA49" s="44">
        <f>IF('2023年'!$AZ49&gt;=SUM('2023年'!AE49:$AG49),'2023年'!AE49,IF('2023年'!$AZ49-SUM('2023年'!AF49:$AG49)&gt;0,'2023年'!$AZ49-SUM('2023年'!AF49:$AG49),0))</f>
        <v>0</v>
      </c>
      <c r="AB49" s="44">
        <f>IF('2023年'!$AZ49&gt;=SUM('2023年'!AF49:$AG49),'2023年'!AF49,IF('2023年'!$AZ49-SUM('2023年'!AG49:$AG49)&gt;0,'2023年'!$AZ49-SUM('2023年'!AG49:$AG49),0))</f>
        <v>0</v>
      </c>
      <c r="AC49" s="44">
        <f>IF('2023年'!$AZ49&gt;=SUM('2023年'!AG49:$AG49),'2023年'!AG49,IF('2023年'!$AZ49-SUM('2023年'!$AG49:AH49)&gt;0,'2023年'!$AZ49-SUM('2023年'!$AG49:AH49),0))</f>
        <v>193710.25</v>
      </c>
      <c r="AD49" s="312" t="s">
        <v>398</v>
      </c>
      <c r="AE49" s="310">
        <v>0.02</v>
      </c>
      <c r="AF49" s="311" t="s">
        <v>418</v>
      </c>
      <c r="AG49" s="88" t="s">
        <v>419</v>
      </c>
      <c r="AH49" s="88" t="s">
        <v>428</v>
      </c>
      <c r="AI49" s="315"/>
      <c r="AJ49" s="86">
        <f>SUM(X49:AC49)/6*0.8</f>
        <v>25828.0333333333</v>
      </c>
      <c r="AK49" s="91"/>
      <c r="AL49" s="10">
        <f>'2023年'!AZ49</f>
        <v>444195.92</v>
      </c>
      <c r="AM49" s="96">
        <f t="shared" si="0"/>
        <v>0</v>
      </c>
    </row>
    <row r="50" s="10" customFormat="1" ht="24.05" customHeight="1" spans="2:39">
      <c r="B50" s="45" t="s">
        <v>81</v>
      </c>
      <c r="C50" s="46" t="str">
        <f>'2023年'!C50</f>
        <v>1932348</v>
      </c>
      <c r="D50" s="46" t="str">
        <f>'2023年'!D50</f>
        <v>扬州市宏昌气动件制造有限公司</v>
      </c>
      <c r="E50" s="41" t="s">
        <v>222</v>
      </c>
      <c r="F50" s="42">
        <f>IF(SUM(I50:Z50)&gt;0,SUM(I50:Z50),0)</f>
        <v>16725</v>
      </c>
      <c r="G50" s="291">
        <f>SUM(I50:Q50)</f>
        <v>0</v>
      </c>
      <c r="H50" s="43">
        <f>IF(SUM(J50:AC50)&gt;0,SUM(J50:AC50),"0")</f>
        <v>16725</v>
      </c>
      <c r="I50" s="298"/>
      <c r="J50" s="217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217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217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217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N50" s="217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O50" s="217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P50" s="217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Q50" s="217" t="str">
        <f>IF('2023年'!$AZ50&gt;(SUM('2023年'!V50:AG50)+'2023年'!T50+'2023年'!Q50),'2023年'!Q50+'2023年'!T50,IF('2023年'!$AZ50-SUM('2023年'!V50:AG50)&gt;0,'2023年'!$AZ50-SUM('2023年'!V50:AG50),""))</f>
        <v/>
      </c>
      <c r="R50" s="221">
        <f>IF('2023年'!$AZ50&gt;=SUM('2023年'!V50:$AG50),'2023年'!V50,IF('2023年'!$AZ50-SUM('2023年'!W50:$AG50)&gt;0,'2023年'!$AZ50-SUM('2023年'!W50:$AG50),0))</f>
        <v>0</v>
      </c>
      <c r="S50" s="221">
        <f>IF('2023年'!$AZ50&gt;=SUM('2023年'!W50:$AG50),'2023年'!W50,IF('2023年'!$AZ50-SUM('2023年'!X50:$AG50)&gt;0,'2023年'!$AZ50-SUM('2023年'!X50:$AG50),0))</f>
        <v>0</v>
      </c>
      <c r="T50" s="221">
        <f>IF('2023年'!$AZ50&gt;=SUM('2023年'!X50:$AG50),'2023年'!X50,IF('2023年'!$AZ50-SUM('2023年'!Y50:$AG50)&gt;0,'2023年'!$AZ50-SUM('2023年'!Y50:$AG50),0))</f>
        <v>566</v>
      </c>
      <c r="U50" s="44">
        <f>IF('2023年'!$AZ50&gt;=SUM('2023年'!Y50:$AG50),'2023年'!Y50,IF('2023年'!$AZ50-SUM('2023年'!Z50:$AG50)&gt;0,'2023年'!$AZ50-SUM('2023年'!Z50:$AG50),0))</f>
        <v>0</v>
      </c>
      <c r="V50" s="44">
        <f>IF('2023年'!$AZ50&gt;=SUM('2023年'!Z50:$AG50),'2023年'!Z50,IF('2023年'!$AZ50-SUM('2023年'!AA50:$AG50)&gt;0,'2023年'!$AZ50-SUM('2023年'!AA50:$AG50),0))</f>
        <v>0</v>
      </c>
      <c r="W50" s="44">
        <f>IF('2023年'!$AZ50&gt;=SUM('2023年'!AA50:$AG50),'2023年'!AA50,IF('2023年'!$AZ50-SUM('2023年'!AB50:$AG50)&gt;0,'2023年'!$AZ50-SUM('2023年'!AB50:$AG50),0))</f>
        <v>0</v>
      </c>
      <c r="X50" s="44">
        <f>IF('2023年'!$AZ50&gt;=SUM('2023年'!AB50:$AG50),'2023年'!AB50,IF('2023年'!$AZ50-SUM('2023年'!AC50:$AG50)&gt;0,'2023年'!$AZ50-SUM('2023年'!AC50:$AG50),0))</f>
        <v>16159</v>
      </c>
      <c r="Y50" s="44">
        <f>IF('2023年'!$AZ50&gt;=SUM('2023年'!AC50:$AG50),'2023年'!AC50,IF('2023年'!$AZ50-SUM('2023年'!AD50:$AG50)&gt;0,'2023年'!$AZ50-SUM('2023年'!AD50:$AG50),0))</f>
        <v>0</v>
      </c>
      <c r="Z50" s="44">
        <f>IF('2023年'!$AZ50&gt;=SUM('2023年'!AD50:$AG50),'2023年'!AD50,IF('2023年'!$AZ50-SUM('2023年'!AE50:$AG50)&gt;0,'2023年'!$AZ50-SUM('2023年'!AE50:$AG50),0))</f>
        <v>0</v>
      </c>
      <c r="AA50" s="44">
        <f>IF('2023年'!$AZ50&gt;=SUM('2023年'!AE50:$AG50),'2023年'!AE50,IF('2023年'!$AZ50-SUM('2023年'!AF50:$AG50)&gt;0,'2023年'!$AZ50-SUM('2023年'!AF50:$AG50),0))</f>
        <v>0</v>
      </c>
      <c r="AB50" s="44">
        <f>IF('2023年'!$AZ50&gt;=SUM('2023年'!AF50:$AG50),'2023年'!AF50,IF('2023年'!$AZ50-SUM('2023年'!AG50:$AG50)&gt;0,'2023年'!$AZ50-SUM('2023年'!AG50:$AG50),0))</f>
        <v>0</v>
      </c>
      <c r="AC50" s="44">
        <f>IF('2023年'!$AZ50&gt;=SUM('2023年'!AG50:$AG50),'2023年'!AG50,IF('2023年'!$AZ50-SUM('2023年'!$AG50:AH50)&gt;0,'2023年'!$AZ50-SUM('2023年'!$AG50:AH50),0))</f>
        <v>0</v>
      </c>
      <c r="AD50" s="312" t="s">
        <v>398</v>
      </c>
      <c r="AE50" s="310"/>
      <c r="AF50" s="311"/>
      <c r="AG50" s="88" t="s">
        <v>420</v>
      </c>
      <c r="AH50" s="88" t="s">
        <v>428</v>
      </c>
      <c r="AI50" s="315"/>
      <c r="AJ50" s="86">
        <f>SUM(X50:AC50)/6*0.8</f>
        <v>2154.53333333333</v>
      </c>
      <c r="AK50" s="91"/>
      <c r="AL50" s="10">
        <f>'2023年'!AZ50</f>
        <v>16725</v>
      </c>
      <c r="AM50" s="96">
        <f t="shared" si="0"/>
        <v>0</v>
      </c>
    </row>
    <row r="51" s="10" customFormat="1" ht="24.05" customHeight="1" spans="2:39">
      <c r="B51" s="48" t="s">
        <v>81</v>
      </c>
      <c r="C51" s="46" t="str">
        <f>'2023年'!C51</f>
        <v>1922338</v>
      </c>
      <c r="D51" s="46" t="str">
        <f>'2023年'!D51</f>
        <v>长春光华荣昌汽车部件有限公司</v>
      </c>
      <c r="E51" s="41" t="s">
        <v>222</v>
      </c>
      <c r="F51" s="42">
        <f>IF(SUM(I51:Z51)&gt;0,SUM(I51:Z51),0)</f>
        <v>106470.13</v>
      </c>
      <c r="G51" s="291">
        <f>SUM(I51:R51)</f>
        <v>0</v>
      </c>
      <c r="H51" s="43">
        <f>IF(SUM(J51:AC51)&gt;0,SUM(J51:AC51),"0")</f>
        <v>137012.09</v>
      </c>
      <c r="I51" s="298"/>
      <c r="J51" s="217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217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217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217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N51" s="217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O51" s="217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P51" s="217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Q51" s="217" t="str">
        <f>IF('2023年'!$AZ51&gt;(SUM('2023年'!V51:AG51)+'2023年'!T51+'2023年'!Q51),'2023年'!Q51+'2023年'!T51,IF('2023年'!$AZ51-SUM('2023年'!V51:AG51)&gt;0,'2023年'!$AZ51-SUM('2023年'!V51:AG51),""))</f>
        <v/>
      </c>
      <c r="R51" s="221">
        <f>IF('2023年'!$AZ51&gt;=SUM('2023年'!V51:$AG51),'2023年'!V51,IF('2023年'!$AZ51-SUM('2023年'!W51:$AG51)&gt;0,'2023年'!$AZ51-SUM('2023年'!W51:$AG51),0))</f>
        <v>0</v>
      </c>
      <c r="S51" s="221">
        <f>IF('2023年'!$AZ51&gt;=SUM('2023年'!W51:$AG51),'2023年'!W51,IF('2023年'!$AZ51-SUM('2023年'!X51:$AG51)&gt;0,'2023年'!$AZ51-SUM('2023年'!X51:$AG51),0))</f>
        <v>0</v>
      </c>
      <c r="T51" s="221">
        <f>IF('2023年'!$AZ51&gt;=SUM('2023年'!X51:$AG51),'2023年'!X51,IF('2023年'!$AZ51-SUM('2023年'!Y51:$AG51)&gt;0,'2023年'!$AZ51-SUM('2023年'!Y51:$AG51),0))</f>
        <v>55514.15</v>
      </c>
      <c r="U51" s="44">
        <f>IF('2023年'!$AZ51&gt;=SUM('2023年'!Y51:$AG51),'2023年'!Y51,IF('2023年'!$AZ51-SUM('2023年'!Z51:$AG51)&gt;0,'2023年'!$AZ51-SUM('2023年'!Z51:$AG51),0))</f>
        <v>0</v>
      </c>
      <c r="V51" s="44">
        <f>IF('2023年'!$AZ51&gt;=SUM('2023年'!Z51:$AG51),'2023年'!Z51,IF('2023年'!$AZ51-SUM('2023年'!AA51:$AG51)&gt;0,'2023年'!$AZ51-SUM('2023年'!AA51:$AG51),0))</f>
        <v>0</v>
      </c>
      <c r="W51" s="44">
        <f>IF('2023年'!$AZ51&gt;=SUM('2023年'!AA51:$AG51),'2023年'!AA51,IF('2023年'!$AZ51-SUM('2023年'!AB51:$AG51)&gt;0,'2023年'!$AZ51-SUM('2023年'!AB51:$AG51),0))</f>
        <v>0</v>
      </c>
      <c r="X51" s="44">
        <f>IF('2023年'!$AZ51&gt;=SUM('2023年'!AB51:$AG51),'2023年'!AB51,IF('2023年'!$AZ51-SUM('2023年'!AC51:$AG51)&gt;0,'2023年'!$AZ51-SUM('2023年'!AC51:$AG51),0))</f>
        <v>0</v>
      </c>
      <c r="Y51" s="44">
        <f>IF('2023年'!$AZ51&gt;=SUM('2023年'!AC51:$AG51),'2023年'!AC51,IF('2023年'!$AZ51-SUM('2023年'!AD51:$AG51)&gt;0,'2023年'!$AZ51-SUM('2023年'!AD51:$AG51),0))</f>
        <v>11277.08</v>
      </c>
      <c r="Z51" s="44">
        <f>IF('2023年'!$AZ51&gt;=SUM('2023年'!AD51:$AG51),'2023年'!AD51,IF('2023年'!$AZ51-SUM('2023年'!AE51:$AG51)&gt;0,'2023年'!$AZ51-SUM('2023年'!AE51:$AG51),0))</f>
        <v>39678.9</v>
      </c>
      <c r="AA51" s="44">
        <f>IF('2023年'!$AZ51&gt;=SUM('2023年'!AE51:$AG51),'2023年'!AE51,IF('2023年'!$AZ51-SUM('2023年'!AF51:$AG51)&gt;0,'2023年'!$AZ51-SUM('2023年'!AF51:$AG51),0))</f>
        <v>16353.01</v>
      </c>
      <c r="AB51" s="44">
        <f>IF('2023年'!$AZ51&gt;=SUM('2023年'!AF51:$AG51),'2023年'!AF51,IF('2023年'!$AZ51-SUM('2023年'!AG51:$AG51)&gt;0,'2023年'!$AZ51-SUM('2023年'!AG51:$AG51),0))</f>
        <v>6402.02</v>
      </c>
      <c r="AC51" s="44">
        <f>IF('2023年'!$AZ51&gt;=SUM('2023年'!AG51:$AG51),'2023年'!AG51,IF('2023年'!$AZ51-SUM('2023年'!$AG51:AH51)&gt;0,'2023年'!$AZ51-SUM('2023年'!$AG51:AH51),0))</f>
        <v>7786.93</v>
      </c>
      <c r="AD51" s="312"/>
      <c r="AE51" s="310"/>
      <c r="AF51" s="311" t="s">
        <v>84</v>
      </c>
      <c r="AG51" s="88"/>
      <c r="AH51" s="88" t="s">
        <v>428</v>
      </c>
      <c r="AI51" s="315"/>
      <c r="AJ51" s="86">
        <f>SUM(X51:AC51)/6*0.8</f>
        <v>10866.392</v>
      </c>
      <c r="AK51" s="91"/>
      <c r="AL51" s="10">
        <f>'2023年'!AZ51</f>
        <v>137012.09</v>
      </c>
      <c r="AM51" s="96">
        <f t="shared" si="0"/>
        <v>0</v>
      </c>
    </row>
    <row r="52" s="10" customFormat="1" ht="24.05" customHeight="1" spans="2:39">
      <c r="B52" s="48" t="s">
        <v>81</v>
      </c>
      <c r="C52" s="46" t="str">
        <f>'2023年'!C52</f>
        <v>1912022</v>
      </c>
      <c r="D52" s="46" t="str">
        <f>'2023年'!D52</f>
        <v>文安县德实汽车</v>
      </c>
      <c r="E52" s="41">
        <v>60</v>
      </c>
      <c r="F52" s="42">
        <f>SUM(I52:AA52)</f>
        <v>0</v>
      </c>
      <c r="G52" s="291">
        <f>SUM(I52:S52)</f>
        <v>0</v>
      </c>
      <c r="H52" s="291">
        <f>SUM(I52:AC52)</f>
        <v>11797.2</v>
      </c>
      <c r="I52" s="298"/>
      <c r="J52" s="217">
        <f>IF('2023年'!$AZ52&gt;('2023年'!$W52+'2023年'!$V52+SUM('2023年'!F52:$T52)),'2023年'!F52,IF('2023年'!$AZ52-'2023年'!$V52-'2023年'!$W52-SUM('2023年'!F52:$T52)&gt;0,'2023年'!$AZ52-'2023年'!$V52-'2023年'!$W52-SUM('2023年'!F52:$T52),""))</f>
        <v>0</v>
      </c>
      <c r="K52" s="217">
        <f>IF('2023年'!$AZ52&gt;('2023年'!$W52+'2023年'!$V52+SUM('2023年'!G52:$T52)),'2023年'!G52,IF('2023年'!$AZ52-'2023年'!$V52-'2023年'!$W52-SUM('2023年'!G52:$T52)&gt;0,'2023年'!$AZ52-'2023年'!$V52-'2023年'!$W52-SUM('2023年'!G52:$T52),""))</f>
        <v>0</v>
      </c>
      <c r="L52" s="217">
        <f>IF('2023年'!$AZ52&gt;('2023年'!$W52+'2023年'!$V52+SUM('2023年'!H52:$T52)),'2023年'!H52,IF('2023年'!$AZ52-'2023年'!$V52-'2023年'!$W52-SUM('2023年'!H52:$T52)&gt;0,'2023年'!$AZ52-'2023年'!$V52-'2023年'!$W52-SUM('2023年'!H52:$T52),""))</f>
        <v>0</v>
      </c>
      <c r="M52" s="217">
        <f>IF('2023年'!$AZ52&gt;('2023年'!$W52+'2023年'!$V52+SUM('2023年'!M52:$T52)),'2023年'!M52,IF('2023年'!$AZ52-'2023年'!$V52-'2023年'!$W52-SUM('2023年'!N52:$T52)&gt;0,'2023年'!$AZ52-'2023年'!$V52-'2023年'!$W52-SUM('2023年'!N52:$T52),""))</f>
        <v>0</v>
      </c>
      <c r="N52" s="217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O52" s="217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P52" s="217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Q52" s="217" t="str">
        <f>IF('2023年'!$AZ52&gt;(SUM('2023年'!V52:AG52)+'2023年'!T52+'2023年'!Q52),'2023年'!Q52+'2023年'!T52,IF('2023年'!$AZ52-SUM('2023年'!V52:AG52)&gt;0,'2023年'!$AZ52-SUM('2023年'!V52:AG52),""))</f>
        <v/>
      </c>
      <c r="R52" s="221">
        <f>IF('2023年'!$AZ52&gt;=SUM('2023年'!V52:$AG52),'2023年'!V52,IF('2023年'!$AZ52-SUM('2023年'!W52:$AG52)&gt;0,'2023年'!$AZ52-SUM('2023年'!W52:$AG52),0))</f>
        <v>0</v>
      </c>
      <c r="S52" s="221">
        <f>IF('2023年'!$AZ52&gt;=SUM('2023年'!W52:$AG52),'2023年'!W52,IF('2023年'!$AZ52-SUM('2023年'!X52:$AG52)&gt;0,'2023年'!$AZ52-SUM('2023年'!X52:$AG52),0))</f>
        <v>0</v>
      </c>
      <c r="T52" s="221">
        <f>IF('2023年'!$AZ52&gt;=SUM('2023年'!X52:$AG52),'2023年'!X52,IF('2023年'!$AZ52-SUM('2023年'!Y52:$AG52)&gt;0,'2023年'!$AZ52-SUM('2023年'!Y52:$AG52),0))</f>
        <v>0</v>
      </c>
      <c r="U52" s="44">
        <f>IF('2023年'!$AZ52&gt;=SUM('2023年'!Y52:$AG52),'2023年'!Y52,IF('2023年'!$AZ52-SUM('2023年'!Z52:$AG52)&gt;0,'2023年'!$AZ52-SUM('2023年'!Z52:$AG52),0))</f>
        <v>0</v>
      </c>
      <c r="V52" s="44">
        <f>IF('2023年'!$AZ52&gt;=SUM('2023年'!Z52:$AG52),'2023年'!Z52,IF('2023年'!$AZ52-SUM('2023年'!AA52:$AG52)&gt;0,'2023年'!$AZ52-SUM('2023年'!AA52:$AG52),0))</f>
        <v>0</v>
      </c>
      <c r="W52" s="44">
        <f>IF('2023年'!$AZ52&gt;=SUM('2023年'!AA52:$AG52),'2023年'!AA52,IF('2023年'!$AZ52-SUM('2023年'!AB52:$AG52)&gt;0,'2023年'!$AZ52-SUM('2023年'!AB52:$AG52),0))</f>
        <v>0</v>
      </c>
      <c r="X52" s="44">
        <f>IF('2023年'!$AZ52&gt;=SUM('2023年'!AB52:$AG52),'2023年'!AB52,IF('2023年'!$AZ52-SUM('2023年'!AC52:$AG52)&gt;0,'2023年'!$AZ52-SUM('2023年'!AC52:$AG52),0))</f>
        <v>0</v>
      </c>
      <c r="Y52" s="44">
        <f>IF('2023年'!$AZ52&gt;=SUM('2023年'!AC52:$AG52),'2023年'!AC52,IF('2023年'!$AZ52-SUM('2023年'!AD52:$AG52)&gt;0,'2023年'!$AZ52-SUM('2023年'!AD52:$AG52),0))</f>
        <v>0</v>
      </c>
      <c r="Z52" s="44">
        <f>IF('2023年'!$AZ52&gt;=SUM('2023年'!AD52:$AG52),'2023年'!AD52,IF('2023年'!$AZ52-SUM('2023年'!AE52:$AG52)&gt;0,'2023年'!$AZ52-SUM('2023年'!AE52:$AG52),0))</f>
        <v>0</v>
      </c>
      <c r="AA52" s="44">
        <f>IF('2023年'!$AZ52&gt;=SUM('2023年'!AE52:$AG52),'2023年'!AE52,IF('2023年'!$AZ52-SUM('2023年'!AF52:$AG52)&gt;0,'2023年'!$AZ52-SUM('2023年'!AF52:$AG52),0))</f>
        <v>0</v>
      </c>
      <c r="AB52" s="44">
        <f>IF('2023年'!$AZ52&gt;=SUM('2023年'!AF52:$AG52),'2023年'!AF52,IF('2023年'!$AZ52-SUM('2023年'!AG52:$AG52)&gt;0,'2023年'!$AZ52-SUM('2023年'!AG52:$AG52),0))</f>
        <v>0</v>
      </c>
      <c r="AC52" s="44">
        <f>IF('2023年'!$AZ52&gt;=SUM('2023年'!AG52:$AG52),'2023年'!AG52,IF('2023年'!$AZ52-SUM('2023年'!$AG52:AH52)&gt;0,'2023年'!$AZ52-SUM('2023年'!$AG52:AH52),0))</f>
        <v>11797.2</v>
      </c>
      <c r="AD52" s="312"/>
      <c r="AE52" s="310"/>
      <c r="AF52" s="311" t="s">
        <v>84</v>
      </c>
      <c r="AG52" s="88"/>
      <c r="AH52" s="88"/>
      <c r="AI52" s="315"/>
      <c r="AJ52" s="86">
        <f>SUM(X52:AC52)/6*0.8</f>
        <v>1572.96</v>
      </c>
      <c r="AK52" s="91"/>
      <c r="AL52" s="10">
        <f>'2023年'!AZ52</f>
        <v>11797.2</v>
      </c>
      <c r="AM52" s="10">
        <f t="shared" si="0"/>
        <v>0</v>
      </c>
    </row>
    <row r="53" s="10" customFormat="1" ht="24.05" customHeight="1" spans="2:39">
      <c r="B53" s="48" t="s">
        <v>81</v>
      </c>
      <c r="C53" s="46" t="str">
        <f>'2023年'!C53</f>
        <v>1913118</v>
      </c>
      <c r="D53" s="46" t="str">
        <f>'2023年'!D53</f>
        <v>福士汽车零部件（济南）有限公司</v>
      </c>
      <c r="E53" s="41" t="s">
        <v>222</v>
      </c>
      <c r="F53" s="42">
        <f>IF(SUM(I53:Z53)&gt;0,SUM(I53:Z53),0)</f>
        <v>0</v>
      </c>
      <c r="G53" s="291">
        <f>SUM(I53:S53)</f>
        <v>0</v>
      </c>
      <c r="H53" s="291">
        <f>SUM(I53:AC53)</f>
        <v>0</v>
      </c>
      <c r="I53" s="298"/>
      <c r="J53" s="217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217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217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217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N53" s="217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O53" s="217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P53" s="217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Q53" s="217" t="str">
        <f>IF('2023年'!$AZ53&gt;(SUM('2023年'!V53:AG53)+'2023年'!T53+'2023年'!Q53),'2023年'!Q53+'2023年'!T53,IF('2023年'!$AZ53-SUM('2023年'!V53:AG53)&gt;0,'2023年'!$AZ53-SUM('2023年'!V53:AG53),""))</f>
        <v/>
      </c>
      <c r="R53" s="221">
        <f>IF('2023年'!$AZ53&gt;=SUM('2023年'!V53:$AG53),'2023年'!V53,IF('2023年'!$AZ53-SUM('2023年'!W53:$AG53)&gt;0,'2023年'!$AZ53-SUM('2023年'!W53:$AG53),0))</f>
        <v>0</v>
      </c>
      <c r="S53" s="221">
        <f>IF('2023年'!$AZ53&gt;=SUM('2023年'!W53:$AG53),'2023年'!W53,IF('2023年'!$AZ53-SUM('2023年'!X53:$AG53)&gt;0,'2023年'!$AZ53-SUM('2023年'!X53:$AG53),0))</f>
        <v>0</v>
      </c>
      <c r="T53" s="221">
        <f>IF('2023年'!$AZ53&gt;=SUM('2023年'!X53:$AG53),'2023年'!X53,IF('2023年'!$AZ53-SUM('2023年'!Y53:$AG53)&gt;0,'2023年'!$AZ53-SUM('2023年'!Y53:$AG53),0))</f>
        <v>0</v>
      </c>
      <c r="U53" s="44">
        <f>IF('2023年'!$AZ53&gt;=SUM('2023年'!Y53:$AG53),'2023年'!Y53,IF('2023年'!$AZ53-SUM('2023年'!Z53:$AG53)&gt;0,'2023年'!$AZ53-SUM('2023年'!Z53:$AG53),0))</f>
        <v>0</v>
      </c>
      <c r="V53" s="44">
        <f>IF('2023年'!$AZ53&gt;=SUM('2023年'!Z53:$AG53),'2023年'!Z53,IF('2023年'!$AZ53-SUM('2023年'!AA53:$AG53)&gt;0,'2023年'!$AZ53-SUM('2023年'!AA53:$AG53),0))</f>
        <v>0</v>
      </c>
      <c r="W53" s="44">
        <f>IF('2023年'!$AZ53&gt;=SUM('2023年'!AA53:$AG53),'2023年'!AA53,IF('2023年'!$AZ53-SUM('2023年'!AB53:$AG53)&gt;0,'2023年'!$AZ53-SUM('2023年'!AB53:$AG53),0))</f>
        <v>0</v>
      </c>
      <c r="X53" s="44">
        <f>IF('2023年'!$AZ53&gt;=SUM('2023年'!AB53:$AG53),'2023年'!AB53,IF('2023年'!$AZ53-SUM('2023年'!AC53:$AG53)&gt;0,'2023年'!$AZ53-SUM('2023年'!AC53:$AG53),0))</f>
        <v>0</v>
      </c>
      <c r="Y53" s="44">
        <f>IF('2023年'!$AZ53&gt;=SUM('2023年'!AC53:$AG53),'2023年'!AC53,IF('2023年'!$AZ53-SUM('2023年'!AD53:$AG53)&gt;0,'2023年'!$AZ53-SUM('2023年'!AD53:$AG53),0))</f>
        <v>0</v>
      </c>
      <c r="Z53" s="44">
        <f>IF('2023年'!$AZ53&gt;=SUM('2023年'!AD53:$AG53),'2023年'!AD53,IF('2023年'!$AZ53-SUM('2023年'!AE53:$AG53)&gt;0,'2023年'!$AZ53-SUM('2023年'!AE53:$AG53),0))</f>
        <v>0</v>
      </c>
      <c r="AA53" s="44">
        <f>IF('2023年'!$AZ53&gt;=SUM('2023年'!AE53:$AG53),'2023年'!AE53,IF('2023年'!$AZ53-SUM('2023年'!AF53:$AG53)&gt;0,'2023年'!$AZ53-SUM('2023年'!AF53:$AG53),0))</f>
        <v>0</v>
      </c>
      <c r="AB53" s="44">
        <f>IF('2023年'!$AZ53&gt;=SUM('2023年'!AF53:$AG53),'2023年'!AF53,IF('2023年'!$AZ53-SUM('2023年'!AG53:$AG53)&gt;0,'2023年'!$AZ53-SUM('2023年'!AG53:$AG53),0))</f>
        <v>0</v>
      </c>
      <c r="AC53" s="44">
        <f>IF('2023年'!$AZ53&gt;=SUM('2023年'!AG53:$AG53),'2023年'!AG53,IF('2023年'!$AZ53-SUM('2023年'!$AG53:AH53)&gt;0,'2023年'!$AZ53-SUM('2023年'!$AG53:AH53),0))</f>
        <v>0</v>
      </c>
      <c r="AD53" s="312"/>
      <c r="AE53" s="310"/>
      <c r="AF53" s="311" t="s">
        <v>84</v>
      </c>
      <c r="AG53" s="88"/>
      <c r="AH53" s="88"/>
      <c r="AI53" s="279"/>
      <c r="AJ53" s="97"/>
      <c r="AK53" s="91"/>
      <c r="AL53" s="10">
        <f>'2023年'!AZ53</f>
        <v>0</v>
      </c>
      <c r="AM53" s="10">
        <f t="shared" si="0"/>
        <v>0</v>
      </c>
    </row>
    <row r="54" s="10" customFormat="1" ht="24.05" customHeight="1" spans="2:39">
      <c r="B54" s="48" t="s">
        <v>81</v>
      </c>
      <c r="C54" s="46" t="str">
        <f>'2023年'!C54</f>
        <v>0</v>
      </c>
      <c r="D54" s="46" t="str">
        <f>'2023年'!D54</f>
        <v>新梦顶（上海）贸易有限公司</v>
      </c>
      <c r="E54" s="41" t="s">
        <v>222</v>
      </c>
      <c r="F54" s="42">
        <f>IF(SUM(I54:Z54)&gt;0,SUM(I54:Z54),0)</f>
        <v>1500.64</v>
      </c>
      <c r="G54" s="291">
        <f>SUM(I54:Q54)</f>
        <v>0</v>
      </c>
      <c r="H54" s="291">
        <f>SUM(I54:AC54)</f>
        <v>1500.64</v>
      </c>
      <c r="I54" s="298"/>
      <c r="J54" s="217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217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217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217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N54" s="217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O54" s="217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P54" s="217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Q54" s="217" t="str">
        <f>IF('2023年'!$AZ54&gt;(SUM('2023年'!V54:AG54)+'2023年'!T54+'2023年'!Q54),'2023年'!Q54+'2023年'!T54,IF('2023年'!$AZ54-SUM('2023年'!V54:AG54)&gt;0,'2023年'!$AZ54-SUM('2023年'!V54:AG54),""))</f>
        <v/>
      </c>
      <c r="R54" s="221">
        <f>IF('2023年'!$AZ54&gt;=SUM('2023年'!V54:$AG54),'2023年'!V54,IF('2023年'!$AZ54-SUM('2023年'!W54:$AG54)&gt;0,'2023年'!$AZ54-SUM('2023年'!W54:$AG54),0))</f>
        <v>0</v>
      </c>
      <c r="S54" s="221">
        <f>IF('2023年'!$AZ54&gt;=SUM('2023年'!W54:$AG54),'2023年'!W54,IF('2023年'!$AZ54-SUM('2023年'!X54:$AG54)&gt;0,'2023年'!$AZ54-SUM('2023年'!X54:$AG54),0))</f>
        <v>0</v>
      </c>
      <c r="T54" s="221">
        <f>IF('2023年'!$AZ54&gt;=SUM('2023年'!X54:$AG54),'2023年'!X54,IF('2023年'!$AZ54-SUM('2023年'!Y54:$AG54)&gt;0,'2023年'!$AZ54-SUM('2023年'!Y54:$AG54),0))</f>
        <v>0</v>
      </c>
      <c r="U54" s="44">
        <f>IF('2023年'!$AZ54&gt;=SUM('2023年'!Y54:$AG54),'2023年'!Y54,IF('2023年'!$AZ54-SUM('2023年'!Z54:$AG54)&gt;0,'2023年'!$AZ54-SUM('2023年'!Z54:$AG54),0))</f>
        <v>0</v>
      </c>
      <c r="V54" s="44">
        <f>IF('2023年'!$AZ54&gt;=SUM('2023年'!Z54:$AG54),'2023年'!Z54,IF('2023年'!$AZ54-SUM('2023年'!AA54:$AG54)&gt;0,'2023年'!$AZ54-SUM('2023年'!AA54:$AG54),0))</f>
        <v>0</v>
      </c>
      <c r="W54" s="44">
        <f>IF('2023年'!$AZ54&gt;=SUM('2023年'!AA54:$AG54),'2023年'!AA54,IF('2023年'!$AZ54-SUM('2023年'!AB54:$AG54)&gt;0,'2023年'!$AZ54-SUM('2023年'!AB54:$AG54),0))</f>
        <v>0</v>
      </c>
      <c r="X54" s="44">
        <f>IF('2023年'!$AZ54&gt;=SUM('2023年'!AB54:$AG54),'2023年'!AB54,IF('2023年'!$AZ54-SUM('2023年'!AC54:$AG54)&gt;0,'2023年'!$AZ54-SUM('2023年'!AC54:$AG54),0))</f>
        <v>0</v>
      </c>
      <c r="Y54" s="44">
        <f>IF('2023年'!$AZ54&gt;=SUM('2023年'!AC54:$AG54),'2023年'!AC54,IF('2023年'!$AZ54-SUM('2023年'!AD54:$AG54)&gt;0,'2023年'!$AZ54-SUM('2023年'!AD54:$AG54),0))</f>
        <v>0</v>
      </c>
      <c r="Z54" s="44">
        <f>IF('2023年'!$AZ54&gt;=SUM('2023年'!AD54:$AG54),'2023年'!AD54,IF('2023年'!$AZ54-SUM('2023年'!AE54:$AG54)&gt;0,'2023年'!$AZ54-SUM('2023年'!AE54:$AG54),0))</f>
        <v>1500.64</v>
      </c>
      <c r="AA54" s="44">
        <f>IF('2023年'!$AZ54&gt;=SUM('2023年'!AE54:$AG54),'2023年'!AE54,IF('2023年'!$AZ54-SUM('2023年'!AF54:$AG54)&gt;0,'2023年'!$AZ54-SUM('2023年'!AF54:$AG54),0))</f>
        <v>0</v>
      </c>
      <c r="AB54" s="44">
        <f>IF('2023年'!$AZ54&gt;=SUM('2023年'!AF54:$AG54),'2023年'!AF54,IF('2023年'!$AZ54-SUM('2023年'!AG54:$AG54)&gt;0,'2023年'!$AZ54-SUM('2023年'!AG54:$AG54),0))</f>
        <v>0</v>
      </c>
      <c r="AC54" s="44">
        <f>IF('2023年'!$AZ54&gt;=SUM('2023年'!AG54:$AG54),'2023年'!AG54,IF('2023年'!$AZ54-SUM('2023年'!$AG54:AH54)&gt;0,'2023年'!$AZ54-SUM('2023年'!$AG54:AH54),0))</f>
        <v>0</v>
      </c>
      <c r="AD54" s="312"/>
      <c r="AE54" s="310"/>
      <c r="AF54" s="311" t="s">
        <v>84</v>
      </c>
      <c r="AG54" s="88"/>
      <c r="AH54" s="88" t="s">
        <v>428</v>
      </c>
      <c r="AI54" s="315"/>
      <c r="AJ54" s="86">
        <f t="shared" ref="AJ54:AJ60" si="8">SUM(X54:AC54)/6*0.8</f>
        <v>200.085333333333</v>
      </c>
      <c r="AK54" s="91"/>
      <c r="AL54" s="10">
        <f>'2023年'!AZ54</f>
        <v>1500.64</v>
      </c>
      <c r="AM54" s="10">
        <f t="shared" si="0"/>
        <v>0</v>
      </c>
    </row>
    <row r="55" s="10" customFormat="1" ht="24.05" customHeight="1" spans="2:39">
      <c r="B55" s="48" t="s">
        <v>81</v>
      </c>
      <c r="C55" s="46" t="str">
        <f>'2023年'!C55</f>
        <v>1931677</v>
      </c>
      <c r="D55" s="46" t="str">
        <f>'2023年'!D55</f>
        <v>上海鸿扬工贸有限公司</v>
      </c>
      <c r="E55" s="41">
        <v>60</v>
      </c>
      <c r="F55" s="42">
        <f>SUM(I55:AA55)</f>
        <v>8678.4</v>
      </c>
      <c r="G55" s="291">
        <f>SUM(I55:S55)</f>
        <v>0</v>
      </c>
      <c r="H55" s="43">
        <f t="shared" ref="H55:H60" si="9">IF(SUM(J55:AC55)&gt;0,SUM(J55:AC55),"0")</f>
        <v>12475.2</v>
      </c>
      <c r="I55" s="298"/>
      <c r="J55" s="217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217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217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217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N55" s="217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O55" s="217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P55" s="217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Q55" s="217" t="str">
        <f>IF('2023年'!$AZ55&gt;(SUM('2023年'!V55:AG55)+'2023年'!T55+'2023年'!Q55),'2023年'!Q55+'2023年'!T55,IF('2023年'!$AZ55-SUM('2023年'!V55:AG55)&gt;0,'2023年'!$AZ55-SUM('2023年'!V55:AG55),""))</f>
        <v/>
      </c>
      <c r="R55" s="221">
        <f>IF('2023年'!$AZ55&gt;=SUM('2023年'!V55:$AG55),'2023年'!V55,IF('2023年'!$AZ55-SUM('2023年'!W55:$AG55)&gt;0,'2023年'!$AZ55-SUM('2023年'!W55:$AG55),0))</f>
        <v>0</v>
      </c>
      <c r="S55" s="221">
        <f>IF('2023年'!$AZ55&gt;=SUM('2023年'!W55:$AG55),'2023年'!W55,IF('2023年'!$AZ55-SUM('2023年'!X55:$AG55)&gt;0,'2023年'!$AZ55-SUM('2023年'!X55:$AG55),0))</f>
        <v>0</v>
      </c>
      <c r="T55" s="221">
        <f>IF('2023年'!$AZ55&gt;=SUM('2023年'!X55:$AG55),'2023年'!X55,IF('2023年'!$AZ55-SUM('2023年'!Y55:$AG55)&gt;0,'2023年'!$AZ55-SUM('2023年'!Y55:$AG55),0))</f>
        <v>0</v>
      </c>
      <c r="U55" s="44">
        <f>IF('2023年'!$AZ55&gt;=SUM('2023年'!Y55:$AG55),'2023年'!Y55,IF('2023年'!$AZ55-SUM('2023年'!Z55:$AG55)&gt;0,'2023年'!$AZ55-SUM('2023年'!Z55:$AG55),0))</f>
        <v>0</v>
      </c>
      <c r="V55" s="44">
        <f>IF('2023年'!$AZ55&gt;=SUM('2023年'!Z55:$AG55),'2023年'!Z55,IF('2023年'!$AZ55-SUM('2023年'!AA55:$AG55)&gt;0,'2023年'!$AZ55-SUM('2023年'!AA55:$AG55),0))</f>
        <v>0</v>
      </c>
      <c r="W55" s="44">
        <f>IF('2023年'!$AZ55&gt;=SUM('2023年'!AA55:$AG55),'2023年'!AA55,IF('2023年'!$AZ55-SUM('2023年'!AB55:$AG55)&gt;0,'2023年'!$AZ55-SUM('2023年'!AB55:$AG55),0))</f>
        <v>0</v>
      </c>
      <c r="X55" s="44">
        <f>IF('2023年'!$AZ55&gt;=SUM('2023年'!AB55:$AG55),'2023年'!AB55,IF('2023年'!$AZ55-SUM('2023年'!AC55:$AG55)&gt;0,'2023年'!$AZ55-SUM('2023年'!AC55:$AG55),0))</f>
        <v>1627.2</v>
      </c>
      <c r="Y55" s="44">
        <f>IF('2023年'!$AZ55&gt;=SUM('2023年'!AC55:$AG55),'2023年'!AC55,IF('2023年'!$AZ55-SUM('2023年'!AD55:$AG55)&gt;0,'2023年'!$AZ55-SUM('2023年'!AD55:$AG55),0))</f>
        <v>1627.2</v>
      </c>
      <c r="Z55" s="44">
        <f>IF('2023年'!$AZ55&gt;=SUM('2023年'!AD55:$AG55),'2023年'!AD55,IF('2023年'!$AZ55-SUM('2023年'!AE55:$AG55)&gt;0,'2023年'!$AZ55-SUM('2023年'!AE55:$AG55),0))</f>
        <v>0</v>
      </c>
      <c r="AA55" s="44">
        <f>IF('2023年'!$AZ55&gt;=SUM('2023年'!AE55:$AG55),'2023年'!AE55,IF('2023年'!$AZ55-SUM('2023年'!AF55:$AG55)&gt;0,'2023年'!$AZ55-SUM('2023年'!AF55:$AG55),0))</f>
        <v>5424</v>
      </c>
      <c r="AB55" s="44">
        <f>IF('2023年'!$AZ55&gt;=SUM('2023年'!AF55:$AG55),'2023年'!AF55,IF('2023年'!$AZ55-SUM('2023年'!AG55:$AG55)&gt;0,'2023年'!$AZ55-SUM('2023年'!AG55:$AG55),0))</f>
        <v>3796.8</v>
      </c>
      <c r="AC55" s="44">
        <f>IF('2023年'!$AZ55&gt;=SUM('2023年'!AG55:$AG55),'2023年'!AG55,IF('2023年'!$AZ55-SUM('2023年'!$AG55:AH55)&gt;0,'2023年'!$AZ55-SUM('2023年'!$AG55:AH55),0))</f>
        <v>0</v>
      </c>
      <c r="AD55" s="312"/>
      <c r="AE55" s="310"/>
      <c r="AF55" s="311" t="s">
        <v>84</v>
      </c>
      <c r="AG55" s="88" t="s">
        <v>430</v>
      </c>
      <c r="AH55" s="88" t="s">
        <v>427</v>
      </c>
      <c r="AI55" s="315"/>
      <c r="AJ55" s="86">
        <f t="shared" si="8"/>
        <v>1663.36</v>
      </c>
      <c r="AK55" s="91"/>
      <c r="AL55" s="10">
        <f>'2023年'!AZ55</f>
        <v>12475.2</v>
      </c>
      <c r="AM55" s="96">
        <f t="shared" si="0"/>
        <v>0</v>
      </c>
    </row>
    <row r="56" s="10" customFormat="1" ht="24.05" customHeight="1" spans="2:39">
      <c r="B56" s="48" t="s">
        <v>81</v>
      </c>
      <c r="C56" s="46"/>
      <c r="D56" s="46" t="str">
        <f>'2023年'!D56</f>
        <v>成都康鸿塑胶制品有限公司</v>
      </c>
      <c r="E56" s="41">
        <v>90</v>
      </c>
      <c r="F56" s="42">
        <f>IF(SUM(I56:Z56)&gt;0,SUM(I56:Z56),0)</f>
        <v>233631.58</v>
      </c>
      <c r="G56" s="291">
        <f>SUM(I56:R56)</f>
        <v>0</v>
      </c>
      <c r="H56" s="43">
        <f t="shared" si="9"/>
        <v>700693.63</v>
      </c>
      <c r="I56" s="298"/>
      <c r="J56" s="217"/>
      <c r="K56" s="217"/>
      <c r="L56" s="217"/>
      <c r="M56" s="217"/>
      <c r="N56" s="217"/>
      <c r="O56" s="217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P56" s="217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Q56" s="217" t="str">
        <f>IF('2023年'!$AZ56&gt;(SUM('2023年'!V56:AG56)+'2023年'!T56+'2023年'!Q56),'2023年'!Q56+'2023年'!T56,IF('2023年'!$AZ56-SUM('2023年'!V56:AG56)&gt;0,'2023年'!$AZ56-SUM('2023年'!V56:AG56),""))</f>
        <v/>
      </c>
      <c r="R56" s="221">
        <f>IF('2023年'!$AZ56&gt;=SUM('2023年'!V56:$AG56),'2023年'!V56,IF('2023年'!$AZ56-SUM('2023年'!W56:$AG56)&gt;0,'2023年'!$AZ56-SUM('2023年'!W56:$AG56),0))</f>
        <v>0</v>
      </c>
      <c r="S56" s="221">
        <f>IF('2023年'!$AZ56&gt;=SUM('2023年'!W56:$AG56),'2023年'!W56,IF('2023年'!$AZ56-SUM('2023年'!X56:$AG56)&gt;0,'2023年'!$AZ56-SUM('2023年'!X56:$AG56),0))</f>
        <v>0</v>
      </c>
      <c r="T56" s="221">
        <f>IF('2023年'!$AZ56&gt;=SUM('2023年'!X56:$AG56),'2023年'!X56,IF('2023年'!$AZ56-SUM('2023年'!Y56:$AG56)&gt;0,'2023年'!$AZ56-SUM('2023年'!Y56:$AG56),0))</f>
        <v>0</v>
      </c>
      <c r="U56" s="44">
        <f>IF('2023年'!$AZ56&gt;=SUM('2023年'!Y56:$AG56),'2023年'!Y56,IF('2023年'!$AZ56-SUM('2023年'!Z56:$AG56)&gt;0,'2023年'!$AZ56-SUM('2023年'!Z56:$AG56),0))</f>
        <v>0</v>
      </c>
      <c r="V56" s="44">
        <f>IF('2023年'!$AZ56&gt;=SUM('2023年'!Z56:$AG56),'2023年'!Z56,IF('2023年'!$AZ56-SUM('2023年'!AA56:$AG56)&gt;0,'2023年'!$AZ56-SUM('2023年'!AA56:$AG56),0))</f>
        <v>0</v>
      </c>
      <c r="W56" s="44">
        <f>IF('2023年'!$AZ56&gt;=SUM('2023年'!AA56:$AG56),'2023年'!AA56,IF('2023年'!$AZ56-SUM('2023年'!AB56:$AG56)&gt;0,'2023年'!$AZ56-SUM('2023年'!AB56:$AG56),0))</f>
        <v>0</v>
      </c>
      <c r="X56" s="44">
        <f>IF('2023年'!$AZ56&gt;=SUM('2023年'!AB56:$AG56),'2023年'!AB56,IF('2023年'!$AZ56-SUM('2023年'!AC56:$AG56)&gt;0,'2023年'!$AZ56-SUM('2023年'!AC56:$AG56),0))</f>
        <v>93077.7500000001</v>
      </c>
      <c r="Y56" s="44">
        <f>IF('2023年'!$AZ56&gt;=SUM('2023年'!AC56:$AG56),'2023年'!AC56,IF('2023年'!$AZ56-SUM('2023年'!AD56:$AG56)&gt;0,'2023年'!$AZ56-SUM('2023年'!AD56:$AG56),0))</f>
        <v>113944.37</v>
      </c>
      <c r="Z56" s="44">
        <f>IF('2023年'!$AZ56&gt;=SUM('2023年'!AD56:$AG56),'2023年'!AD56,IF('2023年'!$AZ56-SUM('2023年'!AE56:$AG56)&gt;0,'2023年'!$AZ56-SUM('2023年'!AE56:$AG56),0))</f>
        <v>26609.46</v>
      </c>
      <c r="AA56" s="44">
        <f>IF('2023年'!$AZ56&gt;=SUM('2023年'!AE56:$AG56),'2023年'!AE56,IF('2023年'!$AZ56-SUM('2023年'!AF56:$AG56)&gt;0,'2023年'!$AZ56-SUM('2023年'!AF56:$AG56),0))</f>
        <v>85482.64</v>
      </c>
      <c r="AB56" s="44">
        <f>IF('2023年'!$AZ56&gt;=SUM('2023年'!AF56:$AG56),'2023年'!AF56,IF('2023年'!$AZ56-SUM('2023年'!AG56:$AG56)&gt;0,'2023年'!$AZ56-SUM('2023年'!AG56:$AG56),0))</f>
        <v>126123.32</v>
      </c>
      <c r="AC56" s="44">
        <f>IF('2023年'!$AZ56&gt;=SUM('2023年'!AG56:$AG56),'2023年'!AG56,IF('2023年'!$AZ56-SUM('2023年'!$AG56:AH56)&gt;0,'2023年'!$AZ56-SUM('2023年'!$AG56:AH56),0))</f>
        <v>255456.09</v>
      </c>
      <c r="AD56" s="312"/>
      <c r="AE56" s="310"/>
      <c r="AF56" s="311" t="s">
        <v>84</v>
      </c>
      <c r="AG56" s="88" t="s">
        <v>431</v>
      </c>
      <c r="AH56" s="88" t="s">
        <v>426</v>
      </c>
      <c r="AI56" s="315"/>
      <c r="AJ56" s="86">
        <f t="shared" si="8"/>
        <v>93425.8173333334</v>
      </c>
      <c r="AK56" s="91"/>
      <c r="AL56" s="10">
        <f>'2023年'!AZ56</f>
        <v>700693.63</v>
      </c>
      <c r="AM56" s="96">
        <f t="shared" si="0"/>
        <v>0</v>
      </c>
    </row>
    <row r="57" s="10" customFormat="1" ht="24.05" customHeight="1" spans="2:39">
      <c r="B57" s="48" t="s">
        <v>81</v>
      </c>
      <c r="C57" s="46"/>
      <c r="D57" s="46" t="str">
        <f>'2023年'!D57</f>
        <v>河北利达金属制品集团有限公司</v>
      </c>
      <c r="E57" s="41">
        <v>90</v>
      </c>
      <c r="F57" s="42">
        <f>IF(SUM(I57:Z57)&gt;0,SUM(I57:Z57),0)</f>
        <v>28982.13</v>
      </c>
      <c r="G57" s="296"/>
      <c r="H57" s="43">
        <f t="shared" si="9"/>
        <v>28982.13</v>
      </c>
      <c r="I57" s="298"/>
      <c r="J57" s="217"/>
      <c r="K57" s="217"/>
      <c r="L57" s="217"/>
      <c r="M57" s="217"/>
      <c r="N57" s="217"/>
      <c r="O57" s="217" t="str">
        <f>IF('2023年'!$AZ57&gt;('2023年'!P57+'2023年'!Q57+'2023年'!S57+'2023年'!T57+SUM('2023年'!V57:AG57))+'2023年'!O57+'2023年'!R57,'2023年'!O57+'2023年'!R57,IF('2023年'!$AZ57-SUM('2023年'!V57:AG57)-'2023年'!T57-'2023年'!S57-'2023年'!P57-'2023年'!Q57&gt;0,'2023年'!$AZ57-SUM('2023年'!V57:AG57)-'2023年'!T57-'2023年'!S57-'2023年'!P57-'2023年'!Q57,""))</f>
        <v/>
      </c>
      <c r="P57" s="217" t="str">
        <f>IF('2023年'!$AZ57&gt;('2023年'!$T57+'2023年'!$Q57+SUM('2023年'!V57:$AG57))+'2023年'!S57+'2023年'!P57,'2023年'!P57+'2023年'!S57,IF('2023年'!$AZ57-SUM('2023年'!V57:$AG57)-'2023年'!T57-'2023年'!Q57&gt;0,'2023年'!$AZ57-SUM('2023年'!V57:X57)-'2023年'!T57-'2023年'!Q57,""))</f>
        <v/>
      </c>
      <c r="Q57" s="217" t="str">
        <f>IF('2023年'!$AZ57&gt;(SUM('2023年'!V57:AG57)+'2023年'!T57+'2023年'!Q57),'2023年'!Q57+'2023年'!T57,IF('2023年'!$AZ57-SUM('2023年'!V57:AG57)&gt;0,'2023年'!$AZ57-SUM('2023年'!V57:AG57),""))</f>
        <v/>
      </c>
      <c r="R57" s="221">
        <f>IF('2023年'!$AZ57&gt;=SUM('2023年'!V57:$AG57),'2023年'!V57,IF('2023年'!$AZ57-SUM('2023年'!W57:$AG57)&gt;0,'2023年'!$AZ57-SUM('2023年'!W57:$AG57),0))</f>
        <v>0</v>
      </c>
      <c r="S57" s="221">
        <f>IF('2023年'!$AZ57&gt;=SUM('2023年'!W57:$AG57),'2023年'!W57,IF('2023年'!$AZ57-SUM('2023年'!X57:$AG57)&gt;0,'2023年'!$AZ57-SUM('2023年'!X57:$AG57),0))</f>
        <v>0</v>
      </c>
      <c r="T57" s="221">
        <f>IF('2023年'!$AZ57&gt;=SUM('2023年'!X57:$AG57),'2023年'!X57,IF('2023年'!$AZ57-SUM('2023年'!Y57:$AG57)&gt;0,'2023年'!$AZ57-SUM('2023年'!Y57:$AG57),0))</f>
        <v>0</v>
      </c>
      <c r="U57" s="44">
        <f>IF('2023年'!$AZ57&gt;=SUM('2023年'!Y57:$AG57),'2023年'!Y57,IF('2023年'!$AZ57-SUM('2023年'!Z57:$AG57)&gt;0,'2023年'!$AZ57-SUM('2023年'!Z57:$AG57),0))</f>
        <v>0</v>
      </c>
      <c r="V57" s="44">
        <f>IF('2023年'!$AZ57&gt;=SUM('2023年'!Z57:$AG57),'2023年'!Z57,IF('2023年'!$AZ57-SUM('2023年'!AA57:$AG57)&gt;0,'2023年'!$AZ57-SUM('2023年'!AA57:$AG57),0))</f>
        <v>0</v>
      </c>
      <c r="W57" s="44">
        <f>IF('2023年'!$AZ57&gt;=SUM('2023年'!AA57:$AG57),'2023年'!AA57,IF('2023年'!$AZ57-SUM('2023年'!AB57:$AG57)&gt;0,'2023年'!$AZ57-SUM('2023年'!AB57:$AG57),0))</f>
        <v>0</v>
      </c>
      <c r="X57" s="44">
        <f>IF('2023年'!$AZ57&gt;=SUM('2023年'!AB57:$AG57),'2023年'!AB57,IF('2023年'!$AZ57-SUM('2023年'!AC57:$AG57)&gt;0,'2023年'!$AZ57-SUM('2023年'!AC57:$AG57),0))</f>
        <v>0</v>
      </c>
      <c r="Y57" s="44">
        <f>IF('2023年'!$AZ57&gt;=SUM('2023年'!AC57:$AG57),'2023年'!AC57,IF('2023年'!$AZ57-SUM('2023年'!AD57:$AG57)&gt;0,'2023年'!$AZ57-SUM('2023年'!AD57:$AG57),0))</f>
        <v>0</v>
      </c>
      <c r="Z57" s="44">
        <f>IF('2023年'!$AZ57&gt;=SUM('2023年'!AD57:$AG57),'2023年'!AD57,IF('2023年'!$AZ57-SUM('2023年'!AE57:$AG57)&gt;0,'2023年'!$AZ57-SUM('2023年'!AE57:$AG57),0))</f>
        <v>28982.13</v>
      </c>
      <c r="AA57" s="44">
        <f>IF('2023年'!$AZ57&gt;=SUM('2023年'!AE57:$AG57),'2023年'!AE57,IF('2023年'!$AZ57-SUM('2023年'!AF57:$AG57)&gt;0,'2023年'!$AZ57-SUM('2023年'!AF57:$AG57),0))</f>
        <v>0</v>
      </c>
      <c r="AB57" s="44">
        <f>IF('2023年'!$AZ57&gt;=SUM('2023年'!AF57:$AG57),'2023年'!AF57,IF('2023年'!$AZ57-SUM('2023年'!AG57:$AG57)&gt;0,'2023年'!$AZ57-SUM('2023年'!AG57:$AG57),0))</f>
        <v>0</v>
      </c>
      <c r="AC57" s="44">
        <f>IF('2023年'!$AZ57&gt;=SUM('2023年'!AG57:$AG57),'2023年'!AG57,IF('2023年'!$AZ57-SUM('2023年'!$AG57:AH57)&gt;0,'2023年'!$AZ57-SUM('2023年'!$AG57:AH57),0))</f>
        <v>0</v>
      </c>
      <c r="AD57" s="312"/>
      <c r="AE57" s="296"/>
      <c r="AF57" s="296"/>
      <c r="AG57" s="88"/>
      <c r="AH57" s="88"/>
      <c r="AI57" s="316"/>
      <c r="AJ57" s="86">
        <f t="shared" si="8"/>
        <v>3864.284</v>
      </c>
      <c r="AK57" s="98"/>
      <c r="AL57" s="10">
        <f>'2023年'!AZ57</f>
        <v>28982.13</v>
      </c>
      <c r="AM57" s="96">
        <f t="shared" si="0"/>
        <v>0</v>
      </c>
    </row>
    <row r="58" s="10" customFormat="1" ht="24.05" customHeight="1" spans="2:39">
      <c r="B58" s="48" t="s">
        <v>81</v>
      </c>
      <c r="C58" s="55"/>
      <c r="D58" s="46" t="str">
        <f>'2023年'!D58</f>
        <v>长春市天利得科技有限公司</v>
      </c>
      <c r="E58" s="41">
        <v>90</v>
      </c>
      <c r="F58" s="42">
        <f>IF(SUM(I58:Z58)&gt;0,SUM(I58:Z58),0)</f>
        <v>0</v>
      </c>
      <c r="G58" s="296"/>
      <c r="H58" s="43">
        <f t="shared" si="9"/>
        <v>60504.28</v>
      </c>
      <c r="I58" s="299"/>
      <c r="J58" s="72"/>
      <c r="K58" s="72"/>
      <c r="L58" s="72"/>
      <c r="M58" s="72"/>
      <c r="N58" s="72"/>
      <c r="O58" s="72"/>
      <c r="P58" s="72"/>
      <c r="Q58" s="72"/>
      <c r="R58" s="224"/>
      <c r="S58" s="224"/>
      <c r="T58" s="224"/>
      <c r="U58" s="225"/>
      <c r="V58" s="225"/>
      <c r="W58" s="225"/>
      <c r="X58" s="225"/>
      <c r="Y58" s="225"/>
      <c r="Z58" s="225"/>
      <c r="AA58" s="44">
        <f>IF('2023年'!$AZ58&gt;=SUM('2023年'!AE58:$AG58),'2023年'!AE58,IF('2023年'!$AZ58-SUM('2023年'!AF58:$AG58)&gt;0,'2023年'!$AZ58-SUM('2023年'!AF58:$AG58),0))</f>
        <v>0</v>
      </c>
      <c r="AB58" s="44">
        <f>IF('2023年'!$AZ58&gt;=SUM('2023年'!AF58:$AG58),'2023年'!AF58,IF('2023年'!$AZ58-SUM('2023年'!AG58:$AG58)&gt;0,'2023年'!$AZ58-SUM('2023年'!AG58:$AG58),0))</f>
        <v>60504.28</v>
      </c>
      <c r="AC58" s="44">
        <f>IF('2023年'!$AZ58&gt;=SUM('2023年'!AG58:$AG58),'2023年'!AG58,IF('2023年'!$AZ58-SUM('2023年'!$AG58:AH58)&gt;0,'2023年'!$AZ58-SUM('2023年'!$AG58:AH58),0))</f>
        <v>0</v>
      </c>
      <c r="AD58" s="312"/>
      <c r="AE58" s="296"/>
      <c r="AF58" s="296"/>
      <c r="AG58" s="88"/>
      <c r="AH58" s="88"/>
      <c r="AI58" s="316"/>
      <c r="AJ58" s="86">
        <f t="shared" si="8"/>
        <v>8067.23733333333</v>
      </c>
      <c r="AK58" s="98"/>
      <c r="AL58" s="10">
        <f>'2023年'!AZ58</f>
        <v>60504.28</v>
      </c>
      <c r="AM58" s="96">
        <f t="shared" si="0"/>
        <v>0</v>
      </c>
    </row>
    <row r="59" s="10" customFormat="1" ht="24.05" customHeight="1" spans="2:39">
      <c r="B59" s="48" t="s">
        <v>81</v>
      </c>
      <c r="C59" s="55"/>
      <c r="D59" s="46" t="str">
        <f>'2023年'!D59</f>
        <v>江苏凌派通信科技有限公司</v>
      </c>
      <c r="E59" s="41">
        <v>90</v>
      </c>
      <c r="F59" s="42">
        <f>IF(SUM(I59:Z59)&gt;0,SUM(I59:Z59),0)</f>
        <v>0</v>
      </c>
      <c r="G59" s="296"/>
      <c r="H59" s="43">
        <f t="shared" si="9"/>
        <v>5237.55</v>
      </c>
      <c r="I59" s="299"/>
      <c r="J59" s="72"/>
      <c r="K59" s="72"/>
      <c r="L59" s="72"/>
      <c r="M59" s="72"/>
      <c r="N59" s="72"/>
      <c r="O59" s="72"/>
      <c r="P59" s="72"/>
      <c r="Q59" s="72"/>
      <c r="R59" s="224"/>
      <c r="S59" s="224"/>
      <c r="T59" s="224"/>
      <c r="U59" s="225"/>
      <c r="V59" s="225"/>
      <c r="W59" s="225"/>
      <c r="X59" s="225"/>
      <c r="Y59" s="225"/>
      <c r="Z59" s="225"/>
      <c r="AA59" s="44">
        <f>IF('2023年'!$AZ59&gt;=SUM('2023年'!AE59:$AG59),'2023年'!AE59,IF('2023年'!$AZ59-SUM('2023年'!AF59:$AG59)&gt;0,'2023年'!$AZ59-SUM('2023年'!AF59:$AG59),0))</f>
        <v>0</v>
      </c>
      <c r="AB59" s="44">
        <f>IF('2023年'!$AZ59&gt;=SUM('2023年'!AF59:$AG59),'2023年'!AF59,IF('2023年'!$AZ59-SUM('2023年'!AG59:$AG59)&gt;0,'2023年'!$AZ59-SUM('2023年'!AG59:$AG59),0))</f>
        <v>5237.55</v>
      </c>
      <c r="AC59" s="44">
        <f>IF('2023年'!$AZ59&gt;=SUM('2023年'!AG59:$AG59),'2023年'!AG59,IF('2023年'!$AZ59-SUM('2023年'!$AG59:AH59)&gt;0,'2023年'!$AZ59-SUM('2023年'!$AG59:AH59),0))</f>
        <v>0</v>
      </c>
      <c r="AD59" s="312"/>
      <c r="AE59" s="296"/>
      <c r="AF59" s="296"/>
      <c r="AG59" s="88"/>
      <c r="AH59" s="88"/>
      <c r="AI59" s="316"/>
      <c r="AJ59" s="86">
        <f t="shared" si="8"/>
        <v>698.34</v>
      </c>
      <c r="AK59" s="98"/>
      <c r="AL59" s="10">
        <f>'2023年'!AZ59</f>
        <v>5237.55</v>
      </c>
      <c r="AM59" s="96">
        <f t="shared" si="0"/>
        <v>0</v>
      </c>
    </row>
    <row r="60" s="10" customFormat="1" ht="24.05" customHeight="1" spans="2:39">
      <c r="B60" s="48" t="s">
        <v>81</v>
      </c>
      <c r="C60" s="55"/>
      <c r="D60" s="46" t="str">
        <f>'2023年'!D60</f>
        <v>吉林省智恒汽车零部件有限公司</v>
      </c>
      <c r="E60" s="41">
        <v>90</v>
      </c>
      <c r="F60" s="42">
        <f>IF(SUM(I60:Z60)&gt;0,SUM(I60:Z60),0)</f>
        <v>0</v>
      </c>
      <c r="G60" s="296"/>
      <c r="H60" s="43">
        <f t="shared" si="9"/>
        <v>41188.95</v>
      </c>
      <c r="I60" s="299"/>
      <c r="J60" s="72"/>
      <c r="K60" s="72"/>
      <c r="L60" s="72"/>
      <c r="M60" s="72"/>
      <c r="N60" s="72"/>
      <c r="O60" s="72"/>
      <c r="P60" s="72"/>
      <c r="Q60" s="72"/>
      <c r="R60" s="224"/>
      <c r="S60" s="224"/>
      <c r="T60" s="224"/>
      <c r="U60" s="225"/>
      <c r="V60" s="225"/>
      <c r="W60" s="225"/>
      <c r="X60" s="225"/>
      <c r="Y60" s="225"/>
      <c r="Z60" s="225"/>
      <c r="AA60" s="44">
        <f>IF('2023年'!$AZ60&gt;=SUM('2023年'!AE60:$AG60),'2023年'!AE60,IF('2023年'!$AZ60-SUM('2023年'!AF60:$AG60)&gt;0,'2023年'!$AZ60-SUM('2023年'!AF60:$AG60),0))</f>
        <v>0</v>
      </c>
      <c r="AB60" s="44">
        <f>IF('2023年'!$AZ60&gt;=SUM('2023年'!AF60:$AG60),'2023年'!AF60,IF('2023年'!$AZ60-SUM('2023年'!AG60:$AG60)&gt;0,'2023年'!$AZ60-SUM('2023年'!AG60:$AG60),0))</f>
        <v>41188.95</v>
      </c>
      <c r="AC60" s="44">
        <f>IF('2023年'!$AZ60&gt;=SUM('2023年'!AG60:$AG60),'2023年'!AG60,IF('2023年'!$AZ60-SUM('2023年'!$AG60:AH60)&gt;0,'2023年'!$AZ60-SUM('2023年'!$AG60:AH60),0))</f>
        <v>0</v>
      </c>
      <c r="AD60" s="88"/>
      <c r="AE60" s="296"/>
      <c r="AF60" s="296"/>
      <c r="AG60" s="88"/>
      <c r="AH60" s="88"/>
      <c r="AI60" s="316"/>
      <c r="AJ60" s="86">
        <f t="shared" si="8"/>
        <v>5491.86</v>
      </c>
      <c r="AK60" s="98"/>
      <c r="AL60" s="10">
        <f>'2023年'!AZ60</f>
        <v>41188.95</v>
      </c>
      <c r="AM60" s="96">
        <f t="shared" si="0"/>
        <v>0</v>
      </c>
    </row>
    <row r="61" s="12" customFormat="1" ht="24.05" customHeight="1" spans="2:39">
      <c r="B61" s="60"/>
      <c r="C61" s="61"/>
      <c r="D61" s="62" t="s">
        <v>142</v>
      </c>
      <c r="E61" s="63"/>
      <c r="F61" s="63">
        <f t="shared" ref="F61:AC61" si="10">SUM(F5:F57)</f>
        <v>5647896.07</v>
      </c>
      <c r="G61" s="297">
        <f t="shared" si="10"/>
        <v>365842.03</v>
      </c>
      <c r="H61" s="63">
        <f t="shared" si="10"/>
        <v>9107199.71</v>
      </c>
      <c r="I61" s="63">
        <f t="shared" si="10"/>
        <v>0</v>
      </c>
      <c r="J61" s="63">
        <f t="shared" si="10"/>
        <v>33981.36</v>
      </c>
      <c r="K61" s="63">
        <f t="shared" si="10"/>
        <v>5410.44</v>
      </c>
      <c r="L61" s="63">
        <f t="shared" si="10"/>
        <v>3986.64</v>
      </c>
      <c r="M61" s="63">
        <f t="shared" si="10"/>
        <v>0</v>
      </c>
      <c r="N61" s="63">
        <f t="shared" si="10"/>
        <v>28536</v>
      </c>
      <c r="O61" s="63">
        <f t="shared" si="10"/>
        <v>19097</v>
      </c>
      <c r="P61" s="63">
        <f t="shared" si="10"/>
        <v>0</v>
      </c>
      <c r="Q61" s="63">
        <f t="shared" si="10"/>
        <v>85469.6600000002</v>
      </c>
      <c r="R61" s="63">
        <f t="shared" si="10"/>
        <v>189360.93</v>
      </c>
      <c r="S61" s="63">
        <f t="shared" si="10"/>
        <v>596977.79</v>
      </c>
      <c r="T61" s="63">
        <f t="shared" si="10"/>
        <v>232622.15</v>
      </c>
      <c r="U61" s="63">
        <f t="shared" si="10"/>
        <v>931803.64</v>
      </c>
      <c r="V61" s="63">
        <f t="shared" si="10"/>
        <v>240698.77</v>
      </c>
      <c r="W61" s="63">
        <f t="shared" si="10"/>
        <v>104117.16</v>
      </c>
      <c r="X61" s="63">
        <f t="shared" si="10"/>
        <v>1405482.02</v>
      </c>
      <c r="Y61" s="63">
        <f t="shared" si="10"/>
        <v>409325.68</v>
      </c>
      <c r="Z61" s="63">
        <f t="shared" si="10"/>
        <v>754050.2</v>
      </c>
      <c r="AA61" s="63">
        <f t="shared" si="10"/>
        <v>844022.87</v>
      </c>
      <c r="AB61" s="63">
        <f t="shared" si="10"/>
        <v>951666.81</v>
      </c>
      <c r="AC61" s="63">
        <f t="shared" si="10"/>
        <v>2097045.14</v>
      </c>
      <c r="AD61" s="99">
        <f>SUM(AD5:AD56)</f>
        <v>0</v>
      </c>
      <c r="AE61" s="99">
        <f>SUM(AE5:AE56)</f>
        <v>0.23</v>
      </c>
      <c r="AF61" s="99">
        <f>SUM(AF5:AF56)</f>
        <v>0</v>
      </c>
      <c r="AG61" s="99">
        <f>SUM(AG5:AG56)</f>
        <v>0</v>
      </c>
      <c r="AH61" s="99"/>
      <c r="AI61" s="99">
        <f>SUM(AI5:AI56)</f>
        <v>0</v>
      </c>
      <c r="AJ61" s="100">
        <f>SUM(AJ5:AJ57)</f>
        <v>861545.696</v>
      </c>
      <c r="AK61" s="100">
        <f>SUM(AK5:AK56)</f>
        <v>0</v>
      </c>
      <c r="AL61" s="10">
        <f>'2023年'!AZ61</f>
        <v>9218248.26</v>
      </c>
      <c r="AM61" s="96">
        <f t="shared" si="0"/>
        <v>-111048.549999997</v>
      </c>
    </row>
    <row r="62" ht="15.05" customHeight="1" spans="5:39">
      <c r="E62" s="64"/>
      <c r="F62" s="65"/>
      <c r="G62" s="65"/>
      <c r="H62" s="66"/>
      <c r="I62" s="65"/>
      <c r="J62" s="65"/>
      <c r="K62" s="65"/>
      <c r="L62" s="65"/>
      <c r="M62" s="65"/>
      <c r="N62" s="65"/>
      <c r="O62" s="65">
        <f t="shared" ref="O62:Y62" si="11">SUM(O5:O26)</f>
        <v>19097</v>
      </c>
      <c r="P62" s="65">
        <f t="shared" si="11"/>
        <v>0</v>
      </c>
      <c r="Q62" s="65">
        <f t="shared" si="11"/>
        <v>85469.6600000002</v>
      </c>
      <c r="R62" s="73">
        <f t="shared" si="11"/>
        <v>95085.28</v>
      </c>
      <c r="S62" s="73">
        <f t="shared" si="11"/>
        <v>155279.13</v>
      </c>
      <c r="T62" s="65">
        <f t="shared" si="11"/>
        <v>19644.82</v>
      </c>
      <c r="U62" s="65">
        <f t="shared" si="11"/>
        <v>69879.5400000001</v>
      </c>
      <c r="V62" s="65">
        <f t="shared" si="11"/>
        <v>130172.11</v>
      </c>
      <c r="W62" s="65">
        <f t="shared" si="11"/>
        <v>873035.89</v>
      </c>
      <c r="X62" s="65">
        <f t="shared" si="11"/>
        <v>852588.86</v>
      </c>
      <c r="Y62" s="65">
        <f t="shared" si="11"/>
        <v>174638.1</v>
      </c>
      <c r="Z62" s="65"/>
      <c r="AA62" s="65"/>
      <c r="AB62" s="65"/>
      <c r="AC62" s="65">
        <f>SUM(AC5:AC26)</f>
        <v>1119523.57</v>
      </c>
      <c r="AD62" s="65">
        <f t="shared" ref="AD62:AF62" si="12">SUM(AD5:AD23)</f>
        <v>0</v>
      </c>
      <c r="AE62" s="65">
        <f t="shared" si="12"/>
        <v>0</v>
      </c>
      <c r="AF62" s="65">
        <f t="shared" si="12"/>
        <v>0</v>
      </c>
      <c r="AG62" s="76"/>
      <c r="AH62" s="76"/>
      <c r="AL62" s="10"/>
      <c r="AM62" s="96"/>
    </row>
    <row r="63" ht="15.05" customHeight="1" spans="37:37">
      <c r="AK63" s="13">
        <v>3361781.44</v>
      </c>
    </row>
    <row r="64" spans="4:37">
      <c r="D64" s="67" t="s">
        <v>143</v>
      </c>
      <c r="E64" s="68"/>
      <c r="O64" s="67"/>
      <c r="P64" s="67">
        <f>'2023年'!P29+'2023年'!S29</f>
        <v>19790.82</v>
      </c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K64" s="13">
        <f>AK61-AK63</f>
        <v>-3361781.44</v>
      </c>
    </row>
    <row r="65" spans="19:29"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</row>
    <row r="75" spans="2:29">
      <c r="B75" s="13"/>
      <c r="D75" s="13"/>
      <c r="E75" s="104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</row>
    <row r="78" spans="2:29">
      <c r="B78" s="13"/>
      <c r="D78" s="13"/>
      <c r="E78" s="104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</row>
  </sheetData>
  <autoFilter ref="B4:AM64">
    <extLst/>
  </autoFilter>
  <mergeCells count="37">
    <mergeCell ref="B1:E1"/>
    <mergeCell ref="O2:AC2"/>
    <mergeCell ref="AD2:AF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G2:AG4"/>
    <mergeCell ref="AH2:AH4"/>
    <mergeCell ref="AI2:AI4"/>
    <mergeCell ref="AJ2:AJ4"/>
    <mergeCell ref="AK2:AK4"/>
  </mergeCells>
  <conditionalFormatting sqref="D1:D12 C5:C12 C13:D28 D61:D1048576">
    <cfRule type="duplicateValues" dxfId="0" priority="3"/>
    <cfRule type="duplicateValues" dxfId="0" priority="5"/>
  </conditionalFormatting>
  <conditionalFormatting sqref="O1:AC1 O63:AC1048576">
    <cfRule type="duplicateValues" dxfId="0" priority="4"/>
  </conditionalFormatting>
  <conditionalFormatting sqref="C29:D60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C80"/>
  <sheetViews>
    <sheetView zoomScale="80" zoomScaleNormal="80" workbookViewId="0">
      <pane xSplit="4" ySplit="4" topLeftCell="V11" activePane="bottomRight" state="frozen"/>
      <selection/>
      <selection pane="topRight"/>
      <selection pane="bottomLeft"/>
      <selection pane="bottomRight" activeCell="AL11" sqref="AL11"/>
    </sheetView>
  </sheetViews>
  <sheetFormatPr defaultColWidth="8" defaultRowHeight="16.5"/>
  <cols>
    <col min="1" max="1" width="1.5" style="13" customWidth="1"/>
    <col min="2" max="2" width="9.2" style="14" customWidth="1"/>
    <col min="3" max="3" width="10.6" style="13" customWidth="1"/>
    <col min="4" max="4" width="27.4" style="15" customWidth="1"/>
    <col min="5" max="9" width="10.4" style="13" customWidth="1"/>
    <col min="10" max="12" width="14.5" style="15" customWidth="1"/>
    <col min="13" max="21" width="17.2" style="15" customWidth="1"/>
    <col min="22" max="22" width="16.4" style="15" customWidth="1"/>
    <col min="23" max="25" width="14.2" style="215" customWidth="1"/>
    <col min="26" max="34" width="14.2" style="215" hidden="1" customWidth="1"/>
    <col min="35" max="35" width="3.6" style="13" customWidth="1"/>
    <col min="36" max="37" width="17.6" style="216" customWidth="1"/>
    <col min="38" max="38" width="13" style="216" customWidth="1"/>
    <col min="39" max="44" width="13" style="216" hidden="1" customWidth="1"/>
    <col min="45" max="46" width="12.8" style="216" hidden="1" customWidth="1"/>
    <col min="47" max="47" width="5.6" style="216" hidden="1" customWidth="1"/>
    <col min="48" max="50" width="17.2" style="15" customWidth="1"/>
    <col min="51" max="51" width="14" style="15" customWidth="1"/>
    <col min="52" max="52" width="20.7" style="13" customWidth="1"/>
    <col min="53" max="54" width="13.1" style="13" customWidth="1"/>
    <col min="55" max="55" width="13.9" style="19" customWidth="1"/>
    <col min="56" max="56" width="8.1" style="13"/>
    <col min="57" max="57" width="11.5" style="13"/>
    <col min="58" max="58" width="12.6" style="13"/>
    <col min="59" max="16384" width="8" style="13"/>
  </cols>
  <sheetData>
    <row r="1" ht="20.95" customHeight="1" spans="2:52">
      <c r="B1" s="20" t="s">
        <v>432</v>
      </c>
      <c r="C1" s="21"/>
      <c r="D1" s="21"/>
      <c r="E1" s="21"/>
      <c r="F1" s="21"/>
      <c r="G1" s="21"/>
      <c r="H1" s="21"/>
      <c r="I1" s="21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21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21"/>
    </row>
    <row r="2" ht="18" customHeight="1" spans="2:53">
      <c r="B2" s="24" t="s">
        <v>1</v>
      </c>
      <c r="C2" s="25" t="s">
        <v>2</v>
      </c>
      <c r="D2" s="26" t="s">
        <v>3</v>
      </c>
      <c r="E2" s="28"/>
      <c r="F2" s="28"/>
      <c r="G2" s="28"/>
      <c r="H2" s="28"/>
      <c r="I2" s="28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226" t="s">
        <v>433</v>
      </c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227"/>
      <c r="AI2" s="226" t="s">
        <v>434</v>
      </c>
      <c r="AJ2" s="227"/>
      <c r="AK2" s="227"/>
      <c r="AL2" s="227"/>
      <c r="AM2" s="227"/>
      <c r="AN2" s="227"/>
      <c r="AO2" s="227"/>
      <c r="AP2" s="227"/>
      <c r="AQ2" s="227"/>
      <c r="AR2" s="227"/>
      <c r="AS2" s="227"/>
      <c r="AT2" s="227"/>
      <c r="AU2" s="262"/>
      <c r="AV2" s="263"/>
      <c r="AW2" s="70"/>
      <c r="AX2" s="70"/>
      <c r="AY2" s="271"/>
      <c r="AZ2" s="80" t="s">
        <v>36</v>
      </c>
      <c r="BA2" s="80" t="s">
        <v>280</v>
      </c>
    </row>
    <row r="3" ht="31.6" customHeight="1" spans="2:53">
      <c r="B3" s="30"/>
      <c r="C3" s="31"/>
      <c r="D3" s="32"/>
      <c r="E3" s="36" t="s">
        <v>435</v>
      </c>
      <c r="F3" s="36" t="s">
        <v>345</v>
      </c>
      <c r="G3" s="36" t="s">
        <v>346</v>
      </c>
      <c r="H3" s="36" t="s">
        <v>352</v>
      </c>
      <c r="I3" s="36" t="s">
        <v>353</v>
      </c>
      <c r="J3" s="36" t="s">
        <v>354</v>
      </c>
      <c r="K3" s="71" t="s">
        <v>355</v>
      </c>
      <c r="L3" s="71" t="s">
        <v>356</v>
      </c>
      <c r="M3" s="36" t="s">
        <v>357</v>
      </c>
      <c r="N3" s="36" t="s">
        <v>358</v>
      </c>
      <c r="O3" s="36" t="s">
        <v>359</v>
      </c>
      <c r="P3" s="36" t="s">
        <v>360</v>
      </c>
      <c r="Q3" s="36" t="s">
        <v>361</v>
      </c>
      <c r="R3" s="36" t="s">
        <v>362</v>
      </c>
      <c r="S3" s="36" t="s">
        <v>363</v>
      </c>
      <c r="T3" s="36" t="s">
        <v>364</v>
      </c>
      <c r="U3" s="36" t="s">
        <v>365</v>
      </c>
      <c r="V3" s="36" t="s">
        <v>366</v>
      </c>
      <c r="W3" s="228" t="s">
        <v>73</v>
      </c>
      <c r="X3" s="229" t="s">
        <v>74</v>
      </c>
      <c r="Y3" s="229" t="s">
        <v>169</v>
      </c>
      <c r="Z3" s="229" t="s">
        <v>170</v>
      </c>
      <c r="AA3" s="229" t="s">
        <v>171</v>
      </c>
      <c r="AB3" s="229" t="s">
        <v>172</v>
      </c>
      <c r="AC3" s="229" t="s">
        <v>173</v>
      </c>
      <c r="AD3" s="229" t="s">
        <v>174</v>
      </c>
      <c r="AE3" s="229" t="s">
        <v>175</v>
      </c>
      <c r="AF3" s="229" t="s">
        <v>70</v>
      </c>
      <c r="AG3" s="229" t="s">
        <v>71</v>
      </c>
      <c r="AH3" s="229" t="s">
        <v>72</v>
      </c>
      <c r="AI3" s="243"/>
      <c r="AJ3" s="244" t="s">
        <v>192</v>
      </c>
      <c r="AK3" s="245" t="s">
        <v>193</v>
      </c>
      <c r="AL3" s="245" t="s">
        <v>158</v>
      </c>
      <c r="AM3" s="245" t="s">
        <v>159</v>
      </c>
      <c r="AN3" s="245" t="s">
        <v>160</v>
      </c>
      <c r="AO3" s="245" t="s">
        <v>161</v>
      </c>
      <c r="AP3" s="245" t="s">
        <v>162</v>
      </c>
      <c r="AQ3" s="245" t="s">
        <v>163</v>
      </c>
      <c r="AR3" s="245" t="s">
        <v>164</v>
      </c>
      <c r="AS3" s="245" t="s">
        <v>165</v>
      </c>
      <c r="AT3" s="245" t="s">
        <v>166</v>
      </c>
      <c r="AU3" s="245" t="s">
        <v>167</v>
      </c>
      <c r="AV3" s="264" t="s">
        <v>250</v>
      </c>
      <c r="AW3" s="36" t="s">
        <v>251</v>
      </c>
      <c r="AX3" s="272" t="s">
        <v>252</v>
      </c>
      <c r="AY3" s="273" t="s">
        <v>203</v>
      </c>
      <c r="AZ3" s="83"/>
      <c r="BA3" s="83"/>
    </row>
    <row r="4" ht="18" customHeight="1" spans="2:53">
      <c r="B4" s="30"/>
      <c r="C4" s="31"/>
      <c r="D4" s="32"/>
      <c r="E4" s="36"/>
      <c r="F4" s="36"/>
      <c r="G4" s="36"/>
      <c r="H4" s="36"/>
      <c r="I4" s="36"/>
      <c r="J4" s="36"/>
      <c r="K4" s="71"/>
      <c r="L4" s="71"/>
      <c r="M4" s="36"/>
      <c r="N4" s="36"/>
      <c r="O4" s="36"/>
      <c r="P4" s="36"/>
      <c r="Q4" s="36"/>
      <c r="R4" s="36"/>
      <c r="S4" s="36"/>
      <c r="T4" s="36"/>
      <c r="U4" s="36"/>
      <c r="V4" s="36"/>
      <c r="W4" s="230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43"/>
      <c r="AJ4" s="246"/>
      <c r="AK4" s="247"/>
      <c r="AL4" s="247"/>
      <c r="AM4" s="247"/>
      <c r="AN4" s="247"/>
      <c r="AO4" s="247"/>
      <c r="AP4" s="247"/>
      <c r="AQ4" s="247"/>
      <c r="AR4" s="247"/>
      <c r="AS4" s="247"/>
      <c r="AT4" s="247"/>
      <c r="AU4" s="247"/>
      <c r="AV4" s="264"/>
      <c r="AW4" s="36"/>
      <c r="AX4" s="272"/>
      <c r="AY4" s="273"/>
      <c r="AZ4" s="83"/>
      <c r="BA4" s="83"/>
    </row>
    <row r="5" s="10" customFormat="1" ht="24.05" customHeight="1" spans="2:55">
      <c r="B5" s="45" t="s">
        <v>81</v>
      </c>
      <c r="C5" s="40" t="s">
        <v>102</v>
      </c>
      <c r="D5" s="40" t="s">
        <v>103</v>
      </c>
      <c r="E5" s="217" t="s">
        <v>286</v>
      </c>
      <c r="F5" s="217" t="s">
        <v>286</v>
      </c>
      <c r="G5" s="217">
        <v>0</v>
      </c>
      <c r="H5" s="217"/>
      <c r="I5" s="217"/>
      <c r="J5" s="217" t="s">
        <v>286</v>
      </c>
      <c r="K5" s="221">
        <v>0</v>
      </c>
      <c r="L5" s="221">
        <v>0</v>
      </c>
      <c r="M5" s="221">
        <v>0</v>
      </c>
      <c r="N5" s="44">
        <v>0</v>
      </c>
      <c r="O5" s="44">
        <v>0</v>
      </c>
      <c r="P5" s="44">
        <v>91779.2799999997</v>
      </c>
      <c r="Q5" s="44">
        <v>61657.48</v>
      </c>
      <c r="R5" s="44">
        <v>30056.2</v>
      </c>
      <c r="S5" s="44">
        <v>241590.94</v>
      </c>
      <c r="T5" s="44">
        <v>26463.54</v>
      </c>
      <c r="U5" s="44">
        <v>105673.62</v>
      </c>
      <c r="V5" s="44">
        <v>93729.4</v>
      </c>
      <c r="W5" s="232">
        <v>54963.5</v>
      </c>
      <c r="X5" s="233">
        <f>6213.98+32310.76</f>
        <v>38524.74</v>
      </c>
      <c r="Y5" s="233"/>
      <c r="Z5" s="233"/>
      <c r="AA5" s="233"/>
      <c r="AB5" s="233"/>
      <c r="AC5" s="233"/>
      <c r="AD5" s="233"/>
      <c r="AE5" s="233"/>
      <c r="AF5" s="233"/>
      <c r="AG5" s="233"/>
      <c r="AH5" s="233"/>
      <c r="AI5" s="248"/>
      <c r="AJ5" s="249">
        <v>93729.39</v>
      </c>
      <c r="AK5" s="250">
        <f>200000+40000+385879.86</f>
        <v>625879.86</v>
      </c>
      <c r="AL5" s="250"/>
      <c r="AM5" s="250"/>
      <c r="AN5" s="250"/>
      <c r="AO5" s="250"/>
      <c r="AP5" s="250"/>
      <c r="AQ5" s="250"/>
      <c r="AR5" s="250"/>
      <c r="AS5" s="250"/>
      <c r="AT5" s="250"/>
      <c r="AU5" s="265"/>
      <c r="AV5" s="266">
        <f>SUM(E5:AH5)</f>
        <v>744438.7</v>
      </c>
      <c r="AW5" s="274">
        <f t="shared" ref="AW5:AW62" si="0">SUM(AJ5:AU5)</f>
        <v>719609.25</v>
      </c>
      <c r="AX5" s="275">
        <f t="shared" ref="AX5:AX62" si="1">AV5-AW5</f>
        <v>24829.45</v>
      </c>
      <c r="AY5" s="276">
        <v>30</v>
      </c>
      <c r="AZ5" s="277"/>
      <c r="BA5" s="91"/>
      <c r="BB5" s="101" t="str">
        <f>IFERROR(VLOOKUP(D5,Sheet2!D:O,12,FALSE),"")</f>
        <v/>
      </c>
      <c r="BC5" s="101" t="str">
        <f>IFERROR(AX5-BB5,"")</f>
        <v/>
      </c>
    </row>
    <row r="6" s="10" customFormat="1" ht="24.05" customHeight="1" spans="2:55">
      <c r="B6" s="45" t="s">
        <v>81</v>
      </c>
      <c r="C6" s="40" t="s">
        <v>267</v>
      </c>
      <c r="D6" s="40" t="s">
        <v>268</v>
      </c>
      <c r="E6" s="217" t="s">
        <v>286</v>
      </c>
      <c r="F6" s="217" t="s">
        <v>286</v>
      </c>
      <c r="G6" s="217" t="s">
        <v>286</v>
      </c>
      <c r="H6" s="217"/>
      <c r="I6" s="217"/>
      <c r="J6" s="217" t="s">
        <v>286</v>
      </c>
      <c r="K6" s="221">
        <v>0</v>
      </c>
      <c r="L6" s="221">
        <v>0</v>
      </c>
      <c r="M6" s="221">
        <v>0</v>
      </c>
      <c r="N6" s="44">
        <v>0</v>
      </c>
      <c r="O6" s="44">
        <v>0</v>
      </c>
      <c r="P6" s="44">
        <v>0</v>
      </c>
      <c r="Q6" s="44">
        <v>0</v>
      </c>
      <c r="R6" s="44">
        <v>0</v>
      </c>
      <c r="S6" s="44">
        <v>0</v>
      </c>
      <c r="T6" s="44">
        <v>0</v>
      </c>
      <c r="U6" s="44">
        <v>0</v>
      </c>
      <c r="V6" s="44">
        <v>220702.74</v>
      </c>
      <c r="W6" s="232">
        <v>213393.36</v>
      </c>
      <c r="X6" s="233">
        <v>120198.73</v>
      </c>
      <c r="Y6" s="233"/>
      <c r="Z6" s="233"/>
      <c r="AA6" s="233"/>
      <c r="AB6" s="233"/>
      <c r="AC6" s="233"/>
      <c r="AD6" s="233"/>
      <c r="AE6" s="233"/>
      <c r="AF6" s="233"/>
      <c r="AG6" s="233"/>
      <c r="AH6" s="233"/>
      <c r="AI6" s="248"/>
      <c r="AJ6" s="249">
        <v>220702.74</v>
      </c>
      <c r="AK6" s="250">
        <v>213393.36</v>
      </c>
      <c r="AL6" s="250"/>
      <c r="AM6" s="250"/>
      <c r="AN6" s="250"/>
      <c r="AO6" s="250"/>
      <c r="AP6" s="250"/>
      <c r="AQ6" s="250"/>
      <c r="AR6" s="250"/>
      <c r="AS6" s="250"/>
      <c r="AT6" s="250"/>
      <c r="AU6" s="265"/>
      <c r="AV6" s="266">
        <f t="shared" ref="AV6:AV37" si="2">SUM(E6:AH6)</f>
        <v>554294.83</v>
      </c>
      <c r="AW6" s="274">
        <f t="shared" si="0"/>
        <v>434096.1</v>
      </c>
      <c r="AX6" s="275">
        <f t="shared" si="1"/>
        <v>120198.73</v>
      </c>
      <c r="AY6" s="276">
        <v>30</v>
      </c>
      <c r="AZ6" s="277"/>
      <c r="BA6" s="91"/>
      <c r="BB6" s="101">
        <f>IFERROR(VLOOKUP(D6,Sheet2!D:O,12,FALSE),"")</f>
        <v>120198.73</v>
      </c>
      <c r="BC6" s="101">
        <f t="shared" ref="BC6:BC64" si="3">IFERROR(AX6-BB6,"")</f>
        <v>0</v>
      </c>
    </row>
    <row r="7" s="10" customFormat="1" ht="24.05" customHeight="1" spans="2:55">
      <c r="B7" s="45" t="s">
        <v>81</v>
      </c>
      <c r="C7" s="46" t="s">
        <v>212</v>
      </c>
      <c r="D7" s="46" t="s">
        <v>213</v>
      </c>
      <c r="E7" s="217" t="s">
        <v>286</v>
      </c>
      <c r="F7" s="217" t="s">
        <v>286</v>
      </c>
      <c r="G7" s="217" t="s">
        <v>286</v>
      </c>
      <c r="H7" s="217"/>
      <c r="I7" s="217"/>
      <c r="J7" s="217" t="s">
        <v>286</v>
      </c>
      <c r="K7" s="221">
        <v>0</v>
      </c>
      <c r="L7" s="221">
        <v>0</v>
      </c>
      <c r="M7" s="221">
        <v>0</v>
      </c>
      <c r="N7" s="44">
        <v>0</v>
      </c>
      <c r="O7" s="44">
        <v>0</v>
      </c>
      <c r="P7" s="44">
        <v>0</v>
      </c>
      <c r="Q7" s="44">
        <v>0</v>
      </c>
      <c r="R7" s="44">
        <v>68832.84</v>
      </c>
      <c r="S7" s="44">
        <v>167395.48</v>
      </c>
      <c r="T7" s="44">
        <v>167395.48</v>
      </c>
      <c r="U7" s="44">
        <v>0</v>
      </c>
      <c r="V7" s="44">
        <v>0</v>
      </c>
      <c r="W7" s="232"/>
      <c r="X7" s="233"/>
      <c r="Y7" s="233"/>
      <c r="Z7" s="233"/>
      <c r="AA7" s="233"/>
      <c r="AB7" s="233"/>
      <c r="AC7" s="233"/>
      <c r="AD7" s="233"/>
      <c r="AE7" s="233"/>
      <c r="AF7" s="233"/>
      <c r="AG7" s="233"/>
      <c r="AH7" s="233"/>
      <c r="AI7" s="248"/>
      <c r="AJ7" s="249"/>
      <c r="AK7" s="250"/>
      <c r="AL7" s="250">
        <v>100000</v>
      </c>
      <c r="AM7" s="250"/>
      <c r="AN7" s="250"/>
      <c r="AO7" s="250"/>
      <c r="AP7" s="250"/>
      <c r="AQ7" s="250"/>
      <c r="AR7" s="250"/>
      <c r="AS7" s="250"/>
      <c r="AT7" s="250"/>
      <c r="AU7" s="265"/>
      <c r="AV7" s="266">
        <f t="shared" si="2"/>
        <v>403623.8</v>
      </c>
      <c r="AW7" s="274">
        <f t="shared" si="0"/>
        <v>100000</v>
      </c>
      <c r="AX7" s="275">
        <f t="shared" si="1"/>
        <v>303623.8</v>
      </c>
      <c r="AY7" s="276">
        <v>30</v>
      </c>
      <c r="AZ7" s="277"/>
      <c r="BA7" s="91"/>
      <c r="BB7" s="101">
        <f>IFERROR(VLOOKUP(D7,Sheet2!D:O,12,FALSE),"")</f>
        <v>303623.8</v>
      </c>
      <c r="BC7" s="101">
        <f t="shared" si="3"/>
        <v>0</v>
      </c>
    </row>
    <row r="8" s="10" customFormat="1" ht="24.05" customHeight="1" spans="2:55">
      <c r="B8" s="45" t="s">
        <v>81</v>
      </c>
      <c r="C8" s="46" t="s">
        <v>274</v>
      </c>
      <c r="D8" s="46" t="s">
        <v>275</v>
      </c>
      <c r="E8" s="217" t="s">
        <v>286</v>
      </c>
      <c r="F8" s="217" t="s">
        <v>286</v>
      </c>
      <c r="G8" s="217" t="s">
        <v>286</v>
      </c>
      <c r="H8" s="217"/>
      <c r="I8" s="217"/>
      <c r="J8" s="217" t="s">
        <v>286</v>
      </c>
      <c r="K8" s="221">
        <v>0</v>
      </c>
      <c r="L8" s="221">
        <v>0</v>
      </c>
      <c r="M8" s="221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168098.8</v>
      </c>
      <c r="W8" s="232">
        <v>121049.67</v>
      </c>
      <c r="X8" s="233">
        <f>34985.25+258180.14</f>
        <v>293165.39</v>
      </c>
      <c r="Y8" s="233"/>
      <c r="Z8" s="233"/>
      <c r="AA8" s="233"/>
      <c r="AB8" s="233"/>
      <c r="AC8" s="233"/>
      <c r="AD8" s="233"/>
      <c r="AE8" s="233"/>
      <c r="AF8" s="233"/>
      <c r="AG8" s="233"/>
      <c r="AH8" s="233"/>
      <c r="AI8" s="248"/>
      <c r="AJ8" s="249">
        <v>168098.8</v>
      </c>
      <c r="AK8" s="250"/>
      <c r="AL8" s="250">
        <v>30000</v>
      </c>
      <c r="AM8" s="250"/>
      <c r="AN8" s="250"/>
      <c r="AO8" s="250"/>
      <c r="AP8" s="250"/>
      <c r="AQ8" s="251"/>
      <c r="AR8" s="250"/>
      <c r="AS8" s="250"/>
      <c r="AT8" s="250"/>
      <c r="AU8" s="265"/>
      <c r="AV8" s="266">
        <f t="shared" si="2"/>
        <v>582313.86</v>
      </c>
      <c r="AW8" s="274">
        <f t="shared" si="0"/>
        <v>198098.8</v>
      </c>
      <c r="AX8" s="275">
        <f t="shared" si="1"/>
        <v>384215.06</v>
      </c>
      <c r="AY8" s="276">
        <v>30</v>
      </c>
      <c r="AZ8" s="277"/>
      <c r="BA8" s="91"/>
      <c r="BB8" s="101">
        <f>IFERROR(VLOOKUP(D8,Sheet2!D:O,12,FALSE),"")</f>
        <v>384215.06</v>
      </c>
      <c r="BC8" s="101">
        <f t="shared" si="3"/>
        <v>0</v>
      </c>
    </row>
    <row r="9" s="10" customFormat="1" ht="24.05" customHeight="1" spans="2:55">
      <c r="B9" s="45" t="s">
        <v>81</v>
      </c>
      <c r="C9" s="46" t="s">
        <v>312</v>
      </c>
      <c r="D9" s="46" t="s">
        <v>313</v>
      </c>
      <c r="E9" s="217">
        <v>0</v>
      </c>
      <c r="F9" s="217">
        <v>0</v>
      </c>
      <c r="G9" s="217" t="s">
        <v>286</v>
      </c>
      <c r="H9" s="217"/>
      <c r="I9" s="217"/>
      <c r="J9" s="217" t="s">
        <v>286</v>
      </c>
      <c r="K9" s="221">
        <v>0</v>
      </c>
      <c r="L9" s="221">
        <v>0</v>
      </c>
      <c r="M9" s="221">
        <v>0</v>
      </c>
      <c r="N9" s="44">
        <v>28907.04</v>
      </c>
      <c r="O9" s="44">
        <v>45297.08</v>
      </c>
      <c r="P9" s="44">
        <v>46472.83</v>
      </c>
      <c r="Q9" s="44">
        <v>0</v>
      </c>
      <c r="R9" s="44">
        <v>0</v>
      </c>
      <c r="S9" s="44">
        <v>0</v>
      </c>
      <c r="T9" s="44">
        <v>0</v>
      </c>
      <c r="U9" s="44">
        <v>66198.29</v>
      </c>
      <c r="V9" s="44">
        <v>51275.45</v>
      </c>
      <c r="W9" s="232">
        <v>86319.37</v>
      </c>
      <c r="X9" s="233">
        <v>5337.22</v>
      </c>
      <c r="Y9" s="233"/>
      <c r="Z9" s="233"/>
      <c r="AA9" s="233"/>
      <c r="AB9" s="233"/>
      <c r="AC9" s="233"/>
      <c r="AD9" s="233"/>
      <c r="AE9" s="233"/>
      <c r="AF9" s="233"/>
      <c r="AG9" s="233"/>
      <c r="AH9" s="233"/>
      <c r="AI9" s="248"/>
      <c r="AJ9" s="249"/>
      <c r="AK9" s="250">
        <v>20000</v>
      </c>
      <c r="AL9" s="250"/>
      <c r="AM9" s="250"/>
      <c r="AN9" s="250"/>
      <c r="AO9" s="250"/>
      <c r="AP9" s="250"/>
      <c r="AQ9" s="250"/>
      <c r="AR9" s="250"/>
      <c r="AS9" s="250"/>
      <c r="AT9" s="250"/>
      <c r="AU9" s="265"/>
      <c r="AV9" s="266">
        <f t="shared" si="2"/>
        <v>329807.28</v>
      </c>
      <c r="AW9" s="274">
        <f t="shared" si="0"/>
        <v>20000</v>
      </c>
      <c r="AX9" s="275">
        <f t="shared" si="1"/>
        <v>309807.28</v>
      </c>
      <c r="AY9" s="276">
        <v>30</v>
      </c>
      <c r="AZ9" s="277"/>
      <c r="BA9" s="91"/>
      <c r="BB9" s="101">
        <f>IFERROR(VLOOKUP(D9,Sheet2!D:O,12,FALSE),"")</f>
        <v>309807.28</v>
      </c>
      <c r="BC9" s="101">
        <f t="shared" si="3"/>
        <v>0</v>
      </c>
    </row>
    <row r="10" s="10" customFormat="1" ht="24.05" customHeight="1" spans="2:55">
      <c r="B10" s="45" t="s">
        <v>81</v>
      </c>
      <c r="C10" s="46" t="s">
        <v>107</v>
      </c>
      <c r="D10" s="46" t="s">
        <v>108</v>
      </c>
      <c r="E10" s="217" t="s">
        <v>286</v>
      </c>
      <c r="F10" s="217" t="s">
        <v>286</v>
      </c>
      <c r="G10" s="217" t="s">
        <v>286</v>
      </c>
      <c r="H10" s="217"/>
      <c r="I10" s="217"/>
      <c r="J10" s="217" t="s">
        <v>286</v>
      </c>
      <c r="K10" s="221">
        <v>0</v>
      </c>
      <c r="L10" s="221">
        <v>0</v>
      </c>
      <c r="M10" s="221">
        <v>0</v>
      </c>
      <c r="N10" s="44">
        <v>0</v>
      </c>
      <c r="O10" s="44">
        <v>0</v>
      </c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109933.63</v>
      </c>
      <c r="V10" s="44">
        <v>54966.82</v>
      </c>
      <c r="W10" s="232">
        <f>384767.71+329800.9</f>
        <v>714568.61</v>
      </c>
      <c r="X10" s="233"/>
      <c r="Y10" s="233"/>
      <c r="Z10" s="233"/>
      <c r="AA10" s="233"/>
      <c r="AB10" s="233"/>
      <c r="AC10" s="233"/>
      <c r="AD10" s="233"/>
      <c r="AE10" s="233"/>
      <c r="AF10" s="233"/>
      <c r="AG10" s="233"/>
      <c r="AH10" s="233"/>
      <c r="AI10" s="248"/>
      <c r="AJ10" s="249">
        <v>109933.63</v>
      </c>
      <c r="AK10" s="250"/>
      <c r="AL10" s="250">
        <v>54966.82</v>
      </c>
      <c r="AM10" s="250"/>
      <c r="AN10" s="250"/>
      <c r="AO10" s="250"/>
      <c r="AP10" s="250"/>
      <c r="AQ10" s="250"/>
      <c r="AR10" s="250"/>
      <c r="AS10" s="250"/>
      <c r="AT10" s="250"/>
      <c r="AU10" s="265"/>
      <c r="AV10" s="266">
        <f t="shared" si="2"/>
        <v>879469.06</v>
      </c>
      <c r="AW10" s="274">
        <f t="shared" si="0"/>
        <v>164900.45</v>
      </c>
      <c r="AX10" s="275">
        <f t="shared" si="1"/>
        <v>714568.61</v>
      </c>
      <c r="AY10" s="276">
        <v>60</v>
      </c>
      <c r="AZ10" s="277"/>
      <c r="BA10" s="91"/>
      <c r="BB10" s="101">
        <f>IFERROR(VLOOKUP(D10,Sheet2!D:O,12,FALSE),"")</f>
        <v>714568.61</v>
      </c>
      <c r="BC10" s="101">
        <f t="shared" si="3"/>
        <v>0</v>
      </c>
    </row>
    <row r="11" s="10" customFormat="1" ht="24.05" customHeight="1" spans="2:55">
      <c r="B11" s="48" t="s">
        <v>81</v>
      </c>
      <c r="C11" s="46" t="s">
        <v>122</v>
      </c>
      <c r="D11" s="46" t="s">
        <v>123</v>
      </c>
      <c r="E11" s="217" t="s">
        <v>286</v>
      </c>
      <c r="F11" s="217" t="s">
        <v>286</v>
      </c>
      <c r="G11" s="217" t="s">
        <v>286</v>
      </c>
      <c r="H11" s="217"/>
      <c r="I11" s="217"/>
      <c r="J11" s="217" t="s">
        <v>286</v>
      </c>
      <c r="K11" s="221">
        <v>0</v>
      </c>
      <c r="L11" s="221">
        <v>0</v>
      </c>
      <c r="M11" s="221">
        <v>0</v>
      </c>
      <c r="N11" s="44">
        <v>0</v>
      </c>
      <c r="O11" s="44">
        <v>0</v>
      </c>
      <c r="P11" s="44">
        <v>0</v>
      </c>
      <c r="Q11" s="44">
        <v>0</v>
      </c>
      <c r="R11" s="44">
        <v>0</v>
      </c>
      <c r="S11" s="44">
        <v>0</v>
      </c>
      <c r="T11" s="44">
        <v>0</v>
      </c>
      <c r="U11" s="44">
        <v>200873.82</v>
      </c>
      <c r="V11" s="44">
        <v>137052.3</v>
      </c>
      <c r="W11" s="232">
        <v>67127.11</v>
      </c>
      <c r="X11" s="233"/>
      <c r="Y11" s="233"/>
      <c r="Z11" s="233"/>
      <c r="AA11" s="233"/>
      <c r="AB11" s="233"/>
      <c r="AC11" s="233"/>
      <c r="AD11" s="233"/>
      <c r="AE11" s="233"/>
      <c r="AF11" s="233"/>
      <c r="AG11" s="233"/>
      <c r="AH11" s="233"/>
      <c r="AI11" s="248"/>
      <c r="AJ11" s="249"/>
      <c r="AK11" s="250"/>
      <c r="AL11" s="250">
        <v>70000</v>
      </c>
      <c r="AM11" s="250"/>
      <c r="AN11" s="250"/>
      <c r="AO11" s="250"/>
      <c r="AP11" s="250"/>
      <c r="AQ11" s="251"/>
      <c r="AR11" s="250"/>
      <c r="AS11" s="250"/>
      <c r="AT11" s="250"/>
      <c r="AU11" s="265"/>
      <c r="AV11" s="266">
        <f t="shared" si="2"/>
        <v>405053.23</v>
      </c>
      <c r="AW11" s="274">
        <f t="shared" si="0"/>
        <v>70000</v>
      </c>
      <c r="AX11" s="275">
        <f t="shared" si="1"/>
        <v>335053.23</v>
      </c>
      <c r="AY11" s="276">
        <v>60</v>
      </c>
      <c r="AZ11" s="277"/>
      <c r="BA11" s="91"/>
      <c r="BB11" s="101">
        <f>IFERROR(VLOOKUP(D11,Sheet2!D:O,12,FALSE),"")</f>
        <v>335053.23</v>
      </c>
      <c r="BC11" s="101">
        <f t="shared" si="3"/>
        <v>0</v>
      </c>
    </row>
    <row r="12" s="10" customFormat="1" ht="24.05" customHeight="1" spans="2:55">
      <c r="B12" s="48" t="s">
        <v>81</v>
      </c>
      <c r="C12" s="46" t="s">
        <v>128</v>
      </c>
      <c r="D12" s="46" t="s">
        <v>129</v>
      </c>
      <c r="E12" s="217"/>
      <c r="F12" s="217"/>
      <c r="G12" s="217"/>
      <c r="H12" s="217"/>
      <c r="I12" s="217"/>
      <c r="J12" s="217" t="s">
        <v>286</v>
      </c>
      <c r="K12" s="221">
        <v>0</v>
      </c>
      <c r="L12" s="221">
        <v>0</v>
      </c>
      <c r="M12" s="221">
        <v>0</v>
      </c>
      <c r="N12" s="44">
        <v>27483.7600000001</v>
      </c>
      <c r="O12" s="44">
        <v>0</v>
      </c>
      <c r="P12" s="44">
        <v>60857.28</v>
      </c>
      <c r="Q12" s="44">
        <v>6068.1</v>
      </c>
      <c r="R12" s="44">
        <v>13979.23</v>
      </c>
      <c r="S12" s="44">
        <v>0</v>
      </c>
      <c r="T12" s="44">
        <v>52357.11</v>
      </c>
      <c r="U12" s="44">
        <v>5606.92</v>
      </c>
      <c r="V12" s="44">
        <v>0</v>
      </c>
      <c r="W12" s="232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233"/>
      <c r="AI12" s="248"/>
      <c r="AJ12" s="249">
        <v>20000</v>
      </c>
      <c r="AK12" s="251"/>
      <c r="AL12" s="250"/>
      <c r="AM12" s="250"/>
      <c r="AN12" s="250"/>
      <c r="AO12" s="250"/>
      <c r="AP12" s="250"/>
      <c r="AQ12" s="250"/>
      <c r="AR12" s="250"/>
      <c r="AS12" s="250"/>
      <c r="AT12" s="250"/>
      <c r="AU12" s="265"/>
      <c r="AV12" s="266">
        <f t="shared" si="2"/>
        <v>166352.4</v>
      </c>
      <c r="AW12" s="274">
        <f t="shared" si="0"/>
        <v>20000</v>
      </c>
      <c r="AX12" s="275">
        <f t="shared" si="1"/>
        <v>146352.4</v>
      </c>
      <c r="AY12" s="276">
        <v>60</v>
      </c>
      <c r="AZ12" s="277" t="s">
        <v>266</v>
      </c>
      <c r="BA12" s="91"/>
      <c r="BB12" s="101">
        <f>IFERROR(VLOOKUP(D12,Sheet2!D:O,12,FALSE),"")</f>
        <v>146352.4</v>
      </c>
      <c r="BC12" s="101">
        <f t="shared" si="3"/>
        <v>0</v>
      </c>
    </row>
    <row r="13" s="10" customFormat="1" ht="24.05" customHeight="1" spans="2:55">
      <c r="B13" s="48" t="s">
        <v>81</v>
      </c>
      <c r="C13" s="46" t="s">
        <v>184</v>
      </c>
      <c r="D13" s="46" t="s">
        <v>185</v>
      </c>
      <c r="E13" s="217" t="s">
        <v>286</v>
      </c>
      <c r="F13" s="217" t="s">
        <v>286</v>
      </c>
      <c r="G13" s="217" t="s">
        <v>286</v>
      </c>
      <c r="H13" s="217"/>
      <c r="I13" s="217"/>
      <c r="J13" s="217" t="s">
        <v>286</v>
      </c>
      <c r="K13" s="221">
        <v>0</v>
      </c>
      <c r="L13" s="221">
        <v>0</v>
      </c>
      <c r="M13" s="221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27965.24</v>
      </c>
      <c r="V13" s="44">
        <v>16255.73</v>
      </c>
      <c r="W13" s="232">
        <v>46379.72</v>
      </c>
      <c r="X13" s="233">
        <v>8249</v>
      </c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48"/>
      <c r="AJ13" s="249"/>
      <c r="AK13" s="250">
        <v>27965.24</v>
      </c>
      <c r="AL13" s="250"/>
      <c r="AM13" s="250"/>
      <c r="AN13" s="250"/>
      <c r="AO13" s="250"/>
      <c r="AP13" s="250"/>
      <c r="AQ13" s="250"/>
      <c r="AR13" s="250"/>
      <c r="AS13" s="250"/>
      <c r="AT13" s="250"/>
      <c r="AU13" s="265"/>
      <c r="AV13" s="266">
        <f t="shared" si="2"/>
        <v>98849.69</v>
      </c>
      <c r="AW13" s="274">
        <f t="shared" si="0"/>
        <v>27965.24</v>
      </c>
      <c r="AX13" s="275">
        <f t="shared" si="1"/>
        <v>70884.45</v>
      </c>
      <c r="AY13" s="276">
        <v>60</v>
      </c>
      <c r="AZ13" s="277"/>
      <c r="BA13" s="91"/>
      <c r="BB13" s="101">
        <f>IFERROR(VLOOKUP(D13,Sheet2!D:O,12,FALSE),"")</f>
        <v>70884.45</v>
      </c>
      <c r="BC13" s="101">
        <f t="shared" si="3"/>
        <v>0</v>
      </c>
    </row>
    <row r="14" s="10" customFormat="1" ht="24.05" customHeight="1" spans="2:55">
      <c r="B14" s="48" t="s">
        <v>81</v>
      </c>
      <c r="C14" s="46" t="s">
        <v>130</v>
      </c>
      <c r="D14" s="46" t="s">
        <v>131</v>
      </c>
      <c r="E14" s="217" t="s">
        <v>286</v>
      </c>
      <c r="F14" s="217" t="s">
        <v>286</v>
      </c>
      <c r="G14" s="217" t="s">
        <v>286</v>
      </c>
      <c r="H14" s="217"/>
      <c r="I14" s="217"/>
      <c r="J14" s="217" t="s">
        <v>286</v>
      </c>
      <c r="K14" s="221">
        <v>0</v>
      </c>
      <c r="L14" s="221">
        <v>0</v>
      </c>
      <c r="M14" s="221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  <c r="S14" s="44">
        <v>7000</v>
      </c>
      <c r="T14" s="44">
        <v>0</v>
      </c>
      <c r="U14" s="44">
        <v>0</v>
      </c>
      <c r="V14" s="44">
        <v>0</v>
      </c>
      <c r="W14" s="232"/>
      <c r="X14" s="233"/>
      <c r="Y14" s="233"/>
      <c r="Z14" s="233"/>
      <c r="AA14" s="233"/>
      <c r="AB14" s="233"/>
      <c r="AC14" s="233"/>
      <c r="AD14" s="233"/>
      <c r="AE14" s="233"/>
      <c r="AF14" s="241"/>
      <c r="AG14" s="233"/>
      <c r="AH14" s="233"/>
      <c r="AI14" s="248"/>
      <c r="AJ14" s="249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65"/>
      <c r="AV14" s="266">
        <f t="shared" si="2"/>
        <v>7000</v>
      </c>
      <c r="AW14" s="274">
        <f t="shared" si="0"/>
        <v>0</v>
      </c>
      <c r="AX14" s="275">
        <f t="shared" si="1"/>
        <v>7000</v>
      </c>
      <c r="AY14" s="276">
        <v>60</v>
      </c>
      <c r="AZ14" s="277"/>
      <c r="BA14" s="91"/>
      <c r="BB14" s="101">
        <f>IFERROR(VLOOKUP(D14,Sheet2!D:O,12,FALSE),"")</f>
        <v>7000</v>
      </c>
      <c r="BC14" s="101">
        <f t="shared" si="3"/>
        <v>0</v>
      </c>
    </row>
    <row r="15" s="10" customFormat="1" ht="24.05" customHeight="1" spans="2:55">
      <c r="B15" s="48" t="s">
        <v>81</v>
      </c>
      <c r="C15" s="46" t="s">
        <v>228</v>
      </c>
      <c r="D15" s="46" t="s">
        <v>229</v>
      </c>
      <c r="E15" s="217">
        <v>0</v>
      </c>
      <c r="F15" s="217">
        <v>0</v>
      </c>
      <c r="G15" s="217" t="s">
        <v>286</v>
      </c>
      <c r="H15" s="217"/>
      <c r="I15" s="217"/>
      <c r="J15" s="217" t="s">
        <v>286</v>
      </c>
      <c r="K15" s="221">
        <v>0</v>
      </c>
      <c r="L15" s="221">
        <v>0</v>
      </c>
      <c r="M15" s="221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v>0</v>
      </c>
      <c r="T15" s="44">
        <v>9919.14</v>
      </c>
      <c r="U15" s="44">
        <v>0</v>
      </c>
      <c r="V15" s="44">
        <v>0</v>
      </c>
      <c r="W15" s="232">
        <v>22286.9</v>
      </c>
      <c r="X15" s="233"/>
      <c r="Y15" s="233"/>
      <c r="Z15" s="233"/>
      <c r="AA15" s="233"/>
      <c r="AB15" s="233"/>
      <c r="AC15" s="233"/>
      <c r="AD15" s="233"/>
      <c r="AE15" s="233"/>
      <c r="AF15" s="233"/>
      <c r="AG15" s="233"/>
      <c r="AH15" s="233"/>
      <c r="AI15" s="248"/>
      <c r="AJ15" s="249">
        <v>9919.14</v>
      </c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65"/>
      <c r="AV15" s="266">
        <f t="shared" si="2"/>
        <v>32206.04</v>
      </c>
      <c r="AW15" s="274">
        <f t="shared" si="0"/>
        <v>9919.14</v>
      </c>
      <c r="AX15" s="275">
        <f t="shared" si="1"/>
        <v>22286.9</v>
      </c>
      <c r="AY15" s="276">
        <v>60</v>
      </c>
      <c r="AZ15" s="277"/>
      <c r="BA15" s="91"/>
      <c r="BB15" s="101">
        <f>IFERROR(VLOOKUP(D15,Sheet2!D:O,12,FALSE),"")</f>
        <v>22286.9</v>
      </c>
      <c r="BC15" s="101">
        <f t="shared" si="3"/>
        <v>0</v>
      </c>
    </row>
    <row r="16" s="10" customFormat="1" ht="24.05" customHeight="1" spans="2:55">
      <c r="B16" s="48" t="s">
        <v>81</v>
      </c>
      <c r="C16" s="46" t="s">
        <v>97</v>
      </c>
      <c r="D16" s="46" t="s">
        <v>98</v>
      </c>
      <c r="E16" s="217">
        <v>0</v>
      </c>
      <c r="F16" s="217">
        <v>0</v>
      </c>
      <c r="G16" s="217">
        <v>0</v>
      </c>
      <c r="H16" s="217"/>
      <c r="I16" s="217"/>
      <c r="J16" s="217" t="s">
        <v>286</v>
      </c>
      <c r="K16" s="221">
        <v>0</v>
      </c>
      <c r="L16" s="221">
        <v>0</v>
      </c>
      <c r="M16" s="221">
        <v>0</v>
      </c>
      <c r="N16" s="44">
        <v>0</v>
      </c>
      <c r="O16" s="44">
        <v>0</v>
      </c>
      <c r="P16" s="44">
        <v>0</v>
      </c>
      <c r="Q16" s="44">
        <v>1627.2</v>
      </c>
      <c r="R16" s="44">
        <v>1627.2</v>
      </c>
      <c r="S16" s="44">
        <v>0</v>
      </c>
      <c r="T16" s="44">
        <v>5424</v>
      </c>
      <c r="U16" s="44">
        <v>3796.8</v>
      </c>
      <c r="V16" s="44">
        <v>6508.8</v>
      </c>
      <c r="W16" s="232"/>
      <c r="X16" s="234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48"/>
      <c r="AJ16" s="249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65"/>
      <c r="AV16" s="266">
        <f t="shared" si="2"/>
        <v>18984</v>
      </c>
      <c r="AW16" s="274">
        <f t="shared" si="0"/>
        <v>0</v>
      </c>
      <c r="AX16" s="275">
        <f t="shared" si="1"/>
        <v>18984</v>
      </c>
      <c r="AY16" s="276">
        <v>60</v>
      </c>
      <c r="AZ16" s="277"/>
      <c r="BA16" s="91"/>
      <c r="BB16" s="101">
        <f>IFERROR(VLOOKUP(D16,Sheet2!D:O,12,FALSE),"")</f>
        <v>18984</v>
      </c>
      <c r="BC16" s="101">
        <f t="shared" si="3"/>
        <v>0</v>
      </c>
    </row>
    <row r="17" s="10" customFormat="1" ht="24.05" customHeight="1" spans="2:55">
      <c r="B17" s="48" t="s">
        <v>81</v>
      </c>
      <c r="C17" s="46" t="s">
        <v>436</v>
      </c>
      <c r="D17" s="46" t="s">
        <v>437</v>
      </c>
      <c r="E17" s="217">
        <v>0</v>
      </c>
      <c r="F17" s="217">
        <v>0</v>
      </c>
      <c r="G17" s="217">
        <v>0</v>
      </c>
      <c r="H17" s="217"/>
      <c r="I17" s="217"/>
      <c r="J17" s="217" t="s">
        <v>286</v>
      </c>
      <c r="K17" s="221">
        <v>0</v>
      </c>
      <c r="L17" s="221">
        <v>0</v>
      </c>
      <c r="M17" s="221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0</v>
      </c>
      <c r="U17" s="44">
        <v>0</v>
      </c>
      <c r="V17" s="44">
        <v>0</v>
      </c>
      <c r="W17" s="232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48"/>
      <c r="AJ17" s="249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65"/>
      <c r="AV17" s="266">
        <f t="shared" si="2"/>
        <v>0</v>
      </c>
      <c r="AW17" s="274">
        <f t="shared" si="0"/>
        <v>0</v>
      </c>
      <c r="AX17" s="275">
        <f t="shared" si="1"/>
        <v>0</v>
      </c>
      <c r="AY17" s="276">
        <v>60</v>
      </c>
      <c r="AZ17" s="277"/>
      <c r="BA17" s="91"/>
      <c r="BB17" s="101">
        <f>IFERROR(VLOOKUP(D17,Sheet2!D:O,12,FALSE),"")</f>
        <v>0</v>
      </c>
      <c r="BC17" s="101">
        <f t="shared" si="3"/>
        <v>0</v>
      </c>
    </row>
    <row r="18" s="10" customFormat="1" ht="24.05" customHeight="1" spans="2:55">
      <c r="B18" s="48" t="s">
        <v>81</v>
      </c>
      <c r="C18" s="46" t="s">
        <v>295</v>
      </c>
      <c r="D18" s="46" t="s">
        <v>296</v>
      </c>
      <c r="E18" s="217" t="s">
        <v>286</v>
      </c>
      <c r="F18" s="217" t="s">
        <v>286</v>
      </c>
      <c r="G18" s="217" t="s">
        <v>286</v>
      </c>
      <c r="H18" s="217"/>
      <c r="I18" s="217"/>
      <c r="J18" s="217" t="s">
        <v>286</v>
      </c>
      <c r="K18" s="221">
        <v>0</v>
      </c>
      <c r="L18" s="221">
        <v>0</v>
      </c>
      <c r="M18" s="221">
        <v>0</v>
      </c>
      <c r="N18" s="44">
        <v>0</v>
      </c>
      <c r="O18" s="44">
        <v>0</v>
      </c>
      <c r="P18" s="44">
        <v>0</v>
      </c>
      <c r="Q18" s="44"/>
      <c r="R18" s="44"/>
      <c r="S18" s="44"/>
      <c r="T18" s="44"/>
      <c r="U18" s="44"/>
      <c r="V18" s="44"/>
      <c r="W18" s="232"/>
      <c r="X18" s="233"/>
      <c r="Y18" s="233"/>
      <c r="Z18" s="233"/>
      <c r="AA18" s="233"/>
      <c r="AB18" s="233"/>
      <c r="AC18" s="233"/>
      <c r="AD18" s="233"/>
      <c r="AE18" s="233"/>
      <c r="AF18" s="233"/>
      <c r="AG18" s="233"/>
      <c r="AH18" s="233"/>
      <c r="AI18" s="252"/>
      <c r="AJ18" s="253"/>
      <c r="AK18" s="254"/>
      <c r="AL18" s="250"/>
      <c r="AM18" s="250"/>
      <c r="AN18" s="250"/>
      <c r="AO18" s="250"/>
      <c r="AP18" s="250"/>
      <c r="AQ18" s="250"/>
      <c r="AR18" s="250"/>
      <c r="AS18" s="250"/>
      <c r="AT18" s="250"/>
      <c r="AU18" s="265"/>
      <c r="AV18" s="266">
        <f t="shared" si="2"/>
        <v>0</v>
      </c>
      <c r="AW18" s="274">
        <f t="shared" si="0"/>
        <v>0</v>
      </c>
      <c r="AX18" s="275">
        <f t="shared" si="1"/>
        <v>0</v>
      </c>
      <c r="AY18" s="278">
        <v>60</v>
      </c>
      <c r="AZ18" s="279"/>
      <c r="BA18" s="91"/>
      <c r="BB18" s="101" t="str">
        <f>IFERROR(VLOOKUP(D18,Sheet2!D:O,12,FALSE),"")</f>
        <v/>
      </c>
      <c r="BC18" s="101" t="str">
        <f t="shared" si="3"/>
        <v/>
      </c>
    </row>
    <row r="19" s="10" customFormat="1" ht="24.05" customHeight="1" spans="2:55">
      <c r="B19" s="48" t="s">
        <v>81</v>
      </c>
      <c r="C19" s="46" t="s">
        <v>318</v>
      </c>
      <c r="D19" s="46" t="s">
        <v>319</v>
      </c>
      <c r="E19" s="217" t="s">
        <v>286</v>
      </c>
      <c r="F19" s="217" t="s">
        <v>286</v>
      </c>
      <c r="G19" s="217" t="s">
        <v>286</v>
      </c>
      <c r="H19" s="217"/>
      <c r="I19" s="217"/>
      <c r="J19" s="217" t="s">
        <v>286</v>
      </c>
      <c r="K19" s="221">
        <v>0</v>
      </c>
      <c r="L19" s="221">
        <v>0</v>
      </c>
      <c r="M19" s="221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  <c r="V19" s="44">
        <v>0</v>
      </c>
      <c r="W19" s="232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233"/>
      <c r="AI19" s="252"/>
      <c r="AJ19" s="253"/>
      <c r="AK19" s="254"/>
      <c r="AL19" s="254"/>
      <c r="AM19" s="254"/>
      <c r="AN19" s="254"/>
      <c r="AO19" s="254"/>
      <c r="AP19" s="254"/>
      <c r="AQ19" s="254"/>
      <c r="AR19" s="254"/>
      <c r="AS19" s="254"/>
      <c r="AT19" s="254"/>
      <c r="AU19" s="267"/>
      <c r="AV19" s="266">
        <f t="shared" si="2"/>
        <v>0</v>
      </c>
      <c r="AW19" s="274">
        <f t="shared" si="0"/>
        <v>0</v>
      </c>
      <c r="AX19" s="275">
        <f t="shared" si="1"/>
        <v>0</v>
      </c>
      <c r="AY19" s="280">
        <v>60</v>
      </c>
      <c r="AZ19" s="279"/>
      <c r="BA19" s="91"/>
      <c r="BB19" s="101">
        <f>IFERROR(VLOOKUP(D19,Sheet2!D:O,12,FALSE),"")</f>
        <v>0</v>
      </c>
      <c r="BC19" s="101">
        <f t="shared" si="3"/>
        <v>0</v>
      </c>
    </row>
    <row r="20" s="10" customFormat="1" ht="24.05" customHeight="1" spans="2:55">
      <c r="B20" s="48" t="s">
        <v>81</v>
      </c>
      <c r="C20" s="46" t="s">
        <v>90</v>
      </c>
      <c r="D20" s="46" t="s">
        <v>91</v>
      </c>
      <c r="E20" s="217"/>
      <c r="F20" s="217"/>
      <c r="G20" s="217"/>
      <c r="H20" s="217">
        <v>28536</v>
      </c>
      <c r="I20" s="217">
        <v>19097</v>
      </c>
      <c r="J20" s="217">
        <v>0</v>
      </c>
      <c r="K20" s="221">
        <v>49042</v>
      </c>
      <c r="L20" s="221">
        <v>0</v>
      </c>
      <c r="M20" s="221">
        <v>0</v>
      </c>
      <c r="N20" s="44">
        <v>0</v>
      </c>
      <c r="O20" s="44">
        <v>21696</v>
      </c>
      <c r="P20" s="44">
        <v>0</v>
      </c>
      <c r="Q20" s="44">
        <v>16272</v>
      </c>
      <c r="R20" s="44">
        <v>0</v>
      </c>
      <c r="S20" s="44">
        <v>0</v>
      </c>
      <c r="T20" s="44">
        <v>0</v>
      </c>
      <c r="U20" s="44">
        <v>0</v>
      </c>
      <c r="V20" s="44">
        <v>149914.84</v>
      </c>
      <c r="W20" s="232"/>
      <c r="X20" s="233"/>
      <c r="Y20" s="233"/>
      <c r="Z20" s="233"/>
      <c r="AA20" s="233"/>
      <c r="AB20" s="233"/>
      <c r="AC20" s="233"/>
      <c r="AD20" s="233"/>
      <c r="AE20" s="233"/>
      <c r="AF20" s="233"/>
      <c r="AG20" s="233"/>
      <c r="AH20" s="233"/>
      <c r="AI20" s="252"/>
      <c r="AJ20" s="253"/>
      <c r="AK20" s="254">
        <v>20000</v>
      </c>
      <c r="AL20" s="254"/>
      <c r="AM20" s="254"/>
      <c r="AN20" s="254"/>
      <c r="AO20" s="254"/>
      <c r="AP20" s="254"/>
      <c r="AQ20" s="254"/>
      <c r="AR20" s="254"/>
      <c r="AS20" s="254"/>
      <c r="AT20" s="254"/>
      <c r="AU20" s="267"/>
      <c r="AV20" s="266">
        <f t="shared" si="2"/>
        <v>284557.84</v>
      </c>
      <c r="AW20" s="274">
        <f t="shared" si="0"/>
        <v>20000</v>
      </c>
      <c r="AX20" s="275">
        <f t="shared" si="1"/>
        <v>264557.84</v>
      </c>
      <c r="AY20" s="278">
        <v>90</v>
      </c>
      <c r="AZ20" s="279"/>
      <c r="BA20" s="91"/>
      <c r="BB20" s="101">
        <f>IFERROR(VLOOKUP(D20,Sheet2!D:O,12,FALSE),"")</f>
        <v>264557.84</v>
      </c>
      <c r="BC20" s="101">
        <f t="shared" si="3"/>
        <v>0</v>
      </c>
    </row>
    <row r="21" s="10" customFormat="1" ht="24.05" customHeight="1" spans="2:55">
      <c r="B21" s="48" t="s">
        <v>81</v>
      </c>
      <c r="C21" s="46" t="s">
        <v>92</v>
      </c>
      <c r="D21" s="46" t="s">
        <v>93</v>
      </c>
      <c r="E21" s="217" t="s">
        <v>286</v>
      </c>
      <c r="F21" s="217" t="s">
        <v>286</v>
      </c>
      <c r="G21" s="217"/>
      <c r="H21" s="217"/>
      <c r="I21" s="217"/>
      <c r="J21" s="217" t="s">
        <v>286</v>
      </c>
      <c r="K21" s="221">
        <v>0</v>
      </c>
      <c r="L21" s="221">
        <v>0</v>
      </c>
      <c r="M21" s="221">
        <v>0</v>
      </c>
      <c r="N21" s="44">
        <v>0</v>
      </c>
      <c r="O21" s="44">
        <v>14503.04</v>
      </c>
      <c r="P21" s="44">
        <v>17261.88</v>
      </c>
      <c r="Q21" s="44">
        <v>12265.02</v>
      </c>
      <c r="R21" s="44">
        <v>442.96</v>
      </c>
      <c r="S21" s="44">
        <v>0</v>
      </c>
      <c r="T21" s="44">
        <v>7268.16</v>
      </c>
      <c r="U21" s="44">
        <v>221.48</v>
      </c>
      <c r="V21" s="44">
        <v>0</v>
      </c>
      <c r="W21" s="232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52"/>
      <c r="AJ21" s="253">
        <v>20000</v>
      </c>
      <c r="AK21" s="254"/>
      <c r="AL21" s="254"/>
      <c r="AM21" s="254"/>
      <c r="AN21" s="254"/>
      <c r="AO21" s="254"/>
      <c r="AP21" s="254"/>
      <c r="AQ21" s="254"/>
      <c r="AR21" s="254"/>
      <c r="AS21" s="254"/>
      <c r="AT21" s="254"/>
      <c r="AU21" s="267"/>
      <c r="AV21" s="266">
        <f t="shared" si="2"/>
        <v>51962.54</v>
      </c>
      <c r="AW21" s="274">
        <f t="shared" si="0"/>
        <v>20000</v>
      </c>
      <c r="AX21" s="275">
        <f t="shared" si="1"/>
        <v>31962.54</v>
      </c>
      <c r="AY21" s="278">
        <v>90</v>
      </c>
      <c r="AZ21" s="279"/>
      <c r="BA21" s="91"/>
      <c r="BB21" s="101">
        <f>IFERROR(VLOOKUP(D21,Sheet2!D:O,12,FALSE),"")</f>
        <v>31962.54</v>
      </c>
      <c r="BC21" s="101">
        <f t="shared" si="3"/>
        <v>0</v>
      </c>
    </row>
    <row r="22" s="10" customFormat="1" ht="24.05" customHeight="1" spans="2:55">
      <c r="B22" s="48" t="s">
        <v>81</v>
      </c>
      <c r="C22" s="46" t="s">
        <v>105</v>
      </c>
      <c r="D22" s="46" t="s">
        <v>106</v>
      </c>
      <c r="E22" s="217">
        <v>0</v>
      </c>
      <c r="F22" s="217">
        <v>0</v>
      </c>
      <c r="G22" s="217">
        <v>0</v>
      </c>
      <c r="H22" s="217"/>
      <c r="I22" s="217"/>
      <c r="J22" s="217" t="s">
        <v>286</v>
      </c>
      <c r="K22" s="221">
        <v>0</v>
      </c>
      <c r="L22" s="221">
        <v>0</v>
      </c>
      <c r="M22" s="221">
        <v>0</v>
      </c>
      <c r="N22" s="44">
        <v>0</v>
      </c>
      <c r="O22" s="44">
        <v>0</v>
      </c>
      <c r="P22" s="44">
        <v>9273.23</v>
      </c>
      <c r="Q22" s="44">
        <v>216571.33</v>
      </c>
      <c r="R22" s="44">
        <v>42820.86</v>
      </c>
      <c r="S22" s="44">
        <v>46304.35</v>
      </c>
      <c r="T22" s="44">
        <v>121434.8</v>
      </c>
      <c r="U22" s="44">
        <v>68031.5</v>
      </c>
      <c r="V22" s="44">
        <v>87094.32</v>
      </c>
      <c r="W22" s="235">
        <v>119486.02</v>
      </c>
      <c r="X22" s="236">
        <v>153201.31</v>
      </c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52"/>
      <c r="AJ22" s="253">
        <f>50000+80000+50000</f>
        <v>180000</v>
      </c>
      <c r="AK22" s="254">
        <f>130000+30000</f>
        <v>160000</v>
      </c>
      <c r="AL22" s="254"/>
      <c r="AM22" s="254"/>
      <c r="AN22" s="254"/>
      <c r="AO22" s="254"/>
      <c r="AP22" s="254"/>
      <c r="AQ22" s="254"/>
      <c r="AR22" s="254"/>
      <c r="AS22" s="254"/>
      <c r="AT22" s="254"/>
      <c r="AU22" s="267"/>
      <c r="AV22" s="266">
        <f t="shared" si="2"/>
        <v>864217.72</v>
      </c>
      <c r="AW22" s="274">
        <f t="shared" si="0"/>
        <v>340000</v>
      </c>
      <c r="AX22" s="275">
        <f t="shared" si="1"/>
        <v>524217.72</v>
      </c>
      <c r="AY22" s="281">
        <v>90</v>
      </c>
      <c r="AZ22" s="279"/>
      <c r="BA22" s="91"/>
      <c r="BB22" s="101">
        <f>IFERROR(VLOOKUP(D22,Sheet2!D:O,12,FALSE),"")</f>
        <v>524217.72</v>
      </c>
      <c r="BC22" s="101">
        <f t="shared" si="3"/>
        <v>0</v>
      </c>
    </row>
    <row r="23" s="10" customFormat="1" ht="24.05" customHeight="1" spans="2:55">
      <c r="B23" s="48" t="s">
        <v>81</v>
      </c>
      <c r="C23" s="46" t="s">
        <v>112</v>
      </c>
      <c r="D23" s="46" t="s">
        <v>113</v>
      </c>
      <c r="E23" s="217" t="s">
        <v>286</v>
      </c>
      <c r="F23" s="217"/>
      <c r="G23" s="217"/>
      <c r="H23" s="217"/>
      <c r="I23" s="217"/>
      <c r="J23" s="217" t="s">
        <v>286</v>
      </c>
      <c r="K23" s="221">
        <v>0</v>
      </c>
      <c r="L23" s="221">
        <v>155279.13</v>
      </c>
      <c r="M23" s="221">
        <v>0</v>
      </c>
      <c r="N23" s="44">
        <v>0</v>
      </c>
      <c r="O23" s="44">
        <v>0</v>
      </c>
      <c r="P23" s="44">
        <v>0</v>
      </c>
      <c r="Q23" s="44">
        <v>89595.83</v>
      </c>
      <c r="R23" s="44">
        <v>0</v>
      </c>
      <c r="S23" s="44">
        <v>0</v>
      </c>
      <c r="T23" s="44">
        <v>0</v>
      </c>
      <c r="U23" s="44">
        <v>0</v>
      </c>
      <c r="V23" s="44">
        <v>135421.97</v>
      </c>
      <c r="W23" s="235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52"/>
      <c r="AJ23" s="253"/>
      <c r="AK23" s="255">
        <v>30000</v>
      </c>
      <c r="AL23" s="254"/>
      <c r="AM23" s="254"/>
      <c r="AN23" s="254"/>
      <c r="AO23" s="254"/>
      <c r="AP23" s="254"/>
      <c r="AQ23" s="254"/>
      <c r="AR23" s="254"/>
      <c r="AS23" s="254"/>
      <c r="AT23" s="254"/>
      <c r="AU23" s="267"/>
      <c r="AV23" s="266">
        <f t="shared" si="2"/>
        <v>380296.93</v>
      </c>
      <c r="AW23" s="274">
        <f t="shared" si="0"/>
        <v>30000</v>
      </c>
      <c r="AX23" s="275">
        <f t="shared" si="1"/>
        <v>350296.93</v>
      </c>
      <c r="AY23" s="281">
        <v>90</v>
      </c>
      <c r="AZ23" s="279"/>
      <c r="BA23" s="91"/>
      <c r="BB23" s="101">
        <f>IFERROR(VLOOKUP(D23,Sheet2!D:O,12,FALSE),"")</f>
        <v>350296.93</v>
      </c>
      <c r="BC23" s="101">
        <f t="shared" si="3"/>
        <v>0</v>
      </c>
    </row>
    <row r="24" s="10" customFormat="1" ht="24.05" customHeight="1" spans="2:55">
      <c r="B24" s="48" t="s">
        <v>81</v>
      </c>
      <c r="C24" s="46" t="s">
        <v>215</v>
      </c>
      <c r="D24" s="46" t="s">
        <v>216</v>
      </c>
      <c r="E24" s="217" t="s">
        <v>286</v>
      </c>
      <c r="F24" s="217" t="s">
        <v>286</v>
      </c>
      <c r="G24" s="217" t="s">
        <v>286</v>
      </c>
      <c r="H24" s="217"/>
      <c r="I24" s="217"/>
      <c r="J24" s="217">
        <v>9790.31000000003</v>
      </c>
      <c r="K24" s="221">
        <v>0</v>
      </c>
      <c r="L24" s="221">
        <v>0</v>
      </c>
      <c r="M24" s="221">
        <v>19628.1</v>
      </c>
      <c r="N24" s="44">
        <v>0</v>
      </c>
      <c r="O24" s="44">
        <v>36679.8</v>
      </c>
      <c r="P24" s="44">
        <v>0</v>
      </c>
      <c r="Q24" s="44">
        <v>71506.4</v>
      </c>
      <c r="R24" s="44">
        <v>0</v>
      </c>
      <c r="S24" s="44">
        <v>3036.27</v>
      </c>
      <c r="T24" s="44">
        <v>0</v>
      </c>
      <c r="U24" s="44">
        <v>21431.58</v>
      </c>
      <c r="V24" s="44">
        <v>0</v>
      </c>
      <c r="W24" s="235"/>
      <c r="X24" s="236">
        <v>18339.9</v>
      </c>
      <c r="Y24" s="236"/>
      <c r="Z24" s="236"/>
      <c r="AA24" s="236"/>
      <c r="AB24" s="236"/>
      <c r="AC24" s="236"/>
      <c r="AD24" s="242"/>
      <c r="AE24" s="236"/>
      <c r="AF24" s="236"/>
      <c r="AG24" s="236"/>
      <c r="AH24" s="236"/>
      <c r="AI24" s="252"/>
      <c r="AJ24" s="253"/>
      <c r="AK24" s="254">
        <v>20000</v>
      </c>
      <c r="AL24" s="256"/>
      <c r="AM24" s="254"/>
      <c r="AN24" s="254"/>
      <c r="AO24" s="254"/>
      <c r="AP24" s="254"/>
      <c r="AQ24" s="254"/>
      <c r="AR24" s="254"/>
      <c r="AS24" s="254"/>
      <c r="AT24" s="254"/>
      <c r="AU24" s="267"/>
      <c r="AV24" s="266">
        <f t="shared" si="2"/>
        <v>180412.36</v>
      </c>
      <c r="AW24" s="274">
        <f t="shared" si="0"/>
        <v>20000</v>
      </c>
      <c r="AX24" s="275">
        <f t="shared" si="1"/>
        <v>160412.36</v>
      </c>
      <c r="AY24" s="281">
        <v>90</v>
      </c>
      <c r="AZ24" s="279" t="s">
        <v>270</v>
      </c>
      <c r="BA24" s="91"/>
      <c r="BB24" s="101">
        <f>IFERROR(VLOOKUP(D24,Sheet2!D:O,12,FALSE),"")</f>
        <v>160412.36</v>
      </c>
      <c r="BC24" s="101">
        <f t="shared" si="3"/>
        <v>0</v>
      </c>
    </row>
    <row r="25" s="10" customFormat="1" ht="24.05" customHeight="1" spans="2:55">
      <c r="B25" s="48" t="s">
        <v>81</v>
      </c>
      <c r="C25" s="46" t="s">
        <v>230</v>
      </c>
      <c r="D25" s="46" t="s">
        <v>231</v>
      </c>
      <c r="E25" s="217" t="s">
        <v>286</v>
      </c>
      <c r="F25" s="217" t="s">
        <v>286</v>
      </c>
      <c r="G25" s="217" t="s">
        <v>286</v>
      </c>
      <c r="H25" s="217"/>
      <c r="I25" s="217"/>
      <c r="J25" s="217" t="s">
        <v>286</v>
      </c>
      <c r="K25" s="221">
        <v>0</v>
      </c>
      <c r="L25" s="221">
        <v>0</v>
      </c>
      <c r="M25" s="221">
        <v>0</v>
      </c>
      <c r="N25" s="44">
        <v>0</v>
      </c>
      <c r="O25" s="44">
        <v>0</v>
      </c>
      <c r="P25" s="44">
        <v>691402.68</v>
      </c>
      <c r="Q25" s="44">
        <v>280183.51</v>
      </c>
      <c r="R25" s="44">
        <v>0</v>
      </c>
      <c r="S25" s="44">
        <v>0</v>
      </c>
      <c r="T25" s="44">
        <v>0</v>
      </c>
      <c r="U25" s="44">
        <v>0</v>
      </c>
      <c r="V25" s="44">
        <v>235895.18</v>
      </c>
      <c r="W25" s="232">
        <v>514957.95</v>
      </c>
      <c r="X25" s="233">
        <v>369938.84</v>
      </c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48"/>
      <c r="AJ25" s="249">
        <f>400000+66548.42</f>
        <v>466548.42</v>
      </c>
      <c r="AK25" s="250">
        <f>200000+200000+574163.64</f>
        <v>974163.64</v>
      </c>
      <c r="AL25" s="250"/>
      <c r="AM25" s="250"/>
      <c r="AN25" s="250"/>
      <c r="AO25" s="250"/>
      <c r="AP25" s="250"/>
      <c r="AQ25" s="251"/>
      <c r="AR25" s="250"/>
      <c r="AS25" s="250"/>
      <c r="AT25" s="250"/>
      <c r="AU25" s="265"/>
      <c r="AV25" s="266">
        <f t="shared" si="2"/>
        <v>2092378.16</v>
      </c>
      <c r="AW25" s="274">
        <f t="shared" si="0"/>
        <v>1440712.06</v>
      </c>
      <c r="AX25" s="275">
        <f t="shared" si="1"/>
        <v>651666.1</v>
      </c>
      <c r="AY25" s="276">
        <v>90</v>
      </c>
      <c r="AZ25" s="277"/>
      <c r="BA25" s="91"/>
      <c r="BB25" s="101">
        <f>IFERROR(VLOOKUP(D25,Sheet2!D:O,12,FALSE),"")</f>
        <v>651666.1</v>
      </c>
      <c r="BC25" s="101">
        <f t="shared" si="3"/>
        <v>0</v>
      </c>
    </row>
    <row r="26" s="10" customFormat="1" ht="24.05" customHeight="1" spans="2:55">
      <c r="B26" s="48" t="s">
        <v>81</v>
      </c>
      <c r="C26" s="46" t="s">
        <v>271</v>
      </c>
      <c r="D26" s="46" t="s">
        <v>272</v>
      </c>
      <c r="E26" s="217" t="s">
        <v>286</v>
      </c>
      <c r="F26" s="217" t="s">
        <v>286</v>
      </c>
      <c r="G26" s="217" t="s">
        <v>286</v>
      </c>
      <c r="H26" s="217"/>
      <c r="I26" s="217"/>
      <c r="J26" s="217" t="s">
        <v>286</v>
      </c>
      <c r="K26" s="221">
        <v>0</v>
      </c>
      <c r="L26" s="221">
        <v>0</v>
      </c>
      <c r="M26" s="221">
        <v>0</v>
      </c>
      <c r="N26" s="44">
        <v>0</v>
      </c>
      <c r="O26" s="44">
        <v>0</v>
      </c>
      <c r="P26" s="44">
        <v>2462.03999999999</v>
      </c>
      <c r="Q26" s="44">
        <v>0</v>
      </c>
      <c r="R26" s="44">
        <v>13760.01</v>
      </c>
      <c r="S26" s="44">
        <v>0</v>
      </c>
      <c r="T26" s="44">
        <v>10359.84</v>
      </c>
      <c r="U26" s="44">
        <v>0</v>
      </c>
      <c r="V26" s="44">
        <v>0</v>
      </c>
      <c r="W26" s="232"/>
      <c r="X26" s="233"/>
      <c r="Y26" s="233"/>
      <c r="Z26" s="233"/>
      <c r="AA26" s="233"/>
      <c r="AB26" s="233"/>
      <c r="AC26" s="233"/>
      <c r="AD26" s="233"/>
      <c r="AE26" s="233"/>
      <c r="AF26" s="233"/>
      <c r="AG26" s="233"/>
      <c r="AH26" s="233"/>
      <c r="AI26" s="252"/>
      <c r="AJ26" s="253">
        <v>10000</v>
      </c>
      <c r="AK26" s="254">
        <v>0</v>
      </c>
      <c r="AL26" s="254"/>
      <c r="AM26" s="254"/>
      <c r="AN26" s="254"/>
      <c r="AO26" s="254"/>
      <c r="AP26" s="254"/>
      <c r="AQ26" s="254"/>
      <c r="AR26" s="254"/>
      <c r="AS26" s="254"/>
      <c r="AT26" s="254"/>
      <c r="AU26" s="267"/>
      <c r="AV26" s="266">
        <f t="shared" si="2"/>
        <v>26581.89</v>
      </c>
      <c r="AW26" s="274">
        <f t="shared" si="0"/>
        <v>10000</v>
      </c>
      <c r="AX26" s="275">
        <f t="shared" si="1"/>
        <v>16581.89</v>
      </c>
      <c r="AY26" s="281">
        <v>90</v>
      </c>
      <c r="AZ26" s="279"/>
      <c r="BA26" s="91"/>
      <c r="BB26" s="101">
        <f>IFERROR(VLOOKUP(D26,Sheet2!D:O,12,FALSE),"")</f>
        <v>16581.89</v>
      </c>
      <c r="BC26" s="101">
        <f t="shared" si="3"/>
        <v>0</v>
      </c>
    </row>
    <row r="27" s="10" customFormat="1" ht="24.05" customHeight="1" spans="2:55">
      <c r="B27" s="48" t="s">
        <v>81</v>
      </c>
      <c r="C27" s="46" t="s">
        <v>332</v>
      </c>
      <c r="D27" s="46" t="s">
        <v>333</v>
      </c>
      <c r="E27" s="217"/>
      <c r="F27" s="217"/>
      <c r="G27" s="217"/>
      <c r="H27" s="217"/>
      <c r="I27" s="217"/>
      <c r="J27" s="217" t="s">
        <v>286</v>
      </c>
      <c r="K27" s="221">
        <v>0</v>
      </c>
      <c r="L27" s="221">
        <v>0</v>
      </c>
      <c r="M27" s="221">
        <v>0</v>
      </c>
      <c r="N27" s="44">
        <v>0</v>
      </c>
      <c r="O27" s="44">
        <v>0</v>
      </c>
      <c r="P27" s="44">
        <v>0</v>
      </c>
      <c r="Q27" s="44">
        <v>93077.7500000001</v>
      </c>
      <c r="R27" s="44">
        <v>113944.37</v>
      </c>
      <c r="S27" s="44">
        <v>26609.46</v>
      </c>
      <c r="T27" s="44">
        <v>85482.64</v>
      </c>
      <c r="U27" s="44">
        <v>126123.32</v>
      </c>
      <c r="V27" s="44">
        <v>255456.09</v>
      </c>
      <c r="W27" s="232">
        <f>11429.98+626516.78</f>
        <v>637946.76</v>
      </c>
      <c r="X27" s="233">
        <v>331607</v>
      </c>
      <c r="Y27" s="233"/>
      <c r="Z27" s="233"/>
      <c r="AA27" s="233"/>
      <c r="AB27" s="233"/>
      <c r="AC27" s="233"/>
      <c r="AD27" s="233"/>
      <c r="AE27" s="233"/>
      <c r="AF27" s="233"/>
      <c r="AG27" s="233"/>
      <c r="AH27" s="233"/>
      <c r="AI27" s="252"/>
      <c r="AJ27" s="253">
        <v>300000</v>
      </c>
      <c r="AK27" s="254">
        <v>0</v>
      </c>
      <c r="AL27" s="254">
        <v>150000</v>
      </c>
      <c r="AM27" s="254"/>
      <c r="AN27" s="254"/>
      <c r="AO27" s="254"/>
      <c r="AP27" s="254"/>
      <c r="AQ27" s="254"/>
      <c r="AR27" s="254"/>
      <c r="AS27" s="254"/>
      <c r="AT27" s="254"/>
      <c r="AU27" s="267"/>
      <c r="AV27" s="266">
        <f t="shared" si="2"/>
        <v>1670247.39</v>
      </c>
      <c r="AW27" s="274">
        <f t="shared" si="0"/>
        <v>450000</v>
      </c>
      <c r="AX27" s="275">
        <f t="shared" si="1"/>
        <v>1220247.39</v>
      </c>
      <c r="AY27" s="276">
        <v>90</v>
      </c>
      <c r="AZ27" s="279"/>
      <c r="BA27" s="91"/>
      <c r="BB27" s="101">
        <f>IFERROR(VLOOKUP(D27,Sheet2!D:O,12,FALSE),"")</f>
        <v>1220247.39</v>
      </c>
      <c r="BC27" s="101">
        <f t="shared" si="3"/>
        <v>0</v>
      </c>
    </row>
    <row r="28" s="10" customFormat="1" ht="24.05" customHeight="1" spans="2:55">
      <c r="B28" s="45" t="s">
        <v>81</v>
      </c>
      <c r="C28" s="46" t="s">
        <v>136</v>
      </c>
      <c r="D28" s="46" t="s">
        <v>137</v>
      </c>
      <c r="E28" s="217" t="s">
        <v>286</v>
      </c>
      <c r="F28" s="217" t="s">
        <v>286</v>
      </c>
      <c r="G28" s="217" t="s">
        <v>286</v>
      </c>
      <c r="H28" s="217"/>
      <c r="I28" s="217"/>
      <c r="J28" s="217">
        <v>75679.3500000002</v>
      </c>
      <c r="K28" s="221">
        <v>46043.28</v>
      </c>
      <c r="L28" s="221">
        <v>0</v>
      </c>
      <c r="M28" s="221">
        <v>16.72</v>
      </c>
      <c r="N28" s="44">
        <v>42395.78</v>
      </c>
      <c r="O28" s="44">
        <v>47545.77</v>
      </c>
      <c r="P28" s="44">
        <v>0</v>
      </c>
      <c r="Q28" s="44">
        <v>91824.79</v>
      </c>
      <c r="R28" s="44">
        <v>0</v>
      </c>
      <c r="S28" s="44">
        <v>45900.5</v>
      </c>
      <c r="T28" s="44">
        <v>45864.8</v>
      </c>
      <c r="U28" s="44">
        <v>45986.2</v>
      </c>
      <c r="V28" s="44">
        <v>0</v>
      </c>
      <c r="W28" s="232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48"/>
      <c r="AJ28" s="249">
        <v>60000</v>
      </c>
      <c r="AK28" s="250">
        <f>60000+20000</f>
        <v>80000</v>
      </c>
      <c r="AL28" s="250"/>
      <c r="AM28" s="250"/>
      <c r="AN28" s="250"/>
      <c r="AO28" s="250"/>
      <c r="AP28" s="250"/>
      <c r="AQ28" s="250"/>
      <c r="AR28" s="250"/>
      <c r="AS28" s="250"/>
      <c r="AT28" s="250"/>
      <c r="AU28" s="265"/>
      <c r="AV28" s="266">
        <f t="shared" si="2"/>
        <v>441257.19</v>
      </c>
      <c r="AW28" s="274">
        <f t="shared" si="0"/>
        <v>140000</v>
      </c>
      <c r="AX28" s="275">
        <f t="shared" si="1"/>
        <v>301257.19</v>
      </c>
      <c r="AY28" s="276">
        <v>90</v>
      </c>
      <c r="AZ28" s="277"/>
      <c r="BA28" s="91"/>
      <c r="BB28" s="101">
        <f>IFERROR(VLOOKUP(D28,Sheet2!D:O,12,FALSE),"")</f>
        <v>301257.19</v>
      </c>
      <c r="BC28" s="101">
        <f t="shared" si="3"/>
        <v>0</v>
      </c>
    </row>
    <row r="29" s="10" customFormat="1" ht="24.05" customHeight="1" spans="2:55">
      <c r="B29" s="45" t="s">
        <v>81</v>
      </c>
      <c r="C29" s="46" t="s">
        <v>217</v>
      </c>
      <c r="D29" s="46" t="s">
        <v>223</v>
      </c>
      <c r="E29" s="217" t="s">
        <v>286</v>
      </c>
      <c r="F29" s="217" t="s">
        <v>286</v>
      </c>
      <c r="G29" s="217" t="s">
        <v>286</v>
      </c>
      <c r="H29" s="217"/>
      <c r="I29" s="217"/>
      <c r="J29" s="217" t="s">
        <v>286</v>
      </c>
      <c r="K29" s="221">
        <v>0</v>
      </c>
      <c r="L29" s="221">
        <v>0</v>
      </c>
      <c r="M29" s="221">
        <v>0</v>
      </c>
      <c r="N29" s="44">
        <v>0</v>
      </c>
      <c r="O29" s="44">
        <v>9747.49999999999</v>
      </c>
      <c r="P29" s="44">
        <v>0</v>
      </c>
      <c r="Q29" s="44">
        <v>6644.4</v>
      </c>
      <c r="R29" s="44">
        <v>4746</v>
      </c>
      <c r="S29" s="44">
        <v>4746</v>
      </c>
      <c r="T29" s="44">
        <v>9492</v>
      </c>
      <c r="U29" s="44">
        <v>4746</v>
      </c>
      <c r="V29" s="44">
        <v>4746</v>
      </c>
      <c r="W29" s="232">
        <v>0</v>
      </c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52"/>
      <c r="AJ29" s="253">
        <v>15000</v>
      </c>
      <c r="AK29" s="254"/>
      <c r="AL29" s="254"/>
      <c r="AM29" s="254"/>
      <c r="AN29" s="254"/>
      <c r="AO29" s="254"/>
      <c r="AP29" s="254"/>
      <c r="AQ29" s="254"/>
      <c r="AR29" s="254"/>
      <c r="AS29" s="254"/>
      <c r="AT29" s="254"/>
      <c r="AU29" s="267"/>
      <c r="AV29" s="266">
        <f t="shared" si="2"/>
        <v>44867.9</v>
      </c>
      <c r="AW29" s="274">
        <f t="shared" si="0"/>
        <v>15000</v>
      </c>
      <c r="AX29" s="275">
        <f t="shared" si="1"/>
        <v>29867.9</v>
      </c>
      <c r="AY29" s="276">
        <v>90</v>
      </c>
      <c r="AZ29" s="279"/>
      <c r="BA29" s="91"/>
      <c r="BB29" s="101">
        <f>IFERROR(VLOOKUP(D29,Sheet2!D:O,12,FALSE),"")</f>
        <v>29867.9</v>
      </c>
      <c r="BC29" s="101">
        <f t="shared" si="3"/>
        <v>0</v>
      </c>
    </row>
    <row r="30" s="10" customFormat="1" ht="24.05" customHeight="1" spans="2:55">
      <c r="B30" s="45" t="s">
        <v>81</v>
      </c>
      <c r="C30" s="46" t="s">
        <v>224</v>
      </c>
      <c r="D30" s="46" t="s">
        <v>225</v>
      </c>
      <c r="E30" s="217"/>
      <c r="F30" s="217"/>
      <c r="G30" s="217"/>
      <c r="H30" s="217"/>
      <c r="I30" s="217"/>
      <c r="J30" s="217" t="s">
        <v>286</v>
      </c>
      <c r="K30" s="221">
        <v>0</v>
      </c>
      <c r="L30" s="221">
        <v>125408.67</v>
      </c>
      <c r="M30" s="221">
        <v>0</v>
      </c>
      <c r="N30" s="44">
        <v>0</v>
      </c>
      <c r="O30" s="44">
        <v>0</v>
      </c>
      <c r="P30" s="44">
        <v>0</v>
      </c>
      <c r="Q30" s="44">
        <v>251804.91</v>
      </c>
      <c r="R30" s="44">
        <v>0</v>
      </c>
      <c r="S30" s="44">
        <v>0</v>
      </c>
      <c r="T30" s="44">
        <v>0</v>
      </c>
      <c r="U30" s="44">
        <v>0</v>
      </c>
      <c r="V30" s="44">
        <v>121014.86</v>
      </c>
      <c r="W30" s="232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52"/>
      <c r="AJ30" s="253">
        <v>30000</v>
      </c>
      <c r="AK30" s="254">
        <v>30000</v>
      </c>
      <c r="AL30" s="254">
        <v>30000</v>
      </c>
      <c r="AM30" s="254"/>
      <c r="AN30" s="254"/>
      <c r="AO30" s="254"/>
      <c r="AP30" s="254"/>
      <c r="AQ30" s="254"/>
      <c r="AR30" s="254"/>
      <c r="AS30" s="254"/>
      <c r="AT30" s="254"/>
      <c r="AU30" s="267"/>
      <c r="AV30" s="266">
        <f t="shared" si="2"/>
        <v>498228.44</v>
      </c>
      <c r="AW30" s="274">
        <f t="shared" si="0"/>
        <v>90000</v>
      </c>
      <c r="AX30" s="275">
        <f t="shared" si="1"/>
        <v>408228.44</v>
      </c>
      <c r="AY30" s="276">
        <v>90</v>
      </c>
      <c r="AZ30" s="279"/>
      <c r="BA30" s="91"/>
      <c r="BB30" s="101">
        <f>IFERROR(VLOOKUP(D30,Sheet2!D:O,12,FALSE),"")</f>
        <v>408228.44</v>
      </c>
      <c r="BC30" s="101">
        <f t="shared" si="3"/>
        <v>0</v>
      </c>
    </row>
    <row r="31" s="11" customFormat="1" ht="24.05" customHeight="1" spans="2:55">
      <c r="B31" s="50" t="s">
        <v>81</v>
      </c>
      <c r="C31" s="51" t="s">
        <v>186</v>
      </c>
      <c r="D31" s="51" t="s">
        <v>187</v>
      </c>
      <c r="E31" s="218" t="s">
        <v>286</v>
      </c>
      <c r="F31" s="218" t="s">
        <v>286</v>
      </c>
      <c r="G31" s="218" t="s">
        <v>286</v>
      </c>
      <c r="H31" s="218"/>
      <c r="I31" s="218"/>
      <c r="J31" s="218" t="s">
        <v>286</v>
      </c>
      <c r="K31" s="222">
        <v>0</v>
      </c>
      <c r="L31" s="222">
        <v>0</v>
      </c>
      <c r="M31" s="222">
        <v>0</v>
      </c>
      <c r="N31" s="223">
        <v>0</v>
      </c>
      <c r="O31" s="223">
        <v>0</v>
      </c>
      <c r="P31" s="223">
        <v>0</v>
      </c>
      <c r="Q31" s="223">
        <v>0</v>
      </c>
      <c r="R31" s="223">
        <v>0</v>
      </c>
      <c r="S31" s="223">
        <v>0</v>
      </c>
      <c r="T31" s="223">
        <v>0</v>
      </c>
      <c r="U31" s="223">
        <v>0</v>
      </c>
      <c r="V31" s="223">
        <v>0</v>
      </c>
      <c r="W31" s="237">
        <f>3177.11+647577.45</f>
        <v>650754.56</v>
      </c>
      <c r="X31" s="238">
        <f>90864.2+616527.91</f>
        <v>707392.11</v>
      </c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57"/>
      <c r="AJ31" s="258"/>
      <c r="AK31" s="255"/>
      <c r="AL31" s="255"/>
      <c r="AM31" s="255"/>
      <c r="AN31" s="255"/>
      <c r="AO31" s="255"/>
      <c r="AP31" s="255"/>
      <c r="AQ31" s="255"/>
      <c r="AR31" s="255"/>
      <c r="AS31" s="255"/>
      <c r="AT31" s="255"/>
      <c r="AU31" s="268"/>
      <c r="AV31" s="269">
        <f t="shared" si="2"/>
        <v>1358146.67</v>
      </c>
      <c r="AW31" s="282">
        <f t="shared" si="0"/>
        <v>0</v>
      </c>
      <c r="AX31" s="283">
        <f t="shared" si="1"/>
        <v>1358146.67</v>
      </c>
      <c r="AY31" s="284">
        <v>90</v>
      </c>
      <c r="AZ31" s="285"/>
      <c r="BA31" s="102"/>
      <c r="BB31" s="103">
        <f>IFERROR(VLOOKUP(D31,Sheet2!D:O,12,FALSE),"")</f>
        <v>0</v>
      </c>
      <c r="BC31" s="103">
        <f t="shared" si="3"/>
        <v>1358146.67</v>
      </c>
    </row>
    <row r="32" s="10" customFormat="1" ht="24.05" customHeight="1" spans="2:55">
      <c r="B32" s="45" t="s">
        <v>81</v>
      </c>
      <c r="C32" s="46" t="s">
        <v>114</v>
      </c>
      <c r="D32" s="46" t="s">
        <v>115</v>
      </c>
      <c r="E32" s="217">
        <v>0</v>
      </c>
      <c r="F32" s="217">
        <v>0</v>
      </c>
      <c r="G32" s="217" t="s">
        <v>286</v>
      </c>
      <c r="H32" s="217"/>
      <c r="I32" s="217"/>
      <c r="J32" s="217" t="s">
        <v>286</v>
      </c>
      <c r="K32" s="221">
        <v>0</v>
      </c>
      <c r="L32" s="221">
        <v>0</v>
      </c>
      <c r="M32" s="221">
        <v>0</v>
      </c>
      <c r="N32" s="44">
        <v>0</v>
      </c>
      <c r="O32" s="44">
        <v>0</v>
      </c>
      <c r="P32" s="44">
        <v>26636.86</v>
      </c>
      <c r="Q32" s="44">
        <v>90458.76</v>
      </c>
      <c r="R32" s="44">
        <v>28309.89</v>
      </c>
      <c r="S32" s="44">
        <v>34550.88</v>
      </c>
      <c r="T32" s="44">
        <v>63985.57</v>
      </c>
      <c r="U32" s="44">
        <v>48271.56</v>
      </c>
      <c r="V32" s="44">
        <v>43938.46</v>
      </c>
      <c r="W32" s="232">
        <v>115133.22</v>
      </c>
      <c r="X32" s="233">
        <v>122926.14</v>
      </c>
      <c r="Y32" s="233"/>
      <c r="Z32" s="233"/>
      <c r="AA32" s="233"/>
      <c r="AB32" s="233"/>
      <c r="AC32" s="233"/>
      <c r="AD32" s="233"/>
      <c r="AE32" s="233"/>
      <c r="AF32" s="233"/>
      <c r="AG32" s="233"/>
      <c r="AH32" s="233"/>
      <c r="AI32" s="252"/>
      <c r="AJ32" s="253">
        <v>40000</v>
      </c>
      <c r="AK32" s="254">
        <v>10000</v>
      </c>
      <c r="AL32" s="254"/>
      <c r="AM32" s="254"/>
      <c r="AN32" s="254"/>
      <c r="AO32" s="254"/>
      <c r="AP32" s="254"/>
      <c r="AQ32" s="255"/>
      <c r="AR32" s="254"/>
      <c r="AS32" s="254"/>
      <c r="AT32" s="254"/>
      <c r="AU32" s="267"/>
      <c r="AV32" s="266">
        <f t="shared" si="2"/>
        <v>574211.34</v>
      </c>
      <c r="AW32" s="274">
        <f t="shared" si="0"/>
        <v>50000</v>
      </c>
      <c r="AX32" s="275">
        <f t="shared" si="1"/>
        <v>524211.34</v>
      </c>
      <c r="AY32" s="276">
        <v>90</v>
      </c>
      <c r="AZ32" s="279"/>
      <c r="BA32" s="91"/>
      <c r="BB32" s="101">
        <f>IFERROR(VLOOKUP(D32,Sheet2!D:O,12,FALSE),"")</f>
        <v>524211.34</v>
      </c>
      <c r="BC32" s="101">
        <f t="shared" si="3"/>
        <v>0</v>
      </c>
    </row>
    <row r="33" s="10" customFormat="1" ht="24.05" customHeight="1" spans="2:55">
      <c r="B33" s="57" t="s">
        <v>81</v>
      </c>
      <c r="C33" s="46" t="s">
        <v>287</v>
      </c>
      <c r="D33" s="46" t="s">
        <v>288</v>
      </c>
      <c r="E33" s="217" t="s">
        <v>286</v>
      </c>
      <c r="F33" s="217" t="s">
        <v>286</v>
      </c>
      <c r="G33" s="217" t="s">
        <v>286</v>
      </c>
      <c r="H33" s="217"/>
      <c r="I33" s="217"/>
      <c r="J33" s="217" t="s">
        <v>286</v>
      </c>
      <c r="K33" s="221">
        <v>0</v>
      </c>
      <c r="L33" s="221">
        <v>0</v>
      </c>
      <c r="M33" s="221">
        <v>0</v>
      </c>
      <c r="N33" s="44">
        <v>0</v>
      </c>
      <c r="O33" s="44">
        <v>0</v>
      </c>
      <c r="P33" s="44">
        <v>0</v>
      </c>
      <c r="Q33" s="44">
        <v>4665.45</v>
      </c>
      <c r="R33" s="44">
        <v>0</v>
      </c>
      <c r="S33" s="44">
        <v>0</v>
      </c>
      <c r="T33" s="44">
        <v>74206.54</v>
      </c>
      <c r="U33" s="44">
        <v>0</v>
      </c>
      <c r="V33" s="44">
        <v>62170.34</v>
      </c>
      <c r="W33" s="232">
        <f>53609.46+80414.19</f>
        <v>134023.65</v>
      </c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52"/>
      <c r="AJ33" s="253"/>
      <c r="AK33" s="254">
        <v>15000</v>
      </c>
      <c r="AL33" s="254"/>
      <c r="AM33" s="254"/>
      <c r="AN33" s="254"/>
      <c r="AO33" s="254"/>
      <c r="AP33" s="254"/>
      <c r="AQ33" s="254"/>
      <c r="AR33" s="254"/>
      <c r="AS33" s="254"/>
      <c r="AT33" s="254"/>
      <c r="AU33" s="267"/>
      <c r="AV33" s="266">
        <f t="shared" si="2"/>
        <v>275065.98</v>
      </c>
      <c r="AW33" s="274">
        <f t="shared" si="0"/>
        <v>15000</v>
      </c>
      <c r="AX33" s="275">
        <f t="shared" si="1"/>
        <v>260065.98</v>
      </c>
      <c r="AY33" s="278">
        <v>90</v>
      </c>
      <c r="AZ33" s="279"/>
      <c r="BA33" s="91"/>
      <c r="BB33" s="101">
        <f>IFERROR(VLOOKUP(D33,Sheet2!D:O,12,FALSE),"")</f>
        <v>260065.98</v>
      </c>
      <c r="BC33" s="101">
        <f t="shared" si="3"/>
        <v>0</v>
      </c>
    </row>
    <row r="34" s="11" customFormat="1" ht="24.05" customHeight="1" spans="2:55">
      <c r="B34" s="219" t="s">
        <v>81</v>
      </c>
      <c r="C34" s="51" t="s">
        <v>289</v>
      </c>
      <c r="D34" s="51" t="s">
        <v>290</v>
      </c>
      <c r="E34" s="218" t="s">
        <v>286</v>
      </c>
      <c r="F34" s="218" t="s">
        <v>286</v>
      </c>
      <c r="G34" s="218" t="s">
        <v>286</v>
      </c>
      <c r="H34" s="218"/>
      <c r="I34" s="218"/>
      <c r="J34" s="218" t="s">
        <v>286</v>
      </c>
      <c r="K34" s="222">
        <v>0</v>
      </c>
      <c r="L34" s="222">
        <v>0</v>
      </c>
      <c r="M34" s="222">
        <v>156897.18</v>
      </c>
      <c r="N34" s="223">
        <v>40061.43</v>
      </c>
      <c r="O34" s="223">
        <v>24892.05</v>
      </c>
      <c r="P34" s="223">
        <v>12725.95</v>
      </c>
      <c r="Q34" s="223">
        <v>95100.09</v>
      </c>
      <c r="R34" s="223">
        <v>0</v>
      </c>
      <c r="S34" s="223">
        <v>70.75</v>
      </c>
      <c r="T34" s="223">
        <v>120886.07</v>
      </c>
      <c r="U34" s="223">
        <v>66283.25</v>
      </c>
      <c r="V34" s="223">
        <f>81748.8-55149.65</f>
        <v>26599.15</v>
      </c>
      <c r="W34" s="237">
        <v>0</v>
      </c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57"/>
      <c r="AJ34" s="258"/>
      <c r="AK34" s="255"/>
      <c r="AL34" s="255"/>
      <c r="AM34" s="255"/>
      <c r="AN34" s="255"/>
      <c r="AO34" s="255"/>
      <c r="AP34" s="255"/>
      <c r="AQ34" s="255"/>
      <c r="AR34" s="255"/>
      <c r="AS34" s="255"/>
      <c r="AT34" s="255"/>
      <c r="AU34" s="268"/>
      <c r="AV34" s="269">
        <f t="shared" si="2"/>
        <v>543515.92</v>
      </c>
      <c r="AW34" s="282">
        <f t="shared" si="0"/>
        <v>0</v>
      </c>
      <c r="AX34" s="283">
        <f t="shared" si="1"/>
        <v>543515.92</v>
      </c>
      <c r="AY34" s="286">
        <v>90</v>
      </c>
      <c r="AZ34" s="285"/>
      <c r="BA34" s="102"/>
      <c r="BB34" s="101">
        <f>IFERROR(VLOOKUP(D34,Sheet2!D:O,12,FALSE),"")</f>
        <v>543515.92</v>
      </c>
      <c r="BC34" s="103">
        <f t="shared" si="3"/>
        <v>0</v>
      </c>
    </row>
    <row r="35" s="10" customFormat="1" ht="24.05" customHeight="1" spans="2:55">
      <c r="B35" s="57" t="s">
        <v>81</v>
      </c>
      <c r="C35" s="46" t="s">
        <v>293</v>
      </c>
      <c r="D35" s="46" t="s">
        <v>294</v>
      </c>
      <c r="E35" s="217">
        <v>0</v>
      </c>
      <c r="F35" s="217">
        <v>0</v>
      </c>
      <c r="G35" s="217" t="s">
        <v>286</v>
      </c>
      <c r="H35" s="217"/>
      <c r="I35" s="217"/>
      <c r="J35" s="217" t="s">
        <v>286</v>
      </c>
      <c r="K35" s="221">
        <v>0</v>
      </c>
      <c r="L35" s="221">
        <v>0</v>
      </c>
      <c r="M35" s="221">
        <v>0</v>
      </c>
      <c r="N35" s="44">
        <v>0</v>
      </c>
      <c r="O35" s="44">
        <v>0</v>
      </c>
      <c r="P35" s="44">
        <v>49728.49</v>
      </c>
      <c r="Q35" s="44">
        <v>0</v>
      </c>
      <c r="R35" s="44">
        <v>79529.04</v>
      </c>
      <c r="S35" s="44">
        <v>60916.5</v>
      </c>
      <c r="T35" s="44">
        <v>0</v>
      </c>
      <c r="U35" s="44">
        <v>72024.12</v>
      </c>
      <c r="V35" s="44">
        <v>136752.16</v>
      </c>
      <c r="W35" s="232">
        <f>175000+42945.86</f>
        <v>217945.86</v>
      </c>
      <c r="X35" s="233">
        <v>111567.15</v>
      </c>
      <c r="Y35" s="233">
        <v>4397.56</v>
      </c>
      <c r="Z35" s="233"/>
      <c r="AA35" s="233"/>
      <c r="AB35" s="233"/>
      <c r="AC35" s="233"/>
      <c r="AD35" s="233"/>
      <c r="AE35" s="233"/>
      <c r="AF35" s="233"/>
      <c r="AG35" s="233"/>
      <c r="AH35" s="233"/>
      <c r="AI35" s="252"/>
      <c r="AJ35" s="253">
        <f>50000+20000</f>
        <v>70000</v>
      </c>
      <c r="AK35" s="254">
        <v>50000</v>
      </c>
      <c r="AL35" s="254">
        <v>60000</v>
      </c>
      <c r="AM35" s="254"/>
      <c r="AN35" s="254"/>
      <c r="AO35" s="254"/>
      <c r="AP35" s="254"/>
      <c r="AQ35" s="254"/>
      <c r="AR35" s="254"/>
      <c r="AS35" s="254"/>
      <c r="AT35" s="254"/>
      <c r="AU35" s="267"/>
      <c r="AV35" s="266">
        <f t="shared" si="2"/>
        <v>732860.88</v>
      </c>
      <c r="AW35" s="274">
        <f t="shared" si="0"/>
        <v>180000</v>
      </c>
      <c r="AX35" s="275">
        <f t="shared" si="1"/>
        <v>552860.88</v>
      </c>
      <c r="AY35" s="278">
        <v>90</v>
      </c>
      <c r="AZ35" s="279"/>
      <c r="BA35" s="91"/>
      <c r="BB35" s="101">
        <f>IFERROR(VLOOKUP(D35,Sheet2!D:O,12,FALSE),"")</f>
        <v>552860.88</v>
      </c>
      <c r="BC35" s="101">
        <f t="shared" si="3"/>
        <v>0</v>
      </c>
    </row>
    <row r="36" s="10" customFormat="1" ht="24.05" customHeight="1" spans="2:55">
      <c r="B36" s="57" t="s">
        <v>81</v>
      </c>
      <c r="C36" s="46" t="s">
        <v>303</v>
      </c>
      <c r="D36" s="46" t="s">
        <v>304</v>
      </c>
      <c r="E36" s="217">
        <v>0</v>
      </c>
      <c r="F36" s="217">
        <v>0</v>
      </c>
      <c r="G36" s="217" t="s">
        <v>286</v>
      </c>
      <c r="H36" s="217"/>
      <c r="I36" s="217"/>
      <c r="J36" s="217" t="s">
        <v>286</v>
      </c>
      <c r="K36" s="221">
        <v>0</v>
      </c>
      <c r="L36" s="221">
        <v>0</v>
      </c>
      <c r="M36" s="221">
        <v>0</v>
      </c>
      <c r="N36" s="44">
        <v>0</v>
      </c>
      <c r="O36" s="44">
        <v>102223.08</v>
      </c>
      <c r="P36" s="44">
        <v>0</v>
      </c>
      <c r="Q36" s="44">
        <v>0</v>
      </c>
      <c r="R36" s="44">
        <v>0</v>
      </c>
      <c r="S36" s="44">
        <v>45767.4</v>
      </c>
      <c r="T36" s="44">
        <v>0</v>
      </c>
      <c r="U36" s="44">
        <v>0</v>
      </c>
      <c r="V36" s="44">
        <v>0</v>
      </c>
      <c r="W36" s="232"/>
      <c r="X36" s="233">
        <f>49131.22+93808.08</f>
        <v>142939.3</v>
      </c>
      <c r="Y36" s="233">
        <v>16841.02</v>
      </c>
      <c r="Z36" s="233"/>
      <c r="AA36" s="233"/>
      <c r="AB36" s="233"/>
      <c r="AC36" s="233"/>
      <c r="AD36" s="233"/>
      <c r="AE36" s="233"/>
      <c r="AF36" s="233"/>
      <c r="AG36" s="233"/>
      <c r="AH36" s="233"/>
      <c r="AI36" s="252"/>
      <c r="AJ36" s="253">
        <v>20000</v>
      </c>
      <c r="AK36" s="254"/>
      <c r="AL36" s="254"/>
      <c r="AM36" s="254"/>
      <c r="AN36" s="254"/>
      <c r="AO36" s="254"/>
      <c r="AP36" s="254"/>
      <c r="AQ36" s="254"/>
      <c r="AR36" s="254"/>
      <c r="AS36" s="254"/>
      <c r="AT36" s="254"/>
      <c r="AU36" s="267"/>
      <c r="AV36" s="266">
        <f t="shared" si="2"/>
        <v>307770.8</v>
      </c>
      <c r="AW36" s="274">
        <f t="shared" si="0"/>
        <v>20000</v>
      </c>
      <c r="AX36" s="275">
        <f t="shared" si="1"/>
        <v>287770.8</v>
      </c>
      <c r="AY36" s="278">
        <v>90</v>
      </c>
      <c r="AZ36" s="279"/>
      <c r="BA36" s="91"/>
      <c r="BB36" s="101">
        <f>IFERROR(VLOOKUP(D36,Sheet2!D:O,12,FALSE),"")</f>
        <v>287770.8</v>
      </c>
      <c r="BC36" s="101">
        <f t="shared" si="3"/>
        <v>0</v>
      </c>
    </row>
    <row r="37" s="10" customFormat="1" ht="24.05" customHeight="1" spans="2:55">
      <c r="B37" s="57" t="s">
        <v>81</v>
      </c>
      <c r="C37" s="46" t="s">
        <v>306</v>
      </c>
      <c r="D37" s="46" t="s">
        <v>307</v>
      </c>
      <c r="E37" s="217">
        <v>0</v>
      </c>
      <c r="F37" s="217">
        <v>0</v>
      </c>
      <c r="G37" s="217" t="s">
        <v>286</v>
      </c>
      <c r="H37" s="217"/>
      <c r="I37" s="217"/>
      <c r="J37" s="217" t="s">
        <v>286</v>
      </c>
      <c r="K37" s="221">
        <v>0</v>
      </c>
      <c r="L37" s="221">
        <v>0</v>
      </c>
      <c r="M37" s="221">
        <v>0</v>
      </c>
      <c r="N37" s="44">
        <v>0</v>
      </c>
      <c r="O37" s="44">
        <v>0</v>
      </c>
      <c r="P37" s="44">
        <v>17503.96</v>
      </c>
      <c r="Q37" s="44"/>
      <c r="R37" s="44"/>
      <c r="S37" s="44">
        <v>0</v>
      </c>
      <c r="T37" s="44">
        <v>11224.29</v>
      </c>
      <c r="U37" s="44">
        <v>0</v>
      </c>
      <c r="V37" s="44">
        <v>0</v>
      </c>
      <c r="W37" s="232"/>
      <c r="X37" s="233">
        <v>4275.92</v>
      </c>
      <c r="Y37" s="233"/>
      <c r="Z37" s="233"/>
      <c r="AA37" s="233"/>
      <c r="AB37" s="233"/>
      <c r="AC37" s="233"/>
      <c r="AD37" s="233"/>
      <c r="AE37" s="233"/>
      <c r="AF37" s="233"/>
      <c r="AG37" s="233"/>
      <c r="AH37" s="233"/>
      <c r="AI37" s="252"/>
      <c r="AJ37" s="253"/>
      <c r="AK37" s="254">
        <v>10000</v>
      </c>
      <c r="AL37" s="254"/>
      <c r="AM37" s="254"/>
      <c r="AN37" s="254"/>
      <c r="AO37" s="254"/>
      <c r="AP37" s="254"/>
      <c r="AQ37" s="254"/>
      <c r="AR37" s="254"/>
      <c r="AS37" s="254"/>
      <c r="AT37" s="254"/>
      <c r="AU37" s="267"/>
      <c r="AV37" s="266">
        <f t="shared" si="2"/>
        <v>33004.17</v>
      </c>
      <c r="AW37" s="274">
        <f t="shared" si="0"/>
        <v>10000</v>
      </c>
      <c r="AX37" s="275">
        <f t="shared" si="1"/>
        <v>23004.17</v>
      </c>
      <c r="AY37" s="278">
        <v>90</v>
      </c>
      <c r="AZ37" s="279"/>
      <c r="BA37" s="91"/>
      <c r="BB37" s="101">
        <f>IFERROR(VLOOKUP(D37,Sheet2!D:O,12,FALSE),"")</f>
        <v>23004.17</v>
      </c>
      <c r="BC37" s="101">
        <f t="shared" si="3"/>
        <v>0</v>
      </c>
    </row>
    <row r="38" s="10" customFormat="1" ht="24.05" customHeight="1" spans="2:55">
      <c r="B38" s="57" t="s">
        <v>81</v>
      </c>
      <c r="C38" s="46" t="s">
        <v>308</v>
      </c>
      <c r="D38" s="46" t="s">
        <v>309</v>
      </c>
      <c r="E38" s="217">
        <v>0</v>
      </c>
      <c r="F38" s="217">
        <v>0</v>
      </c>
      <c r="G38" s="217" t="s">
        <v>286</v>
      </c>
      <c r="H38" s="217"/>
      <c r="I38" s="217"/>
      <c r="J38" s="217" t="s">
        <v>286</v>
      </c>
      <c r="K38" s="221">
        <v>0</v>
      </c>
      <c r="L38" s="221">
        <v>0</v>
      </c>
      <c r="M38" s="221">
        <v>0</v>
      </c>
      <c r="N38" s="44">
        <v>0</v>
      </c>
      <c r="O38" s="44">
        <v>0</v>
      </c>
      <c r="P38" s="44">
        <v>11865</v>
      </c>
      <c r="Q38" s="44"/>
      <c r="R38" s="44"/>
      <c r="S38" s="44">
        <v>0</v>
      </c>
      <c r="T38" s="44">
        <v>0</v>
      </c>
      <c r="U38" s="44">
        <v>0</v>
      </c>
      <c r="V38" s="44">
        <v>0</v>
      </c>
      <c r="W38" s="232">
        <v>16618.91</v>
      </c>
      <c r="X38" s="233"/>
      <c r="Y38" s="233">
        <v>1271.25</v>
      </c>
      <c r="Z38" s="233"/>
      <c r="AA38" s="233"/>
      <c r="AB38" s="233"/>
      <c r="AC38" s="233"/>
      <c r="AD38" s="233"/>
      <c r="AE38" s="233"/>
      <c r="AF38" s="233"/>
      <c r="AG38" s="233"/>
      <c r="AH38" s="233"/>
      <c r="AI38" s="252"/>
      <c r="AJ38" s="253"/>
      <c r="AK38" s="254">
        <v>10000</v>
      </c>
      <c r="AL38" s="254"/>
      <c r="AM38" s="254"/>
      <c r="AN38" s="254"/>
      <c r="AO38" s="254"/>
      <c r="AP38" s="254"/>
      <c r="AQ38" s="254"/>
      <c r="AR38" s="254"/>
      <c r="AS38" s="254"/>
      <c r="AT38" s="254"/>
      <c r="AU38" s="267"/>
      <c r="AV38" s="266">
        <f t="shared" ref="AV38:AV62" si="4">SUM(E38:AH38)</f>
        <v>29755.16</v>
      </c>
      <c r="AW38" s="274">
        <f t="shared" si="0"/>
        <v>10000</v>
      </c>
      <c r="AX38" s="275">
        <f t="shared" si="1"/>
        <v>19755.16</v>
      </c>
      <c r="AY38" s="278">
        <v>90</v>
      </c>
      <c r="AZ38" s="279"/>
      <c r="BA38" s="91"/>
      <c r="BB38" s="101">
        <f>IFERROR(VLOOKUP(D38,Sheet2!D:O,12,FALSE),"")</f>
        <v>19755.16</v>
      </c>
      <c r="BC38" s="101">
        <f t="shared" si="3"/>
        <v>0</v>
      </c>
    </row>
    <row r="39" s="10" customFormat="1" ht="24.05" customHeight="1" spans="2:55">
      <c r="B39" s="57" t="s">
        <v>81</v>
      </c>
      <c r="C39" s="46" t="s">
        <v>314</v>
      </c>
      <c r="D39" s="46" t="s">
        <v>315</v>
      </c>
      <c r="E39" s="217">
        <v>0</v>
      </c>
      <c r="F39" s="217">
        <v>0</v>
      </c>
      <c r="G39" s="217" t="s">
        <v>286</v>
      </c>
      <c r="H39" s="217"/>
      <c r="I39" s="217"/>
      <c r="J39" s="217" t="s">
        <v>286</v>
      </c>
      <c r="K39" s="221">
        <v>0</v>
      </c>
      <c r="L39" s="221">
        <v>0</v>
      </c>
      <c r="M39" s="221">
        <v>0</v>
      </c>
      <c r="N39" s="44">
        <v>0</v>
      </c>
      <c r="O39" s="44">
        <v>65285.6</v>
      </c>
      <c r="P39" s="44">
        <v>65558.08</v>
      </c>
      <c r="Q39" s="44">
        <v>0</v>
      </c>
      <c r="R39" s="44">
        <v>0</v>
      </c>
      <c r="S39" s="44">
        <v>0</v>
      </c>
      <c r="T39" s="44">
        <v>15905.88</v>
      </c>
      <c r="U39" s="44">
        <v>0</v>
      </c>
      <c r="V39" s="44">
        <v>86779.48</v>
      </c>
      <c r="W39" s="232">
        <v>53155.2</v>
      </c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52"/>
      <c r="AJ39" s="253"/>
      <c r="AK39" s="254"/>
      <c r="AL39" s="254"/>
      <c r="AM39" s="254"/>
      <c r="AN39" s="254"/>
      <c r="AO39" s="254"/>
      <c r="AP39" s="254"/>
      <c r="AQ39" s="254"/>
      <c r="AR39" s="254"/>
      <c r="AS39" s="254"/>
      <c r="AT39" s="254"/>
      <c r="AU39" s="267"/>
      <c r="AV39" s="266">
        <f t="shared" si="4"/>
        <v>286684.24</v>
      </c>
      <c r="AW39" s="274">
        <f t="shared" si="0"/>
        <v>0</v>
      </c>
      <c r="AX39" s="275">
        <f t="shared" si="1"/>
        <v>286684.24</v>
      </c>
      <c r="AY39" s="278">
        <v>90</v>
      </c>
      <c r="AZ39" s="279"/>
      <c r="BA39" s="91"/>
      <c r="BB39" s="101">
        <f>IFERROR(VLOOKUP(D39,Sheet2!D:O,12,FALSE),"")</f>
        <v>286684.24</v>
      </c>
      <c r="BC39" s="101">
        <f t="shared" si="3"/>
        <v>0</v>
      </c>
    </row>
    <row r="40" s="10" customFormat="1" ht="24.05" customHeight="1" spans="2:55">
      <c r="B40" s="57" t="s">
        <v>81</v>
      </c>
      <c r="C40" s="46" t="s">
        <v>316</v>
      </c>
      <c r="D40" s="46" t="s">
        <v>317</v>
      </c>
      <c r="E40" s="217" t="s">
        <v>286</v>
      </c>
      <c r="F40" s="217" t="s">
        <v>286</v>
      </c>
      <c r="G40" s="217" t="s">
        <v>286</v>
      </c>
      <c r="H40" s="217"/>
      <c r="I40" s="217"/>
      <c r="J40" s="217" t="s">
        <v>286</v>
      </c>
      <c r="K40" s="221">
        <v>0</v>
      </c>
      <c r="L40" s="221">
        <v>0</v>
      </c>
      <c r="M40" s="221">
        <v>0</v>
      </c>
      <c r="N40" s="44">
        <v>2815.34</v>
      </c>
      <c r="O40" s="44">
        <v>0</v>
      </c>
      <c r="P40" s="44">
        <v>0</v>
      </c>
      <c r="Q40" s="44">
        <v>0</v>
      </c>
      <c r="R40" s="44">
        <v>0</v>
      </c>
      <c r="S40" s="44">
        <v>0</v>
      </c>
      <c r="T40" s="44">
        <v>0</v>
      </c>
      <c r="U40" s="44">
        <v>0</v>
      </c>
      <c r="V40" s="44">
        <v>0</v>
      </c>
      <c r="W40" s="232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52"/>
      <c r="AJ40" s="253"/>
      <c r="AK40" s="254"/>
      <c r="AL40" s="254"/>
      <c r="AM40" s="254"/>
      <c r="AN40" s="254"/>
      <c r="AO40" s="254"/>
      <c r="AP40" s="254"/>
      <c r="AQ40" s="254"/>
      <c r="AR40" s="254"/>
      <c r="AS40" s="254"/>
      <c r="AT40" s="254"/>
      <c r="AU40" s="267"/>
      <c r="AV40" s="266">
        <f t="shared" si="4"/>
        <v>2815.34</v>
      </c>
      <c r="AW40" s="274">
        <f t="shared" si="0"/>
        <v>0</v>
      </c>
      <c r="AX40" s="275">
        <f t="shared" si="1"/>
        <v>2815.34</v>
      </c>
      <c r="AY40" s="278">
        <v>90</v>
      </c>
      <c r="AZ40" s="279"/>
      <c r="BA40" s="91"/>
      <c r="BB40" s="101">
        <f>IFERROR(VLOOKUP(D40,Sheet2!D:O,12,FALSE),"")</f>
        <v>2815.34</v>
      </c>
      <c r="BC40" s="101">
        <f t="shared" si="3"/>
        <v>0</v>
      </c>
    </row>
    <row r="41" s="10" customFormat="1" ht="24.05" customHeight="1" spans="2:55">
      <c r="B41" s="57" t="s">
        <v>81</v>
      </c>
      <c r="C41" s="46" t="s">
        <v>322</v>
      </c>
      <c r="D41" s="46" t="s">
        <v>323</v>
      </c>
      <c r="E41" s="217">
        <v>0</v>
      </c>
      <c r="F41" s="217">
        <v>0</v>
      </c>
      <c r="G41" s="217">
        <v>0</v>
      </c>
      <c r="H41" s="217"/>
      <c r="I41" s="217"/>
      <c r="J41" s="217" t="s">
        <v>286</v>
      </c>
      <c r="K41" s="221">
        <v>0</v>
      </c>
      <c r="L41" s="221">
        <v>0</v>
      </c>
      <c r="M41" s="221">
        <v>0</v>
      </c>
      <c r="N41" s="44">
        <v>102369.79</v>
      </c>
      <c r="O41" s="44">
        <v>0</v>
      </c>
      <c r="P41" s="44">
        <v>148115.88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193710.25</v>
      </c>
      <c r="W41" s="232">
        <f>93236.3+11260.22</f>
        <v>104496.52</v>
      </c>
      <c r="X41" s="233"/>
      <c r="Y41" s="233">
        <v>47882.62</v>
      </c>
      <c r="Z41" s="233"/>
      <c r="AA41" s="233"/>
      <c r="AB41" s="233"/>
      <c r="AC41" s="233"/>
      <c r="AD41" s="233"/>
      <c r="AE41" s="233"/>
      <c r="AF41" s="233"/>
      <c r="AG41" s="233"/>
      <c r="AH41" s="233"/>
      <c r="AI41" s="252"/>
      <c r="AJ41" s="253">
        <v>40000</v>
      </c>
      <c r="AK41" s="254">
        <v>40000</v>
      </c>
      <c r="AL41" s="254"/>
      <c r="AM41" s="254"/>
      <c r="AN41" s="254"/>
      <c r="AO41" s="254"/>
      <c r="AP41" s="254"/>
      <c r="AQ41" s="254"/>
      <c r="AR41" s="254"/>
      <c r="AS41" s="254"/>
      <c r="AT41" s="254"/>
      <c r="AU41" s="267"/>
      <c r="AV41" s="266">
        <f t="shared" si="4"/>
        <v>596575.06</v>
      </c>
      <c r="AW41" s="274">
        <f t="shared" si="0"/>
        <v>80000</v>
      </c>
      <c r="AX41" s="275">
        <f t="shared" si="1"/>
        <v>516575.06</v>
      </c>
      <c r="AY41" s="278">
        <v>90</v>
      </c>
      <c r="AZ41" s="279"/>
      <c r="BA41" s="91"/>
      <c r="BB41" s="101">
        <f>IFERROR(VLOOKUP(D41,Sheet2!D:O,12,FALSE),"")</f>
        <v>516575.06</v>
      </c>
      <c r="BC41" s="101">
        <f t="shared" si="3"/>
        <v>0</v>
      </c>
    </row>
    <row r="42" s="10" customFormat="1" ht="24.05" customHeight="1" spans="2:55">
      <c r="B42" s="57" t="s">
        <v>81</v>
      </c>
      <c r="C42" s="46" t="s">
        <v>324</v>
      </c>
      <c r="D42" s="46" t="s">
        <v>325</v>
      </c>
      <c r="E42" s="217">
        <v>0</v>
      </c>
      <c r="F42" s="217">
        <v>0</v>
      </c>
      <c r="G42" s="217">
        <v>0</v>
      </c>
      <c r="H42" s="217"/>
      <c r="I42" s="217"/>
      <c r="J42" s="217" t="s">
        <v>286</v>
      </c>
      <c r="K42" s="221">
        <v>0</v>
      </c>
      <c r="L42" s="221">
        <v>0</v>
      </c>
      <c r="M42" s="221">
        <v>566</v>
      </c>
      <c r="N42" s="44">
        <v>0</v>
      </c>
      <c r="O42" s="44">
        <v>0</v>
      </c>
      <c r="P42" s="44">
        <v>0</v>
      </c>
      <c r="Q42" s="44">
        <v>16159</v>
      </c>
      <c r="R42" s="44">
        <v>0</v>
      </c>
      <c r="S42" s="44">
        <v>0</v>
      </c>
      <c r="T42" s="44">
        <v>14690</v>
      </c>
      <c r="U42" s="44">
        <v>0</v>
      </c>
      <c r="V42" s="44">
        <v>0</v>
      </c>
      <c r="W42" s="232">
        <v>14690</v>
      </c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52"/>
      <c r="AJ42" s="253"/>
      <c r="AK42" s="254"/>
      <c r="AL42" s="254"/>
      <c r="AM42" s="254"/>
      <c r="AN42" s="254"/>
      <c r="AO42" s="254"/>
      <c r="AP42" s="254"/>
      <c r="AQ42" s="254"/>
      <c r="AR42" s="254"/>
      <c r="AS42" s="254"/>
      <c r="AT42" s="254"/>
      <c r="AU42" s="267"/>
      <c r="AV42" s="266">
        <f t="shared" si="4"/>
        <v>46105</v>
      </c>
      <c r="AW42" s="274">
        <f t="shared" si="0"/>
        <v>0</v>
      </c>
      <c r="AX42" s="275">
        <f t="shared" si="1"/>
        <v>46105</v>
      </c>
      <c r="AY42" s="278">
        <v>90</v>
      </c>
      <c r="AZ42" s="279"/>
      <c r="BA42" s="91"/>
      <c r="BB42" s="101">
        <f>IFERROR(VLOOKUP(D42,Sheet2!D:O,12,FALSE),"")</f>
        <v>46105</v>
      </c>
      <c r="BC42" s="101">
        <f t="shared" si="3"/>
        <v>0</v>
      </c>
    </row>
    <row r="43" s="11" customFormat="1" ht="24.05" customHeight="1" spans="2:55">
      <c r="B43" s="219" t="s">
        <v>81</v>
      </c>
      <c r="C43" s="51" t="s">
        <v>326</v>
      </c>
      <c r="D43" s="51" t="s">
        <v>327</v>
      </c>
      <c r="E43" s="218">
        <v>0</v>
      </c>
      <c r="F43" s="218">
        <v>0</v>
      </c>
      <c r="G43" s="218">
        <v>0</v>
      </c>
      <c r="H43" s="218"/>
      <c r="I43" s="218"/>
      <c r="J43" s="218" t="s">
        <v>286</v>
      </c>
      <c r="K43" s="222">
        <v>0</v>
      </c>
      <c r="L43" s="222">
        <v>0</v>
      </c>
      <c r="M43" s="222">
        <v>55514.15</v>
      </c>
      <c r="N43" s="223">
        <v>0</v>
      </c>
      <c r="O43" s="223">
        <v>0</v>
      </c>
      <c r="P43" s="223">
        <v>0</v>
      </c>
      <c r="Q43" s="223">
        <v>0</v>
      </c>
      <c r="R43" s="223">
        <v>11277.08</v>
      </c>
      <c r="S43" s="223">
        <v>39678.9</v>
      </c>
      <c r="T43" s="223">
        <v>16353.01</v>
      </c>
      <c r="U43" s="223">
        <v>6402.02</v>
      </c>
      <c r="V43" s="223">
        <v>7786.93</v>
      </c>
      <c r="W43" s="237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57"/>
      <c r="AJ43" s="258"/>
      <c r="AK43" s="255"/>
      <c r="AL43" s="255"/>
      <c r="AM43" s="255"/>
      <c r="AN43" s="255"/>
      <c r="AO43" s="255"/>
      <c r="AP43" s="255"/>
      <c r="AQ43" s="255"/>
      <c r="AR43" s="255"/>
      <c r="AS43" s="255"/>
      <c r="AT43" s="255"/>
      <c r="AU43" s="268"/>
      <c r="AV43" s="269">
        <f t="shared" si="4"/>
        <v>137012.09</v>
      </c>
      <c r="AW43" s="282">
        <f t="shared" si="0"/>
        <v>0</v>
      </c>
      <c r="AX43" s="283">
        <f t="shared" si="1"/>
        <v>137012.09</v>
      </c>
      <c r="AY43" s="286">
        <v>90</v>
      </c>
      <c r="AZ43" s="285"/>
      <c r="BA43" s="102"/>
      <c r="BB43" s="101">
        <f>IFERROR(VLOOKUP(D43,Sheet2!D:O,12,FALSE),"")</f>
        <v>137012.09</v>
      </c>
      <c r="BC43" s="103">
        <f t="shared" si="3"/>
        <v>0</v>
      </c>
    </row>
    <row r="44" s="10" customFormat="1" ht="24.05" customHeight="1" spans="2:55">
      <c r="B44" s="57" t="s">
        <v>81</v>
      </c>
      <c r="C44" s="46" t="s">
        <v>438</v>
      </c>
      <c r="D44" s="46" t="s">
        <v>331</v>
      </c>
      <c r="E44" s="217">
        <v>0</v>
      </c>
      <c r="F44" s="217">
        <v>0</v>
      </c>
      <c r="G44" s="217">
        <v>0</v>
      </c>
      <c r="H44" s="217"/>
      <c r="I44" s="217"/>
      <c r="J44" s="217" t="s">
        <v>286</v>
      </c>
      <c r="K44" s="221">
        <v>0</v>
      </c>
      <c r="L44" s="221">
        <v>0</v>
      </c>
      <c r="M44" s="221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1500.64</v>
      </c>
      <c r="T44" s="44">
        <v>0</v>
      </c>
      <c r="U44" s="44">
        <v>0</v>
      </c>
      <c r="V44" s="44">
        <v>0</v>
      </c>
      <c r="W44" s="232"/>
      <c r="X44" s="233"/>
      <c r="Y44" s="233"/>
      <c r="Z44" s="233"/>
      <c r="AA44" s="233"/>
      <c r="AB44" s="233"/>
      <c r="AC44" s="233"/>
      <c r="AD44" s="233"/>
      <c r="AE44" s="233"/>
      <c r="AF44" s="233"/>
      <c r="AG44" s="233"/>
      <c r="AH44" s="233"/>
      <c r="AI44" s="252"/>
      <c r="AJ44" s="253"/>
      <c r="AK44" s="254"/>
      <c r="AL44" s="254"/>
      <c r="AM44" s="254"/>
      <c r="AN44" s="254"/>
      <c r="AO44" s="254"/>
      <c r="AP44" s="254"/>
      <c r="AQ44" s="255"/>
      <c r="AR44" s="254"/>
      <c r="AS44" s="254"/>
      <c r="AT44" s="254"/>
      <c r="AU44" s="267"/>
      <c r="AV44" s="266">
        <f t="shared" si="4"/>
        <v>1500.64</v>
      </c>
      <c r="AW44" s="274">
        <f t="shared" si="0"/>
        <v>0</v>
      </c>
      <c r="AX44" s="275">
        <f t="shared" si="1"/>
        <v>1500.64</v>
      </c>
      <c r="AY44" s="278">
        <v>90</v>
      </c>
      <c r="AZ44" s="279"/>
      <c r="BA44" s="91"/>
      <c r="BB44" s="101">
        <f>IFERROR(VLOOKUP(D44,Sheet2!D:O,12,FALSE),"")</f>
        <v>1500.64</v>
      </c>
      <c r="BC44" s="101">
        <f t="shared" si="3"/>
        <v>0</v>
      </c>
    </row>
    <row r="45" s="10" customFormat="1" ht="24.05" customHeight="1" spans="2:55">
      <c r="B45" s="57" t="s">
        <v>81</v>
      </c>
      <c r="C45" s="46" t="s">
        <v>124</v>
      </c>
      <c r="D45" s="46" t="s">
        <v>125</v>
      </c>
      <c r="E45" s="217">
        <v>33981.36</v>
      </c>
      <c r="F45" s="217">
        <v>5410.44</v>
      </c>
      <c r="G45" s="217">
        <v>3986.64</v>
      </c>
      <c r="H45" s="217"/>
      <c r="I45" s="217"/>
      <c r="J45" s="217">
        <v>0</v>
      </c>
      <c r="K45" s="221">
        <v>0</v>
      </c>
      <c r="L45" s="221">
        <v>0</v>
      </c>
      <c r="M45" s="221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232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52"/>
      <c r="AJ45" s="253"/>
      <c r="AK45" s="254"/>
      <c r="AL45" s="254"/>
      <c r="AM45" s="254"/>
      <c r="AN45" s="254"/>
      <c r="AO45" s="254"/>
      <c r="AP45" s="254"/>
      <c r="AQ45" s="255"/>
      <c r="AR45" s="254"/>
      <c r="AS45" s="254"/>
      <c r="AT45" s="254"/>
      <c r="AU45" s="267"/>
      <c r="AV45" s="266">
        <f t="shared" si="4"/>
        <v>43378.44</v>
      </c>
      <c r="AW45" s="274">
        <f t="shared" si="0"/>
        <v>0</v>
      </c>
      <c r="AX45" s="275">
        <f t="shared" si="1"/>
        <v>43378.44</v>
      </c>
      <c r="AY45" s="278">
        <v>90</v>
      </c>
      <c r="AZ45" s="279"/>
      <c r="BA45" s="91"/>
      <c r="BB45" s="101">
        <f>IFERROR(VLOOKUP(D45,Sheet2!D:O,12,FALSE),"")</f>
        <v>43378.44</v>
      </c>
      <c r="BC45" s="101">
        <f t="shared" si="3"/>
        <v>0</v>
      </c>
    </row>
    <row r="46" s="10" customFormat="1" ht="24.05" customHeight="1" spans="2:55">
      <c r="B46" s="57" t="s">
        <v>81</v>
      </c>
      <c r="C46" s="46" t="s">
        <v>439</v>
      </c>
      <c r="D46" s="46" t="s">
        <v>334</v>
      </c>
      <c r="E46" s="217"/>
      <c r="F46" s="217"/>
      <c r="G46" s="217"/>
      <c r="H46" s="217"/>
      <c r="I46" s="217"/>
      <c r="J46" s="217" t="s">
        <v>286</v>
      </c>
      <c r="K46" s="221">
        <v>0</v>
      </c>
      <c r="L46" s="221">
        <v>0</v>
      </c>
      <c r="M46" s="221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28982.13</v>
      </c>
      <c r="T46" s="44">
        <v>0</v>
      </c>
      <c r="U46" s="44">
        <v>0</v>
      </c>
      <c r="V46" s="44">
        <v>0</v>
      </c>
      <c r="W46" s="232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52"/>
      <c r="AJ46" s="253"/>
      <c r="AK46" s="254"/>
      <c r="AL46" s="254"/>
      <c r="AM46" s="254"/>
      <c r="AN46" s="254"/>
      <c r="AO46" s="254"/>
      <c r="AP46" s="254"/>
      <c r="AQ46" s="254"/>
      <c r="AR46" s="254"/>
      <c r="AS46" s="254"/>
      <c r="AT46" s="254"/>
      <c r="AU46" s="267"/>
      <c r="AV46" s="266">
        <f t="shared" si="4"/>
        <v>28982.13</v>
      </c>
      <c r="AW46" s="274">
        <f t="shared" si="0"/>
        <v>0</v>
      </c>
      <c r="AX46" s="275">
        <f t="shared" si="1"/>
        <v>28982.13</v>
      </c>
      <c r="AY46" s="278">
        <v>90</v>
      </c>
      <c r="AZ46" s="279"/>
      <c r="BA46" s="91"/>
      <c r="BB46" s="101">
        <f>IFERROR(VLOOKUP(D46,Sheet2!D:O,12,FALSE),"")</f>
        <v>28982.13</v>
      </c>
      <c r="BC46" s="101">
        <f t="shared" si="3"/>
        <v>0</v>
      </c>
    </row>
    <row r="47" s="10" customFormat="1" ht="24.05" customHeight="1" spans="2:55">
      <c r="B47" s="57" t="s">
        <v>81</v>
      </c>
      <c r="C47" s="46" t="s">
        <v>440</v>
      </c>
      <c r="D47" s="46" t="s">
        <v>335</v>
      </c>
      <c r="E47" s="217"/>
      <c r="F47" s="217"/>
      <c r="G47" s="217"/>
      <c r="H47" s="217"/>
      <c r="I47" s="217"/>
      <c r="J47" s="217"/>
      <c r="K47" s="221"/>
      <c r="L47" s="221"/>
      <c r="M47" s="221"/>
      <c r="N47" s="44"/>
      <c r="O47" s="44"/>
      <c r="P47" s="44"/>
      <c r="Q47" s="44"/>
      <c r="R47" s="44"/>
      <c r="S47" s="44"/>
      <c r="T47" s="44">
        <v>0</v>
      </c>
      <c r="U47" s="44">
        <v>60504.28</v>
      </c>
      <c r="V47" s="44">
        <v>0</v>
      </c>
      <c r="W47" s="232">
        <v>20988.62</v>
      </c>
      <c r="X47" s="233">
        <v>0</v>
      </c>
      <c r="Y47" s="233"/>
      <c r="Z47" s="233"/>
      <c r="AA47" s="233"/>
      <c r="AB47" s="233"/>
      <c r="AC47" s="233"/>
      <c r="AD47" s="233"/>
      <c r="AE47" s="233"/>
      <c r="AF47" s="233"/>
      <c r="AG47" s="233"/>
      <c r="AH47" s="233"/>
      <c r="AI47" s="252"/>
      <c r="AJ47" s="253"/>
      <c r="AK47" s="254"/>
      <c r="AL47" s="254"/>
      <c r="AM47" s="254"/>
      <c r="AN47" s="254"/>
      <c r="AO47" s="254"/>
      <c r="AP47" s="254"/>
      <c r="AQ47" s="254"/>
      <c r="AR47" s="254"/>
      <c r="AS47" s="254"/>
      <c r="AT47" s="254"/>
      <c r="AU47" s="267"/>
      <c r="AV47" s="266">
        <f t="shared" si="4"/>
        <v>81492.9</v>
      </c>
      <c r="AW47" s="274">
        <f t="shared" si="0"/>
        <v>0</v>
      </c>
      <c r="AX47" s="275">
        <f t="shared" si="1"/>
        <v>81492.9</v>
      </c>
      <c r="AY47" s="278">
        <v>90</v>
      </c>
      <c r="AZ47" s="279"/>
      <c r="BA47" s="91"/>
      <c r="BB47" s="101">
        <f>IFERROR(VLOOKUP(D47,Sheet2!D:O,12,FALSE),"")</f>
        <v>81492.9</v>
      </c>
      <c r="BC47" s="101">
        <f t="shared" si="3"/>
        <v>0</v>
      </c>
    </row>
    <row r="48" s="10" customFormat="1" ht="24.05" customHeight="1" spans="2:55">
      <c r="B48" s="57" t="s">
        <v>81</v>
      </c>
      <c r="C48" s="46" t="s">
        <v>441</v>
      </c>
      <c r="D48" s="46" t="s">
        <v>336</v>
      </c>
      <c r="E48" s="217"/>
      <c r="F48" s="217"/>
      <c r="G48" s="217"/>
      <c r="H48" s="217"/>
      <c r="I48" s="217"/>
      <c r="J48" s="217"/>
      <c r="K48" s="221"/>
      <c r="L48" s="221"/>
      <c r="M48" s="221"/>
      <c r="N48" s="44"/>
      <c r="O48" s="44"/>
      <c r="P48" s="44"/>
      <c r="Q48" s="44"/>
      <c r="R48" s="44"/>
      <c r="S48" s="44"/>
      <c r="T48" s="44">
        <v>0</v>
      </c>
      <c r="U48" s="44">
        <v>5237.55</v>
      </c>
      <c r="V48" s="44">
        <v>0</v>
      </c>
      <c r="W48" s="232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52"/>
      <c r="AJ48" s="253"/>
      <c r="AK48" s="254"/>
      <c r="AL48" s="254"/>
      <c r="AM48" s="254"/>
      <c r="AN48" s="254"/>
      <c r="AO48" s="254"/>
      <c r="AP48" s="254"/>
      <c r="AQ48" s="254"/>
      <c r="AR48" s="254"/>
      <c r="AS48" s="254"/>
      <c r="AT48" s="254"/>
      <c r="AU48" s="267"/>
      <c r="AV48" s="266">
        <f t="shared" si="4"/>
        <v>5237.55</v>
      </c>
      <c r="AW48" s="274">
        <f t="shared" si="0"/>
        <v>0</v>
      </c>
      <c r="AX48" s="275">
        <f t="shared" si="1"/>
        <v>5237.55</v>
      </c>
      <c r="AY48" s="278">
        <v>90</v>
      </c>
      <c r="AZ48" s="279"/>
      <c r="BA48" s="91"/>
      <c r="BB48" s="101">
        <f>IFERROR(VLOOKUP(D48,Sheet2!D:O,12,FALSE),"")</f>
        <v>5237.55</v>
      </c>
      <c r="BC48" s="101">
        <f t="shared" si="3"/>
        <v>0</v>
      </c>
    </row>
    <row r="49" s="10" customFormat="1" ht="24.05" customHeight="1" spans="2:55">
      <c r="B49" s="57" t="s">
        <v>81</v>
      </c>
      <c r="C49" s="46" t="s">
        <v>442</v>
      </c>
      <c r="D49" s="46" t="s">
        <v>337</v>
      </c>
      <c r="E49" s="217"/>
      <c r="F49" s="217"/>
      <c r="G49" s="217"/>
      <c r="H49" s="217"/>
      <c r="I49" s="217"/>
      <c r="J49" s="217"/>
      <c r="K49" s="221"/>
      <c r="L49" s="221"/>
      <c r="M49" s="221"/>
      <c r="N49" s="44"/>
      <c r="O49" s="44"/>
      <c r="P49" s="44"/>
      <c r="Q49" s="44"/>
      <c r="R49" s="44"/>
      <c r="S49" s="44"/>
      <c r="T49" s="44">
        <v>0</v>
      </c>
      <c r="U49" s="44">
        <v>41188.95</v>
      </c>
      <c r="V49" s="44">
        <v>0</v>
      </c>
      <c r="W49" s="232"/>
      <c r="X49" s="233"/>
      <c r="Y49" s="233"/>
      <c r="Z49" s="233"/>
      <c r="AA49" s="233"/>
      <c r="AB49" s="233"/>
      <c r="AC49" s="233"/>
      <c r="AD49" s="233"/>
      <c r="AE49" s="233"/>
      <c r="AF49" s="233"/>
      <c r="AG49" s="233"/>
      <c r="AH49" s="233"/>
      <c r="AI49" s="252"/>
      <c r="AJ49" s="253"/>
      <c r="AK49" s="254"/>
      <c r="AL49" s="254"/>
      <c r="AM49" s="254"/>
      <c r="AN49" s="254"/>
      <c r="AO49" s="254"/>
      <c r="AP49" s="254"/>
      <c r="AQ49" s="255"/>
      <c r="AR49" s="254"/>
      <c r="AS49" s="254"/>
      <c r="AT49" s="254"/>
      <c r="AU49" s="267"/>
      <c r="AV49" s="266">
        <f t="shared" si="4"/>
        <v>41188.95</v>
      </c>
      <c r="AW49" s="274">
        <f t="shared" si="0"/>
        <v>0</v>
      </c>
      <c r="AX49" s="275">
        <f t="shared" si="1"/>
        <v>41188.95</v>
      </c>
      <c r="AY49" s="278">
        <v>90</v>
      </c>
      <c r="AZ49" s="279"/>
      <c r="BA49" s="91"/>
      <c r="BB49" s="101">
        <f>IFERROR(VLOOKUP(D49,Sheet2!D:O,12,FALSE),"")</f>
        <v>41188.95</v>
      </c>
      <c r="BC49" s="101">
        <f t="shared" si="3"/>
        <v>0</v>
      </c>
    </row>
    <row r="50" s="10" customFormat="1" ht="24.05" customHeight="1" spans="2:55">
      <c r="B50" s="57" t="s">
        <v>81</v>
      </c>
      <c r="C50" s="46" t="s">
        <v>297</v>
      </c>
      <c r="D50" s="46" t="s">
        <v>298</v>
      </c>
      <c r="E50" s="217" t="s">
        <v>286</v>
      </c>
      <c r="F50" s="217" t="s">
        <v>286</v>
      </c>
      <c r="G50" s="217" t="s">
        <v>286</v>
      </c>
      <c r="H50" s="217"/>
      <c r="I50" s="217"/>
      <c r="J50" s="217" t="s">
        <v>286</v>
      </c>
      <c r="K50" s="221">
        <v>0</v>
      </c>
      <c r="L50" s="221">
        <v>0</v>
      </c>
      <c r="M50" s="221">
        <v>0</v>
      </c>
      <c r="N50" s="44">
        <v>0</v>
      </c>
      <c r="O50" s="44">
        <v>0</v>
      </c>
      <c r="P50" s="44">
        <v>0</v>
      </c>
      <c r="Q50" s="44"/>
      <c r="R50" s="44"/>
      <c r="S50" s="44"/>
      <c r="T50" s="44">
        <v>0</v>
      </c>
      <c r="U50" s="44">
        <v>0</v>
      </c>
      <c r="V50" s="44">
        <v>0</v>
      </c>
      <c r="W50" s="232"/>
      <c r="X50" s="233"/>
      <c r="Y50" s="233"/>
      <c r="Z50" s="233"/>
      <c r="AA50" s="233"/>
      <c r="AB50" s="233"/>
      <c r="AC50" s="233"/>
      <c r="AD50" s="233"/>
      <c r="AE50" s="233"/>
      <c r="AF50" s="233"/>
      <c r="AG50" s="233"/>
      <c r="AH50" s="233"/>
      <c r="AI50" s="252"/>
      <c r="AJ50" s="253"/>
      <c r="AK50" s="254"/>
      <c r="AL50" s="254"/>
      <c r="AM50" s="254"/>
      <c r="AN50" s="254"/>
      <c r="AO50" s="254"/>
      <c r="AP50" s="254"/>
      <c r="AQ50" s="254"/>
      <c r="AR50" s="254"/>
      <c r="AS50" s="254"/>
      <c r="AT50" s="254"/>
      <c r="AU50" s="267"/>
      <c r="AV50" s="266">
        <f t="shared" si="4"/>
        <v>0</v>
      </c>
      <c r="AW50" s="274">
        <f t="shared" si="0"/>
        <v>0</v>
      </c>
      <c r="AX50" s="275">
        <f t="shared" si="1"/>
        <v>0</v>
      </c>
      <c r="AY50" s="278">
        <v>90</v>
      </c>
      <c r="AZ50" s="279"/>
      <c r="BA50" s="91"/>
      <c r="BB50" s="101">
        <f>IFERROR(VLOOKUP(D50,Sheet2!D:O,12,FALSE),"")</f>
        <v>0</v>
      </c>
      <c r="BC50" s="101">
        <f t="shared" si="3"/>
        <v>0</v>
      </c>
    </row>
    <row r="51" s="10" customFormat="1" ht="24.05" customHeight="1" spans="2:55">
      <c r="B51" s="57" t="s">
        <v>81</v>
      </c>
      <c r="C51" s="46" t="s">
        <v>299</v>
      </c>
      <c r="D51" s="46" t="s">
        <v>300</v>
      </c>
      <c r="E51" s="217" t="s">
        <v>286</v>
      </c>
      <c r="F51" s="217" t="s">
        <v>286</v>
      </c>
      <c r="G51" s="217" t="s">
        <v>286</v>
      </c>
      <c r="H51" s="217"/>
      <c r="I51" s="217"/>
      <c r="J51" s="217" t="s">
        <v>286</v>
      </c>
      <c r="K51" s="221">
        <v>0</v>
      </c>
      <c r="L51" s="221">
        <v>0</v>
      </c>
      <c r="M51" s="221">
        <v>0</v>
      </c>
      <c r="N51" s="44">
        <v>0</v>
      </c>
      <c r="O51" s="44">
        <v>0</v>
      </c>
      <c r="P51" s="44">
        <v>0</v>
      </c>
      <c r="Q51" s="44"/>
      <c r="R51" s="44"/>
      <c r="S51" s="44"/>
      <c r="T51" s="44">
        <v>0</v>
      </c>
      <c r="U51" s="44">
        <v>0</v>
      </c>
      <c r="V51" s="44">
        <v>0</v>
      </c>
      <c r="W51" s="232"/>
      <c r="X51" s="233"/>
      <c r="Y51" s="233"/>
      <c r="Z51" s="233"/>
      <c r="AA51" s="233"/>
      <c r="AB51" s="233"/>
      <c r="AC51" s="233"/>
      <c r="AD51" s="233"/>
      <c r="AE51" s="233"/>
      <c r="AF51" s="233"/>
      <c r="AG51" s="233"/>
      <c r="AH51" s="233"/>
      <c r="AI51" s="248"/>
      <c r="AJ51" s="249"/>
      <c r="AK51" s="250"/>
      <c r="AL51" s="250"/>
      <c r="AM51" s="250"/>
      <c r="AN51" s="250"/>
      <c r="AO51" s="250"/>
      <c r="AP51" s="250"/>
      <c r="AQ51" s="250"/>
      <c r="AR51" s="250"/>
      <c r="AS51" s="250"/>
      <c r="AT51" s="250"/>
      <c r="AU51" s="265"/>
      <c r="AV51" s="266">
        <f t="shared" si="4"/>
        <v>0</v>
      </c>
      <c r="AW51" s="274">
        <f t="shared" si="0"/>
        <v>0</v>
      </c>
      <c r="AX51" s="275">
        <f t="shared" si="1"/>
        <v>0</v>
      </c>
      <c r="AY51" s="276">
        <v>90</v>
      </c>
      <c r="AZ51" s="277"/>
      <c r="BA51" s="91"/>
      <c r="BB51" s="101" t="str">
        <f>IFERROR(VLOOKUP(D51,Sheet2!D:O,12,FALSE),"")</f>
        <v/>
      </c>
      <c r="BC51" s="101" t="str">
        <f t="shared" ref="BC51:BC59" si="5">IFERROR(AX51-BB51,"")</f>
        <v/>
      </c>
    </row>
    <row r="52" s="10" customFormat="1" ht="24.05" customHeight="1" spans="1:55">
      <c r="A52" s="220"/>
      <c r="B52" s="57" t="s">
        <v>81</v>
      </c>
      <c r="C52" s="46" t="s">
        <v>301</v>
      </c>
      <c r="D52" s="46" t="s">
        <v>302</v>
      </c>
      <c r="E52" s="217" t="s">
        <v>286</v>
      </c>
      <c r="F52" s="217" t="s">
        <v>286</v>
      </c>
      <c r="G52" s="217" t="s">
        <v>286</v>
      </c>
      <c r="H52" s="217"/>
      <c r="I52" s="217"/>
      <c r="J52" s="217" t="s">
        <v>286</v>
      </c>
      <c r="K52" s="221">
        <v>0</v>
      </c>
      <c r="L52" s="221">
        <v>0</v>
      </c>
      <c r="M52" s="221">
        <v>0</v>
      </c>
      <c r="N52" s="44">
        <v>0</v>
      </c>
      <c r="O52" s="44">
        <v>0</v>
      </c>
      <c r="P52" s="44">
        <v>0</v>
      </c>
      <c r="Q52" s="44"/>
      <c r="R52" s="44"/>
      <c r="S52" s="44"/>
      <c r="T52" s="44">
        <v>0</v>
      </c>
      <c r="U52" s="44">
        <v>0</v>
      </c>
      <c r="V52" s="44">
        <v>0</v>
      </c>
      <c r="W52" s="232"/>
      <c r="X52" s="233"/>
      <c r="Y52" s="233"/>
      <c r="Z52" s="233"/>
      <c r="AA52" s="233"/>
      <c r="AB52" s="233"/>
      <c r="AC52" s="238"/>
      <c r="AD52" s="238"/>
      <c r="AE52" s="233"/>
      <c r="AF52" s="233"/>
      <c r="AG52" s="233"/>
      <c r="AH52" s="233"/>
      <c r="AI52" s="248"/>
      <c r="AJ52" s="249"/>
      <c r="AK52" s="250"/>
      <c r="AL52" s="250"/>
      <c r="AM52" s="250"/>
      <c r="AN52" s="250"/>
      <c r="AO52" s="250"/>
      <c r="AP52" s="250"/>
      <c r="AQ52" s="250"/>
      <c r="AR52" s="250"/>
      <c r="AS52" s="250"/>
      <c r="AT52" s="250"/>
      <c r="AU52" s="265"/>
      <c r="AV52" s="266">
        <f t="shared" si="4"/>
        <v>0</v>
      </c>
      <c r="AW52" s="274">
        <f t="shared" si="0"/>
        <v>0</v>
      </c>
      <c r="AX52" s="275">
        <f t="shared" si="1"/>
        <v>0</v>
      </c>
      <c r="AY52" s="276">
        <v>90</v>
      </c>
      <c r="AZ52" s="277"/>
      <c r="BA52" s="91"/>
      <c r="BB52" s="101">
        <f>IFERROR(VLOOKUP(D52,Sheet2!D:O,12,FALSE),"")</f>
        <v>0</v>
      </c>
      <c r="BC52" s="101">
        <f t="shared" si="5"/>
        <v>0</v>
      </c>
    </row>
    <row r="53" s="10" customFormat="1" ht="24.05" customHeight="1" spans="2:55">
      <c r="B53" s="57" t="s">
        <v>81</v>
      </c>
      <c r="C53" s="46" t="s">
        <v>443</v>
      </c>
      <c r="D53" s="46" t="s">
        <v>444</v>
      </c>
      <c r="E53" s="217" t="s">
        <v>286</v>
      </c>
      <c r="F53" s="217" t="s">
        <v>286</v>
      </c>
      <c r="G53" s="217" t="s">
        <v>286</v>
      </c>
      <c r="H53" s="217"/>
      <c r="I53" s="217"/>
      <c r="J53" s="217" t="s">
        <v>286</v>
      </c>
      <c r="K53" s="221">
        <v>0</v>
      </c>
      <c r="L53" s="221">
        <v>0</v>
      </c>
      <c r="M53" s="221">
        <v>0</v>
      </c>
      <c r="N53" s="44">
        <v>0</v>
      </c>
      <c r="O53" s="44">
        <v>0</v>
      </c>
      <c r="P53" s="44">
        <v>0</v>
      </c>
      <c r="Q53" s="44"/>
      <c r="R53" s="44"/>
      <c r="S53" s="44"/>
      <c r="T53" s="44">
        <v>0</v>
      </c>
      <c r="U53" s="44">
        <v>0</v>
      </c>
      <c r="V53" s="44">
        <v>0</v>
      </c>
      <c r="W53" s="232"/>
      <c r="X53" s="233"/>
      <c r="Y53" s="233"/>
      <c r="Z53" s="233"/>
      <c r="AA53" s="233"/>
      <c r="AB53" s="233"/>
      <c r="AC53" s="233"/>
      <c r="AD53" s="233"/>
      <c r="AE53" s="233"/>
      <c r="AF53" s="233"/>
      <c r="AG53" s="233"/>
      <c r="AH53" s="233"/>
      <c r="AI53" s="248"/>
      <c r="AJ53" s="249"/>
      <c r="AK53" s="250"/>
      <c r="AL53" s="250"/>
      <c r="AM53" s="250"/>
      <c r="AN53" s="250"/>
      <c r="AO53" s="250"/>
      <c r="AP53" s="250"/>
      <c r="AQ53" s="250"/>
      <c r="AR53" s="250"/>
      <c r="AS53" s="250"/>
      <c r="AT53" s="250"/>
      <c r="AU53" s="265"/>
      <c r="AV53" s="266">
        <f t="shared" si="4"/>
        <v>0</v>
      </c>
      <c r="AW53" s="274">
        <f t="shared" si="0"/>
        <v>0</v>
      </c>
      <c r="AX53" s="275">
        <f t="shared" si="1"/>
        <v>0</v>
      </c>
      <c r="AY53" s="276">
        <v>90</v>
      </c>
      <c r="AZ53" s="277"/>
      <c r="BA53" s="91"/>
      <c r="BB53" s="101" t="str">
        <f>IFERROR(VLOOKUP(D53,Sheet2!D:O,12,FALSE),"")</f>
        <v/>
      </c>
      <c r="BC53" s="101" t="str">
        <f t="shared" si="5"/>
        <v/>
      </c>
    </row>
    <row r="54" s="10" customFormat="1" ht="24.05" customHeight="1" spans="2:55">
      <c r="B54" s="57" t="s">
        <v>81</v>
      </c>
      <c r="C54" s="46" t="s">
        <v>310</v>
      </c>
      <c r="D54" s="46" t="s">
        <v>311</v>
      </c>
      <c r="E54" s="217" t="s">
        <v>286</v>
      </c>
      <c r="F54" s="217" t="s">
        <v>286</v>
      </c>
      <c r="G54" s="217" t="s">
        <v>286</v>
      </c>
      <c r="H54" s="217"/>
      <c r="I54" s="217"/>
      <c r="J54" s="217" t="s">
        <v>286</v>
      </c>
      <c r="K54" s="221">
        <v>0</v>
      </c>
      <c r="L54" s="221">
        <v>0</v>
      </c>
      <c r="M54" s="221">
        <v>0</v>
      </c>
      <c r="N54" s="44">
        <v>0</v>
      </c>
      <c r="O54" s="44">
        <v>0</v>
      </c>
      <c r="P54" s="44">
        <v>0</v>
      </c>
      <c r="Q54" s="44"/>
      <c r="R54" s="44"/>
      <c r="S54" s="44"/>
      <c r="T54" s="44"/>
      <c r="U54" s="44"/>
      <c r="V54" s="44"/>
      <c r="W54" s="232"/>
      <c r="X54" s="233"/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48"/>
      <c r="AJ54" s="249"/>
      <c r="AK54" s="250"/>
      <c r="AL54" s="250"/>
      <c r="AM54" s="250"/>
      <c r="AN54" s="250"/>
      <c r="AO54" s="250"/>
      <c r="AP54" s="250"/>
      <c r="AQ54" s="250"/>
      <c r="AR54" s="250"/>
      <c r="AS54" s="250"/>
      <c r="AT54" s="250"/>
      <c r="AU54" s="265"/>
      <c r="AV54" s="266">
        <f t="shared" si="4"/>
        <v>0</v>
      </c>
      <c r="AW54" s="274">
        <f t="shared" si="0"/>
        <v>0</v>
      </c>
      <c r="AX54" s="275">
        <f t="shared" si="1"/>
        <v>0</v>
      </c>
      <c r="AY54" s="276">
        <v>90</v>
      </c>
      <c r="AZ54" s="277"/>
      <c r="BA54" s="91"/>
      <c r="BB54" s="101" t="str">
        <f>IFERROR(VLOOKUP(D54,Sheet2!D:O,12,FALSE),"")</f>
        <v/>
      </c>
      <c r="BC54" s="101" t="str">
        <f t="shared" si="5"/>
        <v/>
      </c>
    </row>
    <row r="55" s="10" customFormat="1" ht="24.05" customHeight="1" spans="2:55">
      <c r="B55" s="57" t="s">
        <v>81</v>
      </c>
      <c r="C55" s="46" t="s">
        <v>445</v>
      </c>
      <c r="D55" s="46" t="s">
        <v>446</v>
      </c>
      <c r="E55" s="217" t="s">
        <v>286</v>
      </c>
      <c r="F55" s="217" t="s">
        <v>286</v>
      </c>
      <c r="G55" s="217" t="s">
        <v>286</v>
      </c>
      <c r="H55" s="217"/>
      <c r="I55" s="217"/>
      <c r="J55" s="217" t="s">
        <v>286</v>
      </c>
      <c r="K55" s="221">
        <v>0</v>
      </c>
      <c r="L55" s="221">
        <v>0</v>
      </c>
      <c r="M55" s="221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232">
        <v>0</v>
      </c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48"/>
      <c r="AJ55" s="249"/>
      <c r="AK55" s="250"/>
      <c r="AL55" s="250"/>
      <c r="AM55" s="250"/>
      <c r="AN55" s="250"/>
      <c r="AO55" s="250"/>
      <c r="AP55" s="250"/>
      <c r="AQ55" s="250"/>
      <c r="AR55" s="250"/>
      <c r="AS55" s="250"/>
      <c r="AT55" s="250"/>
      <c r="AU55" s="265"/>
      <c r="AV55" s="266">
        <f t="shared" si="4"/>
        <v>0</v>
      </c>
      <c r="AW55" s="274">
        <f t="shared" si="0"/>
        <v>0</v>
      </c>
      <c r="AX55" s="275">
        <f t="shared" si="1"/>
        <v>0</v>
      </c>
      <c r="AY55" s="276">
        <v>90</v>
      </c>
      <c r="AZ55" s="277"/>
      <c r="BA55" s="91"/>
      <c r="BB55" s="101">
        <f>IFERROR(VLOOKUP(D55,Sheet2!D:O,12,FALSE),"")</f>
        <v>0</v>
      </c>
      <c r="BC55" s="101">
        <f t="shared" si="5"/>
        <v>0</v>
      </c>
    </row>
    <row r="56" s="10" customFormat="1" ht="24.05" customHeight="1" spans="2:55">
      <c r="B56" s="57" t="s">
        <v>81</v>
      </c>
      <c r="C56" s="55" t="s">
        <v>109</v>
      </c>
      <c r="D56" s="46" t="s">
        <v>204</v>
      </c>
      <c r="E56" s="72">
        <v>0</v>
      </c>
      <c r="F56" s="72">
        <v>0</v>
      </c>
      <c r="G56" s="72">
        <v>0</v>
      </c>
      <c r="H56" s="72"/>
      <c r="I56" s="72"/>
      <c r="J56" s="72" t="s">
        <v>286</v>
      </c>
      <c r="K56" s="224">
        <v>0</v>
      </c>
      <c r="L56" s="224">
        <v>0</v>
      </c>
      <c r="M56" s="224">
        <v>0</v>
      </c>
      <c r="N56" s="225">
        <v>0</v>
      </c>
      <c r="O56" s="225">
        <v>0</v>
      </c>
      <c r="P56" s="225">
        <v>0</v>
      </c>
      <c r="Q56" s="225">
        <v>0</v>
      </c>
      <c r="R56" s="225">
        <v>0</v>
      </c>
      <c r="S56" s="225">
        <v>0</v>
      </c>
      <c r="T56" s="44">
        <v>0</v>
      </c>
      <c r="U56" s="44">
        <v>0</v>
      </c>
      <c r="V56" s="44">
        <v>0</v>
      </c>
      <c r="W56" s="232"/>
      <c r="X56" s="233"/>
      <c r="Y56" s="233"/>
      <c r="Z56" s="233"/>
      <c r="AA56" s="233"/>
      <c r="AB56" s="233"/>
      <c r="AC56" s="233"/>
      <c r="AD56" s="233"/>
      <c r="AE56" s="233"/>
      <c r="AF56" s="233"/>
      <c r="AG56" s="233"/>
      <c r="AH56" s="233"/>
      <c r="AI56" s="248"/>
      <c r="AJ56" s="249"/>
      <c r="AK56" s="250"/>
      <c r="AL56" s="250"/>
      <c r="AM56" s="250"/>
      <c r="AN56" s="250"/>
      <c r="AO56" s="250"/>
      <c r="AP56" s="250"/>
      <c r="AQ56" s="251"/>
      <c r="AR56" s="250"/>
      <c r="AS56" s="250"/>
      <c r="AT56" s="250"/>
      <c r="AU56" s="265"/>
      <c r="AV56" s="266">
        <f t="shared" si="4"/>
        <v>0</v>
      </c>
      <c r="AW56" s="274">
        <f t="shared" si="0"/>
        <v>0</v>
      </c>
      <c r="AX56" s="275">
        <f t="shared" si="1"/>
        <v>0</v>
      </c>
      <c r="AY56" s="276" t="s">
        <v>111</v>
      </c>
      <c r="AZ56" s="277"/>
      <c r="BA56" s="91"/>
      <c r="BB56" s="101">
        <f>IFERROR(VLOOKUP(D56,Sheet2!D:O,12,FALSE),"")</f>
        <v>62.7</v>
      </c>
      <c r="BC56" s="101">
        <f t="shared" si="5"/>
        <v>-62.7</v>
      </c>
    </row>
    <row r="57" s="10" customFormat="1" ht="24.05" customHeight="1" spans="2:55">
      <c r="B57" s="57" t="s">
        <v>81</v>
      </c>
      <c r="C57" s="55" t="s">
        <v>181</v>
      </c>
      <c r="D57" s="46" t="s">
        <v>182</v>
      </c>
      <c r="E57" s="72" t="s">
        <v>286</v>
      </c>
      <c r="F57" s="72" t="s">
        <v>286</v>
      </c>
      <c r="G57" s="72" t="s">
        <v>286</v>
      </c>
      <c r="H57" s="72"/>
      <c r="I57" s="72"/>
      <c r="J57" s="72" t="s">
        <v>286</v>
      </c>
      <c r="K57" s="224">
        <v>0</v>
      </c>
      <c r="L57" s="224">
        <v>0</v>
      </c>
      <c r="M57" s="224">
        <v>0</v>
      </c>
      <c r="N57" s="225">
        <v>0</v>
      </c>
      <c r="O57" s="225">
        <v>0</v>
      </c>
      <c r="P57" s="225">
        <v>0</v>
      </c>
      <c r="Q57" s="225">
        <v>0</v>
      </c>
      <c r="R57" s="225">
        <v>0</v>
      </c>
      <c r="S57" s="225">
        <v>0</v>
      </c>
      <c r="T57" s="44">
        <v>0</v>
      </c>
      <c r="U57" s="44">
        <v>0</v>
      </c>
      <c r="V57" s="44">
        <v>0</v>
      </c>
      <c r="W57" s="235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52"/>
      <c r="AJ57" s="253"/>
      <c r="AK57" s="254"/>
      <c r="AL57" s="254"/>
      <c r="AM57" s="254"/>
      <c r="AN57" s="254"/>
      <c r="AO57" s="254"/>
      <c r="AP57" s="254"/>
      <c r="AQ57" s="255"/>
      <c r="AR57" s="254"/>
      <c r="AS57" s="254"/>
      <c r="AT57" s="254"/>
      <c r="AU57" s="260"/>
      <c r="AV57" s="266">
        <f t="shared" si="4"/>
        <v>0</v>
      </c>
      <c r="AW57" s="274">
        <f t="shared" si="0"/>
        <v>0</v>
      </c>
      <c r="AX57" s="275">
        <f t="shared" si="1"/>
        <v>0</v>
      </c>
      <c r="AY57" s="287" t="s">
        <v>96</v>
      </c>
      <c r="AZ57" s="279"/>
      <c r="BA57" s="98"/>
      <c r="BB57" s="101">
        <f>IFERROR(VLOOKUP(D57,Sheet2!D:O,12,FALSE),"")</f>
        <v>0</v>
      </c>
      <c r="BC57" s="101">
        <f t="shared" si="5"/>
        <v>0</v>
      </c>
    </row>
    <row r="58" s="10" customFormat="1" ht="24.05" customHeight="1" spans="2:55">
      <c r="B58" s="57" t="s">
        <v>81</v>
      </c>
      <c r="C58" s="55" t="s">
        <v>320</v>
      </c>
      <c r="D58" s="46" t="s">
        <v>321</v>
      </c>
      <c r="E58" s="72" t="s">
        <v>286</v>
      </c>
      <c r="F58" s="72" t="s">
        <v>286</v>
      </c>
      <c r="G58" s="72" t="s">
        <v>286</v>
      </c>
      <c r="H58" s="72"/>
      <c r="I58" s="72"/>
      <c r="J58" s="72" t="s">
        <v>286</v>
      </c>
      <c r="K58" s="224">
        <v>0</v>
      </c>
      <c r="L58" s="224">
        <v>0</v>
      </c>
      <c r="M58" s="224">
        <v>0</v>
      </c>
      <c r="N58" s="225">
        <v>0</v>
      </c>
      <c r="O58" s="225">
        <v>0</v>
      </c>
      <c r="P58" s="225">
        <v>0</v>
      </c>
      <c r="Q58" s="225"/>
      <c r="R58" s="225"/>
      <c r="S58" s="225"/>
      <c r="T58" s="44"/>
      <c r="U58" s="44"/>
      <c r="V58" s="44">
        <v>0</v>
      </c>
      <c r="W58" s="235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52"/>
      <c r="AJ58" s="253"/>
      <c r="AK58" s="254"/>
      <c r="AL58" s="254"/>
      <c r="AM58" s="254"/>
      <c r="AN58" s="254"/>
      <c r="AO58" s="254"/>
      <c r="AP58" s="254"/>
      <c r="AQ58" s="255"/>
      <c r="AR58" s="254"/>
      <c r="AS58" s="254"/>
      <c r="AT58" s="254"/>
      <c r="AU58" s="260"/>
      <c r="AV58" s="266">
        <f t="shared" si="4"/>
        <v>0</v>
      </c>
      <c r="AW58" s="274">
        <f t="shared" si="0"/>
        <v>0</v>
      </c>
      <c r="AX58" s="275">
        <f t="shared" si="1"/>
        <v>0</v>
      </c>
      <c r="AY58" s="287"/>
      <c r="AZ58" s="279"/>
      <c r="BA58" s="98"/>
      <c r="BB58" s="101" t="str">
        <f>IFERROR(VLOOKUP(D58,Sheet2!D:O,12,FALSE),"")</f>
        <v/>
      </c>
      <c r="BC58" s="101" t="str">
        <f t="shared" si="5"/>
        <v/>
      </c>
    </row>
    <row r="59" s="10" customFormat="1" ht="24.05" customHeight="1" spans="2:55">
      <c r="B59" s="57" t="s">
        <v>81</v>
      </c>
      <c r="C59" s="55" t="s">
        <v>447</v>
      </c>
      <c r="D59" s="58" t="s">
        <v>448</v>
      </c>
      <c r="E59" s="72"/>
      <c r="F59" s="72"/>
      <c r="G59" s="72"/>
      <c r="H59" s="72"/>
      <c r="I59" s="72"/>
      <c r="J59" s="72"/>
      <c r="K59" s="224"/>
      <c r="L59" s="224"/>
      <c r="M59" s="224">
        <v>6915.5</v>
      </c>
      <c r="N59" s="225"/>
      <c r="O59" s="225"/>
      <c r="P59" s="225"/>
      <c r="Q59" s="225"/>
      <c r="R59" s="225"/>
      <c r="S59" s="225"/>
      <c r="T59" s="225"/>
      <c r="U59" s="225">
        <v>8851.96</v>
      </c>
      <c r="V59" s="44"/>
      <c r="W59" s="235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52"/>
      <c r="AJ59" s="253"/>
      <c r="AK59" s="254"/>
      <c r="AL59" s="254"/>
      <c r="AM59" s="254"/>
      <c r="AN59" s="254"/>
      <c r="AO59" s="254"/>
      <c r="AP59" s="254"/>
      <c r="AQ59" s="255"/>
      <c r="AR59" s="254"/>
      <c r="AS59" s="254"/>
      <c r="AT59" s="254"/>
      <c r="AU59" s="260"/>
      <c r="AV59" s="266">
        <f t="shared" si="4"/>
        <v>15767.46</v>
      </c>
      <c r="AW59" s="274">
        <f t="shared" si="0"/>
        <v>0</v>
      </c>
      <c r="AX59" s="275">
        <f t="shared" si="1"/>
        <v>15767.46</v>
      </c>
      <c r="AY59" s="287"/>
      <c r="AZ59" s="279"/>
      <c r="BA59" s="98"/>
      <c r="BB59" s="101">
        <f>IFERROR(VLOOKUP(D59,Sheet2!D:O,12,FALSE),"")</f>
        <v>15767.46</v>
      </c>
      <c r="BC59" s="101">
        <f t="shared" si="5"/>
        <v>0</v>
      </c>
    </row>
    <row r="60" s="10" customFormat="1" ht="24.05" customHeight="1" spans="2:55">
      <c r="B60" s="57" t="s">
        <v>81</v>
      </c>
      <c r="C60" s="55" t="s">
        <v>449</v>
      </c>
      <c r="D60" s="58" t="s">
        <v>450</v>
      </c>
      <c r="E60" s="72"/>
      <c r="F60" s="72"/>
      <c r="G60" s="72"/>
      <c r="H60" s="72"/>
      <c r="I60" s="72"/>
      <c r="J60" s="72"/>
      <c r="K60" s="224"/>
      <c r="L60" s="224"/>
      <c r="M60" s="224"/>
      <c r="N60" s="225"/>
      <c r="O60" s="225"/>
      <c r="P60" s="225"/>
      <c r="Q60" s="225"/>
      <c r="R60" s="225"/>
      <c r="S60" s="225"/>
      <c r="T60" s="225"/>
      <c r="U60" s="225"/>
      <c r="V60" s="44"/>
      <c r="W60" s="235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52"/>
      <c r="AJ60" s="253"/>
      <c r="AK60" s="254"/>
      <c r="AL60" s="254"/>
      <c r="AM60" s="254"/>
      <c r="AN60" s="254"/>
      <c r="AO60" s="254"/>
      <c r="AP60" s="254"/>
      <c r="AQ60" s="255"/>
      <c r="AR60" s="254"/>
      <c r="AS60" s="254"/>
      <c r="AT60" s="254"/>
      <c r="AU60" s="260"/>
      <c r="AV60" s="266">
        <f t="shared" si="4"/>
        <v>0</v>
      </c>
      <c r="AW60" s="274">
        <f t="shared" si="0"/>
        <v>0</v>
      </c>
      <c r="AX60" s="275">
        <f t="shared" si="1"/>
        <v>0</v>
      </c>
      <c r="AY60" s="287"/>
      <c r="AZ60" s="279"/>
      <c r="BA60" s="98"/>
      <c r="BB60" s="101">
        <f>IFERROR(VLOOKUP(D60,Sheet2!D:O,12,FALSE),"")</f>
        <v>0.09</v>
      </c>
      <c r="BC60" s="101">
        <f t="shared" si="3"/>
        <v>-0.09</v>
      </c>
    </row>
    <row r="61" s="10" customFormat="1" ht="24.05" customHeight="1" spans="2:55">
      <c r="B61" s="57"/>
      <c r="C61" s="55"/>
      <c r="D61" s="58" t="s">
        <v>451</v>
      </c>
      <c r="E61" s="72"/>
      <c r="F61" s="72"/>
      <c r="G61" s="72"/>
      <c r="H61" s="72"/>
      <c r="I61" s="72"/>
      <c r="J61" s="72"/>
      <c r="K61" s="224"/>
      <c r="L61" s="224"/>
      <c r="M61" s="224"/>
      <c r="N61" s="225"/>
      <c r="O61" s="225"/>
      <c r="P61" s="225"/>
      <c r="Q61" s="225"/>
      <c r="R61" s="225"/>
      <c r="S61" s="225"/>
      <c r="T61" s="225"/>
      <c r="U61" s="225"/>
      <c r="V61" s="225"/>
      <c r="W61" s="239">
        <v>27752.79</v>
      </c>
      <c r="X61" s="240"/>
      <c r="Y61" s="240"/>
      <c r="Z61" s="240"/>
      <c r="AA61" s="240"/>
      <c r="AB61" s="240"/>
      <c r="AC61" s="240"/>
      <c r="AD61" s="240"/>
      <c r="AE61" s="240"/>
      <c r="AF61" s="240"/>
      <c r="AG61" s="240"/>
      <c r="AH61" s="240"/>
      <c r="AI61" s="252"/>
      <c r="AJ61" s="259"/>
      <c r="AK61" s="260"/>
      <c r="AL61" s="260"/>
      <c r="AM61" s="260"/>
      <c r="AN61" s="260"/>
      <c r="AO61" s="260"/>
      <c r="AP61" s="260"/>
      <c r="AQ61" s="270"/>
      <c r="AR61" s="260"/>
      <c r="AS61" s="260"/>
      <c r="AT61" s="260"/>
      <c r="AU61" s="260"/>
      <c r="AV61" s="266">
        <f t="shared" si="4"/>
        <v>27752.79</v>
      </c>
      <c r="AW61" s="274">
        <f t="shared" si="0"/>
        <v>0</v>
      </c>
      <c r="AX61" s="275">
        <f t="shared" si="1"/>
        <v>27752.79</v>
      </c>
      <c r="AY61" s="287"/>
      <c r="AZ61" s="279"/>
      <c r="BA61" s="98"/>
      <c r="BB61" s="101">
        <f>IFERROR(VLOOKUP(D61,Sheet2!D:O,12,FALSE),"")</f>
        <v>27752.79</v>
      </c>
      <c r="BC61" s="101">
        <f t="shared" si="3"/>
        <v>0</v>
      </c>
    </row>
    <row r="62" s="10" customFormat="1" ht="24.05" customHeight="1" spans="2:55">
      <c r="B62" s="57"/>
      <c r="C62" s="55"/>
      <c r="D62" s="58" t="s">
        <v>452</v>
      </c>
      <c r="E62" s="72"/>
      <c r="F62" s="72"/>
      <c r="G62" s="72"/>
      <c r="H62" s="72"/>
      <c r="I62" s="72"/>
      <c r="J62" s="72"/>
      <c r="K62" s="224"/>
      <c r="L62" s="224"/>
      <c r="M62" s="224"/>
      <c r="N62" s="225"/>
      <c r="O62" s="225"/>
      <c r="P62" s="225"/>
      <c r="Q62" s="225"/>
      <c r="R62" s="225"/>
      <c r="S62" s="225"/>
      <c r="T62" s="225"/>
      <c r="U62" s="225"/>
      <c r="V62" s="225">
        <v>42973.3</v>
      </c>
      <c r="W62" s="239"/>
      <c r="X62" s="240"/>
      <c r="Y62" s="240"/>
      <c r="Z62" s="240"/>
      <c r="AA62" s="240"/>
      <c r="AB62" s="240"/>
      <c r="AC62" s="240"/>
      <c r="AD62" s="240"/>
      <c r="AE62" s="240"/>
      <c r="AF62" s="240"/>
      <c r="AG62" s="240"/>
      <c r="AH62" s="240"/>
      <c r="AI62" s="252"/>
      <c r="AJ62" s="259"/>
      <c r="AK62" s="260"/>
      <c r="AL62" s="260"/>
      <c r="AM62" s="260"/>
      <c r="AN62" s="260"/>
      <c r="AO62" s="260"/>
      <c r="AP62" s="260"/>
      <c r="AQ62" s="270"/>
      <c r="AR62" s="260"/>
      <c r="AS62" s="260"/>
      <c r="AT62" s="260"/>
      <c r="AU62" s="260"/>
      <c r="AV62" s="266">
        <f t="shared" si="4"/>
        <v>42973.3</v>
      </c>
      <c r="AW62" s="274">
        <f t="shared" si="0"/>
        <v>0</v>
      </c>
      <c r="AX62" s="275">
        <f t="shared" si="1"/>
        <v>42973.3</v>
      </c>
      <c r="AY62" s="287"/>
      <c r="AZ62" s="279"/>
      <c r="BA62" s="98"/>
      <c r="BB62" s="101">
        <f>IFERROR(VLOOKUP(D62,Sheet2!D:O,12,FALSE),"")</f>
        <v>42973.3</v>
      </c>
      <c r="BC62" s="101">
        <f t="shared" si="3"/>
        <v>0</v>
      </c>
    </row>
    <row r="63" s="12" customFormat="1" ht="24.05" customHeight="1" spans="2:55">
      <c r="B63" s="60"/>
      <c r="C63" s="61"/>
      <c r="D63" s="62" t="s">
        <v>142</v>
      </c>
      <c r="E63" s="63">
        <f t="shared" ref="E63:J63" si="6">SUM(E5:E55)</f>
        <v>33981.36</v>
      </c>
      <c r="F63" s="63">
        <f t="shared" si="6"/>
        <v>5410.44</v>
      </c>
      <c r="G63" s="63">
        <f t="shared" si="6"/>
        <v>3986.64</v>
      </c>
      <c r="H63" s="63">
        <f t="shared" si="6"/>
        <v>28536</v>
      </c>
      <c r="I63" s="63">
        <f t="shared" si="6"/>
        <v>19097</v>
      </c>
      <c r="J63" s="63">
        <f t="shared" si="6"/>
        <v>85469.6600000002</v>
      </c>
      <c r="K63" s="63">
        <f>SUM(K5:K60)</f>
        <v>95085.28</v>
      </c>
      <c r="L63" s="63">
        <f>SUM(L5:L60)</f>
        <v>280687.8</v>
      </c>
      <c r="M63" s="63">
        <f>SUM(M5:M60)</f>
        <v>239537.65</v>
      </c>
      <c r="N63" s="63">
        <f t="shared" ref="N63:AX63" si="7">SUM(N5:N60)</f>
        <v>244033.14</v>
      </c>
      <c r="O63" s="63">
        <f t="shared" si="7"/>
        <v>367869.92</v>
      </c>
      <c r="P63" s="63">
        <f t="shared" si="7"/>
        <v>1251643.44</v>
      </c>
      <c r="Q63" s="63">
        <f t="shared" si="7"/>
        <v>1405482.02</v>
      </c>
      <c r="R63" s="63">
        <f t="shared" si="7"/>
        <v>409325.68</v>
      </c>
      <c r="S63" s="63">
        <f t="shared" si="7"/>
        <v>754050.2</v>
      </c>
      <c r="T63" s="63">
        <f t="shared" si="7"/>
        <v>858712.87</v>
      </c>
      <c r="U63" s="63">
        <f t="shared" si="7"/>
        <v>1095352.09</v>
      </c>
      <c r="V63" s="63">
        <f t="shared" si="7"/>
        <v>2295870.07</v>
      </c>
      <c r="W63" s="63">
        <f t="shared" si="7"/>
        <v>3926285.51</v>
      </c>
      <c r="X63" s="63">
        <f t="shared" si="7"/>
        <v>2427662.75</v>
      </c>
      <c r="Y63" s="63">
        <f t="shared" si="7"/>
        <v>70392.45</v>
      </c>
      <c r="Z63" s="63">
        <f t="shared" si="7"/>
        <v>0</v>
      </c>
      <c r="AA63" s="63">
        <f t="shared" si="7"/>
        <v>0</v>
      </c>
      <c r="AB63" s="63">
        <f t="shared" si="7"/>
        <v>0</v>
      </c>
      <c r="AC63" s="63">
        <f t="shared" si="7"/>
        <v>0</v>
      </c>
      <c r="AD63" s="63">
        <f t="shared" si="7"/>
        <v>0</v>
      </c>
      <c r="AE63" s="63">
        <f t="shared" si="7"/>
        <v>0</v>
      </c>
      <c r="AF63" s="63">
        <f t="shared" si="7"/>
        <v>0</v>
      </c>
      <c r="AG63" s="63">
        <f t="shared" si="7"/>
        <v>0</v>
      </c>
      <c r="AH63" s="63">
        <f t="shared" si="7"/>
        <v>0</v>
      </c>
      <c r="AI63" s="63">
        <f t="shared" si="7"/>
        <v>0</v>
      </c>
      <c r="AJ63" s="261">
        <f t="shared" si="7"/>
        <v>1873932.12</v>
      </c>
      <c r="AK63" s="63">
        <f t="shared" si="7"/>
        <v>2336402.1</v>
      </c>
      <c r="AL63" s="63">
        <f t="shared" si="7"/>
        <v>494966.82</v>
      </c>
      <c r="AM63" s="63">
        <f t="shared" si="7"/>
        <v>0</v>
      </c>
      <c r="AN63" s="63">
        <f t="shared" si="7"/>
        <v>0</v>
      </c>
      <c r="AO63" s="63">
        <f t="shared" si="7"/>
        <v>0</v>
      </c>
      <c r="AP63" s="63">
        <f t="shared" si="7"/>
        <v>0</v>
      </c>
      <c r="AQ63" s="63">
        <f t="shared" si="7"/>
        <v>0</v>
      </c>
      <c r="AR63" s="63">
        <f t="shared" si="7"/>
        <v>0</v>
      </c>
      <c r="AS63" s="63">
        <f t="shared" si="7"/>
        <v>0</v>
      </c>
      <c r="AT63" s="63">
        <f t="shared" si="7"/>
        <v>0</v>
      </c>
      <c r="AU63" s="63">
        <f t="shared" si="7"/>
        <v>0</v>
      </c>
      <c r="AV63" s="63">
        <f t="shared" si="7"/>
        <v>15898471.97</v>
      </c>
      <c r="AW63" s="63">
        <f t="shared" si="7"/>
        <v>4705301.04</v>
      </c>
      <c r="AX63" s="63">
        <f t="shared" si="7"/>
        <v>11193170.93</v>
      </c>
      <c r="AY63" s="288"/>
      <c r="AZ63" s="289"/>
      <c r="BA63" s="100">
        <f>SUM(BA5:BA33)</f>
        <v>0</v>
      </c>
      <c r="BB63" s="101" t="str">
        <f>IFERROR(VLOOKUP(D63,Sheet2!D:O,12,FALSE),"")</f>
        <v/>
      </c>
      <c r="BC63" s="101" t="str">
        <f t="shared" si="3"/>
        <v/>
      </c>
    </row>
    <row r="64" ht="15.05" customHeight="1" spans="5:55">
      <c r="E64" s="65"/>
      <c r="F64" s="65"/>
      <c r="G64" s="65"/>
      <c r="H64" s="65"/>
      <c r="I64" s="65"/>
      <c r="J64" s="65">
        <f t="shared" ref="J64:R64" si="8">SUM(J5:J24)</f>
        <v>9790.31000000003</v>
      </c>
      <c r="K64" s="73">
        <f t="shared" si="8"/>
        <v>49042</v>
      </c>
      <c r="L64" s="73">
        <f t="shared" si="8"/>
        <v>155279.13</v>
      </c>
      <c r="M64" s="65">
        <f t="shared" si="8"/>
        <v>19628.1</v>
      </c>
      <c r="N64" s="65">
        <f t="shared" si="8"/>
        <v>56390.8</v>
      </c>
      <c r="O64" s="65">
        <f t="shared" si="8"/>
        <v>118175.92</v>
      </c>
      <c r="P64" s="65">
        <f t="shared" si="8"/>
        <v>225644.5</v>
      </c>
      <c r="Q64" s="65">
        <f t="shared" si="8"/>
        <v>475563.36</v>
      </c>
      <c r="R64" s="65">
        <f t="shared" si="8"/>
        <v>157759.29</v>
      </c>
      <c r="S64" s="65"/>
      <c r="T64" s="65"/>
      <c r="U64" s="65"/>
      <c r="V64" s="65">
        <f>SUM(V5:V24)</f>
        <v>1121021.17</v>
      </c>
      <c r="W64" s="65">
        <f t="shared" ref="W64:AI64" si="9">SUM(W5:W23)</f>
        <v>1445574.26</v>
      </c>
      <c r="X64" s="65">
        <f t="shared" si="9"/>
        <v>618676.39</v>
      </c>
      <c r="Y64" s="65">
        <f t="shared" si="9"/>
        <v>0</v>
      </c>
      <c r="Z64" s="65">
        <f t="shared" si="9"/>
        <v>0</v>
      </c>
      <c r="AA64" s="65">
        <f t="shared" si="9"/>
        <v>0</v>
      </c>
      <c r="AB64" s="65">
        <f t="shared" si="9"/>
        <v>0</v>
      </c>
      <c r="AC64" s="65">
        <f t="shared" si="9"/>
        <v>0</v>
      </c>
      <c r="AD64" s="65">
        <f t="shared" si="9"/>
        <v>0</v>
      </c>
      <c r="AE64" s="65">
        <f t="shared" si="9"/>
        <v>0</v>
      </c>
      <c r="AF64" s="65">
        <f t="shared" si="9"/>
        <v>0</v>
      </c>
      <c r="AG64" s="65">
        <f t="shared" si="9"/>
        <v>0</v>
      </c>
      <c r="AH64" s="65">
        <f t="shared" si="9"/>
        <v>0</v>
      </c>
      <c r="AI64" s="65">
        <f t="shared" si="9"/>
        <v>0</v>
      </c>
      <c r="AJ64" s="65"/>
      <c r="AK64" s="65">
        <f t="shared" ref="AK64:AU64" si="10">SUM(AK5:AK23)</f>
        <v>1097238.46</v>
      </c>
      <c r="AL64" s="65">
        <f t="shared" si="10"/>
        <v>254966.82</v>
      </c>
      <c r="AM64" s="65">
        <f t="shared" si="10"/>
        <v>0</v>
      </c>
      <c r="AN64" s="65">
        <f t="shared" si="10"/>
        <v>0</v>
      </c>
      <c r="AO64" s="65">
        <f t="shared" si="10"/>
        <v>0</v>
      </c>
      <c r="AP64" s="65">
        <f t="shared" si="10"/>
        <v>0</v>
      </c>
      <c r="AQ64" s="65">
        <f t="shared" si="10"/>
        <v>0</v>
      </c>
      <c r="AR64" s="65">
        <f t="shared" si="10"/>
        <v>0</v>
      </c>
      <c r="AS64" s="65">
        <f t="shared" si="10"/>
        <v>0</v>
      </c>
      <c r="AT64" s="65">
        <f t="shared" si="10"/>
        <v>0</v>
      </c>
      <c r="AU64" s="65">
        <f t="shared" si="10"/>
        <v>0</v>
      </c>
      <c r="AV64" s="65"/>
      <c r="AW64" s="65">
        <f>SUM(AW5:AW25)</f>
        <v>3635301.04</v>
      </c>
      <c r="AX64" s="65">
        <f>SUM(AX5:AX26)</f>
        <v>4457499.29</v>
      </c>
      <c r="AY64" s="65">
        <f>SUM(AY5:AY26)</f>
        <v>1380</v>
      </c>
      <c r="BB64" s="101" t="str">
        <f>IFERROR(VLOOKUP(D64,Sheet2!D:O,12,FALSE),"")</f>
        <v/>
      </c>
      <c r="BC64" s="101" t="str">
        <f t="shared" si="3"/>
        <v/>
      </c>
    </row>
    <row r="65" ht="15.05" customHeight="1" spans="23:34"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</row>
    <row r="66" spans="4:51">
      <c r="D66" s="67" t="s">
        <v>143</v>
      </c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AJ66" s="19"/>
      <c r="AK66" s="19">
        <f t="shared" ref="AK66:AO66" si="11">AK63-AK15-AK17</f>
        <v>2336402.1</v>
      </c>
      <c r="AL66" s="19">
        <f t="shared" si="11"/>
        <v>494966.82</v>
      </c>
      <c r="AM66" s="19">
        <f t="shared" si="11"/>
        <v>0</v>
      </c>
      <c r="AN66" s="19">
        <f t="shared" si="11"/>
        <v>0</v>
      </c>
      <c r="AO66" s="19">
        <f t="shared" si="11"/>
        <v>0</v>
      </c>
      <c r="AP66" s="13"/>
      <c r="AQ66" s="13"/>
      <c r="AR66" s="13"/>
      <c r="AS66" s="13"/>
      <c r="AT66" s="13"/>
      <c r="AU66" s="13"/>
      <c r="AV66" s="67"/>
      <c r="AW66" s="67"/>
      <c r="AX66" s="67"/>
      <c r="AY66" s="67"/>
    </row>
    <row r="67" spans="12:41"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AK67" s="216">
        <f t="shared" ref="AK67:AO67" si="12">AK66/10000</f>
        <v>233.64021</v>
      </c>
      <c r="AL67" s="216">
        <f t="shared" si="12"/>
        <v>49.496682</v>
      </c>
      <c r="AM67" s="216">
        <f t="shared" si="12"/>
        <v>0</v>
      </c>
      <c r="AN67" s="216">
        <f t="shared" si="12"/>
        <v>0</v>
      </c>
      <c r="AO67" s="216">
        <f t="shared" si="12"/>
        <v>0</v>
      </c>
    </row>
    <row r="77" spans="2:51">
      <c r="B77" s="13"/>
      <c r="D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</row>
    <row r="80" spans="2:51">
      <c r="B80" s="13"/>
      <c r="D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</row>
  </sheetData>
  <autoFilter ref="A4:BF64">
    <extLst/>
  </autoFilter>
  <mergeCells count="56">
    <mergeCell ref="B1:AU1"/>
    <mergeCell ref="J2:V2"/>
    <mergeCell ref="W2:AH2"/>
    <mergeCell ref="AI2:AT2"/>
    <mergeCell ref="AV2:A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2:AZ4"/>
    <mergeCell ref="BA2:BA4"/>
  </mergeCells>
  <conditionalFormatting sqref="C5:C26">
    <cfRule type="duplicateValues" dxfId="0" priority="4"/>
    <cfRule type="duplicateValues" dxfId="0" priority="5"/>
  </conditionalFormatting>
  <conditionalFormatting sqref="C27:C62">
    <cfRule type="duplicateValues" dxfId="0" priority="2"/>
    <cfRule type="duplicateValues" dxfId="0" priority="3"/>
  </conditionalFormatting>
  <conditionalFormatting sqref="D5:D111">
    <cfRule type="duplicateValues" dxfId="1" priority="20"/>
  </conditionalFormatting>
  <conditionalFormatting sqref="D1:D4 D112:D1048576">
    <cfRule type="duplicateValues" dxfId="0" priority="8"/>
    <cfRule type="duplicateValues" dxfId="0" priority="17"/>
  </conditionalFormatting>
  <conditionalFormatting sqref="J1:V1 J65:V1048576">
    <cfRule type="duplicateValues" dxfId="0" priority="1"/>
  </conditionalFormatting>
  <conditionalFormatting sqref="AW1:AX1 AW65:AX1048576">
    <cfRule type="duplicateValues" dxfId="0" priority="16"/>
  </conditionalFormatting>
  <pageMargins left="0.7" right="0.7" top="0.75" bottom="0.75" header="0.3" footer="0.3"/>
  <pageSetup paperSize="9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S80"/>
  <sheetViews>
    <sheetView tabSelected="1" zoomScale="115" zoomScaleNormal="115" workbookViewId="0">
      <pane xSplit="7" ySplit="4" topLeftCell="X25" activePane="bottomRight" state="frozen"/>
      <selection/>
      <selection pane="topRight"/>
      <selection pane="bottomLeft"/>
      <selection pane="bottomRight" activeCell="D27" sqref="D27"/>
    </sheetView>
  </sheetViews>
  <sheetFormatPr defaultColWidth="9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7" customWidth="1"/>
    <col min="8" max="12" width="10.4" style="13" customWidth="1"/>
    <col min="13" max="15" width="14.5" style="15" customWidth="1"/>
    <col min="16" max="24" width="17.2" style="15" customWidth="1"/>
    <col min="25" max="28" width="13.6" style="15" customWidth="1"/>
    <col min="29" max="37" width="13.6" style="15" hidden="1" customWidth="1"/>
    <col min="38" max="38" width="10.6" style="13" customWidth="1"/>
    <col min="39" max="39" width="8.2" style="18" customWidth="1"/>
    <col min="40" max="41" width="13.1" style="13" customWidth="1"/>
    <col min="42" max="42" width="9" style="109"/>
    <col min="43" max="43" width="17.1083333333333" style="110"/>
    <col min="44" max="44" width="19.8916666666667" style="111"/>
  </cols>
  <sheetData>
    <row r="1" ht="23.25" spans="2:44">
      <c r="B1" s="20" t="s">
        <v>453</v>
      </c>
      <c r="C1" s="21"/>
      <c r="D1" s="21"/>
      <c r="E1" s="22"/>
      <c r="F1" s="21"/>
      <c r="G1" s="23"/>
      <c r="H1" s="21"/>
      <c r="I1" s="21"/>
      <c r="J1" s="21"/>
      <c r="K1" s="21"/>
      <c r="L1" s="21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21"/>
      <c r="AM1" s="77"/>
      <c r="AQ1" s="196" t="s">
        <v>454</v>
      </c>
      <c r="AR1" s="197"/>
    </row>
    <row r="2" spans="2:44">
      <c r="B2" s="24" t="s">
        <v>1</v>
      </c>
      <c r="C2" s="25" t="s">
        <v>2</v>
      </c>
      <c r="D2" s="26" t="s">
        <v>3</v>
      </c>
      <c r="E2" s="27"/>
      <c r="F2" s="28"/>
      <c r="G2" s="29"/>
      <c r="H2" s="28"/>
      <c r="I2" s="28"/>
      <c r="J2" s="28"/>
      <c r="K2" s="28"/>
      <c r="L2" s="28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8" t="s">
        <v>423</v>
      </c>
      <c r="AM2" s="79" t="s">
        <v>36</v>
      </c>
      <c r="AN2" s="80" t="s">
        <v>424</v>
      </c>
      <c r="AO2" s="198" t="s">
        <v>280</v>
      </c>
      <c r="AP2" s="199" t="s">
        <v>36</v>
      </c>
      <c r="AQ2" s="200" t="s">
        <v>455</v>
      </c>
      <c r="AR2" s="201" t="s">
        <v>456</v>
      </c>
    </row>
    <row r="3" s="107" customFormat="1" ht="13.5" spans="1:44">
      <c r="A3" s="112"/>
      <c r="B3" s="113"/>
      <c r="C3" s="114"/>
      <c r="D3" s="115"/>
      <c r="E3" s="116" t="s">
        <v>203</v>
      </c>
      <c r="F3" s="117" t="s">
        <v>457</v>
      </c>
      <c r="G3" s="118" t="s">
        <v>342</v>
      </c>
      <c r="H3" s="119" t="s">
        <v>435</v>
      </c>
      <c r="I3" s="119" t="s">
        <v>345</v>
      </c>
      <c r="J3" s="119" t="s">
        <v>346</v>
      </c>
      <c r="K3" s="119" t="s">
        <v>352</v>
      </c>
      <c r="L3" s="119" t="s">
        <v>353</v>
      </c>
      <c r="M3" s="119" t="s">
        <v>354</v>
      </c>
      <c r="N3" s="163" t="s">
        <v>355</v>
      </c>
      <c r="O3" s="163" t="s">
        <v>356</v>
      </c>
      <c r="P3" s="119" t="s">
        <v>357</v>
      </c>
      <c r="Q3" s="119" t="s">
        <v>358</v>
      </c>
      <c r="R3" s="119" t="s">
        <v>359</v>
      </c>
      <c r="S3" s="119" t="s">
        <v>360</v>
      </c>
      <c r="T3" s="119" t="s">
        <v>361</v>
      </c>
      <c r="U3" s="119" t="s">
        <v>362</v>
      </c>
      <c r="V3" s="119" t="s">
        <v>363</v>
      </c>
      <c r="W3" s="119" t="s">
        <v>364</v>
      </c>
      <c r="X3" s="119" t="s">
        <v>365</v>
      </c>
      <c r="Y3" s="119" t="s">
        <v>366</v>
      </c>
      <c r="Z3" s="166" t="s">
        <v>458</v>
      </c>
      <c r="AA3" s="166" t="s">
        <v>459</v>
      </c>
      <c r="AB3" s="166" t="s">
        <v>460</v>
      </c>
      <c r="AC3" s="166" t="s">
        <v>461</v>
      </c>
      <c r="AD3" s="166" t="s">
        <v>462</v>
      </c>
      <c r="AE3" s="166" t="s">
        <v>463</v>
      </c>
      <c r="AF3" s="166" t="s">
        <v>464</v>
      </c>
      <c r="AG3" s="166" t="s">
        <v>465</v>
      </c>
      <c r="AH3" s="166" t="s">
        <v>466</v>
      </c>
      <c r="AI3" s="166" t="s">
        <v>467</v>
      </c>
      <c r="AJ3" s="166" t="s">
        <v>468</v>
      </c>
      <c r="AK3" s="166" t="s">
        <v>469</v>
      </c>
      <c r="AL3" s="171"/>
      <c r="AM3" s="172"/>
      <c r="AN3" s="173"/>
      <c r="AO3" s="202"/>
      <c r="AP3" s="199"/>
      <c r="AQ3" s="200"/>
      <c r="AR3" s="201"/>
    </row>
    <row r="4" s="107" customFormat="1" ht="13.5" spans="1:44">
      <c r="A4" s="112"/>
      <c r="B4" s="113"/>
      <c r="C4" s="114"/>
      <c r="D4" s="115"/>
      <c r="E4" s="116"/>
      <c r="F4" s="120"/>
      <c r="G4" s="121"/>
      <c r="H4" s="119"/>
      <c r="I4" s="119"/>
      <c r="J4" s="119"/>
      <c r="K4" s="119"/>
      <c r="L4" s="119"/>
      <c r="M4" s="119"/>
      <c r="N4" s="163"/>
      <c r="O4" s="163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71"/>
      <c r="AM4" s="172"/>
      <c r="AN4" s="173"/>
      <c r="AO4" s="202"/>
      <c r="AP4" s="199"/>
      <c r="AQ4" s="200"/>
      <c r="AR4" s="201"/>
    </row>
    <row r="5" s="107" customFormat="1" ht="18" customHeight="1" spans="1:44">
      <c r="A5" s="122"/>
      <c r="B5" s="123" t="s">
        <v>81</v>
      </c>
      <c r="C5" s="124" t="str">
        <f>'2024年-挂账付款'!C5</f>
        <v>1932031</v>
      </c>
      <c r="D5" s="124" t="s">
        <v>103</v>
      </c>
      <c r="E5" s="125">
        <v>30</v>
      </c>
      <c r="F5" s="126">
        <f>SUM(H5:AA5)</f>
        <v>24829.45</v>
      </c>
      <c r="G5" s="127">
        <f>IF(SUM(H5:AK5)&gt;0,SUM(H5:AK5),"0")</f>
        <v>24829.45</v>
      </c>
      <c r="H5" s="128">
        <f>IF('2024年-挂账付款'!$AX5&gt;=SUM('2024年-挂账付款'!E5:$AH5),'2024年-挂账付款'!E5,IF('2024年-挂账付款'!$AX5-SUM('2024年-挂账付款'!F5:$AH5)&gt;0,'2024年-挂账付款'!$AX5-SUM('2024年-挂账付款'!F5:$AH5),0))</f>
        <v>0</v>
      </c>
      <c r="I5" s="128">
        <f>IF('2024年-挂账付款'!$AX5&gt;=SUM('2024年-挂账付款'!F5:$AH5),'2024年-挂账付款'!F5,IF('2024年-挂账付款'!$AX5-SUM('2024年-挂账付款'!G5:$AH5)&gt;0,'2024年-挂账付款'!$AX5-SUM('2024年-挂账付款'!G5:$AH5),0))</f>
        <v>0</v>
      </c>
      <c r="J5" s="128">
        <f>IF('2024年-挂账付款'!$AX5&gt;=SUM('2024年-挂账付款'!G5:$AH5),'2024年-挂账付款'!G5,IF('2024年-挂账付款'!$AX5-SUM('2024年-挂账付款'!H5:$AH5)&gt;0,'2024年-挂账付款'!$AX5-SUM('2024年-挂账付款'!H5:$AH5),0))</f>
        <v>0</v>
      </c>
      <c r="K5" s="128">
        <f>IF('2024年-挂账付款'!$AX5&gt;=SUM('2024年-挂账付款'!H5:$AH5),'2024年-挂账付款'!H5,IF('2024年-挂账付款'!$AX5-SUM('2024年-挂账付款'!I5:$AH5)&gt;0,'2024年-挂账付款'!$AX5-SUM('2024年-挂账付款'!I5:$AH5),0))</f>
        <v>0</v>
      </c>
      <c r="L5" s="128">
        <f>IF('2024年-挂账付款'!$AX5&gt;=SUM('2024年-挂账付款'!I5:$AH5),'2024年-挂账付款'!I5,IF('2024年-挂账付款'!$AX5-SUM('2024年-挂账付款'!J5:$AH5)&gt;0,'2024年-挂账付款'!$AX5-SUM('2024年-挂账付款'!J5:$AH5),0))</f>
        <v>0</v>
      </c>
      <c r="M5" s="128">
        <f>IF('2024年-挂账付款'!$AX5&gt;=SUM('2024年-挂账付款'!J5:$AH5),'2024年-挂账付款'!J5,IF('2024年-挂账付款'!$AX5-SUM('2024年-挂账付款'!K5:$AH5)&gt;0,'2024年-挂账付款'!$AX5-SUM('2024年-挂账付款'!K5:$AH5),0))</f>
        <v>0</v>
      </c>
      <c r="N5" s="128">
        <f>IF('2024年-挂账付款'!$AX5&gt;=SUM('2024年-挂账付款'!K5:$AH5),'2024年-挂账付款'!K5,IF('2024年-挂账付款'!$AX5-SUM('2024年-挂账付款'!L5:$AH5)&gt;0,'2024年-挂账付款'!$AX5-SUM('2024年-挂账付款'!L5:$AH5),0))</f>
        <v>0</v>
      </c>
      <c r="O5" s="128">
        <f>IF('2024年-挂账付款'!$AX5&gt;=SUM('2024年-挂账付款'!L5:$AH5),'2024年-挂账付款'!L5,IF('2024年-挂账付款'!$AX5-SUM('2024年-挂账付款'!M5:$AH5)&gt;0,'2024年-挂账付款'!$AX5-SUM('2024年-挂账付款'!M5:$AH5),0))</f>
        <v>0</v>
      </c>
      <c r="P5" s="128">
        <f>IF('2024年-挂账付款'!$AX5&gt;=SUM('2024年-挂账付款'!M5:$AH5),'2024年-挂账付款'!M5,IF('2024年-挂账付款'!$AX5-SUM('2024年-挂账付款'!N5:$AH5)&gt;0,'2024年-挂账付款'!$AX5-SUM('2024年-挂账付款'!N5:$AH5),0))</f>
        <v>0</v>
      </c>
      <c r="Q5" s="128">
        <f>IF('2024年-挂账付款'!$AX5&gt;=SUM('2024年-挂账付款'!N5:$AH5),'2024年-挂账付款'!N5,IF('2024年-挂账付款'!$AX5-SUM('2024年-挂账付款'!O5:$AH5)&gt;0,'2024年-挂账付款'!$AX5-SUM('2024年-挂账付款'!O5:$AH5),0))</f>
        <v>0</v>
      </c>
      <c r="R5" s="128">
        <f>IF('2024年-挂账付款'!$AX5&gt;=SUM('2024年-挂账付款'!O5:$AH5),'2024年-挂账付款'!O5,IF('2024年-挂账付款'!$AX5-SUM('2024年-挂账付款'!P5:$AH5)&gt;0,'2024年-挂账付款'!$AX5-SUM('2024年-挂账付款'!P5:$AH5),0))</f>
        <v>0</v>
      </c>
      <c r="S5" s="128">
        <f>IF('2024年-挂账付款'!$AX5&gt;=SUM('2024年-挂账付款'!P5:$AH5),'2024年-挂账付款'!P5,IF('2024年-挂账付款'!$AX5-SUM('2024年-挂账付款'!Q5:$AH5)&gt;0,'2024年-挂账付款'!$AX5-SUM('2024年-挂账付款'!Q5:$AH5),0))</f>
        <v>0</v>
      </c>
      <c r="T5" s="128">
        <f>IF('2024年-挂账付款'!$AX5&gt;=SUM('2024年-挂账付款'!Q5:$AH5),'2024年-挂账付款'!Q5,IF('2024年-挂账付款'!$AX5-SUM('2024年-挂账付款'!R5:$AH5)&gt;0,'2024年-挂账付款'!$AX5-SUM('2024年-挂账付款'!R5:$AH5),0))</f>
        <v>0</v>
      </c>
      <c r="U5" s="128">
        <f>IF('2024年-挂账付款'!$AX5&gt;=SUM('2024年-挂账付款'!R5:$AH5),'2024年-挂账付款'!R5,IF('2024年-挂账付款'!$AX5-SUM('2024年-挂账付款'!S5:$AH5)&gt;0,'2024年-挂账付款'!$AX5-SUM('2024年-挂账付款'!S5:$AH5),0))</f>
        <v>0</v>
      </c>
      <c r="V5" s="128">
        <f>IF('2024年-挂账付款'!$AX5&gt;=SUM('2024年-挂账付款'!S5:$AH5),'2024年-挂账付款'!S5,IF('2024年-挂账付款'!$AX5-SUM('2024年-挂账付款'!T5:$AH5)&gt;0,'2024年-挂账付款'!$AX5-SUM('2024年-挂账付款'!T5:$AH5),0))</f>
        <v>0</v>
      </c>
      <c r="W5" s="128">
        <f>IF('2024年-挂账付款'!$AX5&gt;=SUM('2024年-挂账付款'!T5:$AH5),'2024年-挂账付款'!T5,IF('2024年-挂账付款'!$AX5-SUM('2024年-挂账付款'!U5:$AH5)&gt;0,'2024年-挂账付款'!$AX5-SUM('2024年-挂账付款'!U5:$AH5),0))</f>
        <v>0</v>
      </c>
      <c r="X5" s="128">
        <f>IF('2024年-挂账付款'!$AX5&gt;=SUM('2024年-挂账付款'!U5:$AH5),'2024年-挂账付款'!U5,IF('2024年-挂账付款'!$AX5-SUM('2024年-挂账付款'!V5:$AH5)&gt;0,'2024年-挂账付款'!$AX5-SUM('2024年-挂账付款'!V5:$AH5),0))</f>
        <v>0</v>
      </c>
      <c r="Y5" s="128">
        <f>IF('2024年-挂账付款'!$AX5&gt;=SUM('2024年-挂账付款'!V5:$AH5),'2024年-挂账付款'!V5,IF('2024年-挂账付款'!$AX5-SUM('2024年-挂账付款'!W5:$AH5)&gt;0,'2024年-挂账付款'!$AX5-SUM('2024年-挂账付款'!W5:$AH5),0))</f>
        <v>0</v>
      </c>
      <c r="Z5" s="128">
        <f>IF('2024年-挂账付款'!$AX5&gt;=SUM('2024年-挂账付款'!W5:$AH5),'2024年-挂账付款'!W5,IF('2024年-挂账付款'!$AX5-SUM('2024年-挂账付款'!X5:$AH5)&gt;0,'2024年-挂账付款'!$AX5-SUM('2024年-挂账付款'!X5:$AH5),0))</f>
        <v>0</v>
      </c>
      <c r="AA5" s="167">
        <f>IF('2024年-挂账付款'!$AX5&gt;=SUM('2024年-挂账付款'!X5:$AH5),'2024年-挂账付款'!X5,IF('2024年-挂账付款'!$AX5-SUM('2024年-挂账付款'!Y5:$AH5)&gt;0,'2024年-挂账付款'!$AX5-SUM('2024年-挂账付款'!Y5:$AH5),0))</f>
        <v>24829.45</v>
      </c>
      <c r="AB5" s="128">
        <f>IF('2024年-挂账付款'!$AX5&gt;=SUM('2024年-挂账付款'!Y5:$AH5),'2024年-挂账付款'!Y5,IF('2024年-挂账付款'!$AX5-SUM('2024年-挂账付款'!Z5:$AH5)&gt;0,'2024年-挂账付款'!$AX5-SUM('2024年-挂账付款'!Z5:$AH5),0))</f>
        <v>0</v>
      </c>
      <c r="AC5" s="128">
        <f>IF('2024年-挂账付款'!$AX5&gt;=SUM('2024年-挂账付款'!Z5:$AH5),'2024年-挂账付款'!Z5,IF('2024年-挂账付款'!$AX5-SUM('2024年-挂账付款'!AA5:$AH5)&gt;0,'2024年-挂账付款'!$AX5-SUM('2024年-挂账付款'!AA5:$AH5),0))</f>
        <v>0</v>
      </c>
      <c r="AD5" s="128">
        <f>IF('2024年-挂账付款'!$AX5&gt;=SUM('2024年-挂账付款'!AA5:$AH5),'2024年-挂账付款'!AA5,IF('2024年-挂账付款'!$AX5-SUM('2024年-挂账付款'!AB5:$AH5)&gt;0,'2024年-挂账付款'!$AX5-SUM('2024年-挂账付款'!AB5:$AH5),0))</f>
        <v>0</v>
      </c>
      <c r="AE5" s="128">
        <f>IF('2024年-挂账付款'!$AX5&gt;=SUM('2024年-挂账付款'!AB5:$AH5),'2024年-挂账付款'!AB5,IF('2024年-挂账付款'!$AX5-SUM('2024年-挂账付款'!AC5:$AH5)&gt;0,'2024年-挂账付款'!$AX5-SUM('2024年-挂账付款'!AC5:$AH5),0))</f>
        <v>0</v>
      </c>
      <c r="AF5" s="128">
        <f>IF('2024年-挂账付款'!$AX5&gt;=SUM('2024年-挂账付款'!AC5:$AH5),'2024年-挂账付款'!AC5,IF('2024年-挂账付款'!$AX5-SUM('2024年-挂账付款'!AD5:$AH5)&gt;0,'2024年-挂账付款'!$AX5-SUM('2024年-挂账付款'!AD5:$AH5),0))</f>
        <v>0</v>
      </c>
      <c r="AG5" s="128">
        <f>IF('2024年-挂账付款'!$AX5&gt;=SUM('2024年-挂账付款'!AD5:$AH5),'2024年-挂账付款'!AD5,IF('2024年-挂账付款'!$AX5-SUM('2024年-挂账付款'!AE5:$AH5)&gt;0,'2024年-挂账付款'!$AX5-SUM('2024年-挂账付款'!AE5:$AH5),0))</f>
        <v>0</v>
      </c>
      <c r="AH5" s="128">
        <f>IF('2024年-挂账付款'!$AX5&gt;=SUM('2024年-挂账付款'!AE5:$AH5),'2024年-挂账付款'!AE5,IF('2024年-挂账付款'!$AX5-SUM('2024年-挂账付款'!AF5:$AH5)&gt;0,'2024年-挂账付款'!$AX5-SUM('2024年-挂账付款'!AF5:$AH5),0))</f>
        <v>0</v>
      </c>
      <c r="AI5" s="128">
        <f>IF('2024年-挂账付款'!$AX5&gt;=SUM('2024年-挂账付款'!AF5:$AH5),'2024年-挂账付款'!AF5,IF('2024年-挂账付款'!$AX5-SUM('2024年-挂账付款'!AG5:$AH5)&gt;0,'2024年-挂账付款'!$AX5-SUM('2024年-挂账付款'!AG5:$AH5),0))</f>
        <v>0</v>
      </c>
      <c r="AJ5" s="128">
        <f>IF('2024年-挂账付款'!$AX5&gt;=SUM('2024年-挂账付款'!AG5:$AH5),'2024年-挂账付款'!AG5,IF('2024年-挂账付款'!$AX5-SUM('2024年-挂账付款'!AH5:$AH5)&gt;0,'2024年-挂账付款'!$AX5-SUM('2024年-挂账付款'!AH5:$AH5),0))</f>
        <v>0</v>
      </c>
      <c r="AK5" s="128">
        <f>IF('2024年-挂账付款'!$AX5&gt;=SUM('2024年-挂账付款'!AH5:$AH5),'2024年-挂账付款'!AH5,IF('2024年-挂账付款'!$AX5-SUM('2024年-挂账付款'!$AH5:AI5)&gt;0,'2024年-挂账付款'!$AX5-SUM('2024年-挂账付款'!$AH5:AI5),0))</f>
        <v>0</v>
      </c>
      <c r="AL5" s="174" t="s">
        <v>426</v>
      </c>
      <c r="AM5" s="175" t="s">
        <v>384</v>
      </c>
      <c r="AN5" s="176">
        <f>SUM(U5:Z5)/6*0.8</f>
        <v>0</v>
      </c>
      <c r="AO5" s="203"/>
      <c r="AP5" s="204"/>
      <c r="AQ5" s="205"/>
      <c r="AR5" s="206"/>
    </row>
    <row r="6" s="107" customFormat="1" ht="18" customHeight="1" spans="1:44">
      <c r="A6" s="122"/>
      <c r="B6" s="123" t="s">
        <v>81</v>
      </c>
      <c r="C6" s="124" t="s">
        <v>267</v>
      </c>
      <c r="D6" s="124" t="s">
        <v>268</v>
      </c>
      <c r="E6" s="125">
        <v>30</v>
      </c>
      <c r="F6" s="126">
        <f>SUM(H6:AA6)</f>
        <v>120198.73</v>
      </c>
      <c r="G6" s="127">
        <f t="shared" ref="G6:G37" si="0">IF(SUM(H6:AK6)&gt;0,SUM(H6:AK6),"0")</f>
        <v>120198.73</v>
      </c>
      <c r="H6" s="128">
        <f>IF('2024年-挂账付款'!$AX6&gt;=SUM('2024年-挂账付款'!E6:$AH6),'2024年-挂账付款'!E6,IF('2024年-挂账付款'!$AX6-SUM('2024年-挂账付款'!F6:$AH6)&gt;0,'2024年-挂账付款'!$AX6-SUM('2024年-挂账付款'!F6:$AH6),0))</f>
        <v>0</v>
      </c>
      <c r="I6" s="128">
        <f>IF('2024年-挂账付款'!$AX6&gt;=SUM('2024年-挂账付款'!F6:$AH6),'2024年-挂账付款'!F6,IF('2024年-挂账付款'!$AX6-SUM('2024年-挂账付款'!G6:$AH6)&gt;0,'2024年-挂账付款'!$AX6-SUM('2024年-挂账付款'!G6:$AH6),0))</f>
        <v>0</v>
      </c>
      <c r="J6" s="128">
        <f>IF('2024年-挂账付款'!$AX6&gt;=SUM('2024年-挂账付款'!G6:$AH6),'2024年-挂账付款'!G6,IF('2024年-挂账付款'!$AX6-SUM('2024年-挂账付款'!H6:$AH6)&gt;0,'2024年-挂账付款'!$AX6-SUM('2024年-挂账付款'!H6:$AH6),0))</f>
        <v>0</v>
      </c>
      <c r="K6" s="128">
        <f>IF('2024年-挂账付款'!$AX6&gt;=SUM('2024年-挂账付款'!H6:$AH6),'2024年-挂账付款'!H6,IF('2024年-挂账付款'!$AX6-SUM('2024年-挂账付款'!I6:$AH6)&gt;0,'2024年-挂账付款'!$AX6-SUM('2024年-挂账付款'!I6:$AH6),0))</f>
        <v>0</v>
      </c>
      <c r="L6" s="128">
        <f>IF('2024年-挂账付款'!$AX6&gt;=SUM('2024年-挂账付款'!I6:$AH6),'2024年-挂账付款'!I6,IF('2024年-挂账付款'!$AX6-SUM('2024年-挂账付款'!J6:$AH6)&gt;0,'2024年-挂账付款'!$AX6-SUM('2024年-挂账付款'!J6:$AH6),0))</f>
        <v>0</v>
      </c>
      <c r="M6" s="128">
        <f>IF('2024年-挂账付款'!$AX6&gt;=SUM('2024年-挂账付款'!J6:$AH6),'2024年-挂账付款'!J6,IF('2024年-挂账付款'!$AX6-SUM('2024年-挂账付款'!K6:$AH6)&gt;0,'2024年-挂账付款'!$AX6-SUM('2024年-挂账付款'!K6:$AH6),0))</f>
        <v>0</v>
      </c>
      <c r="N6" s="128">
        <f>IF('2024年-挂账付款'!$AX6&gt;=SUM('2024年-挂账付款'!K6:$AH6),'2024年-挂账付款'!K6,IF('2024年-挂账付款'!$AX6-SUM('2024年-挂账付款'!L6:$AH6)&gt;0,'2024年-挂账付款'!$AX6-SUM('2024年-挂账付款'!L6:$AH6),0))</f>
        <v>0</v>
      </c>
      <c r="O6" s="128">
        <f>IF('2024年-挂账付款'!$AX6&gt;=SUM('2024年-挂账付款'!L6:$AH6),'2024年-挂账付款'!L6,IF('2024年-挂账付款'!$AX6-SUM('2024年-挂账付款'!M6:$AH6)&gt;0,'2024年-挂账付款'!$AX6-SUM('2024年-挂账付款'!M6:$AH6),0))</f>
        <v>0</v>
      </c>
      <c r="P6" s="128">
        <f>IF('2024年-挂账付款'!$AX6&gt;=SUM('2024年-挂账付款'!M6:$AH6),'2024年-挂账付款'!M6,IF('2024年-挂账付款'!$AX6-SUM('2024年-挂账付款'!N6:$AH6)&gt;0,'2024年-挂账付款'!$AX6-SUM('2024年-挂账付款'!N6:$AH6),0))</f>
        <v>0</v>
      </c>
      <c r="Q6" s="128">
        <f>IF('2024年-挂账付款'!$AX6&gt;=SUM('2024年-挂账付款'!N6:$AH6),'2024年-挂账付款'!N6,IF('2024年-挂账付款'!$AX6-SUM('2024年-挂账付款'!O6:$AH6)&gt;0,'2024年-挂账付款'!$AX6-SUM('2024年-挂账付款'!O6:$AH6),0))</f>
        <v>0</v>
      </c>
      <c r="R6" s="128">
        <f>IF('2024年-挂账付款'!$AX6&gt;=SUM('2024年-挂账付款'!O6:$AH6),'2024年-挂账付款'!O6,IF('2024年-挂账付款'!$AX6-SUM('2024年-挂账付款'!P6:$AH6)&gt;0,'2024年-挂账付款'!$AX6-SUM('2024年-挂账付款'!P6:$AH6),0))</f>
        <v>0</v>
      </c>
      <c r="S6" s="128">
        <f>IF('2024年-挂账付款'!$AX6&gt;=SUM('2024年-挂账付款'!P6:$AH6),'2024年-挂账付款'!P6,IF('2024年-挂账付款'!$AX6-SUM('2024年-挂账付款'!Q6:$AH6)&gt;0,'2024年-挂账付款'!$AX6-SUM('2024年-挂账付款'!Q6:$AH6),0))</f>
        <v>0</v>
      </c>
      <c r="T6" s="128">
        <f>IF('2024年-挂账付款'!$AX6&gt;=SUM('2024年-挂账付款'!Q6:$AH6),'2024年-挂账付款'!Q6,IF('2024年-挂账付款'!$AX6-SUM('2024年-挂账付款'!R6:$AH6)&gt;0,'2024年-挂账付款'!$AX6-SUM('2024年-挂账付款'!R6:$AH6),0))</f>
        <v>0</v>
      </c>
      <c r="U6" s="128">
        <f>IF('2024年-挂账付款'!$AX6&gt;=SUM('2024年-挂账付款'!R6:$AH6),'2024年-挂账付款'!R6,IF('2024年-挂账付款'!$AX6-SUM('2024年-挂账付款'!S6:$AH6)&gt;0,'2024年-挂账付款'!$AX6-SUM('2024年-挂账付款'!S6:$AH6),0))</f>
        <v>0</v>
      </c>
      <c r="V6" s="128">
        <f>IF('2024年-挂账付款'!$AX6&gt;=SUM('2024年-挂账付款'!S6:$AH6),'2024年-挂账付款'!S6,IF('2024年-挂账付款'!$AX6-SUM('2024年-挂账付款'!T6:$AH6)&gt;0,'2024年-挂账付款'!$AX6-SUM('2024年-挂账付款'!T6:$AH6),0))</f>
        <v>0</v>
      </c>
      <c r="W6" s="128">
        <f>IF('2024年-挂账付款'!$AX6&gt;=SUM('2024年-挂账付款'!T6:$AH6),'2024年-挂账付款'!T6,IF('2024年-挂账付款'!$AX6-SUM('2024年-挂账付款'!U6:$AH6)&gt;0,'2024年-挂账付款'!$AX6-SUM('2024年-挂账付款'!U6:$AH6),0))</f>
        <v>0</v>
      </c>
      <c r="X6" s="128">
        <f>IF('2024年-挂账付款'!$AX6&gt;=SUM('2024年-挂账付款'!U6:$AH6),'2024年-挂账付款'!U6,IF('2024年-挂账付款'!$AX6-SUM('2024年-挂账付款'!V6:$AH6)&gt;0,'2024年-挂账付款'!$AX6-SUM('2024年-挂账付款'!V6:$AH6),0))</f>
        <v>0</v>
      </c>
      <c r="Y6" s="128">
        <f>IF('2024年-挂账付款'!$AX6&gt;=SUM('2024年-挂账付款'!V6:$AH6),'2024年-挂账付款'!V6,IF('2024年-挂账付款'!$AX6-SUM('2024年-挂账付款'!W6:$AH6)&gt;0,'2024年-挂账付款'!$AX6-SUM('2024年-挂账付款'!W6:$AH6),0))</f>
        <v>0</v>
      </c>
      <c r="Z6" s="128">
        <f>IF('2024年-挂账付款'!$AX6&gt;=SUM('2024年-挂账付款'!W6:$AH6),'2024年-挂账付款'!W6,IF('2024年-挂账付款'!$AX6-SUM('2024年-挂账付款'!X6:$AH6)&gt;0,'2024年-挂账付款'!$AX6-SUM('2024年-挂账付款'!X6:$AH6),0))</f>
        <v>0</v>
      </c>
      <c r="AA6" s="167">
        <f>IF('2024年-挂账付款'!$AX6&gt;=SUM('2024年-挂账付款'!X6:$AH6),'2024年-挂账付款'!X6,IF('2024年-挂账付款'!$AX6-SUM('2024年-挂账付款'!Y6:$AH6)&gt;0,'2024年-挂账付款'!$AX6-SUM('2024年-挂账付款'!Y6:$AH6),0))</f>
        <v>120198.73</v>
      </c>
      <c r="AB6" s="128">
        <f>IF('2024年-挂账付款'!$AX6&gt;=SUM('2024年-挂账付款'!Y6:$AH6),'2024年-挂账付款'!Y6,IF('2024年-挂账付款'!$AX6-SUM('2024年-挂账付款'!Z6:$AH6)&gt;0,'2024年-挂账付款'!$AX6-SUM('2024年-挂账付款'!Z6:$AH6),0))</f>
        <v>0</v>
      </c>
      <c r="AC6" s="128">
        <f>IF('2024年-挂账付款'!$AX6&gt;=SUM('2024年-挂账付款'!Z6:$AH6),'2024年-挂账付款'!Z6,IF('2024年-挂账付款'!$AX6-SUM('2024年-挂账付款'!AA6:$AH6)&gt;0,'2024年-挂账付款'!$AX6-SUM('2024年-挂账付款'!AA6:$AH6),0))</f>
        <v>0</v>
      </c>
      <c r="AD6" s="128">
        <f>IF('2024年-挂账付款'!$AX6&gt;=SUM('2024年-挂账付款'!AA6:$AH6),'2024年-挂账付款'!AA6,IF('2024年-挂账付款'!$AX6-SUM('2024年-挂账付款'!AB6:$AH6)&gt;0,'2024年-挂账付款'!$AX6-SUM('2024年-挂账付款'!AB6:$AH6),0))</f>
        <v>0</v>
      </c>
      <c r="AE6" s="128">
        <f>IF('2024年-挂账付款'!$AX6&gt;=SUM('2024年-挂账付款'!AB6:$AH6),'2024年-挂账付款'!AB6,IF('2024年-挂账付款'!$AX6-SUM('2024年-挂账付款'!AC6:$AH6)&gt;0,'2024年-挂账付款'!$AX6-SUM('2024年-挂账付款'!AC6:$AH6),0))</f>
        <v>0</v>
      </c>
      <c r="AF6" s="128">
        <f>IF('2024年-挂账付款'!$AX6&gt;=SUM('2024年-挂账付款'!AC6:$AH6),'2024年-挂账付款'!AC6,IF('2024年-挂账付款'!$AX6-SUM('2024年-挂账付款'!AD6:$AH6)&gt;0,'2024年-挂账付款'!$AX6-SUM('2024年-挂账付款'!AD6:$AH6),0))</f>
        <v>0</v>
      </c>
      <c r="AG6" s="128">
        <f>IF('2024年-挂账付款'!$AX6&gt;=SUM('2024年-挂账付款'!AD6:$AH6),'2024年-挂账付款'!AD6,IF('2024年-挂账付款'!$AX6-SUM('2024年-挂账付款'!AE6:$AH6)&gt;0,'2024年-挂账付款'!$AX6-SUM('2024年-挂账付款'!AE6:$AH6),0))</f>
        <v>0</v>
      </c>
      <c r="AH6" s="128">
        <f>IF('2024年-挂账付款'!$AX6&gt;=SUM('2024年-挂账付款'!AE6:$AH6),'2024年-挂账付款'!AE6,IF('2024年-挂账付款'!$AX6-SUM('2024年-挂账付款'!AF6:$AH6)&gt;0,'2024年-挂账付款'!$AX6-SUM('2024年-挂账付款'!AF6:$AH6),0))</f>
        <v>0</v>
      </c>
      <c r="AI6" s="128">
        <f>IF('2024年-挂账付款'!$AX6&gt;=SUM('2024年-挂账付款'!AF6:$AH6),'2024年-挂账付款'!AF6,IF('2024年-挂账付款'!$AX6-SUM('2024年-挂账付款'!AG6:$AH6)&gt;0,'2024年-挂账付款'!$AX6-SUM('2024年-挂账付款'!AG6:$AH6),0))</f>
        <v>0</v>
      </c>
      <c r="AJ6" s="128">
        <f>IF('2024年-挂账付款'!$AX6&gt;=SUM('2024年-挂账付款'!AG6:$AH6),'2024年-挂账付款'!AG6,IF('2024年-挂账付款'!$AX6-SUM('2024年-挂账付款'!AH6:$AH6)&gt;0,'2024年-挂账付款'!$AX6-SUM('2024年-挂账付款'!AH6:$AH6),0))</f>
        <v>0</v>
      </c>
      <c r="AK6" s="128">
        <f>IF('2024年-挂账付款'!$AX6&gt;=SUM('2024年-挂账付款'!AH6:$AH6),'2024年-挂账付款'!AH6,IF('2024年-挂账付款'!$AX6-SUM('2024年-挂账付款'!$AH6:AI6)&gt;0,'2024年-挂账付款'!$AX6-SUM('2024年-挂账付款'!$AH6:AI6),0))</f>
        <v>0</v>
      </c>
      <c r="AL6" s="177" t="s">
        <v>426</v>
      </c>
      <c r="AM6" s="175" t="s">
        <v>384</v>
      </c>
      <c r="AN6" s="176">
        <f t="shared" ref="AN6:AN37" si="1">SUM(U6:Z6)/6*0.8</f>
        <v>0</v>
      </c>
      <c r="AO6" s="203"/>
      <c r="AP6" s="204"/>
      <c r="AQ6" s="205"/>
      <c r="AR6" s="206"/>
    </row>
    <row r="7" s="107" customFormat="1" ht="18" customHeight="1" spans="1:44">
      <c r="A7" s="122"/>
      <c r="B7" s="129" t="s">
        <v>81</v>
      </c>
      <c r="C7" s="130" t="s">
        <v>212</v>
      </c>
      <c r="D7" s="130" t="s">
        <v>213</v>
      </c>
      <c r="E7" s="131">
        <v>30</v>
      </c>
      <c r="F7" s="126">
        <f>SUM(H7:AA7)</f>
        <v>303623.8</v>
      </c>
      <c r="G7" s="127">
        <f t="shared" si="0"/>
        <v>303623.8</v>
      </c>
      <c r="H7" s="128">
        <f>IF('2024年-挂账付款'!$AX7&gt;=SUM('2024年-挂账付款'!E7:$AH7),'2024年-挂账付款'!E7,IF('2024年-挂账付款'!$AX7-SUM('2024年-挂账付款'!F7:$AH7)&gt;0,'2024年-挂账付款'!$AX7-SUM('2024年-挂账付款'!F7:$AH7),0))</f>
        <v>0</v>
      </c>
      <c r="I7" s="128">
        <f>IF('2024年-挂账付款'!$AX7&gt;=SUM('2024年-挂账付款'!F7:$AH7),'2024年-挂账付款'!F7,IF('2024年-挂账付款'!$AX7-SUM('2024年-挂账付款'!G7:$AH7)&gt;0,'2024年-挂账付款'!$AX7-SUM('2024年-挂账付款'!G7:$AH7),0))</f>
        <v>0</v>
      </c>
      <c r="J7" s="128">
        <f>IF('2024年-挂账付款'!$AX7&gt;=SUM('2024年-挂账付款'!G7:$AH7),'2024年-挂账付款'!G7,IF('2024年-挂账付款'!$AX7-SUM('2024年-挂账付款'!H7:$AH7)&gt;0,'2024年-挂账付款'!$AX7-SUM('2024年-挂账付款'!H7:$AH7),0))</f>
        <v>0</v>
      </c>
      <c r="K7" s="128">
        <f>IF('2024年-挂账付款'!$AX7&gt;=SUM('2024年-挂账付款'!H7:$AH7),'2024年-挂账付款'!H7,IF('2024年-挂账付款'!$AX7-SUM('2024年-挂账付款'!I7:$AH7)&gt;0,'2024年-挂账付款'!$AX7-SUM('2024年-挂账付款'!I7:$AH7),0))</f>
        <v>0</v>
      </c>
      <c r="L7" s="128">
        <f>IF('2024年-挂账付款'!$AX7&gt;=SUM('2024年-挂账付款'!I7:$AH7),'2024年-挂账付款'!I7,IF('2024年-挂账付款'!$AX7-SUM('2024年-挂账付款'!J7:$AH7)&gt;0,'2024年-挂账付款'!$AX7-SUM('2024年-挂账付款'!J7:$AH7),0))</f>
        <v>0</v>
      </c>
      <c r="M7" s="128">
        <f>IF('2024年-挂账付款'!$AX7&gt;=SUM('2024年-挂账付款'!J7:$AH7),'2024年-挂账付款'!J7,IF('2024年-挂账付款'!$AX7-SUM('2024年-挂账付款'!K7:$AH7)&gt;0,'2024年-挂账付款'!$AX7-SUM('2024年-挂账付款'!K7:$AH7),0))</f>
        <v>0</v>
      </c>
      <c r="N7" s="128">
        <f>IF('2024年-挂账付款'!$AX7&gt;=SUM('2024年-挂账付款'!K7:$AH7),'2024年-挂账付款'!K7,IF('2024年-挂账付款'!$AX7-SUM('2024年-挂账付款'!L7:$AH7)&gt;0,'2024年-挂账付款'!$AX7-SUM('2024年-挂账付款'!L7:$AH7),0))</f>
        <v>0</v>
      </c>
      <c r="O7" s="128">
        <f>IF('2024年-挂账付款'!$AX7&gt;=SUM('2024年-挂账付款'!L7:$AH7),'2024年-挂账付款'!L7,IF('2024年-挂账付款'!$AX7-SUM('2024年-挂账付款'!M7:$AH7)&gt;0,'2024年-挂账付款'!$AX7-SUM('2024年-挂账付款'!M7:$AH7),0))</f>
        <v>0</v>
      </c>
      <c r="P7" s="128">
        <f>IF('2024年-挂账付款'!$AX7&gt;=SUM('2024年-挂账付款'!M7:$AH7),'2024年-挂账付款'!M7,IF('2024年-挂账付款'!$AX7-SUM('2024年-挂账付款'!N7:$AH7)&gt;0,'2024年-挂账付款'!$AX7-SUM('2024年-挂账付款'!N7:$AH7),0))</f>
        <v>0</v>
      </c>
      <c r="Q7" s="128">
        <f>IF('2024年-挂账付款'!$AX7&gt;=SUM('2024年-挂账付款'!N7:$AH7),'2024年-挂账付款'!N7,IF('2024年-挂账付款'!$AX7-SUM('2024年-挂账付款'!O7:$AH7)&gt;0,'2024年-挂账付款'!$AX7-SUM('2024年-挂账付款'!O7:$AH7),0))</f>
        <v>0</v>
      </c>
      <c r="R7" s="128">
        <f>IF('2024年-挂账付款'!$AX7&gt;=SUM('2024年-挂账付款'!O7:$AH7),'2024年-挂账付款'!O7,IF('2024年-挂账付款'!$AX7-SUM('2024年-挂账付款'!P7:$AH7)&gt;0,'2024年-挂账付款'!$AX7-SUM('2024年-挂账付款'!P7:$AH7),0))</f>
        <v>0</v>
      </c>
      <c r="S7" s="128">
        <f>IF('2024年-挂账付款'!$AX7&gt;=SUM('2024年-挂账付款'!P7:$AH7),'2024年-挂账付款'!P7,IF('2024年-挂账付款'!$AX7-SUM('2024年-挂账付款'!Q7:$AH7)&gt;0,'2024年-挂账付款'!$AX7-SUM('2024年-挂账付款'!Q7:$AH7),0))</f>
        <v>0</v>
      </c>
      <c r="T7" s="128">
        <f>IF('2024年-挂账付款'!$AX7&gt;=SUM('2024年-挂账付款'!Q7:$AH7),'2024年-挂账付款'!Q7,IF('2024年-挂账付款'!$AX7-SUM('2024年-挂账付款'!R7:$AH7)&gt;0,'2024年-挂账付款'!$AX7-SUM('2024年-挂账付款'!R7:$AH7),0))</f>
        <v>0</v>
      </c>
      <c r="U7" s="128">
        <f>IF('2024年-挂账付款'!$AX7&gt;=SUM('2024年-挂账付款'!R7:$AH7),'2024年-挂账付款'!R7,IF('2024年-挂账付款'!$AX7-SUM('2024年-挂账付款'!S7:$AH7)&gt;0,'2024年-挂账付款'!$AX7-SUM('2024年-挂账付款'!S7:$AH7),0))</f>
        <v>0</v>
      </c>
      <c r="V7" s="128">
        <f>IF('2024年-挂账付款'!$AX7&gt;=SUM('2024年-挂账付款'!S7:$AH7),'2024年-挂账付款'!S7,IF('2024年-挂账付款'!$AX7-SUM('2024年-挂账付款'!T7:$AH7)&gt;0,'2024年-挂账付款'!$AX7-SUM('2024年-挂账付款'!T7:$AH7),0))</f>
        <v>136228.32</v>
      </c>
      <c r="W7" s="128">
        <f>IF('2024年-挂账付款'!$AX7&gt;=SUM('2024年-挂账付款'!T7:$AH7),'2024年-挂账付款'!T7,IF('2024年-挂账付款'!$AX7-SUM('2024年-挂账付款'!U7:$AH7)&gt;0,'2024年-挂账付款'!$AX7-SUM('2024年-挂账付款'!U7:$AH7),0))</f>
        <v>167395.48</v>
      </c>
      <c r="X7" s="128">
        <f>IF('2024年-挂账付款'!$AX7&gt;=SUM('2024年-挂账付款'!U7:$AH7),'2024年-挂账付款'!U7,IF('2024年-挂账付款'!$AX7-SUM('2024年-挂账付款'!V7:$AH7)&gt;0,'2024年-挂账付款'!$AX7-SUM('2024年-挂账付款'!V7:$AH7),0))</f>
        <v>0</v>
      </c>
      <c r="Y7" s="128">
        <f>IF('2024年-挂账付款'!$AX7&gt;=SUM('2024年-挂账付款'!V7:$AH7),'2024年-挂账付款'!V7,IF('2024年-挂账付款'!$AX7-SUM('2024年-挂账付款'!W7:$AH7)&gt;0,'2024年-挂账付款'!$AX7-SUM('2024年-挂账付款'!W7:$AH7),0))</f>
        <v>0</v>
      </c>
      <c r="Z7" s="128">
        <f>IF('2024年-挂账付款'!$AX7&gt;=SUM('2024年-挂账付款'!W7:$AH7),'2024年-挂账付款'!W7,IF('2024年-挂账付款'!$AX7-SUM('2024年-挂账付款'!X7:$AH7)&gt;0,'2024年-挂账付款'!$AX7-SUM('2024年-挂账付款'!X7:$AH7),0))</f>
        <v>0</v>
      </c>
      <c r="AA7" s="167">
        <f>IF('2024年-挂账付款'!$AX7&gt;=SUM('2024年-挂账付款'!X7:$AH7),'2024年-挂账付款'!X7,IF('2024年-挂账付款'!$AX7-SUM('2024年-挂账付款'!Y7:$AH7)&gt;0,'2024年-挂账付款'!$AX7-SUM('2024年-挂账付款'!Y7:$AH7),0))</f>
        <v>0</v>
      </c>
      <c r="AB7" s="128">
        <f>IF('2024年-挂账付款'!$AX7&gt;=SUM('2024年-挂账付款'!Y7:$AH7),'2024年-挂账付款'!Y7,IF('2024年-挂账付款'!$AX7-SUM('2024年-挂账付款'!Z7:$AH7)&gt;0,'2024年-挂账付款'!$AX7-SUM('2024年-挂账付款'!Z7:$AH7),0))</f>
        <v>0</v>
      </c>
      <c r="AC7" s="128">
        <f>IF('2024年-挂账付款'!$AX7&gt;=SUM('2024年-挂账付款'!Z7:$AH7),'2024年-挂账付款'!Z7,IF('2024年-挂账付款'!$AX7-SUM('2024年-挂账付款'!AA7:$AH7)&gt;0,'2024年-挂账付款'!$AX7-SUM('2024年-挂账付款'!AA7:$AH7),0))</f>
        <v>0</v>
      </c>
      <c r="AD7" s="128">
        <f>IF('2024年-挂账付款'!$AX7&gt;=SUM('2024年-挂账付款'!AA7:$AH7),'2024年-挂账付款'!AA7,IF('2024年-挂账付款'!$AX7-SUM('2024年-挂账付款'!AB7:$AH7)&gt;0,'2024年-挂账付款'!$AX7-SUM('2024年-挂账付款'!AB7:$AH7),0))</f>
        <v>0</v>
      </c>
      <c r="AE7" s="128">
        <f>IF('2024年-挂账付款'!$AX7&gt;=SUM('2024年-挂账付款'!AB7:$AH7),'2024年-挂账付款'!AB7,IF('2024年-挂账付款'!$AX7-SUM('2024年-挂账付款'!AC7:$AH7)&gt;0,'2024年-挂账付款'!$AX7-SUM('2024年-挂账付款'!AC7:$AH7),0))</f>
        <v>0</v>
      </c>
      <c r="AF7" s="128">
        <f>IF('2024年-挂账付款'!$AX7&gt;=SUM('2024年-挂账付款'!AC7:$AH7),'2024年-挂账付款'!AC7,IF('2024年-挂账付款'!$AX7-SUM('2024年-挂账付款'!AD7:$AH7)&gt;0,'2024年-挂账付款'!$AX7-SUM('2024年-挂账付款'!AD7:$AH7),0))</f>
        <v>0</v>
      </c>
      <c r="AG7" s="128">
        <f>IF('2024年-挂账付款'!$AX7&gt;=SUM('2024年-挂账付款'!AD7:$AH7),'2024年-挂账付款'!AD7,IF('2024年-挂账付款'!$AX7-SUM('2024年-挂账付款'!AE7:$AH7)&gt;0,'2024年-挂账付款'!$AX7-SUM('2024年-挂账付款'!AE7:$AH7),0))</f>
        <v>0</v>
      </c>
      <c r="AH7" s="128">
        <f>IF('2024年-挂账付款'!$AX7&gt;=SUM('2024年-挂账付款'!AE7:$AH7),'2024年-挂账付款'!AE7,IF('2024年-挂账付款'!$AX7-SUM('2024年-挂账付款'!AF7:$AH7)&gt;0,'2024年-挂账付款'!$AX7-SUM('2024年-挂账付款'!AF7:$AH7),0))</f>
        <v>0</v>
      </c>
      <c r="AI7" s="128">
        <f>IF('2024年-挂账付款'!$AX7&gt;=SUM('2024年-挂账付款'!AF7:$AH7),'2024年-挂账付款'!AF7,IF('2024年-挂账付款'!$AX7-SUM('2024年-挂账付款'!AG7:$AH7)&gt;0,'2024年-挂账付款'!$AX7-SUM('2024年-挂账付款'!AG7:$AH7),0))</f>
        <v>0</v>
      </c>
      <c r="AJ7" s="128">
        <f>IF('2024年-挂账付款'!$AX7&gt;=SUM('2024年-挂账付款'!AG7:$AH7),'2024年-挂账付款'!AG7,IF('2024年-挂账付款'!$AX7-SUM('2024年-挂账付款'!AH7:$AH7)&gt;0,'2024年-挂账付款'!$AX7-SUM('2024年-挂账付款'!AH7:$AH7),0))</f>
        <v>0</v>
      </c>
      <c r="AK7" s="128">
        <f>IF('2024年-挂账付款'!$AX7&gt;=SUM('2024年-挂账付款'!AH7:$AH7),'2024年-挂账付款'!AH7,IF('2024年-挂账付款'!$AX7-SUM('2024年-挂账付款'!$AH7:AI7)&gt;0,'2024年-挂账付款'!$AX7-SUM('2024年-挂账付款'!$AH7:AI7),0))</f>
        <v>0</v>
      </c>
      <c r="AL7" s="177" t="s">
        <v>426</v>
      </c>
      <c r="AM7" s="175"/>
      <c r="AN7" s="176">
        <f t="shared" si="1"/>
        <v>40483.1733333333</v>
      </c>
      <c r="AO7" s="203">
        <f>G7</f>
        <v>303623.8</v>
      </c>
      <c r="AP7" s="204" t="s">
        <v>470</v>
      </c>
      <c r="AQ7" s="205"/>
      <c r="AR7" s="206">
        <f>AO7</f>
        <v>303623.8</v>
      </c>
    </row>
    <row r="8" s="107" customFormat="1" ht="18" customHeight="1" spans="1:45">
      <c r="A8" s="122"/>
      <c r="B8" s="129" t="s">
        <v>81</v>
      </c>
      <c r="C8" s="130" t="s">
        <v>274</v>
      </c>
      <c r="D8" s="130" t="s">
        <v>275</v>
      </c>
      <c r="E8" s="125">
        <v>30</v>
      </c>
      <c r="F8" s="126">
        <f>SUM(H8:AA8)</f>
        <v>384215.06</v>
      </c>
      <c r="G8" s="127">
        <f t="shared" si="0"/>
        <v>384215.06</v>
      </c>
      <c r="H8" s="128">
        <f>IF('2024年-挂账付款'!$AX8&gt;=SUM('2024年-挂账付款'!E8:$AH8),'2024年-挂账付款'!E8,IF('2024年-挂账付款'!$AX8-SUM('2024年-挂账付款'!F8:$AH8)&gt;0,'2024年-挂账付款'!$AX8-SUM('2024年-挂账付款'!F8:$AH8),0))</f>
        <v>0</v>
      </c>
      <c r="I8" s="128">
        <f>IF('2024年-挂账付款'!$AX8&gt;=SUM('2024年-挂账付款'!F8:$AH8),'2024年-挂账付款'!F8,IF('2024年-挂账付款'!$AX8-SUM('2024年-挂账付款'!G8:$AH8)&gt;0,'2024年-挂账付款'!$AX8-SUM('2024年-挂账付款'!G8:$AH8),0))</f>
        <v>0</v>
      </c>
      <c r="J8" s="128">
        <f>IF('2024年-挂账付款'!$AX8&gt;=SUM('2024年-挂账付款'!G8:$AH8),'2024年-挂账付款'!G8,IF('2024年-挂账付款'!$AX8-SUM('2024年-挂账付款'!H8:$AH8)&gt;0,'2024年-挂账付款'!$AX8-SUM('2024年-挂账付款'!H8:$AH8),0))</f>
        <v>0</v>
      </c>
      <c r="K8" s="128">
        <f>IF('2024年-挂账付款'!$AX8&gt;=SUM('2024年-挂账付款'!H8:$AH8),'2024年-挂账付款'!H8,IF('2024年-挂账付款'!$AX8-SUM('2024年-挂账付款'!I8:$AH8)&gt;0,'2024年-挂账付款'!$AX8-SUM('2024年-挂账付款'!I8:$AH8),0))</f>
        <v>0</v>
      </c>
      <c r="L8" s="128">
        <f>IF('2024年-挂账付款'!$AX8&gt;=SUM('2024年-挂账付款'!I8:$AH8),'2024年-挂账付款'!I8,IF('2024年-挂账付款'!$AX8-SUM('2024年-挂账付款'!J8:$AH8)&gt;0,'2024年-挂账付款'!$AX8-SUM('2024年-挂账付款'!J8:$AH8),0))</f>
        <v>0</v>
      </c>
      <c r="M8" s="128">
        <f>IF('2024年-挂账付款'!$AX8&gt;=SUM('2024年-挂账付款'!J8:$AH8),'2024年-挂账付款'!J8,IF('2024年-挂账付款'!$AX8-SUM('2024年-挂账付款'!K8:$AH8)&gt;0,'2024年-挂账付款'!$AX8-SUM('2024年-挂账付款'!K8:$AH8),0))</f>
        <v>0</v>
      </c>
      <c r="N8" s="128">
        <f>IF('2024年-挂账付款'!$AX8&gt;=SUM('2024年-挂账付款'!K8:$AH8),'2024年-挂账付款'!K8,IF('2024年-挂账付款'!$AX8-SUM('2024年-挂账付款'!L8:$AH8)&gt;0,'2024年-挂账付款'!$AX8-SUM('2024年-挂账付款'!L8:$AH8),0))</f>
        <v>0</v>
      </c>
      <c r="O8" s="128">
        <f>IF('2024年-挂账付款'!$AX8&gt;=SUM('2024年-挂账付款'!L8:$AH8),'2024年-挂账付款'!L8,IF('2024年-挂账付款'!$AX8-SUM('2024年-挂账付款'!M8:$AH8)&gt;0,'2024年-挂账付款'!$AX8-SUM('2024年-挂账付款'!M8:$AH8),0))</f>
        <v>0</v>
      </c>
      <c r="P8" s="128">
        <f>IF('2024年-挂账付款'!$AX8&gt;=SUM('2024年-挂账付款'!M8:$AH8),'2024年-挂账付款'!M8,IF('2024年-挂账付款'!$AX8-SUM('2024年-挂账付款'!N8:$AH8)&gt;0,'2024年-挂账付款'!$AX8-SUM('2024年-挂账付款'!N8:$AH8),0))</f>
        <v>0</v>
      </c>
      <c r="Q8" s="128">
        <f>IF('2024年-挂账付款'!$AX8&gt;=SUM('2024年-挂账付款'!N8:$AH8),'2024年-挂账付款'!N8,IF('2024年-挂账付款'!$AX8-SUM('2024年-挂账付款'!O8:$AH8)&gt;0,'2024年-挂账付款'!$AX8-SUM('2024年-挂账付款'!O8:$AH8),0))</f>
        <v>0</v>
      </c>
      <c r="R8" s="128">
        <f>IF('2024年-挂账付款'!$AX8&gt;=SUM('2024年-挂账付款'!O8:$AH8),'2024年-挂账付款'!O8,IF('2024年-挂账付款'!$AX8-SUM('2024年-挂账付款'!P8:$AH8)&gt;0,'2024年-挂账付款'!$AX8-SUM('2024年-挂账付款'!P8:$AH8),0))</f>
        <v>0</v>
      </c>
      <c r="S8" s="128">
        <f>IF('2024年-挂账付款'!$AX8&gt;=SUM('2024年-挂账付款'!P8:$AH8),'2024年-挂账付款'!P8,IF('2024年-挂账付款'!$AX8-SUM('2024年-挂账付款'!Q8:$AH8)&gt;0,'2024年-挂账付款'!$AX8-SUM('2024年-挂账付款'!Q8:$AH8),0))</f>
        <v>0</v>
      </c>
      <c r="T8" s="128">
        <f>IF('2024年-挂账付款'!$AX8&gt;=SUM('2024年-挂账付款'!Q8:$AH8),'2024年-挂账付款'!Q8,IF('2024年-挂账付款'!$AX8-SUM('2024年-挂账付款'!R8:$AH8)&gt;0,'2024年-挂账付款'!$AX8-SUM('2024年-挂账付款'!R8:$AH8),0))</f>
        <v>0</v>
      </c>
      <c r="U8" s="128">
        <f>IF('2024年-挂账付款'!$AX8&gt;=SUM('2024年-挂账付款'!R8:$AH8),'2024年-挂账付款'!R8,IF('2024年-挂账付款'!$AX8-SUM('2024年-挂账付款'!S8:$AH8)&gt;0,'2024年-挂账付款'!$AX8-SUM('2024年-挂账付款'!S8:$AH8),0))</f>
        <v>0</v>
      </c>
      <c r="V8" s="128">
        <f>IF('2024年-挂账付款'!$AX8&gt;=SUM('2024年-挂账付款'!S8:$AH8),'2024年-挂账付款'!S8,IF('2024年-挂账付款'!$AX8-SUM('2024年-挂账付款'!T8:$AH8)&gt;0,'2024年-挂账付款'!$AX8-SUM('2024年-挂账付款'!T8:$AH8),0))</f>
        <v>0</v>
      </c>
      <c r="W8" s="128">
        <f>IF('2024年-挂账付款'!$AX8&gt;=SUM('2024年-挂账付款'!T8:$AH8),'2024年-挂账付款'!T8,IF('2024年-挂账付款'!$AX8-SUM('2024年-挂账付款'!U8:$AH8)&gt;0,'2024年-挂账付款'!$AX8-SUM('2024年-挂账付款'!U8:$AH8),0))</f>
        <v>0</v>
      </c>
      <c r="X8" s="128">
        <f>IF('2024年-挂账付款'!$AX8&gt;=SUM('2024年-挂账付款'!U8:$AH8),'2024年-挂账付款'!U8,IF('2024年-挂账付款'!$AX8-SUM('2024年-挂账付款'!V8:$AH8)&gt;0,'2024年-挂账付款'!$AX8-SUM('2024年-挂账付款'!V8:$AH8),0))</f>
        <v>0</v>
      </c>
      <c r="Y8" s="128">
        <f>IF('2024年-挂账付款'!$AX8&gt;=SUM('2024年-挂账付款'!V8:$AH8),'2024年-挂账付款'!V8,IF('2024年-挂账付款'!$AX8-SUM('2024年-挂账付款'!W8:$AH8)&gt;0,'2024年-挂账付款'!$AX8-SUM('2024年-挂账付款'!W8:$AH8),0))</f>
        <v>0</v>
      </c>
      <c r="Z8" s="128">
        <f>IF('2024年-挂账付款'!$AX8&gt;=SUM('2024年-挂账付款'!W8:$AH8),'2024年-挂账付款'!W8,IF('2024年-挂账付款'!$AX8-SUM('2024年-挂账付款'!X8:$AH8)&gt;0,'2024年-挂账付款'!$AX8-SUM('2024年-挂账付款'!X8:$AH8),0))</f>
        <v>91049.67</v>
      </c>
      <c r="AA8" s="167">
        <f>IF('2024年-挂账付款'!$AX8&gt;=SUM('2024年-挂账付款'!X8:$AH8),'2024年-挂账付款'!X8,IF('2024年-挂账付款'!$AX8-SUM('2024年-挂账付款'!Y8:$AH8)&gt;0,'2024年-挂账付款'!$AX8-SUM('2024年-挂账付款'!Y8:$AH8),0))</f>
        <v>293165.39</v>
      </c>
      <c r="AB8" s="128">
        <f>IF('2024年-挂账付款'!$AX8&gt;=SUM('2024年-挂账付款'!Y8:$AH8),'2024年-挂账付款'!Y8,IF('2024年-挂账付款'!$AX8-SUM('2024年-挂账付款'!Z8:$AH8)&gt;0,'2024年-挂账付款'!$AX8-SUM('2024年-挂账付款'!Z8:$AH8),0))</f>
        <v>0</v>
      </c>
      <c r="AC8" s="128">
        <f>IF('2024年-挂账付款'!$AX8&gt;=SUM('2024年-挂账付款'!Z8:$AH8),'2024年-挂账付款'!Z8,IF('2024年-挂账付款'!$AX8-SUM('2024年-挂账付款'!AA8:$AH8)&gt;0,'2024年-挂账付款'!$AX8-SUM('2024年-挂账付款'!AA8:$AH8),0))</f>
        <v>0</v>
      </c>
      <c r="AD8" s="128">
        <f>IF('2024年-挂账付款'!$AX8&gt;=SUM('2024年-挂账付款'!AA8:$AH8),'2024年-挂账付款'!AA8,IF('2024年-挂账付款'!$AX8-SUM('2024年-挂账付款'!AB8:$AH8)&gt;0,'2024年-挂账付款'!$AX8-SUM('2024年-挂账付款'!AB8:$AH8),0))</f>
        <v>0</v>
      </c>
      <c r="AE8" s="128">
        <f>IF('2024年-挂账付款'!$AX8&gt;=SUM('2024年-挂账付款'!AB8:$AH8),'2024年-挂账付款'!AB8,IF('2024年-挂账付款'!$AX8-SUM('2024年-挂账付款'!AC8:$AH8)&gt;0,'2024年-挂账付款'!$AX8-SUM('2024年-挂账付款'!AC8:$AH8),0))</f>
        <v>0</v>
      </c>
      <c r="AF8" s="128">
        <f>IF('2024年-挂账付款'!$AX8&gt;=SUM('2024年-挂账付款'!AC8:$AH8),'2024年-挂账付款'!AC8,IF('2024年-挂账付款'!$AX8-SUM('2024年-挂账付款'!AD8:$AH8)&gt;0,'2024年-挂账付款'!$AX8-SUM('2024年-挂账付款'!AD8:$AH8),0))</f>
        <v>0</v>
      </c>
      <c r="AG8" s="128">
        <f>IF('2024年-挂账付款'!$AX8&gt;=SUM('2024年-挂账付款'!AD8:$AH8),'2024年-挂账付款'!AD8,IF('2024年-挂账付款'!$AX8-SUM('2024年-挂账付款'!AE8:$AH8)&gt;0,'2024年-挂账付款'!$AX8-SUM('2024年-挂账付款'!AE8:$AH8),0))</f>
        <v>0</v>
      </c>
      <c r="AH8" s="128">
        <f>IF('2024年-挂账付款'!$AX8&gt;=SUM('2024年-挂账付款'!AE8:$AH8),'2024年-挂账付款'!AE8,IF('2024年-挂账付款'!$AX8-SUM('2024年-挂账付款'!AF8:$AH8)&gt;0,'2024年-挂账付款'!$AX8-SUM('2024年-挂账付款'!AF8:$AH8),0))</f>
        <v>0</v>
      </c>
      <c r="AI8" s="128">
        <f>IF('2024年-挂账付款'!$AX8&gt;=SUM('2024年-挂账付款'!AF8:$AH8),'2024年-挂账付款'!AF8,IF('2024年-挂账付款'!$AX8-SUM('2024年-挂账付款'!AG8:$AH8)&gt;0,'2024年-挂账付款'!$AX8-SUM('2024年-挂账付款'!AG8:$AH8),0))</f>
        <v>0</v>
      </c>
      <c r="AJ8" s="128">
        <f>IF('2024年-挂账付款'!$AX8&gt;=SUM('2024年-挂账付款'!AG8:$AH8),'2024年-挂账付款'!AG8,IF('2024年-挂账付款'!$AX8-SUM('2024年-挂账付款'!AH8:$AH8)&gt;0,'2024年-挂账付款'!$AX8-SUM('2024年-挂账付款'!AH8:$AH8),0))</f>
        <v>0</v>
      </c>
      <c r="AK8" s="128">
        <f>IF('2024年-挂账付款'!$AX8&gt;=SUM('2024年-挂账付款'!AH8:$AH8),'2024年-挂账付款'!AH8,IF('2024年-挂账付款'!$AX8-SUM('2024年-挂账付款'!$AH8:AI8)&gt;0,'2024年-挂账付款'!$AX8-SUM('2024年-挂账付款'!$AH8:AI8),0))</f>
        <v>0</v>
      </c>
      <c r="AL8" s="177" t="s">
        <v>426</v>
      </c>
      <c r="AM8" s="175"/>
      <c r="AN8" s="176">
        <f t="shared" si="1"/>
        <v>12139.956</v>
      </c>
      <c r="AO8" s="203">
        <f>F8</f>
        <v>384215.06</v>
      </c>
      <c r="AP8" s="204" t="s">
        <v>471</v>
      </c>
      <c r="AQ8" s="205"/>
      <c r="AR8" s="206"/>
      <c r="AS8" s="107" t="s">
        <v>472</v>
      </c>
    </row>
    <row r="9" s="107" customFormat="1" ht="18" customHeight="1" spans="1:44">
      <c r="A9" s="122"/>
      <c r="B9" s="129" t="s">
        <v>81</v>
      </c>
      <c r="C9" s="130" t="s">
        <v>312</v>
      </c>
      <c r="D9" s="130" t="s">
        <v>313</v>
      </c>
      <c r="E9" s="125">
        <v>30</v>
      </c>
      <c r="F9" s="126">
        <f>SUM(H9:AA9)</f>
        <v>309807.28</v>
      </c>
      <c r="G9" s="127">
        <f t="shared" si="0"/>
        <v>309807.28</v>
      </c>
      <c r="H9" s="128">
        <f>IF('2024年-挂账付款'!$AX9&gt;=SUM('2024年-挂账付款'!E9:$AH9),'2024年-挂账付款'!E9,IF('2024年-挂账付款'!$AX9-SUM('2024年-挂账付款'!F9:$AH9)&gt;0,'2024年-挂账付款'!$AX9-SUM('2024年-挂账付款'!F9:$AH9),0))</f>
        <v>0</v>
      </c>
      <c r="I9" s="128">
        <f>IF('2024年-挂账付款'!$AX9&gt;=SUM('2024年-挂账付款'!F9:$AH9),'2024年-挂账付款'!F9,IF('2024年-挂账付款'!$AX9-SUM('2024年-挂账付款'!G9:$AH9)&gt;0,'2024年-挂账付款'!$AX9-SUM('2024年-挂账付款'!G9:$AH9),0))</f>
        <v>0</v>
      </c>
      <c r="J9" s="128">
        <f>IF('2024年-挂账付款'!$AX9&gt;=SUM('2024年-挂账付款'!G9:$AH9),'2024年-挂账付款'!G9,IF('2024年-挂账付款'!$AX9-SUM('2024年-挂账付款'!H9:$AH9)&gt;0,'2024年-挂账付款'!$AX9-SUM('2024年-挂账付款'!H9:$AH9),0))</f>
        <v>0</v>
      </c>
      <c r="K9" s="128">
        <f>IF('2024年-挂账付款'!$AX9&gt;=SUM('2024年-挂账付款'!H9:$AH9),'2024年-挂账付款'!H9,IF('2024年-挂账付款'!$AX9-SUM('2024年-挂账付款'!I9:$AH9)&gt;0,'2024年-挂账付款'!$AX9-SUM('2024年-挂账付款'!I9:$AH9),0))</f>
        <v>0</v>
      </c>
      <c r="L9" s="128">
        <f>IF('2024年-挂账付款'!$AX9&gt;=SUM('2024年-挂账付款'!I9:$AH9),'2024年-挂账付款'!I9,IF('2024年-挂账付款'!$AX9-SUM('2024年-挂账付款'!J9:$AH9)&gt;0,'2024年-挂账付款'!$AX9-SUM('2024年-挂账付款'!J9:$AH9),0))</f>
        <v>0</v>
      </c>
      <c r="M9" s="128">
        <f>IF('2024年-挂账付款'!$AX9&gt;=SUM('2024年-挂账付款'!J9:$AH9),'2024年-挂账付款'!J9,IF('2024年-挂账付款'!$AX9-SUM('2024年-挂账付款'!K9:$AH9)&gt;0,'2024年-挂账付款'!$AX9-SUM('2024年-挂账付款'!K9:$AH9),0))</f>
        <v>0</v>
      </c>
      <c r="N9" s="128">
        <f>IF('2024年-挂账付款'!$AX9&gt;=SUM('2024年-挂账付款'!K9:$AH9),'2024年-挂账付款'!K9,IF('2024年-挂账付款'!$AX9-SUM('2024年-挂账付款'!L9:$AH9)&gt;0,'2024年-挂账付款'!$AX9-SUM('2024年-挂账付款'!L9:$AH9),0))</f>
        <v>0</v>
      </c>
      <c r="O9" s="128">
        <f>IF('2024年-挂账付款'!$AX9&gt;=SUM('2024年-挂账付款'!L9:$AH9),'2024年-挂账付款'!L9,IF('2024年-挂账付款'!$AX9-SUM('2024年-挂账付款'!M9:$AH9)&gt;0,'2024年-挂账付款'!$AX9-SUM('2024年-挂账付款'!M9:$AH9),0))</f>
        <v>0</v>
      </c>
      <c r="P9" s="128">
        <f>IF('2024年-挂账付款'!$AX9&gt;=SUM('2024年-挂账付款'!M9:$AH9),'2024年-挂账付款'!M9,IF('2024年-挂账付款'!$AX9-SUM('2024年-挂账付款'!N9:$AH9)&gt;0,'2024年-挂账付款'!$AX9-SUM('2024年-挂账付款'!N9:$AH9),0))</f>
        <v>0</v>
      </c>
      <c r="Q9" s="128">
        <f>IF('2024年-挂账付款'!$AX9&gt;=SUM('2024年-挂账付款'!N9:$AH9),'2024年-挂账付款'!N9,IF('2024年-挂账付款'!$AX9-SUM('2024年-挂账付款'!O9:$AH9)&gt;0,'2024年-挂账付款'!$AX9-SUM('2024年-挂账付款'!O9:$AH9),0))</f>
        <v>8907.03999999998</v>
      </c>
      <c r="R9" s="128">
        <f>IF('2024年-挂账付款'!$AX9&gt;=SUM('2024年-挂账付款'!O9:$AH9),'2024年-挂账付款'!O9,IF('2024年-挂账付款'!$AX9-SUM('2024年-挂账付款'!P9:$AH9)&gt;0,'2024年-挂账付款'!$AX9-SUM('2024年-挂账付款'!P9:$AH9),0))</f>
        <v>45297.08</v>
      </c>
      <c r="S9" s="128">
        <f>IF('2024年-挂账付款'!$AX9&gt;=SUM('2024年-挂账付款'!P9:$AH9),'2024年-挂账付款'!P9,IF('2024年-挂账付款'!$AX9-SUM('2024年-挂账付款'!Q9:$AH9)&gt;0,'2024年-挂账付款'!$AX9-SUM('2024年-挂账付款'!Q9:$AH9),0))</f>
        <v>46472.83</v>
      </c>
      <c r="T9" s="128">
        <f>IF('2024年-挂账付款'!$AX9&gt;=SUM('2024年-挂账付款'!Q9:$AH9),'2024年-挂账付款'!Q9,IF('2024年-挂账付款'!$AX9-SUM('2024年-挂账付款'!R9:$AH9)&gt;0,'2024年-挂账付款'!$AX9-SUM('2024年-挂账付款'!R9:$AH9),0))</f>
        <v>0</v>
      </c>
      <c r="U9" s="128">
        <f>IF('2024年-挂账付款'!$AX9&gt;=SUM('2024年-挂账付款'!R9:$AH9),'2024年-挂账付款'!R9,IF('2024年-挂账付款'!$AX9-SUM('2024年-挂账付款'!S9:$AH9)&gt;0,'2024年-挂账付款'!$AX9-SUM('2024年-挂账付款'!S9:$AH9),0))</f>
        <v>0</v>
      </c>
      <c r="V9" s="128">
        <f>IF('2024年-挂账付款'!$AX9&gt;=SUM('2024年-挂账付款'!S9:$AH9),'2024年-挂账付款'!S9,IF('2024年-挂账付款'!$AX9-SUM('2024年-挂账付款'!T9:$AH9)&gt;0,'2024年-挂账付款'!$AX9-SUM('2024年-挂账付款'!T9:$AH9),0))</f>
        <v>0</v>
      </c>
      <c r="W9" s="128">
        <f>IF('2024年-挂账付款'!$AX9&gt;=SUM('2024年-挂账付款'!T9:$AH9),'2024年-挂账付款'!T9,IF('2024年-挂账付款'!$AX9-SUM('2024年-挂账付款'!U9:$AH9)&gt;0,'2024年-挂账付款'!$AX9-SUM('2024年-挂账付款'!U9:$AH9),0))</f>
        <v>0</v>
      </c>
      <c r="X9" s="128">
        <f>IF('2024年-挂账付款'!$AX9&gt;=SUM('2024年-挂账付款'!U9:$AH9),'2024年-挂账付款'!U9,IF('2024年-挂账付款'!$AX9-SUM('2024年-挂账付款'!V9:$AH9)&gt;0,'2024年-挂账付款'!$AX9-SUM('2024年-挂账付款'!V9:$AH9),0))</f>
        <v>66198.29</v>
      </c>
      <c r="Y9" s="128">
        <f>IF('2024年-挂账付款'!$AX9&gt;=SUM('2024年-挂账付款'!V9:$AH9),'2024年-挂账付款'!V9,IF('2024年-挂账付款'!$AX9-SUM('2024年-挂账付款'!W9:$AH9)&gt;0,'2024年-挂账付款'!$AX9-SUM('2024年-挂账付款'!W9:$AH9),0))</f>
        <v>51275.45</v>
      </c>
      <c r="Z9" s="128">
        <f>IF('2024年-挂账付款'!$AX9&gt;=SUM('2024年-挂账付款'!W9:$AH9),'2024年-挂账付款'!W9,IF('2024年-挂账付款'!$AX9-SUM('2024年-挂账付款'!X9:$AH9)&gt;0,'2024年-挂账付款'!$AX9-SUM('2024年-挂账付款'!X9:$AH9),0))</f>
        <v>86319.37</v>
      </c>
      <c r="AA9" s="167">
        <f>IF('2024年-挂账付款'!$AX9&gt;=SUM('2024年-挂账付款'!X9:$AH9),'2024年-挂账付款'!X9,IF('2024年-挂账付款'!$AX9-SUM('2024年-挂账付款'!Y9:$AH9)&gt;0,'2024年-挂账付款'!$AX9-SUM('2024年-挂账付款'!Y9:$AH9),0))</f>
        <v>5337.22</v>
      </c>
      <c r="AB9" s="128">
        <f>IF('2024年-挂账付款'!$AX9&gt;=SUM('2024年-挂账付款'!Y9:$AH9),'2024年-挂账付款'!Y9,IF('2024年-挂账付款'!$AX9-SUM('2024年-挂账付款'!Z9:$AH9)&gt;0,'2024年-挂账付款'!$AX9-SUM('2024年-挂账付款'!Z9:$AH9),0))</f>
        <v>0</v>
      </c>
      <c r="AC9" s="128">
        <f>IF('2024年-挂账付款'!$AX9&gt;=SUM('2024年-挂账付款'!Z9:$AH9),'2024年-挂账付款'!Z9,IF('2024年-挂账付款'!$AX9-SUM('2024年-挂账付款'!AA9:$AH9)&gt;0,'2024年-挂账付款'!$AX9-SUM('2024年-挂账付款'!AA9:$AH9),0))</f>
        <v>0</v>
      </c>
      <c r="AD9" s="128">
        <f>IF('2024年-挂账付款'!$AX9&gt;=SUM('2024年-挂账付款'!AA9:$AH9),'2024年-挂账付款'!AA9,IF('2024年-挂账付款'!$AX9-SUM('2024年-挂账付款'!AB9:$AH9)&gt;0,'2024年-挂账付款'!$AX9-SUM('2024年-挂账付款'!AB9:$AH9),0))</f>
        <v>0</v>
      </c>
      <c r="AE9" s="128">
        <f>IF('2024年-挂账付款'!$AX9&gt;=SUM('2024年-挂账付款'!AB9:$AH9),'2024年-挂账付款'!AB9,IF('2024年-挂账付款'!$AX9-SUM('2024年-挂账付款'!AC9:$AH9)&gt;0,'2024年-挂账付款'!$AX9-SUM('2024年-挂账付款'!AC9:$AH9),0))</f>
        <v>0</v>
      </c>
      <c r="AF9" s="128">
        <f>IF('2024年-挂账付款'!$AX9&gt;=SUM('2024年-挂账付款'!AC9:$AH9),'2024年-挂账付款'!AC9,IF('2024年-挂账付款'!$AX9-SUM('2024年-挂账付款'!AD9:$AH9)&gt;0,'2024年-挂账付款'!$AX9-SUM('2024年-挂账付款'!AD9:$AH9),0))</f>
        <v>0</v>
      </c>
      <c r="AG9" s="128">
        <f>IF('2024年-挂账付款'!$AX9&gt;=SUM('2024年-挂账付款'!AD9:$AH9),'2024年-挂账付款'!AD9,IF('2024年-挂账付款'!$AX9-SUM('2024年-挂账付款'!AE9:$AH9)&gt;0,'2024年-挂账付款'!$AX9-SUM('2024年-挂账付款'!AE9:$AH9),0))</f>
        <v>0</v>
      </c>
      <c r="AH9" s="128">
        <f>IF('2024年-挂账付款'!$AX9&gt;=SUM('2024年-挂账付款'!AE9:$AH9),'2024年-挂账付款'!AE9,IF('2024年-挂账付款'!$AX9-SUM('2024年-挂账付款'!AF9:$AH9)&gt;0,'2024年-挂账付款'!$AX9-SUM('2024年-挂账付款'!AF9:$AH9),0))</f>
        <v>0</v>
      </c>
      <c r="AI9" s="128">
        <f>IF('2024年-挂账付款'!$AX9&gt;=SUM('2024年-挂账付款'!AF9:$AH9),'2024年-挂账付款'!AF9,IF('2024年-挂账付款'!$AX9-SUM('2024年-挂账付款'!AG9:$AH9)&gt;0,'2024年-挂账付款'!$AX9-SUM('2024年-挂账付款'!AG9:$AH9),0))</f>
        <v>0</v>
      </c>
      <c r="AJ9" s="128">
        <f>IF('2024年-挂账付款'!$AX9&gt;=SUM('2024年-挂账付款'!AG9:$AH9),'2024年-挂账付款'!AG9,IF('2024年-挂账付款'!$AX9-SUM('2024年-挂账付款'!AH9:$AH9)&gt;0,'2024年-挂账付款'!$AX9-SUM('2024年-挂账付款'!AH9:$AH9),0))</f>
        <v>0</v>
      </c>
      <c r="AK9" s="128">
        <f>IF('2024年-挂账付款'!$AX9&gt;=SUM('2024年-挂账付款'!AH9:$AH9),'2024年-挂账付款'!AH9,IF('2024年-挂账付款'!$AX9-SUM('2024年-挂账付款'!$AH9:AI9)&gt;0,'2024年-挂账付款'!$AX9-SUM('2024年-挂账付款'!$AH9:AI9),0))</f>
        <v>0</v>
      </c>
      <c r="AL9" s="177" t="s">
        <v>428</v>
      </c>
      <c r="AM9" s="175"/>
      <c r="AN9" s="176">
        <f t="shared" si="1"/>
        <v>27172.4146666667</v>
      </c>
      <c r="AO9" s="203"/>
      <c r="AP9" s="204"/>
      <c r="AQ9" s="205"/>
      <c r="AR9" s="206"/>
    </row>
    <row r="10" s="108" customFormat="1" ht="18" customHeight="1" spans="1:44">
      <c r="A10" s="132"/>
      <c r="B10" s="133" t="s">
        <v>81</v>
      </c>
      <c r="C10" s="134" t="s">
        <v>107</v>
      </c>
      <c r="D10" s="134" t="s">
        <v>108</v>
      </c>
      <c r="E10" s="135">
        <v>60</v>
      </c>
      <c r="F10" s="136">
        <f>SUM(H10:Z10)</f>
        <v>714568.61</v>
      </c>
      <c r="G10" s="137">
        <f t="shared" si="0"/>
        <v>714568.61</v>
      </c>
      <c r="H10" s="138">
        <f>IF('2024年-挂账付款'!$AX10&gt;=SUM('2024年-挂账付款'!E10:$AH10),'2024年-挂账付款'!E10,IF('2024年-挂账付款'!$AX10-SUM('2024年-挂账付款'!F10:$AH10)&gt;0,'2024年-挂账付款'!$AX10-SUM('2024年-挂账付款'!F10:$AH10),0))</f>
        <v>0</v>
      </c>
      <c r="I10" s="138">
        <f>IF('2024年-挂账付款'!$AX10&gt;=SUM('2024年-挂账付款'!F10:$AH10),'2024年-挂账付款'!F10,IF('2024年-挂账付款'!$AX10-SUM('2024年-挂账付款'!G10:$AH10)&gt;0,'2024年-挂账付款'!$AX10-SUM('2024年-挂账付款'!G10:$AH10),0))</f>
        <v>0</v>
      </c>
      <c r="J10" s="138">
        <f>IF('2024年-挂账付款'!$AX10&gt;=SUM('2024年-挂账付款'!G10:$AH10),'2024年-挂账付款'!G10,IF('2024年-挂账付款'!$AX10-SUM('2024年-挂账付款'!H10:$AH10)&gt;0,'2024年-挂账付款'!$AX10-SUM('2024年-挂账付款'!H10:$AH10),0))</f>
        <v>0</v>
      </c>
      <c r="K10" s="138">
        <f>IF('2024年-挂账付款'!$AX10&gt;=SUM('2024年-挂账付款'!H10:$AH10),'2024年-挂账付款'!H10,IF('2024年-挂账付款'!$AX10-SUM('2024年-挂账付款'!I10:$AH10)&gt;0,'2024年-挂账付款'!$AX10-SUM('2024年-挂账付款'!I10:$AH10),0))</f>
        <v>0</v>
      </c>
      <c r="L10" s="138">
        <f>IF('2024年-挂账付款'!$AX10&gt;=SUM('2024年-挂账付款'!I10:$AH10),'2024年-挂账付款'!I10,IF('2024年-挂账付款'!$AX10-SUM('2024年-挂账付款'!J10:$AH10)&gt;0,'2024年-挂账付款'!$AX10-SUM('2024年-挂账付款'!J10:$AH10),0))</f>
        <v>0</v>
      </c>
      <c r="M10" s="138">
        <f>IF('2024年-挂账付款'!$AX10&gt;=SUM('2024年-挂账付款'!J10:$AH10),'2024年-挂账付款'!J10,IF('2024年-挂账付款'!$AX10-SUM('2024年-挂账付款'!K10:$AH10)&gt;0,'2024年-挂账付款'!$AX10-SUM('2024年-挂账付款'!K10:$AH10),0))</f>
        <v>0</v>
      </c>
      <c r="N10" s="138">
        <f>IF('2024年-挂账付款'!$AX10&gt;=SUM('2024年-挂账付款'!K10:$AH10),'2024年-挂账付款'!K10,IF('2024年-挂账付款'!$AX10-SUM('2024年-挂账付款'!L10:$AH10)&gt;0,'2024年-挂账付款'!$AX10-SUM('2024年-挂账付款'!L10:$AH10),0))</f>
        <v>0</v>
      </c>
      <c r="O10" s="138">
        <f>IF('2024年-挂账付款'!$AX10&gt;=SUM('2024年-挂账付款'!L10:$AH10),'2024年-挂账付款'!L10,IF('2024年-挂账付款'!$AX10-SUM('2024年-挂账付款'!M10:$AH10)&gt;0,'2024年-挂账付款'!$AX10-SUM('2024年-挂账付款'!M10:$AH10),0))</f>
        <v>0</v>
      </c>
      <c r="P10" s="138">
        <f>IF('2024年-挂账付款'!$AX10&gt;=SUM('2024年-挂账付款'!M10:$AH10),'2024年-挂账付款'!M10,IF('2024年-挂账付款'!$AX10-SUM('2024年-挂账付款'!N10:$AH10)&gt;0,'2024年-挂账付款'!$AX10-SUM('2024年-挂账付款'!N10:$AH10),0))</f>
        <v>0</v>
      </c>
      <c r="Q10" s="138">
        <f>IF('2024年-挂账付款'!$AX10&gt;=SUM('2024年-挂账付款'!N10:$AH10),'2024年-挂账付款'!N10,IF('2024年-挂账付款'!$AX10-SUM('2024年-挂账付款'!O10:$AH10)&gt;0,'2024年-挂账付款'!$AX10-SUM('2024年-挂账付款'!O10:$AH10),0))</f>
        <v>0</v>
      </c>
      <c r="R10" s="138">
        <f>IF('2024年-挂账付款'!$AX10&gt;=SUM('2024年-挂账付款'!O10:$AH10),'2024年-挂账付款'!O10,IF('2024年-挂账付款'!$AX10-SUM('2024年-挂账付款'!P10:$AH10)&gt;0,'2024年-挂账付款'!$AX10-SUM('2024年-挂账付款'!P10:$AH10),0))</f>
        <v>0</v>
      </c>
      <c r="S10" s="138">
        <f>IF('2024年-挂账付款'!$AX10&gt;=SUM('2024年-挂账付款'!P10:$AH10),'2024年-挂账付款'!P10,IF('2024年-挂账付款'!$AX10-SUM('2024年-挂账付款'!Q10:$AH10)&gt;0,'2024年-挂账付款'!$AX10-SUM('2024年-挂账付款'!Q10:$AH10),0))</f>
        <v>0</v>
      </c>
      <c r="T10" s="138">
        <f>IF('2024年-挂账付款'!$AX10&gt;=SUM('2024年-挂账付款'!Q10:$AH10),'2024年-挂账付款'!Q10,IF('2024年-挂账付款'!$AX10-SUM('2024年-挂账付款'!R10:$AH10)&gt;0,'2024年-挂账付款'!$AX10-SUM('2024年-挂账付款'!R10:$AH10),0))</f>
        <v>0</v>
      </c>
      <c r="U10" s="138">
        <f>IF('2024年-挂账付款'!$AX10&gt;=SUM('2024年-挂账付款'!R10:$AH10),'2024年-挂账付款'!R10,IF('2024年-挂账付款'!$AX10-SUM('2024年-挂账付款'!S10:$AH10)&gt;0,'2024年-挂账付款'!$AX10-SUM('2024年-挂账付款'!S10:$AH10),0))</f>
        <v>0</v>
      </c>
      <c r="V10" s="138">
        <f>IF('2024年-挂账付款'!$AX10&gt;=SUM('2024年-挂账付款'!S10:$AH10),'2024年-挂账付款'!S10,IF('2024年-挂账付款'!$AX10-SUM('2024年-挂账付款'!T10:$AH10)&gt;0,'2024年-挂账付款'!$AX10-SUM('2024年-挂账付款'!T10:$AH10),0))</f>
        <v>0</v>
      </c>
      <c r="W10" s="138">
        <f>IF('2024年-挂账付款'!$AX10&gt;=SUM('2024年-挂账付款'!T10:$AH10),'2024年-挂账付款'!T10,IF('2024年-挂账付款'!$AX10-SUM('2024年-挂账付款'!U10:$AH10)&gt;0,'2024年-挂账付款'!$AX10-SUM('2024年-挂账付款'!U10:$AH10),0))</f>
        <v>0</v>
      </c>
      <c r="X10" s="138">
        <f>IF('2024年-挂账付款'!$AX10&gt;=SUM('2024年-挂账付款'!U10:$AH10),'2024年-挂账付款'!U10,IF('2024年-挂账付款'!$AX10-SUM('2024年-挂账付款'!V10:$AH10)&gt;0,'2024年-挂账付款'!$AX10-SUM('2024年-挂账付款'!V10:$AH10),0))</f>
        <v>0</v>
      </c>
      <c r="Y10" s="138">
        <f>IF('2024年-挂账付款'!$AX10&gt;=SUM('2024年-挂账付款'!V10:$AH10),'2024年-挂账付款'!V10,IF('2024年-挂账付款'!$AX10-SUM('2024年-挂账付款'!W10:$AH10)&gt;0,'2024年-挂账付款'!$AX10-SUM('2024年-挂账付款'!W10:$AH10),0))</f>
        <v>0</v>
      </c>
      <c r="Z10" s="138">
        <f>IF('2024年-挂账付款'!$AX10&gt;=SUM('2024年-挂账付款'!W10:$AH10),'2024年-挂账付款'!W10,IF('2024年-挂账付款'!$AX10-SUM('2024年-挂账付款'!X10:$AH10)&gt;0,'2024年-挂账付款'!$AX10-SUM('2024年-挂账付款'!X10:$AH10),0))</f>
        <v>714568.61</v>
      </c>
      <c r="AA10" s="168">
        <f>IF('2024年-挂账付款'!$AX10&gt;=SUM('2024年-挂账付款'!X10:$AH10),'2024年-挂账付款'!X10,IF('2024年-挂账付款'!$AX10-SUM('2024年-挂账付款'!Y10:$AH10)&gt;0,'2024年-挂账付款'!$AX10-SUM('2024年-挂账付款'!Y10:$AH10),0))</f>
        <v>0</v>
      </c>
      <c r="AB10" s="138">
        <f>IF('2024年-挂账付款'!$AX10&gt;=SUM('2024年-挂账付款'!Y10:$AH10),'2024年-挂账付款'!Y10,IF('2024年-挂账付款'!$AX10-SUM('2024年-挂账付款'!Z10:$AH10)&gt;0,'2024年-挂账付款'!$AX10-SUM('2024年-挂账付款'!Z10:$AH10),0))</f>
        <v>0</v>
      </c>
      <c r="AC10" s="138">
        <f>IF('2024年-挂账付款'!$AX10&gt;=SUM('2024年-挂账付款'!Z10:$AH10),'2024年-挂账付款'!Z10,IF('2024年-挂账付款'!$AX10-SUM('2024年-挂账付款'!AA10:$AH10)&gt;0,'2024年-挂账付款'!$AX10-SUM('2024年-挂账付款'!AA10:$AH10),0))</f>
        <v>0</v>
      </c>
      <c r="AD10" s="138">
        <f>IF('2024年-挂账付款'!$AX10&gt;=SUM('2024年-挂账付款'!AA10:$AH10),'2024年-挂账付款'!AA10,IF('2024年-挂账付款'!$AX10-SUM('2024年-挂账付款'!AB10:$AH10)&gt;0,'2024年-挂账付款'!$AX10-SUM('2024年-挂账付款'!AB10:$AH10),0))</f>
        <v>0</v>
      </c>
      <c r="AE10" s="138">
        <f>IF('2024年-挂账付款'!$AX10&gt;=SUM('2024年-挂账付款'!AB10:$AH10),'2024年-挂账付款'!AB10,IF('2024年-挂账付款'!$AX10-SUM('2024年-挂账付款'!AC10:$AH10)&gt;0,'2024年-挂账付款'!$AX10-SUM('2024年-挂账付款'!AC10:$AH10),0))</f>
        <v>0</v>
      </c>
      <c r="AF10" s="138">
        <f>IF('2024年-挂账付款'!$AX10&gt;=SUM('2024年-挂账付款'!AC10:$AH10),'2024年-挂账付款'!AC10,IF('2024年-挂账付款'!$AX10-SUM('2024年-挂账付款'!AD10:$AH10)&gt;0,'2024年-挂账付款'!$AX10-SUM('2024年-挂账付款'!AD10:$AH10),0))</f>
        <v>0</v>
      </c>
      <c r="AG10" s="138">
        <f>IF('2024年-挂账付款'!$AX10&gt;=SUM('2024年-挂账付款'!AD10:$AH10),'2024年-挂账付款'!AD10,IF('2024年-挂账付款'!$AX10-SUM('2024年-挂账付款'!AE10:$AH10)&gt;0,'2024年-挂账付款'!$AX10-SUM('2024年-挂账付款'!AE10:$AH10),0))</f>
        <v>0</v>
      </c>
      <c r="AH10" s="138">
        <f>IF('2024年-挂账付款'!$AX10&gt;=SUM('2024年-挂账付款'!AE10:$AH10),'2024年-挂账付款'!AE10,IF('2024年-挂账付款'!$AX10-SUM('2024年-挂账付款'!AF10:$AH10)&gt;0,'2024年-挂账付款'!$AX10-SUM('2024年-挂账付款'!AF10:$AH10),0))</f>
        <v>0</v>
      </c>
      <c r="AI10" s="138">
        <f>IF('2024年-挂账付款'!$AX10&gt;=SUM('2024年-挂账付款'!AF10:$AH10),'2024年-挂账付款'!AF10,IF('2024年-挂账付款'!$AX10-SUM('2024年-挂账付款'!AG10:$AH10)&gt;0,'2024年-挂账付款'!$AX10-SUM('2024年-挂账付款'!AG10:$AH10),0))</f>
        <v>0</v>
      </c>
      <c r="AJ10" s="138">
        <f>IF('2024年-挂账付款'!$AX10&gt;=SUM('2024年-挂账付款'!AG10:$AH10),'2024年-挂账付款'!AG10,IF('2024年-挂账付款'!$AX10-SUM('2024年-挂账付款'!AH10:$AH10)&gt;0,'2024年-挂账付款'!$AX10-SUM('2024年-挂账付款'!AH10:$AH10),0))</f>
        <v>0</v>
      </c>
      <c r="AK10" s="138">
        <f>IF('2024年-挂账付款'!$AX10&gt;=SUM('2024年-挂账付款'!AH10:$AH10),'2024年-挂账付款'!AH10,IF('2024年-挂账付款'!$AX10-SUM('2024年-挂账付款'!$AH10:AI10)&gt;0,'2024年-挂账付款'!$AX10-SUM('2024年-挂账付款'!$AH10:AI10),0))</f>
        <v>0</v>
      </c>
      <c r="AL10" s="178" t="s">
        <v>426</v>
      </c>
      <c r="AM10" s="179"/>
      <c r="AN10" s="180">
        <f t="shared" si="1"/>
        <v>95275.8146666667</v>
      </c>
      <c r="AO10" s="207">
        <v>700000</v>
      </c>
      <c r="AP10" s="208" t="s">
        <v>473</v>
      </c>
      <c r="AQ10" s="205"/>
      <c r="AR10" s="206">
        <v>200000</v>
      </c>
    </row>
    <row r="11" s="108" customFormat="1" ht="18" customHeight="1" spans="1:44">
      <c r="A11" s="132"/>
      <c r="B11" s="133" t="s">
        <v>81</v>
      </c>
      <c r="C11" s="134" t="s">
        <v>122</v>
      </c>
      <c r="D11" s="134" t="s">
        <v>123</v>
      </c>
      <c r="E11" s="135">
        <v>60</v>
      </c>
      <c r="F11" s="136">
        <f t="shared" ref="F11:F19" si="2">SUM(H11:Z11)</f>
        <v>335053.23</v>
      </c>
      <c r="G11" s="137">
        <f t="shared" si="0"/>
        <v>335053.23</v>
      </c>
      <c r="H11" s="138">
        <f>IF('2024年-挂账付款'!$AX11&gt;=SUM('2024年-挂账付款'!E11:$AH11),'2024年-挂账付款'!E11,IF('2024年-挂账付款'!$AX11-SUM('2024年-挂账付款'!F11:$AH11)&gt;0,'2024年-挂账付款'!$AX11-SUM('2024年-挂账付款'!F11:$AH11),0))</f>
        <v>0</v>
      </c>
      <c r="I11" s="138">
        <f>IF('2024年-挂账付款'!$AX11&gt;=SUM('2024年-挂账付款'!F11:$AH11),'2024年-挂账付款'!F11,IF('2024年-挂账付款'!$AX11-SUM('2024年-挂账付款'!G11:$AH11)&gt;0,'2024年-挂账付款'!$AX11-SUM('2024年-挂账付款'!G11:$AH11),0))</f>
        <v>0</v>
      </c>
      <c r="J11" s="138">
        <f>IF('2024年-挂账付款'!$AX11&gt;=SUM('2024年-挂账付款'!G11:$AH11),'2024年-挂账付款'!G11,IF('2024年-挂账付款'!$AX11-SUM('2024年-挂账付款'!H11:$AH11)&gt;0,'2024年-挂账付款'!$AX11-SUM('2024年-挂账付款'!H11:$AH11),0))</f>
        <v>0</v>
      </c>
      <c r="K11" s="138">
        <f>IF('2024年-挂账付款'!$AX11&gt;=SUM('2024年-挂账付款'!H11:$AH11),'2024年-挂账付款'!H11,IF('2024年-挂账付款'!$AX11-SUM('2024年-挂账付款'!I11:$AH11)&gt;0,'2024年-挂账付款'!$AX11-SUM('2024年-挂账付款'!I11:$AH11),0))</f>
        <v>0</v>
      </c>
      <c r="L11" s="138">
        <f>IF('2024年-挂账付款'!$AX11&gt;=SUM('2024年-挂账付款'!I11:$AH11),'2024年-挂账付款'!I11,IF('2024年-挂账付款'!$AX11-SUM('2024年-挂账付款'!J11:$AH11)&gt;0,'2024年-挂账付款'!$AX11-SUM('2024年-挂账付款'!J11:$AH11),0))</f>
        <v>0</v>
      </c>
      <c r="M11" s="138">
        <f>IF('2024年-挂账付款'!$AX11&gt;=SUM('2024年-挂账付款'!J11:$AH11),'2024年-挂账付款'!J11,IF('2024年-挂账付款'!$AX11-SUM('2024年-挂账付款'!K11:$AH11)&gt;0,'2024年-挂账付款'!$AX11-SUM('2024年-挂账付款'!K11:$AH11),0))</f>
        <v>0</v>
      </c>
      <c r="N11" s="138">
        <f>IF('2024年-挂账付款'!$AX11&gt;=SUM('2024年-挂账付款'!K11:$AH11),'2024年-挂账付款'!K11,IF('2024年-挂账付款'!$AX11-SUM('2024年-挂账付款'!L11:$AH11)&gt;0,'2024年-挂账付款'!$AX11-SUM('2024年-挂账付款'!L11:$AH11),0))</f>
        <v>0</v>
      </c>
      <c r="O11" s="138">
        <f>IF('2024年-挂账付款'!$AX11&gt;=SUM('2024年-挂账付款'!L11:$AH11),'2024年-挂账付款'!L11,IF('2024年-挂账付款'!$AX11-SUM('2024年-挂账付款'!M11:$AH11)&gt;0,'2024年-挂账付款'!$AX11-SUM('2024年-挂账付款'!M11:$AH11),0))</f>
        <v>0</v>
      </c>
      <c r="P11" s="138">
        <f>IF('2024年-挂账付款'!$AX11&gt;=SUM('2024年-挂账付款'!M11:$AH11),'2024年-挂账付款'!M11,IF('2024年-挂账付款'!$AX11-SUM('2024年-挂账付款'!N11:$AH11)&gt;0,'2024年-挂账付款'!$AX11-SUM('2024年-挂账付款'!N11:$AH11),0))</f>
        <v>0</v>
      </c>
      <c r="Q11" s="138">
        <f>IF('2024年-挂账付款'!$AX11&gt;=SUM('2024年-挂账付款'!N11:$AH11),'2024年-挂账付款'!N11,IF('2024年-挂账付款'!$AX11-SUM('2024年-挂账付款'!O11:$AH11)&gt;0,'2024年-挂账付款'!$AX11-SUM('2024年-挂账付款'!O11:$AH11),0))</f>
        <v>0</v>
      </c>
      <c r="R11" s="138">
        <f>IF('2024年-挂账付款'!$AX11&gt;=SUM('2024年-挂账付款'!O11:$AH11),'2024年-挂账付款'!O11,IF('2024年-挂账付款'!$AX11-SUM('2024年-挂账付款'!P11:$AH11)&gt;0,'2024年-挂账付款'!$AX11-SUM('2024年-挂账付款'!P11:$AH11),0))</f>
        <v>0</v>
      </c>
      <c r="S11" s="138">
        <f>IF('2024年-挂账付款'!$AX11&gt;=SUM('2024年-挂账付款'!P11:$AH11),'2024年-挂账付款'!P11,IF('2024年-挂账付款'!$AX11-SUM('2024年-挂账付款'!Q11:$AH11)&gt;0,'2024年-挂账付款'!$AX11-SUM('2024年-挂账付款'!Q11:$AH11),0))</f>
        <v>0</v>
      </c>
      <c r="T11" s="138">
        <f>IF('2024年-挂账付款'!$AX11&gt;=SUM('2024年-挂账付款'!Q11:$AH11),'2024年-挂账付款'!Q11,IF('2024年-挂账付款'!$AX11-SUM('2024年-挂账付款'!R11:$AH11)&gt;0,'2024年-挂账付款'!$AX11-SUM('2024年-挂账付款'!R11:$AH11),0))</f>
        <v>0</v>
      </c>
      <c r="U11" s="138">
        <f>IF('2024年-挂账付款'!$AX11&gt;=SUM('2024年-挂账付款'!R11:$AH11),'2024年-挂账付款'!R11,IF('2024年-挂账付款'!$AX11-SUM('2024年-挂账付款'!S11:$AH11)&gt;0,'2024年-挂账付款'!$AX11-SUM('2024年-挂账付款'!S11:$AH11),0))</f>
        <v>0</v>
      </c>
      <c r="V11" s="138">
        <f>IF('2024年-挂账付款'!$AX11&gt;=SUM('2024年-挂账付款'!S11:$AH11),'2024年-挂账付款'!S11,IF('2024年-挂账付款'!$AX11-SUM('2024年-挂账付款'!T11:$AH11)&gt;0,'2024年-挂账付款'!$AX11-SUM('2024年-挂账付款'!T11:$AH11),0))</f>
        <v>0</v>
      </c>
      <c r="W11" s="138">
        <f>IF('2024年-挂账付款'!$AX11&gt;=SUM('2024年-挂账付款'!T11:$AH11),'2024年-挂账付款'!T11,IF('2024年-挂账付款'!$AX11-SUM('2024年-挂账付款'!U11:$AH11)&gt;0,'2024年-挂账付款'!$AX11-SUM('2024年-挂账付款'!U11:$AH11),0))</f>
        <v>0</v>
      </c>
      <c r="X11" s="138">
        <f>IF('2024年-挂账付款'!$AX11&gt;=SUM('2024年-挂账付款'!U11:$AH11),'2024年-挂账付款'!U11,IF('2024年-挂账付款'!$AX11-SUM('2024年-挂账付款'!V11:$AH11)&gt;0,'2024年-挂账付款'!$AX11-SUM('2024年-挂账付款'!V11:$AH11),0))</f>
        <v>130873.82</v>
      </c>
      <c r="Y11" s="138">
        <f>IF('2024年-挂账付款'!$AX11&gt;=SUM('2024年-挂账付款'!V11:$AH11),'2024年-挂账付款'!V11,IF('2024年-挂账付款'!$AX11-SUM('2024年-挂账付款'!W11:$AH11)&gt;0,'2024年-挂账付款'!$AX11-SUM('2024年-挂账付款'!W11:$AH11),0))</f>
        <v>137052.3</v>
      </c>
      <c r="Z11" s="138">
        <f>IF('2024年-挂账付款'!$AX11&gt;=SUM('2024年-挂账付款'!W11:$AH11),'2024年-挂账付款'!W11,IF('2024年-挂账付款'!$AX11-SUM('2024年-挂账付款'!X11:$AH11)&gt;0,'2024年-挂账付款'!$AX11-SUM('2024年-挂账付款'!X11:$AH11),0))</f>
        <v>67127.11</v>
      </c>
      <c r="AA11" s="168">
        <f>IF('2024年-挂账付款'!$AX11&gt;=SUM('2024年-挂账付款'!X11:$AH11),'2024年-挂账付款'!X11,IF('2024年-挂账付款'!$AX11-SUM('2024年-挂账付款'!Y11:$AH11)&gt;0,'2024年-挂账付款'!$AX11-SUM('2024年-挂账付款'!Y11:$AH11),0))</f>
        <v>0</v>
      </c>
      <c r="AB11" s="138">
        <f>IF('2024年-挂账付款'!$AX11&gt;=SUM('2024年-挂账付款'!Y11:$AH11),'2024年-挂账付款'!Y11,IF('2024年-挂账付款'!$AX11-SUM('2024年-挂账付款'!Z11:$AH11)&gt;0,'2024年-挂账付款'!$AX11-SUM('2024年-挂账付款'!Z11:$AH11),0))</f>
        <v>0</v>
      </c>
      <c r="AC11" s="138">
        <f>IF('2024年-挂账付款'!$AX11&gt;=SUM('2024年-挂账付款'!Z11:$AH11),'2024年-挂账付款'!Z11,IF('2024年-挂账付款'!$AX11-SUM('2024年-挂账付款'!AA11:$AH11)&gt;0,'2024年-挂账付款'!$AX11-SUM('2024年-挂账付款'!AA11:$AH11),0))</f>
        <v>0</v>
      </c>
      <c r="AD11" s="138">
        <f>IF('2024年-挂账付款'!$AX11&gt;=SUM('2024年-挂账付款'!AA11:$AH11),'2024年-挂账付款'!AA11,IF('2024年-挂账付款'!$AX11-SUM('2024年-挂账付款'!AB11:$AH11)&gt;0,'2024年-挂账付款'!$AX11-SUM('2024年-挂账付款'!AB11:$AH11),0))</f>
        <v>0</v>
      </c>
      <c r="AE11" s="138">
        <f>IF('2024年-挂账付款'!$AX11&gt;=SUM('2024年-挂账付款'!AB11:$AH11),'2024年-挂账付款'!AB11,IF('2024年-挂账付款'!$AX11-SUM('2024年-挂账付款'!AC11:$AH11)&gt;0,'2024年-挂账付款'!$AX11-SUM('2024年-挂账付款'!AC11:$AH11),0))</f>
        <v>0</v>
      </c>
      <c r="AF11" s="138">
        <f>IF('2024年-挂账付款'!$AX11&gt;=SUM('2024年-挂账付款'!AC11:$AH11),'2024年-挂账付款'!AC11,IF('2024年-挂账付款'!$AX11-SUM('2024年-挂账付款'!AD11:$AH11)&gt;0,'2024年-挂账付款'!$AX11-SUM('2024年-挂账付款'!AD11:$AH11),0))</f>
        <v>0</v>
      </c>
      <c r="AG11" s="138">
        <f>IF('2024年-挂账付款'!$AX11&gt;=SUM('2024年-挂账付款'!AD11:$AH11),'2024年-挂账付款'!AD11,IF('2024年-挂账付款'!$AX11-SUM('2024年-挂账付款'!AE11:$AH11)&gt;0,'2024年-挂账付款'!$AX11-SUM('2024年-挂账付款'!AE11:$AH11),0))</f>
        <v>0</v>
      </c>
      <c r="AH11" s="138">
        <f>IF('2024年-挂账付款'!$AX11&gt;=SUM('2024年-挂账付款'!AE11:$AH11),'2024年-挂账付款'!AE11,IF('2024年-挂账付款'!$AX11-SUM('2024年-挂账付款'!AF11:$AH11)&gt;0,'2024年-挂账付款'!$AX11-SUM('2024年-挂账付款'!AF11:$AH11),0))</f>
        <v>0</v>
      </c>
      <c r="AI11" s="138">
        <f>IF('2024年-挂账付款'!$AX11&gt;=SUM('2024年-挂账付款'!AF11:$AH11),'2024年-挂账付款'!AF11,IF('2024年-挂账付款'!$AX11-SUM('2024年-挂账付款'!AG11:$AH11)&gt;0,'2024年-挂账付款'!$AX11-SUM('2024年-挂账付款'!AG11:$AH11),0))</f>
        <v>0</v>
      </c>
      <c r="AJ11" s="138">
        <f>IF('2024年-挂账付款'!$AX11&gt;=SUM('2024年-挂账付款'!AG11:$AH11),'2024年-挂账付款'!AG11,IF('2024年-挂账付款'!$AX11-SUM('2024年-挂账付款'!AH11:$AH11)&gt;0,'2024年-挂账付款'!$AX11-SUM('2024年-挂账付款'!AH11:$AH11),0))</f>
        <v>0</v>
      </c>
      <c r="AK11" s="138">
        <f>IF('2024年-挂账付款'!$AX11&gt;=SUM('2024年-挂账付款'!AH11:$AH11),'2024年-挂账付款'!AH11,IF('2024年-挂账付款'!$AX11-SUM('2024年-挂账付款'!$AH11:AI11)&gt;0,'2024年-挂账付款'!$AX11-SUM('2024年-挂账付款'!$AH11:AI11),0))</f>
        <v>0</v>
      </c>
      <c r="AL11" s="178" t="s">
        <v>426</v>
      </c>
      <c r="AM11" s="179"/>
      <c r="AN11" s="180">
        <f t="shared" si="1"/>
        <v>44673.764</v>
      </c>
      <c r="AO11" s="207">
        <v>300000</v>
      </c>
      <c r="AP11" s="208" t="s">
        <v>474</v>
      </c>
      <c r="AQ11" s="205">
        <f>F11</f>
        <v>335053.23</v>
      </c>
      <c r="AR11" s="206"/>
    </row>
    <row r="12" s="107" customFormat="1" ht="18" customHeight="1" spans="1:44">
      <c r="A12" s="122"/>
      <c r="B12" s="139" t="s">
        <v>81</v>
      </c>
      <c r="C12" s="130" t="s">
        <v>128</v>
      </c>
      <c r="D12" s="130" t="s">
        <v>129</v>
      </c>
      <c r="E12" s="125">
        <v>60</v>
      </c>
      <c r="F12" s="126">
        <f t="shared" si="2"/>
        <v>146352.4</v>
      </c>
      <c r="G12" s="127">
        <f t="shared" si="0"/>
        <v>146352.4</v>
      </c>
      <c r="H12" s="128">
        <f>IF('2024年-挂账付款'!$AX12&gt;=SUM('2024年-挂账付款'!E12:$AH12),'2024年-挂账付款'!E12,IF('2024年-挂账付款'!$AX12-SUM('2024年-挂账付款'!F12:$AH12)&gt;0,'2024年-挂账付款'!$AX12-SUM('2024年-挂账付款'!F12:$AH12),0))</f>
        <v>0</v>
      </c>
      <c r="I12" s="128">
        <f>IF('2024年-挂账付款'!$AX12&gt;=SUM('2024年-挂账付款'!F12:$AH12),'2024年-挂账付款'!F12,IF('2024年-挂账付款'!$AX12-SUM('2024年-挂账付款'!G12:$AH12)&gt;0,'2024年-挂账付款'!$AX12-SUM('2024年-挂账付款'!G12:$AH12),0))</f>
        <v>0</v>
      </c>
      <c r="J12" s="128">
        <f>IF('2024年-挂账付款'!$AX12&gt;=SUM('2024年-挂账付款'!G12:$AH12),'2024年-挂账付款'!G12,IF('2024年-挂账付款'!$AX12-SUM('2024年-挂账付款'!H12:$AH12)&gt;0,'2024年-挂账付款'!$AX12-SUM('2024年-挂账付款'!H12:$AH12),0))</f>
        <v>0</v>
      </c>
      <c r="K12" s="128">
        <f>IF('2024年-挂账付款'!$AX12&gt;=SUM('2024年-挂账付款'!H12:$AH12),'2024年-挂账付款'!H12,IF('2024年-挂账付款'!$AX12-SUM('2024年-挂账付款'!I12:$AH12)&gt;0,'2024年-挂账付款'!$AX12-SUM('2024年-挂账付款'!I12:$AH12),0))</f>
        <v>0</v>
      </c>
      <c r="L12" s="128">
        <f>IF('2024年-挂账付款'!$AX12&gt;=SUM('2024年-挂账付款'!I12:$AH12),'2024年-挂账付款'!I12,IF('2024年-挂账付款'!$AX12-SUM('2024年-挂账付款'!J12:$AH12)&gt;0,'2024年-挂账付款'!$AX12-SUM('2024年-挂账付款'!J12:$AH12),0))</f>
        <v>0</v>
      </c>
      <c r="M12" s="128">
        <f>IF('2024年-挂账付款'!$AX12&gt;=SUM('2024年-挂账付款'!J12:$AH12),'2024年-挂账付款'!J12,IF('2024年-挂账付款'!$AX12-SUM('2024年-挂账付款'!K12:$AH12)&gt;0,'2024年-挂账付款'!$AX12-SUM('2024年-挂账付款'!K12:$AH12),0))</f>
        <v>0</v>
      </c>
      <c r="N12" s="128">
        <f>IF('2024年-挂账付款'!$AX12&gt;=SUM('2024年-挂账付款'!K12:$AH12),'2024年-挂账付款'!K12,IF('2024年-挂账付款'!$AX12-SUM('2024年-挂账付款'!L12:$AH12)&gt;0,'2024年-挂账付款'!$AX12-SUM('2024年-挂账付款'!L12:$AH12),0))</f>
        <v>0</v>
      </c>
      <c r="O12" s="128">
        <f>IF('2024年-挂账付款'!$AX12&gt;=SUM('2024年-挂账付款'!L12:$AH12),'2024年-挂账付款'!L12,IF('2024年-挂账付款'!$AX12-SUM('2024年-挂账付款'!M12:$AH12)&gt;0,'2024年-挂账付款'!$AX12-SUM('2024年-挂账付款'!M12:$AH12),0))</f>
        <v>0</v>
      </c>
      <c r="P12" s="128">
        <f>IF('2024年-挂账付款'!$AX12&gt;=SUM('2024年-挂账付款'!M12:$AH12),'2024年-挂账付款'!M12,IF('2024年-挂账付款'!$AX12-SUM('2024年-挂账付款'!N12:$AH12)&gt;0,'2024年-挂账付款'!$AX12-SUM('2024年-挂账付款'!N12:$AH12),0))</f>
        <v>0</v>
      </c>
      <c r="Q12" s="128">
        <f>IF('2024年-挂账付款'!$AX12&gt;=SUM('2024年-挂账付款'!N12:$AH12),'2024年-挂账付款'!N12,IF('2024年-挂账付款'!$AX12-SUM('2024年-挂账付款'!O12:$AH12)&gt;0,'2024年-挂账付款'!$AX12-SUM('2024年-挂账付款'!O12:$AH12),0))</f>
        <v>7483.7600000001</v>
      </c>
      <c r="R12" s="128">
        <f>IF('2024年-挂账付款'!$AX12&gt;=SUM('2024年-挂账付款'!O12:$AH12),'2024年-挂账付款'!O12,IF('2024年-挂账付款'!$AX12-SUM('2024年-挂账付款'!P12:$AH12)&gt;0,'2024年-挂账付款'!$AX12-SUM('2024年-挂账付款'!P12:$AH12),0))</f>
        <v>0</v>
      </c>
      <c r="S12" s="128">
        <f>IF('2024年-挂账付款'!$AX12&gt;=SUM('2024年-挂账付款'!P12:$AH12),'2024年-挂账付款'!P12,IF('2024年-挂账付款'!$AX12-SUM('2024年-挂账付款'!Q12:$AH12)&gt;0,'2024年-挂账付款'!$AX12-SUM('2024年-挂账付款'!Q12:$AH12),0))</f>
        <v>60857.28</v>
      </c>
      <c r="T12" s="128">
        <f>IF('2024年-挂账付款'!$AX12&gt;=SUM('2024年-挂账付款'!Q12:$AH12),'2024年-挂账付款'!Q12,IF('2024年-挂账付款'!$AX12-SUM('2024年-挂账付款'!R12:$AH12)&gt;0,'2024年-挂账付款'!$AX12-SUM('2024年-挂账付款'!R12:$AH12),0))</f>
        <v>6068.1</v>
      </c>
      <c r="U12" s="128">
        <f>IF('2024年-挂账付款'!$AX12&gt;=SUM('2024年-挂账付款'!R12:$AH12),'2024年-挂账付款'!R12,IF('2024年-挂账付款'!$AX12-SUM('2024年-挂账付款'!S12:$AH12)&gt;0,'2024年-挂账付款'!$AX12-SUM('2024年-挂账付款'!S12:$AH12),0))</f>
        <v>13979.23</v>
      </c>
      <c r="V12" s="128">
        <f>IF('2024年-挂账付款'!$AX12&gt;=SUM('2024年-挂账付款'!S12:$AH12),'2024年-挂账付款'!S12,IF('2024年-挂账付款'!$AX12-SUM('2024年-挂账付款'!T12:$AH12)&gt;0,'2024年-挂账付款'!$AX12-SUM('2024年-挂账付款'!T12:$AH12),0))</f>
        <v>0</v>
      </c>
      <c r="W12" s="128">
        <f>IF('2024年-挂账付款'!$AX12&gt;=SUM('2024年-挂账付款'!T12:$AH12),'2024年-挂账付款'!T12,IF('2024年-挂账付款'!$AX12-SUM('2024年-挂账付款'!U12:$AH12)&gt;0,'2024年-挂账付款'!$AX12-SUM('2024年-挂账付款'!U12:$AH12),0))</f>
        <v>52357.11</v>
      </c>
      <c r="X12" s="128">
        <f>IF('2024年-挂账付款'!$AX12&gt;=SUM('2024年-挂账付款'!U12:$AH12),'2024年-挂账付款'!U12,IF('2024年-挂账付款'!$AX12-SUM('2024年-挂账付款'!V12:$AH12)&gt;0,'2024年-挂账付款'!$AX12-SUM('2024年-挂账付款'!V12:$AH12),0))</f>
        <v>5606.92</v>
      </c>
      <c r="Y12" s="128">
        <f>IF('2024年-挂账付款'!$AX12&gt;=SUM('2024年-挂账付款'!V12:$AH12),'2024年-挂账付款'!V12,IF('2024年-挂账付款'!$AX12-SUM('2024年-挂账付款'!W12:$AH12)&gt;0,'2024年-挂账付款'!$AX12-SUM('2024年-挂账付款'!W12:$AH12),0))</f>
        <v>0</v>
      </c>
      <c r="Z12" s="128">
        <f>IF('2024年-挂账付款'!$AX12&gt;=SUM('2024年-挂账付款'!W12:$AH12),'2024年-挂账付款'!W12,IF('2024年-挂账付款'!$AX12-SUM('2024年-挂账付款'!X12:$AH12)&gt;0,'2024年-挂账付款'!$AX12-SUM('2024年-挂账付款'!X12:$AH12),0))</f>
        <v>0</v>
      </c>
      <c r="AA12" s="167">
        <f>IF('2024年-挂账付款'!$AX12&gt;=SUM('2024年-挂账付款'!X12:$AH12),'2024年-挂账付款'!X12,IF('2024年-挂账付款'!$AX12-SUM('2024年-挂账付款'!Y12:$AH12)&gt;0,'2024年-挂账付款'!$AX12-SUM('2024年-挂账付款'!Y12:$AH12),0))</f>
        <v>0</v>
      </c>
      <c r="AB12" s="128">
        <f>IF('2024年-挂账付款'!$AX12&gt;=SUM('2024年-挂账付款'!Y12:$AH12),'2024年-挂账付款'!Y12,IF('2024年-挂账付款'!$AX12-SUM('2024年-挂账付款'!Z12:$AH12)&gt;0,'2024年-挂账付款'!$AX12-SUM('2024年-挂账付款'!Z12:$AH12),0))</f>
        <v>0</v>
      </c>
      <c r="AC12" s="128">
        <f>IF('2024年-挂账付款'!$AX12&gt;=SUM('2024年-挂账付款'!Z12:$AH12),'2024年-挂账付款'!Z12,IF('2024年-挂账付款'!$AX12-SUM('2024年-挂账付款'!AA12:$AH12)&gt;0,'2024年-挂账付款'!$AX12-SUM('2024年-挂账付款'!AA12:$AH12),0))</f>
        <v>0</v>
      </c>
      <c r="AD12" s="128">
        <f>IF('2024年-挂账付款'!$AX12&gt;=SUM('2024年-挂账付款'!AA12:$AH12),'2024年-挂账付款'!AA12,IF('2024年-挂账付款'!$AX12-SUM('2024年-挂账付款'!AB12:$AH12)&gt;0,'2024年-挂账付款'!$AX12-SUM('2024年-挂账付款'!AB12:$AH12),0))</f>
        <v>0</v>
      </c>
      <c r="AE12" s="128">
        <f>IF('2024年-挂账付款'!$AX12&gt;=SUM('2024年-挂账付款'!AB12:$AH12),'2024年-挂账付款'!AB12,IF('2024年-挂账付款'!$AX12-SUM('2024年-挂账付款'!AC12:$AH12)&gt;0,'2024年-挂账付款'!$AX12-SUM('2024年-挂账付款'!AC12:$AH12),0))</f>
        <v>0</v>
      </c>
      <c r="AF12" s="128">
        <f>IF('2024年-挂账付款'!$AX12&gt;=SUM('2024年-挂账付款'!AC12:$AH12),'2024年-挂账付款'!AC12,IF('2024年-挂账付款'!$AX12-SUM('2024年-挂账付款'!AD12:$AH12)&gt;0,'2024年-挂账付款'!$AX12-SUM('2024年-挂账付款'!AD12:$AH12),0))</f>
        <v>0</v>
      </c>
      <c r="AG12" s="128">
        <f>IF('2024年-挂账付款'!$AX12&gt;=SUM('2024年-挂账付款'!AD12:$AH12),'2024年-挂账付款'!AD12,IF('2024年-挂账付款'!$AX12-SUM('2024年-挂账付款'!AE12:$AH12)&gt;0,'2024年-挂账付款'!$AX12-SUM('2024年-挂账付款'!AE12:$AH12),0))</f>
        <v>0</v>
      </c>
      <c r="AH12" s="128">
        <f>IF('2024年-挂账付款'!$AX12&gt;=SUM('2024年-挂账付款'!AE12:$AH12),'2024年-挂账付款'!AE12,IF('2024年-挂账付款'!$AX12-SUM('2024年-挂账付款'!AF12:$AH12)&gt;0,'2024年-挂账付款'!$AX12-SUM('2024年-挂账付款'!AF12:$AH12),0))</f>
        <v>0</v>
      </c>
      <c r="AI12" s="128">
        <f>IF('2024年-挂账付款'!$AX12&gt;=SUM('2024年-挂账付款'!AF12:$AH12),'2024年-挂账付款'!AF12,IF('2024年-挂账付款'!$AX12-SUM('2024年-挂账付款'!AG12:$AH12)&gt;0,'2024年-挂账付款'!$AX12-SUM('2024年-挂账付款'!AG12:$AH12),0))</f>
        <v>0</v>
      </c>
      <c r="AJ12" s="128">
        <f>IF('2024年-挂账付款'!$AX12&gt;=SUM('2024年-挂账付款'!AG12:$AH12),'2024年-挂账付款'!AG12,IF('2024年-挂账付款'!$AX12-SUM('2024年-挂账付款'!AH12:$AH12)&gt;0,'2024年-挂账付款'!$AX12-SUM('2024年-挂账付款'!AH12:$AH12),0))</f>
        <v>0</v>
      </c>
      <c r="AK12" s="128">
        <f>IF('2024年-挂账付款'!$AX12&gt;=SUM('2024年-挂账付款'!AH12:$AH12),'2024年-挂账付款'!AH12,IF('2024年-挂账付款'!$AX12-SUM('2024年-挂账付款'!$AH12:AI12)&gt;0,'2024年-挂账付款'!$AX12-SUM('2024年-挂账付款'!$AH12:AI12),0))</f>
        <v>0</v>
      </c>
      <c r="AL12" s="177" t="s">
        <v>426</v>
      </c>
      <c r="AM12" s="175"/>
      <c r="AN12" s="176">
        <f t="shared" si="1"/>
        <v>9592.43466666667</v>
      </c>
      <c r="AO12" s="203">
        <v>30000</v>
      </c>
      <c r="AP12" s="204" t="s">
        <v>475</v>
      </c>
      <c r="AQ12" s="205"/>
      <c r="AR12" s="206">
        <f>AO12</f>
        <v>30000</v>
      </c>
    </row>
    <row r="13" s="107" customFormat="1" ht="18" customHeight="1" spans="1:44">
      <c r="A13" s="122"/>
      <c r="B13" s="139" t="s">
        <v>81</v>
      </c>
      <c r="C13" s="130" t="s">
        <v>184</v>
      </c>
      <c r="D13" s="130" t="s">
        <v>185</v>
      </c>
      <c r="E13" s="131">
        <v>60</v>
      </c>
      <c r="F13" s="126">
        <f t="shared" si="2"/>
        <v>62635.45</v>
      </c>
      <c r="G13" s="127">
        <f t="shared" si="0"/>
        <v>70884.45</v>
      </c>
      <c r="H13" s="128">
        <f>IF('2024年-挂账付款'!$AX13&gt;=SUM('2024年-挂账付款'!E13:$AH13),'2024年-挂账付款'!E13,IF('2024年-挂账付款'!$AX13-SUM('2024年-挂账付款'!F13:$AH13)&gt;0,'2024年-挂账付款'!$AX13-SUM('2024年-挂账付款'!F13:$AH13),0))</f>
        <v>0</v>
      </c>
      <c r="I13" s="128">
        <f>IF('2024年-挂账付款'!$AX13&gt;=SUM('2024年-挂账付款'!F13:$AH13),'2024年-挂账付款'!F13,IF('2024年-挂账付款'!$AX13-SUM('2024年-挂账付款'!G13:$AH13)&gt;0,'2024年-挂账付款'!$AX13-SUM('2024年-挂账付款'!G13:$AH13),0))</f>
        <v>0</v>
      </c>
      <c r="J13" s="128">
        <f>IF('2024年-挂账付款'!$AX13&gt;=SUM('2024年-挂账付款'!G13:$AH13),'2024年-挂账付款'!G13,IF('2024年-挂账付款'!$AX13-SUM('2024年-挂账付款'!H13:$AH13)&gt;0,'2024年-挂账付款'!$AX13-SUM('2024年-挂账付款'!H13:$AH13),0))</f>
        <v>0</v>
      </c>
      <c r="K13" s="128">
        <f>IF('2024年-挂账付款'!$AX13&gt;=SUM('2024年-挂账付款'!H13:$AH13),'2024年-挂账付款'!H13,IF('2024年-挂账付款'!$AX13-SUM('2024年-挂账付款'!I13:$AH13)&gt;0,'2024年-挂账付款'!$AX13-SUM('2024年-挂账付款'!I13:$AH13),0))</f>
        <v>0</v>
      </c>
      <c r="L13" s="128">
        <f>IF('2024年-挂账付款'!$AX13&gt;=SUM('2024年-挂账付款'!I13:$AH13),'2024年-挂账付款'!I13,IF('2024年-挂账付款'!$AX13-SUM('2024年-挂账付款'!J13:$AH13)&gt;0,'2024年-挂账付款'!$AX13-SUM('2024年-挂账付款'!J13:$AH13),0))</f>
        <v>0</v>
      </c>
      <c r="M13" s="128">
        <f>IF('2024年-挂账付款'!$AX13&gt;=SUM('2024年-挂账付款'!J13:$AH13),'2024年-挂账付款'!J13,IF('2024年-挂账付款'!$AX13-SUM('2024年-挂账付款'!K13:$AH13)&gt;0,'2024年-挂账付款'!$AX13-SUM('2024年-挂账付款'!K13:$AH13),0))</f>
        <v>0</v>
      </c>
      <c r="N13" s="128">
        <f>IF('2024年-挂账付款'!$AX13&gt;=SUM('2024年-挂账付款'!K13:$AH13),'2024年-挂账付款'!K13,IF('2024年-挂账付款'!$AX13-SUM('2024年-挂账付款'!L13:$AH13)&gt;0,'2024年-挂账付款'!$AX13-SUM('2024年-挂账付款'!L13:$AH13),0))</f>
        <v>0</v>
      </c>
      <c r="O13" s="128">
        <f>IF('2024年-挂账付款'!$AX13&gt;=SUM('2024年-挂账付款'!L13:$AH13),'2024年-挂账付款'!L13,IF('2024年-挂账付款'!$AX13-SUM('2024年-挂账付款'!M13:$AH13)&gt;0,'2024年-挂账付款'!$AX13-SUM('2024年-挂账付款'!M13:$AH13),0))</f>
        <v>0</v>
      </c>
      <c r="P13" s="128">
        <f>IF('2024年-挂账付款'!$AX13&gt;=SUM('2024年-挂账付款'!M13:$AH13),'2024年-挂账付款'!M13,IF('2024年-挂账付款'!$AX13-SUM('2024年-挂账付款'!N13:$AH13)&gt;0,'2024年-挂账付款'!$AX13-SUM('2024年-挂账付款'!N13:$AH13),0))</f>
        <v>0</v>
      </c>
      <c r="Q13" s="128">
        <f>IF('2024年-挂账付款'!$AX13&gt;=SUM('2024年-挂账付款'!N13:$AH13),'2024年-挂账付款'!N13,IF('2024年-挂账付款'!$AX13-SUM('2024年-挂账付款'!O13:$AH13)&gt;0,'2024年-挂账付款'!$AX13-SUM('2024年-挂账付款'!O13:$AH13),0))</f>
        <v>0</v>
      </c>
      <c r="R13" s="128">
        <f>IF('2024年-挂账付款'!$AX13&gt;=SUM('2024年-挂账付款'!O13:$AH13),'2024年-挂账付款'!O13,IF('2024年-挂账付款'!$AX13-SUM('2024年-挂账付款'!P13:$AH13)&gt;0,'2024年-挂账付款'!$AX13-SUM('2024年-挂账付款'!P13:$AH13),0))</f>
        <v>0</v>
      </c>
      <c r="S13" s="128">
        <f>IF('2024年-挂账付款'!$AX13&gt;=SUM('2024年-挂账付款'!P13:$AH13),'2024年-挂账付款'!P13,IF('2024年-挂账付款'!$AX13-SUM('2024年-挂账付款'!Q13:$AH13)&gt;0,'2024年-挂账付款'!$AX13-SUM('2024年-挂账付款'!Q13:$AH13),0))</f>
        <v>0</v>
      </c>
      <c r="T13" s="128">
        <f>IF('2024年-挂账付款'!$AX13&gt;=SUM('2024年-挂账付款'!Q13:$AH13),'2024年-挂账付款'!Q13,IF('2024年-挂账付款'!$AX13-SUM('2024年-挂账付款'!R13:$AH13)&gt;0,'2024年-挂账付款'!$AX13-SUM('2024年-挂账付款'!R13:$AH13),0))</f>
        <v>0</v>
      </c>
      <c r="U13" s="128">
        <f>IF('2024年-挂账付款'!$AX13&gt;=SUM('2024年-挂账付款'!R13:$AH13),'2024年-挂账付款'!R13,IF('2024年-挂账付款'!$AX13-SUM('2024年-挂账付款'!S13:$AH13)&gt;0,'2024年-挂账付款'!$AX13-SUM('2024年-挂账付款'!S13:$AH13),0))</f>
        <v>0</v>
      </c>
      <c r="V13" s="128">
        <f>IF('2024年-挂账付款'!$AX13&gt;=SUM('2024年-挂账付款'!S13:$AH13),'2024年-挂账付款'!S13,IF('2024年-挂账付款'!$AX13-SUM('2024年-挂账付款'!T13:$AH13)&gt;0,'2024年-挂账付款'!$AX13-SUM('2024年-挂账付款'!T13:$AH13),0))</f>
        <v>0</v>
      </c>
      <c r="W13" s="128">
        <f>IF('2024年-挂账付款'!$AX13&gt;=SUM('2024年-挂账付款'!T13:$AH13),'2024年-挂账付款'!T13,IF('2024年-挂账付款'!$AX13-SUM('2024年-挂账付款'!U13:$AH13)&gt;0,'2024年-挂账付款'!$AX13-SUM('2024年-挂账付款'!U13:$AH13),0))</f>
        <v>0</v>
      </c>
      <c r="X13" s="128">
        <f>IF('2024年-挂账付款'!$AX13&gt;=SUM('2024年-挂账付款'!U13:$AH13),'2024年-挂账付款'!U13,IF('2024年-挂账付款'!$AX13-SUM('2024年-挂账付款'!V13:$AH13)&gt;0,'2024年-挂账付款'!$AX13-SUM('2024年-挂账付款'!V13:$AH13),0))</f>
        <v>0</v>
      </c>
      <c r="Y13" s="128">
        <f>IF('2024年-挂账付款'!$AX13&gt;=SUM('2024年-挂账付款'!V13:$AH13),'2024年-挂账付款'!V13,IF('2024年-挂账付款'!$AX13-SUM('2024年-挂账付款'!W13:$AH13)&gt;0,'2024年-挂账付款'!$AX13-SUM('2024年-挂账付款'!W13:$AH13),0))</f>
        <v>16255.73</v>
      </c>
      <c r="Z13" s="128">
        <f>IF('2024年-挂账付款'!$AX13&gt;=SUM('2024年-挂账付款'!W13:$AH13),'2024年-挂账付款'!W13,IF('2024年-挂账付款'!$AX13-SUM('2024年-挂账付款'!X13:$AH13)&gt;0,'2024年-挂账付款'!$AX13-SUM('2024年-挂账付款'!X13:$AH13),0))</f>
        <v>46379.72</v>
      </c>
      <c r="AA13" s="167">
        <f>IF('2024年-挂账付款'!$AX13&gt;=SUM('2024年-挂账付款'!X13:$AH13),'2024年-挂账付款'!X13,IF('2024年-挂账付款'!$AX13-SUM('2024年-挂账付款'!Y13:$AH13)&gt;0,'2024年-挂账付款'!$AX13-SUM('2024年-挂账付款'!Y13:$AH13),0))</f>
        <v>8249</v>
      </c>
      <c r="AB13" s="128">
        <f>IF('2024年-挂账付款'!$AX13&gt;=SUM('2024年-挂账付款'!Y13:$AH13),'2024年-挂账付款'!Y13,IF('2024年-挂账付款'!$AX13-SUM('2024年-挂账付款'!Z13:$AH13)&gt;0,'2024年-挂账付款'!$AX13-SUM('2024年-挂账付款'!Z13:$AH13),0))</f>
        <v>0</v>
      </c>
      <c r="AC13" s="128">
        <f>IF('2024年-挂账付款'!$AX13&gt;=SUM('2024年-挂账付款'!Z13:$AH13),'2024年-挂账付款'!Z13,IF('2024年-挂账付款'!$AX13-SUM('2024年-挂账付款'!AA13:$AH13)&gt;0,'2024年-挂账付款'!$AX13-SUM('2024年-挂账付款'!AA13:$AH13),0))</f>
        <v>0</v>
      </c>
      <c r="AD13" s="128">
        <f>IF('2024年-挂账付款'!$AX13&gt;=SUM('2024年-挂账付款'!AA13:$AH13),'2024年-挂账付款'!AA13,IF('2024年-挂账付款'!$AX13-SUM('2024年-挂账付款'!AB13:$AH13)&gt;0,'2024年-挂账付款'!$AX13-SUM('2024年-挂账付款'!AB13:$AH13),0))</f>
        <v>0</v>
      </c>
      <c r="AE13" s="128">
        <f>IF('2024年-挂账付款'!$AX13&gt;=SUM('2024年-挂账付款'!AB13:$AH13),'2024年-挂账付款'!AB13,IF('2024年-挂账付款'!$AX13-SUM('2024年-挂账付款'!AC13:$AH13)&gt;0,'2024年-挂账付款'!$AX13-SUM('2024年-挂账付款'!AC13:$AH13),0))</f>
        <v>0</v>
      </c>
      <c r="AF13" s="128">
        <f>IF('2024年-挂账付款'!$AX13&gt;=SUM('2024年-挂账付款'!AC13:$AH13),'2024年-挂账付款'!AC13,IF('2024年-挂账付款'!$AX13-SUM('2024年-挂账付款'!AD13:$AH13)&gt;0,'2024年-挂账付款'!$AX13-SUM('2024年-挂账付款'!AD13:$AH13),0))</f>
        <v>0</v>
      </c>
      <c r="AG13" s="128">
        <f>IF('2024年-挂账付款'!$AX13&gt;=SUM('2024年-挂账付款'!AD13:$AH13),'2024年-挂账付款'!AD13,IF('2024年-挂账付款'!$AX13-SUM('2024年-挂账付款'!AE13:$AH13)&gt;0,'2024年-挂账付款'!$AX13-SUM('2024年-挂账付款'!AE13:$AH13),0))</f>
        <v>0</v>
      </c>
      <c r="AH13" s="128">
        <f>IF('2024年-挂账付款'!$AX13&gt;=SUM('2024年-挂账付款'!AE13:$AH13),'2024年-挂账付款'!AE13,IF('2024年-挂账付款'!$AX13-SUM('2024年-挂账付款'!AF13:$AH13)&gt;0,'2024年-挂账付款'!$AX13-SUM('2024年-挂账付款'!AF13:$AH13),0))</f>
        <v>0</v>
      </c>
      <c r="AI13" s="128">
        <f>IF('2024年-挂账付款'!$AX13&gt;=SUM('2024年-挂账付款'!AF13:$AH13),'2024年-挂账付款'!AF13,IF('2024年-挂账付款'!$AX13-SUM('2024年-挂账付款'!AG13:$AH13)&gt;0,'2024年-挂账付款'!$AX13-SUM('2024年-挂账付款'!AG13:$AH13),0))</f>
        <v>0</v>
      </c>
      <c r="AJ13" s="128">
        <f>IF('2024年-挂账付款'!$AX13&gt;=SUM('2024年-挂账付款'!AG13:$AH13),'2024年-挂账付款'!AG13,IF('2024年-挂账付款'!$AX13-SUM('2024年-挂账付款'!AH13:$AH13)&gt;0,'2024年-挂账付款'!$AX13-SUM('2024年-挂账付款'!AH13:$AH13),0))</f>
        <v>0</v>
      </c>
      <c r="AK13" s="128">
        <f>IF('2024年-挂账付款'!$AX13&gt;=SUM('2024年-挂账付款'!AH13:$AH13),'2024年-挂账付款'!AH13,IF('2024年-挂账付款'!$AX13-SUM('2024年-挂账付款'!$AH13:AI13)&gt;0,'2024年-挂账付款'!$AX13-SUM('2024年-挂账付款'!$AH13:AI13),0))</f>
        <v>0</v>
      </c>
      <c r="AL13" s="177" t="s">
        <v>426</v>
      </c>
      <c r="AM13" s="175"/>
      <c r="AN13" s="176">
        <f t="shared" si="1"/>
        <v>8351.39333333333</v>
      </c>
      <c r="AO13" s="203">
        <f>F13</f>
        <v>62635.45</v>
      </c>
      <c r="AP13" s="204" t="s">
        <v>476</v>
      </c>
      <c r="AQ13" s="205"/>
      <c r="AR13" s="206">
        <f>AO13</f>
        <v>62635.45</v>
      </c>
    </row>
    <row r="14" s="107" customFormat="1" ht="18" customHeight="1" spans="1:44">
      <c r="A14" s="122"/>
      <c r="B14" s="139" t="s">
        <v>81</v>
      </c>
      <c r="C14" s="130" t="s">
        <v>130</v>
      </c>
      <c r="D14" s="130" t="s">
        <v>131</v>
      </c>
      <c r="E14" s="125">
        <v>60</v>
      </c>
      <c r="F14" s="126">
        <f t="shared" si="2"/>
        <v>7000</v>
      </c>
      <c r="G14" s="127">
        <f t="shared" si="0"/>
        <v>7000</v>
      </c>
      <c r="H14" s="128" t="str">
        <f>IF('2024年-挂账付款'!$AX14&gt;=SUM('2024年-挂账付款'!E14:$AH14),'2024年-挂账付款'!E14,IF('2024年-挂账付款'!$AX14-SUM('2024年-挂账付款'!F14:$AH14)&gt;0,'2024年-挂账付款'!$AX14-SUM('2024年-挂账付款'!F14:$AH14),0))</f>
        <v/>
      </c>
      <c r="I14" s="128" t="str">
        <f>IF('2024年-挂账付款'!$AX14&gt;=SUM('2024年-挂账付款'!F14:$AH14),'2024年-挂账付款'!F14,IF('2024年-挂账付款'!$AX14-SUM('2024年-挂账付款'!G14:$AH14)&gt;0,'2024年-挂账付款'!$AX14-SUM('2024年-挂账付款'!G14:$AH14),0))</f>
        <v/>
      </c>
      <c r="J14" s="128" t="str">
        <f>IF('2024年-挂账付款'!$AX14&gt;=SUM('2024年-挂账付款'!G14:$AH14),'2024年-挂账付款'!G14,IF('2024年-挂账付款'!$AX14-SUM('2024年-挂账付款'!H14:$AH14)&gt;0,'2024年-挂账付款'!$AX14-SUM('2024年-挂账付款'!H14:$AH14),0))</f>
        <v/>
      </c>
      <c r="K14" s="128">
        <f>IF('2024年-挂账付款'!$AX14&gt;=SUM('2024年-挂账付款'!H14:$AH14),'2024年-挂账付款'!H14,IF('2024年-挂账付款'!$AX14-SUM('2024年-挂账付款'!I14:$AH14)&gt;0,'2024年-挂账付款'!$AX14-SUM('2024年-挂账付款'!I14:$AH14),0))</f>
        <v>0</v>
      </c>
      <c r="L14" s="128">
        <f>IF('2024年-挂账付款'!$AX14&gt;=SUM('2024年-挂账付款'!I14:$AH14),'2024年-挂账付款'!I14,IF('2024年-挂账付款'!$AX14-SUM('2024年-挂账付款'!J14:$AH14)&gt;0,'2024年-挂账付款'!$AX14-SUM('2024年-挂账付款'!J14:$AH14),0))</f>
        <v>0</v>
      </c>
      <c r="M14" s="128" t="str">
        <f>IF('2024年-挂账付款'!$AX14&gt;=SUM('2024年-挂账付款'!J14:$AH14),'2024年-挂账付款'!J14,IF('2024年-挂账付款'!$AX14-SUM('2024年-挂账付款'!K14:$AH14)&gt;0,'2024年-挂账付款'!$AX14-SUM('2024年-挂账付款'!K14:$AH14),0))</f>
        <v/>
      </c>
      <c r="N14" s="128">
        <f>IF('2024年-挂账付款'!$AX14&gt;=SUM('2024年-挂账付款'!K14:$AH14),'2024年-挂账付款'!K14,IF('2024年-挂账付款'!$AX14-SUM('2024年-挂账付款'!L14:$AH14)&gt;0,'2024年-挂账付款'!$AX14-SUM('2024年-挂账付款'!L14:$AH14),0))</f>
        <v>0</v>
      </c>
      <c r="O14" s="128">
        <f>IF('2024年-挂账付款'!$AX14&gt;=SUM('2024年-挂账付款'!L14:$AH14),'2024年-挂账付款'!L14,IF('2024年-挂账付款'!$AX14-SUM('2024年-挂账付款'!M14:$AH14)&gt;0,'2024年-挂账付款'!$AX14-SUM('2024年-挂账付款'!M14:$AH14),0))</f>
        <v>0</v>
      </c>
      <c r="P14" s="128">
        <f>IF('2024年-挂账付款'!$AX14&gt;=SUM('2024年-挂账付款'!M14:$AH14),'2024年-挂账付款'!M14,IF('2024年-挂账付款'!$AX14-SUM('2024年-挂账付款'!N14:$AH14)&gt;0,'2024年-挂账付款'!$AX14-SUM('2024年-挂账付款'!N14:$AH14),0))</f>
        <v>0</v>
      </c>
      <c r="Q14" s="128">
        <f>IF('2024年-挂账付款'!$AX14&gt;=SUM('2024年-挂账付款'!N14:$AH14),'2024年-挂账付款'!N14,IF('2024年-挂账付款'!$AX14-SUM('2024年-挂账付款'!O14:$AH14)&gt;0,'2024年-挂账付款'!$AX14-SUM('2024年-挂账付款'!O14:$AH14),0))</f>
        <v>0</v>
      </c>
      <c r="R14" s="128">
        <f>IF('2024年-挂账付款'!$AX14&gt;=SUM('2024年-挂账付款'!O14:$AH14),'2024年-挂账付款'!O14,IF('2024年-挂账付款'!$AX14-SUM('2024年-挂账付款'!P14:$AH14)&gt;0,'2024年-挂账付款'!$AX14-SUM('2024年-挂账付款'!P14:$AH14),0))</f>
        <v>0</v>
      </c>
      <c r="S14" s="128">
        <f>IF('2024年-挂账付款'!$AX14&gt;=SUM('2024年-挂账付款'!P14:$AH14),'2024年-挂账付款'!P14,IF('2024年-挂账付款'!$AX14-SUM('2024年-挂账付款'!Q14:$AH14)&gt;0,'2024年-挂账付款'!$AX14-SUM('2024年-挂账付款'!Q14:$AH14),0))</f>
        <v>0</v>
      </c>
      <c r="T14" s="128">
        <f>IF('2024年-挂账付款'!$AX14&gt;=SUM('2024年-挂账付款'!Q14:$AH14),'2024年-挂账付款'!Q14,IF('2024年-挂账付款'!$AX14-SUM('2024年-挂账付款'!R14:$AH14)&gt;0,'2024年-挂账付款'!$AX14-SUM('2024年-挂账付款'!R14:$AH14),0))</f>
        <v>0</v>
      </c>
      <c r="U14" s="128">
        <f>IF('2024年-挂账付款'!$AX14&gt;=SUM('2024年-挂账付款'!R14:$AH14),'2024年-挂账付款'!R14,IF('2024年-挂账付款'!$AX14-SUM('2024年-挂账付款'!S14:$AH14)&gt;0,'2024年-挂账付款'!$AX14-SUM('2024年-挂账付款'!S14:$AH14),0))</f>
        <v>0</v>
      </c>
      <c r="V14" s="128">
        <f>IF('2024年-挂账付款'!$AX14&gt;=SUM('2024年-挂账付款'!S14:$AH14),'2024年-挂账付款'!S14,IF('2024年-挂账付款'!$AX14-SUM('2024年-挂账付款'!T14:$AH14)&gt;0,'2024年-挂账付款'!$AX14-SUM('2024年-挂账付款'!T14:$AH14),0))</f>
        <v>7000</v>
      </c>
      <c r="W14" s="128">
        <f>IF('2024年-挂账付款'!$AX14&gt;=SUM('2024年-挂账付款'!T14:$AH14),'2024年-挂账付款'!T14,IF('2024年-挂账付款'!$AX14-SUM('2024年-挂账付款'!U14:$AH14)&gt;0,'2024年-挂账付款'!$AX14-SUM('2024年-挂账付款'!U14:$AH14),0))</f>
        <v>0</v>
      </c>
      <c r="X14" s="128">
        <f>IF('2024年-挂账付款'!$AX14&gt;=SUM('2024年-挂账付款'!U14:$AH14),'2024年-挂账付款'!U14,IF('2024年-挂账付款'!$AX14-SUM('2024年-挂账付款'!V14:$AH14)&gt;0,'2024年-挂账付款'!$AX14-SUM('2024年-挂账付款'!V14:$AH14),0))</f>
        <v>0</v>
      </c>
      <c r="Y14" s="128">
        <f>IF('2024年-挂账付款'!$AX14&gt;=SUM('2024年-挂账付款'!V14:$AH14),'2024年-挂账付款'!V14,IF('2024年-挂账付款'!$AX14-SUM('2024年-挂账付款'!W14:$AH14)&gt;0,'2024年-挂账付款'!$AX14-SUM('2024年-挂账付款'!W14:$AH14),0))</f>
        <v>0</v>
      </c>
      <c r="Z14" s="128">
        <f>IF('2024年-挂账付款'!$AX14&gt;=SUM('2024年-挂账付款'!W14:$AH14),'2024年-挂账付款'!W14,IF('2024年-挂账付款'!$AX14-SUM('2024年-挂账付款'!X14:$AH14)&gt;0,'2024年-挂账付款'!$AX14-SUM('2024年-挂账付款'!X14:$AH14),0))</f>
        <v>0</v>
      </c>
      <c r="AA14" s="167">
        <f>IF('2024年-挂账付款'!$AX14&gt;=SUM('2024年-挂账付款'!X14:$AH14),'2024年-挂账付款'!X14,IF('2024年-挂账付款'!$AX14-SUM('2024年-挂账付款'!Y14:$AH14)&gt;0,'2024年-挂账付款'!$AX14-SUM('2024年-挂账付款'!Y14:$AH14),0))</f>
        <v>0</v>
      </c>
      <c r="AB14" s="128">
        <f>IF('2024年-挂账付款'!$AX14&gt;=SUM('2024年-挂账付款'!Y14:$AH14),'2024年-挂账付款'!Y14,IF('2024年-挂账付款'!$AX14-SUM('2024年-挂账付款'!Z14:$AH14)&gt;0,'2024年-挂账付款'!$AX14-SUM('2024年-挂账付款'!Z14:$AH14),0))</f>
        <v>0</v>
      </c>
      <c r="AC14" s="128">
        <f>IF('2024年-挂账付款'!$AX14&gt;=SUM('2024年-挂账付款'!Z14:$AH14),'2024年-挂账付款'!Z14,IF('2024年-挂账付款'!$AX14-SUM('2024年-挂账付款'!AA14:$AH14)&gt;0,'2024年-挂账付款'!$AX14-SUM('2024年-挂账付款'!AA14:$AH14),0))</f>
        <v>0</v>
      </c>
      <c r="AD14" s="128">
        <f>IF('2024年-挂账付款'!$AX14&gt;=SUM('2024年-挂账付款'!AA14:$AH14),'2024年-挂账付款'!AA14,IF('2024年-挂账付款'!$AX14-SUM('2024年-挂账付款'!AB14:$AH14)&gt;0,'2024年-挂账付款'!$AX14-SUM('2024年-挂账付款'!AB14:$AH14),0))</f>
        <v>0</v>
      </c>
      <c r="AE14" s="128">
        <f>IF('2024年-挂账付款'!$AX14&gt;=SUM('2024年-挂账付款'!AB14:$AH14),'2024年-挂账付款'!AB14,IF('2024年-挂账付款'!$AX14-SUM('2024年-挂账付款'!AC14:$AH14)&gt;0,'2024年-挂账付款'!$AX14-SUM('2024年-挂账付款'!AC14:$AH14),0))</f>
        <v>0</v>
      </c>
      <c r="AF14" s="128">
        <f>IF('2024年-挂账付款'!$AX14&gt;=SUM('2024年-挂账付款'!AC14:$AH14),'2024年-挂账付款'!AC14,IF('2024年-挂账付款'!$AX14-SUM('2024年-挂账付款'!AD14:$AH14)&gt;0,'2024年-挂账付款'!$AX14-SUM('2024年-挂账付款'!AD14:$AH14),0))</f>
        <v>0</v>
      </c>
      <c r="AG14" s="128">
        <f>IF('2024年-挂账付款'!$AX14&gt;=SUM('2024年-挂账付款'!AD14:$AH14),'2024年-挂账付款'!AD14,IF('2024年-挂账付款'!$AX14-SUM('2024年-挂账付款'!AE14:$AH14)&gt;0,'2024年-挂账付款'!$AX14-SUM('2024年-挂账付款'!AE14:$AH14),0))</f>
        <v>0</v>
      </c>
      <c r="AH14" s="128">
        <f>IF('2024年-挂账付款'!$AX14&gt;=SUM('2024年-挂账付款'!AE14:$AH14),'2024年-挂账付款'!AE14,IF('2024年-挂账付款'!$AX14-SUM('2024年-挂账付款'!AF14:$AH14)&gt;0,'2024年-挂账付款'!$AX14-SUM('2024年-挂账付款'!AF14:$AH14),0))</f>
        <v>0</v>
      </c>
      <c r="AI14" s="128">
        <f>IF('2024年-挂账付款'!$AX14&gt;=SUM('2024年-挂账付款'!AF14:$AH14),'2024年-挂账付款'!AF14,IF('2024年-挂账付款'!$AX14-SUM('2024年-挂账付款'!AG14:$AH14)&gt;0,'2024年-挂账付款'!$AX14-SUM('2024年-挂账付款'!AG14:$AH14),0))</f>
        <v>0</v>
      </c>
      <c r="AJ14" s="128">
        <f>IF('2024年-挂账付款'!$AX14&gt;=SUM('2024年-挂账付款'!AG14:$AH14),'2024年-挂账付款'!AG14,IF('2024年-挂账付款'!$AX14-SUM('2024年-挂账付款'!AH14:$AH14)&gt;0,'2024年-挂账付款'!$AX14-SUM('2024年-挂账付款'!AH14:$AH14),0))</f>
        <v>0</v>
      </c>
      <c r="AK14" s="128">
        <f>IF('2024年-挂账付款'!$AX14&gt;=SUM('2024年-挂账付款'!AH14:$AH14),'2024年-挂账付款'!AH14,IF('2024年-挂账付款'!$AX14-SUM('2024年-挂账付款'!$AH14:AI14)&gt;0,'2024年-挂账付款'!$AX14-SUM('2024年-挂账付款'!$AH14:AI14),0))</f>
        <v>0</v>
      </c>
      <c r="AL14" s="177" t="s">
        <v>427</v>
      </c>
      <c r="AM14" s="175"/>
      <c r="AN14" s="176">
        <f t="shared" si="1"/>
        <v>933.333333333333</v>
      </c>
      <c r="AO14" s="203"/>
      <c r="AP14" s="204"/>
      <c r="AQ14" s="205">
        <v>7000</v>
      </c>
      <c r="AR14" s="206"/>
    </row>
    <row r="15" s="107" customFormat="1" ht="18" customHeight="1" spans="1:45">
      <c r="A15" s="122"/>
      <c r="B15" s="139" t="s">
        <v>81</v>
      </c>
      <c r="C15" s="130" t="s">
        <v>228</v>
      </c>
      <c r="D15" s="130" t="s">
        <v>229</v>
      </c>
      <c r="E15" s="131">
        <v>60</v>
      </c>
      <c r="F15" s="126">
        <f t="shared" si="2"/>
        <v>22286.9</v>
      </c>
      <c r="G15" s="127">
        <f t="shared" si="0"/>
        <v>22286.9</v>
      </c>
      <c r="H15" s="128">
        <f>IF('2024年-挂账付款'!$AX15&gt;=SUM('2024年-挂账付款'!E15:$AH15),'2024年-挂账付款'!E15,IF('2024年-挂账付款'!$AX15-SUM('2024年-挂账付款'!F15:$AH15)&gt;0,'2024年-挂账付款'!$AX15-SUM('2024年-挂账付款'!F15:$AH15),0))</f>
        <v>0</v>
      </c>
      <c r="I15" s="128">
        <f>IF('2024年-挂账付款'!$AX15&gt;=SUM('2024年-挂账付款'!F15:$AH15),'2024年-挂账付款'!F15,IF('2024年-挂账付款'!$AX15-SUM('2024年-挂账付款'!G15:$AH15)&gt;0,'2024年-挂账付款'!$AX15-SUM('2024年-挂账付款'!G15:$AH15),0))</f>
        <v>0</v>
      </c>
      <c r="J15" s="128">
        <f>IF('2024年-挂账付款'!$AX15&gt;=SUM('2024年-挂账付款'!G15:$AH15),'2024年-挂账付款'!G15,IF('2024年-挂账付款'!$AX15-SUM('2024年-挂账付款'!H15:$AH15)&gt;0,'2024年-挂账付款'!$AX15-SUM('2024年-挂账付款'!H15:$AH15),0))</f>
        <v>0</v>
      </c>
      <c r="K15" s="128">
        <f>IF('2024年-挂账付款'!$AX15&gt;=SUM('2024年-挂账付款'!H15:$AH15),'2024年-挂账付款'!H15,IF('2024年-挂账付款'!$AX15-SUM('2024年-挂账付款'!I15:$AH15)&gt;0,'2024年-挂账付款'!$AX15-SUM('2024年-挂账付款'!I15:$AH15),0))</f>
        <v>0</v>
      </c>
      <c r="L15" s="128">
        <f>IF('2024年-挂账付款'!$AX15&gt;=SUM('2024年-挂账付款'!I15:$AH15),'2024年-挂账付款'!I15,IF('2024年-挂账付款'!$AX15-SUM('2024年-挂账付款'!J15:$AH15)&gt;0,'2024年-挂账付款'!$AX15-SUM('2024年-挂账付款'!J15:$AH15),0))</f>
        <v>0</v>
      </c>
      <c r="M15" s="128">
        <f>IF('2024年-挂账付款'!$AX15&gt;=SUM('2024年-挂账付款'!J15:$AH15),'2024年-挂账付款'!J15,IF('2024年-挂账付款'!$AX15-SUM('2024年-挂账付款'!K15:$AH15)&gt;0,'2024年-挂账付款'!$AX15-SUM('2024年-挂账付款'!K15:$AH15),0))</f>
        <v>0</v>
      </c>
      <c r="N15" s="128">
        <f>IF('2024年-挂账付款'!$AX15&gt;=SUM('2024年-挂账付款'!K15:$AH15),'2024年-挂账付款'!K15,IF('2024年-挂账付款'!$AX15-SUM('2024年-挂账付款'!L15:$AH15)&gt;0,'2024年-挂账付款'!$AX15-SUM('2024年-挂账付款'!L15:$AH15),0))</f>
        <v>0</v>
      </c>
      <c r="O15" s="128">
        <f>IF('2024年-挂账付款'!$AX15&gt;=SUM('2024年-挂账付款'!L15:$AH15),'2024年-挂账付款'!L15,IF('2024年-挂账付款'!$AX15-SUM('2024年-挂账付款'!M15:$AH15)&gt;0,'2024年-挂账付款'!$AX15-SUM('2024年-挂账付款'!M15:$AH15),0))</f>
        <v>0</v>
      </c>
      <c r="P15" s="128">
        <f>IF('2024年-挂账付款'!$AX15&gt;=SUM('2024年-挂账付款'!M15:$AH15),'2024年-挂账付款'!M15,IF('2024年-挂账付款'!$AX15-SUM('2024年-挂账付款'!N15:$AH15)&gt;0,'2024年-挂账付款'!$AX15-SUM('2024年-挂账付款'!N15:$AH15),0))</f>
        <v>0</v>
      </c>
      <c r="Q15" s="128">
        <f>IF('2024年-挂账付款'!$AX15&gt;=SUM('2024年-挂账付款'!N15:$AH15),'2024年-挂账付款'!N15,IF('2024年-挂账付款'!$AX15-SUM('2024年-挂账付款'!O15:$AH15)&gt;0,'2024年-挂账付款'!$AX15-SUM('2024年-挂账付款'!O15:$AH15),0))</f>
        <v>0</v>
      </c>
      <c r="R15" s="128">
        <f>IF('2024年-挂账付款'!$AX15&gt;=SUM('2024年-挂账付款'!O15:$AH15),'2024年-挂账付款'!O15,IF('2024年-挂账付款'!$AX15-SUM('2024年-挂账付款'!P15:$AH15)&gt;0,'2024年-挂账付款'!$AX15-SUM('2024年-挂账付款'!P15:$AH15),0))</f>
        <v>0</v>
      </c>
      <c r="S15" s="128">
        <f>IF('2024年-挂账付款'!$AX15&gt;=SUM('2024年-挂账付款'!P15:$AH15),'2024年-挂账付款'!P15,IF('2024年-挂账付款'!$AX15-SUM('2024年-挂账付款'!Q15:$AH15)&gt;0,'2024年-挂账付款'!$AX15-SUM('2024年-挂账付款'!Q15:$AH15),0))</f>
        <v>0</v>
      </c>
      <c r="T15" s="128">
        <f>IF('2024年-挂账付款'!$AX15&gt;=SUM('2024年-挂账付款'!Q15:$AH15),'2024年-挂账付款'!Q15,IF('2024年-挂账付款'!$AX15-SUM('2024年-挂账付款'!R15:$AH15)&gt;0,'2024年-挂账付款'!$AX15-SUM('2024年-挂账付款'!R15:$AH15),0))</f>
        <v>0</v>
      </c>
      <c r="U15" s="128">
        <f>IF('2024年-挂账付款'!$AX15&gt;=SUM('2024年-挂账付款'!R15:$AH15),'2024年-挂账付款'!R15,IF('2024年-挂账付款'!$AX15-SUM('2024年-挂账付款'!S15:$AH15)&gt;0,'2024年-挂账付款'!$AX15-SUM('2024年-挂账付款'!S15:$AH15),0))</f>
        <v>0</v>
      </c>
      <c r="V15" s="128">
        <f>IF('2024年-挂账付款'!$AX15&gt;=SUM('2024年-挂账付款'!S15:$AH15),'2024年-挂账付款'!S15,IF('2024年-挂账付款'!$AX15-SUM('2024年-挂账付款'!T15:$AH15)&gt;0,'2024年-挂账付款'!$AX15-SUM('2024年-挂账付款'!T15:$AH15),0))</f>
        <v>0</v>
      </c>
      <c r="W15" s="128">
        <f>IF('2024年-挂账付款'!$AX15&gt;=SUM('2024年-挂账付款'!T15:$AH15),'2024年-挂账付款'!T15,IF('2024年-挂账付款'!$AX15-SUM('2024年-挂账付款'!U15:$AH15)&gt;0,'2024年-挂账付款'!$AX15-SUM('2024年-挂账付款'!U15:$AH15),0))</f>
        <v>0</v>
      </c>
      <c r="X15" s="128">
        <f>IF('2024年-挂账付款'!$AX15&gt;=SUM('2024年-挂账付款'!U15:$AH15),'2024年-挂账付款'!U15,IF('2024年-挂账付款'!$AX15-SUM('2024年-挂账付款'!V15:$AH15)&gt;0,'2024年-挂账付款'!$AX15-SUM('2024年-挂账付款'!V15:$AH15),0))</f>
        <v>0</v>
      </c>
      <c r="Y15" s="128">
        <f>IF('2024年-挂账付款'!$AX15&gt;=SUM('2024年-挂账付款'!V15:$AH15),'2024年-挂账付款'!V15,IF('2024年-挂账付款'!$AX15-SUM('2024年-挂账付款'!W15:$AH15)&gt;0,'2024年-挂账付款'!$AX15-SUM('2024年-挂账付款'!W15:$AH15),0))</f>
        <v>0</v>
      </c>
      <c r="Z15" s="128">
        <f>IF('2024年-挂账付款'!$AX15&gt;=SUM('2024年-挂账付款'!W15:$AH15),'2024年-挂账付款'!W15,IF('2024年-挂账付款'!$AX15-SUM('2024年-挂账付款'!X15:$AH15)&gt;0,'2024年-挂账付款'!$AX15-SUM('2024年-挂账付款'!X15:$AH15),0))</f>
        <v>22286.9</v>
      </c>
      <c r="AA15" s="167">
        <f>IF('2024年-挂账付款'!$AX15&gt;=SUM('2024年-挂账付款'!X15:$AH15),'2024年-挂账付款'!X15,IF('2024年-挂账付款'!$AX15-SUM('2024年-挂账付款'!Y15:$AH15)&gt;0,'2024年-挂账付款'!$AX15-SUM('2024年-挂账付款'!Y15:$AH15),0))</f>
        <v>0</v>
      </c>
      <c r="AB15" s="128">
        <f>IF('2024年-挂账付款'!$AX15&gt;=SUM('2024年-挂账付款'!Y15:$AH15),'2024年-挂账付款'!Y15,IF('2024年-挂账付款'!$AX15-SUM('2024年-挂账付款'!Z15:$AH15)&gt;0,'2024年-挂账付款'!$AX15-SUM('2024年-挂账付款'!Z15:$AH15),0))</f>
        <v>0</v>
      </c>
      <c r="AC15" s="128">
        <f>IF('2024年-挂账付款'!$AX15&gt;=SUM('2024年-挂账付款'!Z15:$AH15),'2024年-挂账付款'!Z15,IF('2024年-挂账付款'!$AX15-SUM('2024年-挂账付款'!AA15:$AH15)&gt;0,'2024年-挂账付款'!$AX15-SUM('2024年-挂账付款'!AA15:$AH15),0))</f>
        <v>0</v>
      </c>
      <c r="AD15" s="128">
        <f>IF('2024年-挂账付款'!$AX15&gt;=SUM('2024年-挂账付款'!AA15:$AH15),'2024年-挂账付款'!AA15,IF('2024年-挂账付款'!$AX15-SUM('2024年-挂账付款'!AB15:$AH15)&gt;0,'2024年-挂账付款'!$AX15-SUM('2024年-挂账付款'!AB15:$AH15),0))</f>
        <v>0</v>
      </c>
      <c r="AE15" s="128">
        <f>IF('2024年-挂账付款'!$AX15&gt;=SUM('2024年-挂账付款'!AB15:$AH15),'2024年-挂账付款'!AB15,IF('2024年-挂账付款'!$AX15-SUM('2024年-挂账付款'!AC15:$AH15)&gt;0,'2024年-挂账付款'!$AX15-SUM('2024年-挂账付款'!AC15:$AH15),0))</f>
        <v>0</v>
      </c>
      <c r="AF15" s="128">
        <f>IF('2024年-挂账付款'!$AX15&gt;=SUM('2024年-挂账付款'!AC15:$AH15),'2024年-挂账付款'!AC15,IF('2024年-挂账付款'!$AX15-SUM('2024年-挂账付款'!AD15:$AH15)&gt;0,'2024年-挂账付款'!$AX15-SUM('2024年-挂账付款'!AD15:$AH15),0))</f>
        <v>0</v>
      </c>
      <c r="AG15" s="128">
        <f>IF('2024年-挂账付款'!$AX15&gt;=SUM('2024年-挂账付款'!AD15:$AH15),'2024年-挂账付款'!AD15,IF('2024年-挂账付款'!$AX15-SUM('2024年-挂账付款'!AE15:$AH15)&gt;0,'2024年-挂账付款'!$AX15-SUM('2024年-挂账付款'!AE15:$AH15),0))</f>
        <v>0</v>
      </c>
      <c r="AH15" s="128">
        <f>IF('2024年-挂账付款'!$AX15&gt;=SUM('2024年-挂账付款'!AE15:$AH15),'2024年-挂账付款'!AE15,IF('2024年-挂账付款'!$AX15-SUM('2024年-挂账付款'!AF15:$AH15)&gt;0,'2024年-挂账付款'!$AX15-SUM('2024年-挂账付款'!AF15:$AH15),0))</f>
        <v>0</v>
      </c>
      <c r="AI15" s="128">
        <f>IF('2024年-挂账付款'!$AX15&gt;=SUM('2024年-挂账付款'!AF15:$AH15),'2024年-挂账付款'!AF15,IF('2024年-挂账付款'!$AX15-SUM('2024年-挂账付款'!AG15:$AH15)&gt;0,'2024年-挂账付款'!$AX15-SUM('2024年-挂账付款'!AG15:$AH15),0))</f>
        <v>0</v>
      </c>
      <c r="AJ15" s="128">
        <f>IF('2024年-挂账付款'!$AX15&gt;=SUM('2024年-挂账付款'!AG15:$AH15),'2024年-挂账付款'!AG15,IF('2024年-挂账付款'!$AX15-SUM('2024年-挂账付款'!AH15:$AH15)&gt;0,'2024年-挂账付款'!$AX15-SUM('2024年-挂账付款'!AH15:$AH15),0))</f>
        <v>0</v>
      </c>
      <c r="AK15" s="128">
        <f>IF('2024年-挂账付款'!$AX15&gt;=SUM('2024年-挂账付款'!AH15:$AH15),'2024年-挂账付款'!AH15,IF('2024年-挂账付款'!$AX15-SUM('2024年-挂账付款'!$AH15:AI15)&gt;0,'2024年-挂账付款'!$AX15-SUM('2024年-挂账付款'!$AH15:AI15),0))</f>
        <v>0</v>
      </c>
      <c r="AL15" s="177" t="s">
        <v>427</v>
      </c>
      <c r="AM15" s="175" t="s">
        <v>270</v>
      </c>
      <c r="AN15" s="176">
        <f t="shared" si="1"/>
        <v>2971.58666666667</v>
      </c>
      <c r="AO15" s="203"/>
      <c r="AP15" s="204"/>
      <c r="AQ15" s="205"/>
      <c r="AR15" s="206">
        <f>G15</f>
        <v>22286.9</v>
      </c>
      <c r="AS15" s="107" t="s">
        <v>477</v>
      </c>
    </row>
    <row r="16" s="107" customFormat="1" ht="18" customHeight="1" spans="1:44">
      <c r="A16" s="122"/>
      <c r="B16" s="139" t="s">
        <v>81</v>
      </c>
      <c r="C16" s="130" t="s">
        <v>97</v>
      </c>
      <c r="D16" s="130" t="s">
        <v>98</v>
      </c>
      <c r="E16" s="125">
        <v>60</v>
      </c>
      <c r="F16" s="126">
        <f t="shared" si="2"/>
        <v>18984</v>
      </c>
      <c r="G16" s="127">
        <f t="shared" si="0"/>
        <v>18984</v>
      </c>
      <c r="H16" s="128">
        <f>IF('2024年-挂账付款'!$AX16&gt;=SUM('2024年-挂账付款'!E16:$AH16),'2024年-挂账付款'!E16,IF('2024年-挂账付款'!$AX16-SUM('2024年-挂账付款'!F16:$AH16)&gt;0,'2024年-挂账付款'!$AX16-SUM('2024年-挂账付款'!F16:$AH16),0))</f>
        <v>0</v>
      </c>
      <c r="I16" s="128">
        <f>IF('2024年-挂账付款'!$AX16&gt;=SUM('2024年-挂账付款'!F16:$AH16),'2024年-挂账付款'!F16,IF('2024年-挂账付款'!$AX16-SUM('2024年-挂账付款'!G16:$AH16)&gt;0,'2024年-挂账付款'!$AX16-SUM('2024年-挂账付款'!G16:$AH16),0))</f>
        <v>0</v>
      </c>
      <c r="J16" s="128">
        <f>IF('2024年-挂账付款'!$AX16&gt;=SUM('2024年-挂账付款'!G16:$AH16),'2024年-挂账付款'!G16,IF('2024年-挂账付款'!$AX16-SUM('2024年-挂账付款'!H16:$AH16)&gt;0,'2024年-挂账付款'!$AX16-SUM('2024年-挂账付款'!H16:$AH16),0))</f>
        <v>0</v>
      </c>
      <c r="K16" s="128">
        <f>IF('2024年-挂账付款'!$AX16&gt;=SUM('2024年-挂账付款'!H16:$AH16),'2024年-挂账付款'!H16,IF('2024年-挂账付款'!$AX16-SUM('2024年-挂账付款'!I16:$AH16)&gt;0,'2024年-挂账付款'!$AX16-SUM('2024年-挂账付款'!I16:$AH16),0))</f>
        <v>0</v>
      </c>
      <c r="L16" s="128">
        <f>IF('2024年-挂账付款'!$AX16&gt;=SUM('2024年-挂账付款'!I16:$AH16),'2024年-挂账付款'!I16,IF('2024年-挂账付款'!$AX16-SUM('2024年-挂账付款'!J16:$AH16)&gt;0,'2024年-挂账付款'!$AX16-SUM('2024年-挂账付款'!J16:$AH16),0))</f>
        <v>0</v>
      </c>
      <c r="M16" s="128" t="str">
        <f>IF('2024年-挂账付款'!$AX16&gt;=SUM('2024年-挂账付款'!J16:$AH16),'2024年-挂账付款'!J16,IF('2024年-挂账付款'!$AX16-SUM('2024年-挂账付款'!K16:$AH16)&gt;0,'2024年-挂账付款'!$AX16-SUM('2024年-挂账付款'!K16:$AH16),0))</f>
        <v/>
      </c>
      <c r="N16" s="128">
        <f>IF('2024年-挂账付款'!$AX16&gt;=SUM('2024年-挂账付款'!K16:$AH16),'2024年-挂账付款'!K16,IF('2024年-挂账付款'!$AX16-SUM('2024年-挂账付款'!L16:$AH16)&gt;0,'2024年-挂账付款'!$AX16-SUM('2024年-挂账付款'!L16:$AH16),0))</f>
        <v>0</v>
      </c>
      <c r="O16" s="128">
        <f>IF('2024年-挂账付款'!$AX16&gt;=SUM('2024年-挂账付款'!L16:$AH16),'2024年-挂账付款'!L16,IF('2024年-挂账付款'!$AX16-SUM('2024年-挂账付款'!M16:$AH16)&gt;0,'2024年-挂账付款'!$AX16-SUM('2024年-挂账付款'!M16:$AH16),0))</f>
        <v>0</v>
      </c>
      <c r="P16" s="128">
        <f>IF('2024年-挂账付款'!$AX16&gt;=SUM('2024年-挂账付款'!M16:$AH16),'2024年-挂账付款'!M16,IF('2024年-挂账付款'!$AX16-SUM('2024年-挂账付款'!N16:$AH16)&gt;0,'2024年-挂账付款'!$AX16-SUM('2024年-挂账付款'!N16:$AH16),0))</f>
        <v>0</v>
      </c>
      <c r="Q16" s="128">
        <f>IF('2024年-挂账付款'!$AX16&gt;=SUM('2024年-挂账付款'!N16:$AH16),'2024年-挂账付款'!N16,IF('2024年-挂账付款'!$AX16-SUM('2024年-挂账付款'!O16:$AH16)&gt;0,'2024年-挂账付款'!$AX16-SUM('2024年-挂账付款'!O16:$AH16),0))</f>
        <v>0</v>
      </c>
      <c r="R16" s="128">
        <f>IF('2024年-挂账付款'!$AX16&gt;=SUM('2024年-挂账付款'!O16:$AH16),'2024年-挂账付款'!O16,IF('2024年-挂账付款'!$AX16-SUM('2024年-挂账付款'!P16:$AH16)&gt;0,'2024年-挂账付款'!$AX16-SUM('2024年-挂账付款'!P16:$AH16),0))</f>
        <v>0</v>
      </c>
      <c r="S16" s="128">
        <f>IF('2024年-挂账付款'!$AX16&gt;=SUM('2024年-挂账付款'!P16:$AH16),'2024年-挂账付款'!P16,IF('2024年-挂账付款'!$AX16-SUM('2024年-挂账付款'!Q16:$AH16)&gt;0,'2024年-挂账付款'!$AX16-SUM('2024年-挂账付款'!Q16:$AH16),0))</f>
        <v>0</v>
      </c>
      <c r="T16" s="128">
        <f>IF('2024年-挂账付款'!$AX16&gt;=SUM('2024年-挂账付款'!Q16:$AH16),'2024年-挂账付款'!Q16,IF('2024年-挂账付款'!$AX16-SUM('2024年-挂账付款'!R16:$AH16)&gt;0,'2024年-挂账付款'!$AX16-SUM('2024年-挂账付款'!R16:$AH16),0))</f>
        <v>1627.2</v>
      </c>
      <c r="U16" s="128">
        <f>IF('2024年-挂账付款'!$AX16&gt;=SUM('2024年-挂账付款'!R16:$AH16),'2024年-挂账付款'!R16,IF('2024年-挂账付款'!$AX16-SUM('2024年-挂账付款'!S16:$AH16)&gt;0,'2024年-挂账付款'!$AX16-SUM('2024年-挂账付款'!S16:$AH16),0))</f>
        <v>1627.2</v>
      </c>
      <c r="V16" s="128">
        <f>IF('2024年-挂账付款'!$AX16&gt;=SUM('2024年-挂账付款'!S16:$AH16),'2024年-挂账付款'!S16,IF('2024年-挂账付款'!$AX16-SUM('2024年-挂账付款'!T16:$AH16)&gt;0,'2024年-挂账付款'!$AX16-SUM('2024年-挂账付款'!T16:$AH16),0))</f>
        <v>0</v>
      </c>
      <c r="W16" s="128">
        <f>IF('2024年-挂账付款'!$AX16&gt;=SUM('2024年-挂账付款'!T16:$AH16),'2024年-挂账付款'!T16,IF('2024年-挂账付款'!$AX16-SUM('2024年-挂账付款'!U16:$AH16)&gt;0,'2024年-挂账付款'!$AX16-SUM('2024年-挂账付款'!U16:$AH16),0))</f>
        <v>5424</v>
      </c>
      <c r="X16" s="128">
        <f>IF('2024年-挂账付款'!$AX16&gt;=SUM('2024年-挂账付款'!U16:$AH16),'2024年-挂账付款'!U16,IF('2024年-挂账付款'!$AX16-SUM('2024年-挂账付款'!V16:$AH16)&gt;0,'2024年-挂账付款'!$AX16-SUM('2024年-挂账付款'!V16:$AH16),0))</f>
        <v>3796.8</v>
      </c>
      <c r="Y16" s="128">
        <f>IF('2024年-挂账付款'!$AX16&gt;=SUM('2024年-挂账付款'!V16:$AH16),'2024年-挂账付款'!V16,IF('2024年-挂账付款'!$AX16-SUM('2024年-挂账付款'!W16:$AH16)&gt;0,'2024年-挂账付款'!$AX16-SUM('2024年-挂账付款'!W16:$AH16),0))</f>
        <v>6508.8</v>
      </c>
      <c r="Z16" s="128">
        <f>IF('2024年-挂账付款'!$AX16&gt;=SUM('2024年-挂账付款'!W16:$AH16),'2024年-挂账付款'!W16,IF('2024年-挂账付款'!$AX16-SUM('2024年-挂账付款'!X16:$AH16)&gt;0,'2024年-挂账付款'!$AX16-SUM('2024年-挂账付款'!X16:$AH16),0))</f>
        <v>0</v>
      </c>
      <c r="AA16" s="167">
        <f>IF('2024年-挂账付款'!$AX16&gt;=SUM('2024年-挂账付款'!X16:$AH16),'2024年-挂账付款'!X16,IF('2024年-挂账付款'!$AX16-SUM('2024年-挂账付款'!Y16:$AH16)&gt;0,'2024年-挂账付款'!$AX16-SUM('2024年-挂账付款'!Y16:$AH16),0))</f>
        <v>0</v>
      </c>
      <c r="AB16" s="128">
        <f>IF('2024年-挂账付款'!$AX16&gt;=SUM('2024年-挂账付款'!Y16:$AH16),'2024年-挂账付款'!Y16,IF('2024年-挂账付款'!$AX16-SUM('2024年-挂账付款'!Z16:$AH16)&gt;0,'2024年-挂账付款'!$AX16-SUM('2024年-挂账付款'!Z16:$AH16),0))</f>
        <v>0</v>
      </c>
      <c r="AC16" s="128">
        <f>IF('2024年-挂账付款'!$AX16&gt;=SUM('2024年-挂账付款'!Z16:$AH16),'2024年-挂账付款'!Z16,IF('2024年-挂账付款'!$AX16-SUM('2024年-挂账付款'!AA16:$AH16)&gt;0,'2024年-挂账付款'!$AX16-SUM('2024年-挂账付款'!AA16:$AH16),0))</f>
        <v>0</v>
      </c>
      <c r="AD16" s="128">
        <f>IF('2024年-挂账付款'!$AX16&gt;=SUM('2024年-挂账付款'!AA16:$AH16),'2024年-挂账付款'!AA16,IF('2024年-挂账付款'!$AX16-SUM('2024年-挂账付款'!AB16:$AH16)&gt;0,'2024年-挂账付款'!$AX16-SUM('2024年-挂账付款'!AB16:$AH16),0))</f>
        <v>0</v>
      </c>
      <c r="AE16" s="128">
        <f>IF('2024年-挂账付款'!$AX16&gt;=SUM('2024年-挂账付款'!AB16:$AH16),'2024年-挂账付款'!AB16,IF('2024年-挂账付款'!$AX16-SUM('2024年-挂账付款'!AC16:$AH16)&gt;0,'2024年-挂账付款'!$AX16-SUM('2024年-挂账付款'!AC16:$AH16),0))</f>
        <v>0</v>
      </c>
      <c r="AF16" s="128">
        <f>IF('2024年-挂账付款'!$AX16&gt;=SUM('2024年-挂账付款'!AC16:$AH16),'2024年-挂账付款'!AC16,IF('2024年-挂账付款'!$AX16-SUM('2024年-挂账付款'!AD16:$AH16)&gt;0,'2024年-挂账付款'!$AX16-SUM('2024年-挂账付款'!AD16:$AH16),0))</f>
        <v>0</v>
      </c>
      <c r="AG16" s="128">
        <f>IF('2024年-挂账付款'!$AX16&gt;=SUM('2024年-挂账付款'!AD16:$AH16),'2024年-挂账付款'!AD16,IF('2024年-挂账付款'!$AX16-SUM('2024年-挂账付款'!AE16:$AH16)&gt;0,'2024年-挂账付款'!$AX16-SUM('2024年-挂账付款'!AE16:$AH16),0))</f>
        <v>0</v>
      </c>
      <c r="AH16" s="128">
        <f>IF('2024年-挂账付款'!$AX16&gt;=SUM('2024年-挂账付款'!AE16:$AH16),'2024年-挂账付款'!AE16,IF('2024年-挂账付款'!$AX16-SUM('2024年-挂账付款'!AF16:$AH16)&gt;0,'2024年-挂账付款'!$AX16-SUM('2024年-挂账付款'!AF16:$AH16),0))</f>
        <v>0</v>
      </c>
      <c r="AI16" s="128">
        <f>IF('2024年-挂账付款'!$AX16&gt;=SUM('2024年-挂账付款'!AF16:$AH16),'2024年-挂账付款'!AF16,IF('2024年-挂账付款'!$AX16-SUM('2024年-挂账付款'!AG16:$AH16)&gt;0,'2024年-挂账付款'!$AX16-SUM('2024年-挂账付款'!AG16:$AH16),0))</f>
        <v>0</v>
      </c>
      <c r="AJ16" s="128">
        <f>IF('2024年-挂账付款'!$AX16&gt;=SUM('2024年-挂账付款'!AG16:$AH16),'2024年-挂账付款'!AG16,IF('2024年-挂账付款'!$AX16-SUM('2024年-挂账付款'!AH16:$AH16)&gt;0,'2024年-挂账付款'!$AX16-SUM('2024年-挂账付款'!AH16:$AH16),0))</f>
        <v>0</v>
      </c>
      <c r="AK16" s="128">
        <f>IF('2024年-挂账付款'!$AX16&gt;=SUM('2024年-挂账付款'!AH16:$AH16),'2024年-挂账付款'!AH16,IF('2024年-挂账付款'!$AX16-SUM('2024年-挂账付款'!$AH16:AI16)&gt;0,'2024年-挂账付款'!$AX16-SUM('2024年-挂账付款'!$AH16:AI16),0))</f>
        <v>0</v>
      </c>
      <c r="AL16" s="177" t="s">
        <v>427</v>
      </c>
      <c r="AM16" s="181"/>
      <c r="AN16" s="176">
        <f t="shared" si="1"/>
        <v>2314.24</v>
      </c>
      <c r="AO16" s="203"/>
      <c r="AP16" s="204"/>
      <c r="AQ16" s="205"/>
      <c r="AR16" s="206">
        <f>F16</f>
        <v>18984</v>
      </c>
    </row>
    <row r="17" s="107" customFormat="1" ht="18" customHeight="1" spans="1:44">
      <c r="A17" s="122"/>
      <c r="B17" s="139" t="s">
        <v>81</v>
      </c>
      <c r="C17" s="130" t="s">
        <v>436</v>
      </c>
      <c r="D17" s="130" t="s">
        <v>437</v>
      </c>
      <c r="E17" s="125">
        <v>60</v>
      </c>
      <c r="F17" s="126">
        <f t="shared" si="2"/>
        <v>0</v>
      </c>
      <c r="G17" s="127" t="str">
        <f t="shared" si="0"/>
        <v>0</v>
      </c>
      <c r="H17" s="128">
        <f>IF('2024年-挂账付款'!$AX17&gt;=SUM('2024年-挂账付款'!E17:$AH17),'2024年-挂账付款'!E17,IF('2024年-挂账付款'!$AX17-SUM('2024年-挂账付款'!F17:$AH17)&gt;0,'2024年-挂账付款'!$AX17-SUM('2024年-挂账付款'!F17:$AH17),0))</f>
        <v>0</v>
      </c>
      <c r="I17" s="128">
        <f>IF('2024年-挂账付款'!$AX17&gt;=SUM('2024年-挂账付款'!F17:$AH17),'2024年-挂账付款'!F17,IF('2024年-挂账付款'!$AX17-SUM('2024年-挂账付款'!G17:$AH17)&gt;0,'2024年-挂账付款'!$AX17-SUM('2024年-挂账付款'!G17:$AH17),0))</f>
        <v>0</v>
      </c>
      <c r="J17" s="128">
        <f>IF('2024年-挂账付款'!$AX17&gt;=SUM('2024年-挂账付款'!G17:$AH17),'2024年-挂账付款'!G17,IF('2024年-挂账付款'!$AX17-SUM('2024年-挂账付款'!H17:$AH17)&gt;0,'2024年-挂账付款'!$AX17-SUM('2024年-挂账付款'!H17:$AH17),0))</f>
        <v>0</v>
      </c>
      <c r="K17" s="128">
        <f>IF('2024年-挂账付款'!$AX17&gt;=SUM('2024年-挂账付款'!H17:$AH17),'2024年-挂账付款'!H17,IF('2024年-挂账付款'!$AX17-SUM('2024年-挂账付款'!I17:$AH17)&gt;0,'2024年-挂账付款'!$AX17-SUM('2024年-挂账付款'!I17:$AH17),0))</f>
        <v>0</v>
      </c>
      <c r="L17" s="128">
        <f>IF('2024年-挂账付款'!$AX17&gt;=SUM('2024年-挂账付款'!I17:$AH17),'2024年-挂账付款'!I17,IF('2024年-挂账付款'!$AX17-SUM('2024年-挂账付款'!J17:$AH17)&gt;0,'2024年-挂账付款'!$AX17-SUM('2024年-挂账付款'!J17:$AH17),0))</f>
        <v>0</v>
      </c>
      <c r="M17" s="128" t="str">
        <f>IF('2024年-挂账付款'!$AX17&gt;=SUM('2024年-挂账付款'!J17:$AH17),'2024年-挂账付款'!J17,IF('2024年-挂账付款'!$AX17-SUM('2024年-挂账付款'!K17:$AH17)&gt;0,'2024年-挂账付款'!$AX17-SUM('2024年-挂账付款'!K17:$AH17),0))</f>
        <v/>
      </c>
      <c r="N17" s="128">
        <f>IF('2024年-挂账付款'!$AX17&gt;=SUM('2024年-挂账付款'!K17:$AH17),'2024年-挂账付款'!K17,IF('2024年-挂账付款'!$AX17-SUM('2024年-挂账付款'!L17:$AH17)&gt;0,'2024年-挂账付款'!$AX17-SUM('2024年-挂账付款'!L17:$AH17),0))</f>
        <v>0</v>
      </c>
      <c r="O17" s="128">
        <f>IF('2024年-挂账付款'!$AX17&gt;=SUM('2024年-挂账付款'!L17:$AH17),'2024年-挂账付款'!L17,IF('2024年-挂账付款'!$AX17-SUM('2024年-挂账付款'!M17:$AH17)&gt;0,'2024年-挂账付款'!$AX17-SUM('2024年-挂账付款'!M17:$AH17),0))</f>
        <v>0</v>
      </c>
      <c r="P17" s="128">
        <f>IF('2024年-挂账付款'!$AX17&gt;=SUM('2024年-挂账付款'!M17:$AH17),'2024年-挂账付款'!M17,IF('2024年-挂账付款'!$AX17-SUM('2024年-挂账付款'!N17:$AH17)&gt;0,'2024年-挂账付款'!$AX17-SUM('2024年-挂账付款'!N17:$AH17),0))</f>
        <v>0</v>
      </c>
      <c r="Q17" s="128">
        <f>IF('2024年-挂账付款'!$AX17&gt;=SUM('2024年-挂账付款'!N17:$AH17),'2024年-挂账付款'!N17,IF('2024年-挂账付款'!$AX17-SUM('2024年-挂账付款'!O17:$AH17)&gt;0,'2024年-挂账付款'!$AX17-SUM('2024年-挂账付款'!O17:$AH17),0))</f>
        <v>0</v>
      </c>
      <c r="R17" s="128">
        <f>IF('2024年-挂账付款'!$AX17&gt;=SUM('2024年-挂账付款'!O17:$AH17),'2024年-挂账付款'!O17,IF('2024年-挂账付款'!$AX17-SUM('2024年-挂账付款'!P17:$AH17)&gt;0,'2024年-挂账付款'!$AX17-SUM('2024年-挂账付款'!P17:$AH17),0))</f>
        <v>0</v>
      </c>
      <c r="S17" s="128">
        <f>IF('2024年-挂账付款'!$AX17&gt;=SUM('2024年-挂账付款'!P17:$AH17),'2024年-挂账付款'!P17,IF('2024年-挂账付款'!$AX17-SUM('2024年-挂账付款'!Q17:$AH17)&gt;0,'2024年-挂账付款'!$AX17-SUM('2024年-挂账付款'!Q17:$AH17),0))</f>
        <v>0</v>
      </c>
      <c r="T17" s="128">
        <f>IF('2024年-挂账付款'!$AX17&gt;=SUM('2024年-挂账付款'!Q17:$AH17),'2024年-挂账付款'!Q17,IF('2024年-挂账付款'!$AX17-SUM('2024年-挂账付款'!R17:$AH17)&gt;0,'2024年-挂账付款'!$AX17-SUM('2024年-挂账付款'!R17:$AH17),0))</f>
        <v>0</v>
      </c>
      <c r="U17" s="128">
        <f>IF('2024年-挂账付款'!$AX17&gt;=SUM('2024年-挂账付款'!R17:$AH17),'2024年-挂账付款'!R17,IF('2024年-挂账付款'!$AX17-SUM('2024年-挂账付款'!S17:$AH17)&gt;0,'2024年-挂账付款'!$AX17-SUM('2024年-挂账付款'!S17:$AH17),0))</f>
        <v>0</v>
      </c>
      <c r="V17" s="128">
        <f>IF('2024年-挂账付款'!$AX17&gt;=SUM('2024年-挂账付款'!S17:$AH17),'2024年-挂账付款'!S17,IF('2024年-挂账付款'!$AX17-SUM('2024年-挂账付款'!T17:$AH17)&gt;0,'2024年-挂账付款'!$AX17-SUM('2024年-挂账付款'!T17:$AH17),0))</f>
        <v>0</v>
      </c>
      <c r="W17" s="128">
        <f>IF('2024年-挂账付款'!$AX17&gt;=SUM('2024年-挂账付款'!T17:$AH17),'2024年-挂账付款'!T17,IF('2024年-挂账付款'!$AX17-SUM('2024年-挂账付款'!U17:$AH17)&gt;0,'2024年-挂账付款'!$AX17-SUM('2024年-挂账付款'!U17:$AH17),0))</f>
        <v>0</v>
      </c>
      <c r="X17" s="128">
        <f>IF('2024年-挂账付款'!$AX17&gt;=SUM('2024年-挂账付款'!U17:$AH17),'2024年-挂账付款'!U17,IF('2024年-挂账付款'!$AX17-SUM('2024年-挂账付款'!V17:$AH17)&gt;0,'2024年-挂账付款'!$AX17-SUM('2024年-挂账付款'!V17:$AH17),0))</f>
        <v>0</v>
      </c>
      <c r="Y17" s="128">
        <f>IF('2024年-挂账付款'!$AX17&gt;=SUM('2024年-挂账付款'!V17:$AH17),'2024年-挂账付款'!V17,IF('2024年-挂账付款'!$AX17-SUM('2024年-挂账付款'!W17:$AH17)&gt;0,'2024年-挂账付款'!$AX17-SUM('2024年-挂账付款'!W17:$AH17),0))</f>
        <v>0</v>
      </c>
      <c r="Z17" s="128">
        <f>IF('2024年-挂账付款'!$AX17&gt;=SUM('2024年-挂账付款'!W17:$AH17),'2024年-挂账付款'!W17,IF('2024年-挂账付款'!$AX17-SUM('2024年-挂账付款'!X17:$AH17)&gt;0,'2024年-挂账付款'!$AX17-SUM('2024年-挂账付款'!X17:$AH17),0))</f>
        <v>0</v>
      </c>
      <c r="AA17" s="167">
        <f>IF('2024年-挂账付款'!$AX17&gt;=SUM('2024年-挂账付款'!X17:$AH17),'2024年-挂账付款'!X17,IF('2024年-挂账付款'!$AX17-SUM('2024年-挂账付款'!Y17:$AH17)&gt;0,'2024年-挂账付款'!$AX17-SUM('2024年-挂账付款'!Y17:$AH17),0))</f>
        <v>0</v>
      </c>
      <c r="AB17" s="128">
        <f>IF('2024年-挂账付款'!$AX17&gt;=SUM('2024年-挂账付款'!Y17:$AH17),'2024年-挂账付款'!Y17,IF('2024年-挂账付款'!$AX17-SUM('2024年-挂账付款'!Z17:$AH17)&gt;0,'2024年-挂账付款'!$AX17-SUM('2024年-挂账付款'!Z17:$AH17),0))</f>
        <v>0</v>
      </c>
      <c r="AC17" s="128">
        <f>IF('2024年-挂账付款'!$AX17&gt;=SUM('2024年-挂账付款'!Z17:$AH17),'2024年-挂账付款'!Z17,IF('2024年-挂账付款'!$AX17-SUM('2024年-挂账付款'!AA17:$AH17)&gt;0,'2024年-挂账付款'!$AX17-SUM('2024年-挂账付款'!AA17:$AH17),0))</f>
        <v>0</v>
      </c>
      <c r="AD17" s="128">
        <f>IF('2024年-挂账付款'!$AX17&gt;=SUM('2024年-挂账付款'!AA17:$AH17),'2024年-挂账付款'!AA17,IF('2024年-挂账付款'!$AX17-SUM('2024年-挂账付款'!AB17:$AH17)&gt;0,'2024年-挂账付款'!$AX17-SUM('2024年-挂账付款'!AB17:$AH17),0))</f>
        <v>0</v>
      </c>
      <c r="AE17" s="128">
        <f>IF('2024年-挂账付款'!$AX17&gt;=SUM('2024年-挂账付款'!AB17:$AH17),'2024年-挂账付款'!AB17,IF('2024年-挂账付款'!$AX17-SUM('2024年-挂账付款'!AC17:$AH17)&gt;0,'2024年-挂账付款'!$AX17-SUM('2024年-挂账付款'!AC17:$AH17),0))</f>
        <v>0</v>
      </c>
      <c r="AF17" s="128">
        <f>IF('2024年-挂账付款'!$AX17&gt;=SUM('2024年-挂账付款'!AC17:$AH17),'2024年-挂账付款'!AC17,IF('2024年-挂账付款'!$AX17-SUM('2024年-挂账付款'!AD17:$AH17)&gt;0,'2024年-挂账付款'!$AX17-SUM('2024年-挂账付款'!AD17:$AH17),0))</f>
        <v>0</v>
      </c>
      <c r="AG17" s="128">
        <f>IF('2024年-挂账付款'!$AX17&gt;=SUM('2024年-挂账付款'!AD17:$AH17),'2024年-挂账付款'!AD17,IF('2024年-挂账付款'!$AX17-SUM('2024年-挂账付款'!AE17:$AH17)&gt;0,'2024年-挂账付款'!$AX17-SUM('2024年-挂账付款'!AE17:$AH17),0))</f>
        <v>0</v>
      </c>
      <c r="AH17" s="128">
        <f>IF('2024年-挂账付款'!$AX17&gt;=SUM('2024年-挂账付款'!AE17:$AH17),'2024年-挂账付款'!AE17,IF('2024年-挂账付款'!$AX17-SUM('2024年-挂账付款'!AF17:$AH17)&gt;0,'2024年-挂账付款'!$AX17-SUM('2024年-挂账付款'!AF17:$AH17),0))</f>
        <v>0</v>
      </c>
      <c r="AI17" s="128">
        <f>IF('2024年-挂账付款'!$AX17&gt;=SUM('2024年-挂账付款'!AF17:$AH17),'2024年-挂账付款'!AF17,IF('2024年-挂账付款'!$AX17-SUM('2024年-挂账付款'!AG17:$AH17)&gt;0,'2024年-挂账付款'!$AX17-SUM('2024年-挂账付款'!AG17:$AH17),0))</f>
        <v>0</v>
      </c>
      <c r="AJ17" s="128">
        <f>IF('2024年-挂账付款'!$AX17&gt;=SUM('2024年-挂账付款'!AG17:$AH17),'2024年-挂账付款'!AG17,IF('2024年-挂账付款'!$AX17-SUM('2024年-挂账付款'!AH17:$AH17)&gt;0,'2024年-挂账付款'!$AX17-SUM('2024年-挂账付款'!AH17:$AH17),0))</f>
        <v>0</v>
      </c>
      <c r="AK17" s="128">
        <f>IF('2024年-挂账付款'!$AX17&gt;=SUM('2024年-挂账付款'!AH17:$AH17),'2024年-挂账付款'!AH17,IF('2024年-挂账付款'!$AX17-SUM('2024年-挂账付款'!$AH17:AI17)&gt;0,'2024年-挂账付款'!$AX17-SUM('2024年-挂账付款'!$AH17:AI17),0))</f>
        <v>0</v>
      </c>
      <c r="AL17" s="182"/>
      <c r="AM17" s="183"/>
      <c r="AN17" s="176">
        <f t="shared" si="1"/>
        <v>0</v>
      </c>
      <c r="AO17" s="203"/>
      <c r="AP17" s="204"/>
      <c r="AQ17" s="205"/>
      <c r="AR17" s="206"/>
    </row>
    <row r="18" s="107" customFormat="1" ht="18" customHeight="1" spans="1:44">
      <c r="A18" s="122"/>
      <c r="B18" s="139" t="s">
        <v>81</v>
      </c>
      <c r="C18" s="130" t="s">
        <v>295</v>
      </c>
      <c r="D18" s="130" t="s">
        <v>296</v>
      </c>
      <c r="E18" s="125">
        <v>60</v>
      </c>
      <c r="F18" s="126">
        <f t="shared" si="2"/>
        <v>0</v>
      </c>
      <c r="G18" s="127" t="str">
        <f t="shared" si="0"/>
        <v>0</v>
      </c>
      <c r="H18" s="128" t="str">
        <f>IF('2024年-挂账付款'!$AX18&gt;=SUM('2024年-挂账付款'!E18:$AH18),'2024年-挂账付款'!E18,IF('2024年-挂账付款'!$AX18-SUM('2024年-挂账付款'!F18:$AH18)&gt;0,'2024年-挂账付款'!$AX18-SUM('2024年-挂账付款'!F18:$AH18),0))</f>
        <v/>
      </c>
      <c r="I18" s="128" t="str">
        <f>IF('2024年-挂账付款'!$AX18&gt;=SUM('2024年-挂账付款'!F18:$AH18),'2024年-挂账付款'!F18,IF('2024年-挂账付款'!$AX18-SUM('2024年-挂账付款'!G18:$AH18)&gt;0,'2024年-挂账付款'!$AX18-SUM('2024年-挂账付款'!G18:$AH18),0))</f>
        <v/>
      </c>
      <c r="J18" s="128" t="str">
        <f>IF('2024年-挂账付款'!$AX18&gt;=SUM('2024年-挂账付款'!G18:$AH18),'2024年-挂账付款'!G18,IF('2024年-挂账付款'!$AX18-SUM('2024年-挂账付款'!H18:$AH18)&gt;0,'2024年-挂账付款'!$AX18-SUM('2024年-挂账付款'!H18:$AH18),0))</f>
        <v/>
      </c>
      <c r="K18" s="128">
        <f>IF('2024年-挂账付款'!$AX18&gt;=SUM('2024年-挂账付款'!H18:$AH18),'2024年-挂账付款'!H18,IF('2024年-挂账付款'!$AX18-SUM('2024年-挂账付款'!I18:$AH18)&gt;0,'2024年-挂账付款'!$AX18-SUM('2024年-挂账付款'!I18:$AH18),0))</f>
        <v>0</v>
      </c>
      <c r="L18" s="128">
        <f>IF('2024年-挂账付款'!$AX18&gt;=SUM('2024年-挂账付款'!I18:$AH18),'2024年-挂账付款'!I18,IF('2024年-挂账付款'!$AX18-SUM('2024年-挂账付款'!J18:$AH18)&gt;0,'2024年-挂账付款'!$AX18-SUM('2024年-挂账付款'!J18:$AH18),0))</f>
        <v>0</v>
      </c>
      <c r="M18" s="128" t="str">
        <f>IF('2024年-挂账付款'!$AX18&gt;=SUM('2024年-挂账付款'!J18:$AH18),'2024年-挂账付款'!J18,IF('2024年-挂账付款'!$AX18-SUM('2024年-挂账付款'!K18:$AH18)&gt;0,'2024年-挂账付款'!$AX18-SUM('2024年-挂账付款'!K18:$AH18),0))</f>
        <v/>
      </c>
      <c r="N18" s="128">
        <f>IF('2024年-挂账付款'!$AX18&gt;=SUM('2024年-挂账付款'!K18:$AH18),'2024年-挂账付款'!K18,IF('2024年-挂账付款'!$AX18-SUM('2024年-挂账付款'!L18:$AH18)&gt;0,'2024年-挂账付款'!$AX18-SUM('2024年-挂账付款'!L18:$AH18),0))</f>
        <v>0</v>
      </c>
      <c r="O18" s="128">
        <f>IF('2024年-挂账付款'!$AX18&gt;=SUM('2024年-挂账付款'!L18:$AH18),'2024年-挂账付款'!L18,IF('2024年-挂账付款'!$AX18-SUM('2024年-挂账付款'!M18:$AH18)&gt;0,'2024年-挂账付款'!$AX18-SUM('2024年-挂账付款'!M18:$AH18),0))</f>
        <v>0</v>
      </c>
      <c r="P18" s="128">
        <f>IF('2024年-挂账付款'!$AX18&gt;=SUM('2024年-挂账付款'!M18:$AH18),'2024年-挂账付款'!M18,IF('2024年-挂账付款'!$AX18-SUM('2024年-挂账付款'!N18:$AH18)&gt;0,'2024年-挂账付款'!$AX18-SUM('2024年-挂账付款'!N18:$AH18),0))</f>
        <v>0</v>
      </c>
      <c r="Q18" s="128">
        <f>IF('2024年-挂账付款'!$AX18&gt;=SUM('2024年-挂账付款'!N18:$AH18),'2024年-挂账付款'!N18,IF('2024年-挂账付款'!$AX18-SUM('2024年-挂账付款'!O18:$AH18)&gt;0,'2024年-挂账付款'!$AX18-SUM('2024年-挂账付款'!O18:$AH18),0))</f>
        <v>0</v>
      </c>
      <c r="R18" s="128">
        <f>IF('2024年-挂账付款'!$AX18&gt;=SUM('2024年-挂账付款'!O18:$AH18),'2024年-挂账付款'!O18,IF('2024年-挂账付款'!$AX18-SUM('2024年-挂账付款'!P18:$AH18)&gt;0,'2024年-挂账付款'!$AX18-SUM('2024年-挂账付款'!P18:$AH18),0))</f>
        <v>0</v>
      </c>
      <c r="S18" s="128">
        <f>IF('2024年-挂账付款'!$AX18&gt;=SUM('2024年-挂账付款'!P18:$AH18),'2024年-挂账付款'!P18,IF('2024年-挂账付款'!$AX18-SUM('2024年-挂账付款'!Q18:$AH18)&gt;0,'2024年-挂账付款'!$AX18-SUM('2024年-挂账付款'!Q18:$AH18),0))</f>
        <v>0</v>
      </c>
      <c r="T18" s="128">
        <f>IF('2024年-挂账付款'!$AX18&gt;=SUM('2024年-挂账付款'!Q18:$AH18),'2024年-挂账付款'!Q18,IF('2024年-挂账付款'!$AX18-SUM('2024年-挂账付款'!R18:$AH18)&gt;0,'2024年-挂账付款'!$AX18-SUM('2024年-挂账付款'!R18:$AH18),0))</f>
        <v>0</v>
      </c>
      <c r="U18" s="128">
        <f>IF('2024年-挂账付款'!$AX18&gt;=SUM('2024年-挂账付款'!R18:$AH18),'2024年-挂账付款'!R18,IF('2024年-挂账付款'!$AX18-SUM('2024年-挂账付款'!S18:$AH18)&gt;0,'2024年-挂账付款'!$AX18-SUM('2024年-挂账付款'!S18:$AH18),0))</f>
        <v>0</v>
      </c>
      <c r="V18" s="128">
        <f>IF('2024年-挂账付款'!$AX18&gt;=SUM('2024年-挂账付款'!S18:$AH18),'2024年-挂账付款'!S18,IF('2024年-挂账付款'!$AX18-SUM('2024年-挂账付款'!T18:$AH18)&gt;0,'2024年-挂账付款'!$AX18-SUM('2024年-挂账付款'!T18:$AH18),0))</f>
        <v>0</v>
      </c>
      <c r="W18" s="128">
        <f>IF('2024年-挂账付款'!$AX18&gt;=SUM('2024年-挂账付款'!T18:$AH18),'2024年-挂账付款'!T18,IF('2024年-挂账付款'!$AX18-SUM('2024年-挂账付款'!U18:$AH18)&gt;0,'2024年-挂账付款'!$AX18-SUM('2024年-挂账付款'!U18:$AH18),0))</f>
        <v>0</v>
      </c>
      <c r="X18" s="128">
        <f>IF('2024年-挂账付款'!$AX18&gt;=SUM('2024年-挂账付款'!U18:$AH18),'2024年-挂账付款'!U18,IF('2024年-挂账付款'!$AX18-SUM('2024年-挂账付款'!V18:$AH18)&gt;0,'2024年-挂账付款'!$AX18-SUM('2024年-挂账付款'!V18:$AH18),0))</f>
        <v>0</v>
      </c>
      <c r="Y18" s="128">
        <f>IF('2024年-挂账付款'!$AX18&gt;=SUM('2024年-挂账付款'!V18:$AH18),'2024年-挂账付款'!V18,IF('2024年-挂账付款'!$AX18-SUM('2024年-挂账付款'!W18:$AH18)&gt;0,'2024年-挂账付款'!$AX18-SUM('2024年-挂账付款'!W18:$AH18),0))</f>
        <v>0</v>
      </c>
      <c r="Z18" s="128">
        <f>IF('2024年-挂账付款'!$AX18&gt;=SUM('2024年-挂账付款'!W18:$AH18),'2024年-挂账付款'!W18,IF('2024年-挂账付款'!$AX18-SUM('2024年-挂账付款'!X18:$AH18)&gt;0,'2024年-挂账付款'!$AX18-SUM('2024年-挂账付款'!X18:$AH18),0))</f>
        <v>0</v>
      </c>
      <c r="AA18" s="167">
        <f>IF('2024年-挂账付款'!$AX18&gt;=SUM('2024年-挂账付款'!X18:$AH18),'2024年-挂账付款'!X18,IF('2024年-挂账付款'!$AX18-SUM('2024年-挂账付款'!Y18:$AH18)&gt;0,'2024年-挂账付款'!$AX18-SUM('2024年-挂账付款'!Y18:$AH18),0))</f>
        <v>0</v>
      </c>
      <c r="AB18" s="128">
        <f>IF('2024年-挂账付款'!$AX18&gt;=SUM('2024年-挂账付款'!Y18:$AH18),'2024年-挂账付款'!Y18,IF('2024年-挂账付款'!$AX18-SUM('2024年-挂账付款'!Z18:$AH18)&gt;0,'2024年-挂账付款'!$AX18-SUM('2024年-挂账付款'!Z18:$AH18),0))</f>
        <v>0</v>
      </c>
      <c r="AC18" s="128">
        <f>IF('2024年-挂账付款'!$AX18&gt;=SUM('2024年-挂账付款'!Z18:$AH18),'2024年-挂账付款'!Z18,IF('2024年-挂账付款'!$AX18-SUM('2024年-挂账付款'!AA18:$AH18)&gt;0,'2024年-挂账付款'!$AX18-SUM('2024年-挂账付款'!AA18:$AH18),0))</f>
        <v>0</v>
      </c>
      <c r="AD18" s="128">
        <f>IF('2024年-挂账付款'!$AX18&gt;=SUM('2024年-挂账付款'!AA18:$AH18),'2024年-挂账付款'!AA18,IF('2024年-挂账付款'!$AX18-SUM('2024年-挂账付款'!AB18:$AH18)&gt;0,'2024年-挂账付款'!$AX18-SUM('2024年-挂账付款'!AB18:$AH18),0))</f>
        <v>0</v>
      </c>
      <c r="AE18" s="128">
        <f>IF('2024年-挂账付款'!$AX18&gt;=SUM('2024年-挂账付款'!AB18:$AH18),'2024年-挂账付款'!AB18,IF('2024年-挂账付款'!$AX18-SUM('2024年-挂账付款'!AC18:$AH18)&gt;0,'2024年-挂账付款'!$AX18-SUM('2024年-挂账付款'!AC18:$AH18),0))</f>
        <v>0</v>
      </c>
      <c r="AF18" s="128">
        <f>IF('2024年-挂账付款'!$AX18&gt;=SUM('2024年-挂账付款'!AC18:$AH18),'2024年-挂账付款'!AC18,IF('2024年-挂账付款'!$AX18-SUM('2024年-挂账付款'!AD18:$AH18)&gt;0,'2024年-挂账付款'!$AX18-SUM('2024年-挂账付款'!AD18:$AH18),0))</f>
        <v>0</v>
      </c>
      <c r="AG18" s="128">
        <f>IF('2024年-挂账付款'!$AX18&gt;=SUM('2024年-挂账付款'!AD18:$AH18),'2024年-挂账付款'!AD18,IF('2024年-挂账付款'!$AX18-SUM('2024年-挂账付款'!AE18:$AH18)&gt;0,'2024年-挂账付款'!$AX18-SUM('2024年-挂账付款'!AE18:$AH18),0))</f>
        <v>0</v>
      </c>
      <c r="AH18" s="128">
        <f>IF('2024年-挂账付款'!$AX18&gt;=SUM('2024年-挂账付款'!AE18:$AH18),'2024年-挂账付款'!AE18,IF('2024年-挂账付款'!$AX18-SUM('2024年-挂账付款'!AF18:$AH18)&gt;0,'2024年-挂账付款'!$AX18-SUM('2024年-挂账付款'!AF18:$AH18),0))</f>
        <v>0</v>
      </c>
      <c r="AI18" s="128">
        <f>IF('2024年-挂账付款'!$AX18&gt;=SUM('2024年-挂账付款'!AF18:$AH18),'2024年-挂账付款'!AF18,IF('2024年-挂账付款'!$AX18-SUM('2024年-挂账付款'!AG18:$AH18)&gt;0,'2024年-挂账付款'!$AX18-SUM('2024年-挂账付款'!AG18:$AH18),0))</f>
        <v>0</v>
      </c>
      <c r="AJ18" s="128">
        <f>IF('2024年-挂账付款'!$AX18&gt;=SUM('2024年-挂账付款'!AG18:$AH18),'2024年-挂账付款'!AG18,IF('2024年-挂账付款'!$AX18-SUM('2024年-挂账付款'!AH18:$AH18)&gt;0,'2024年-挂账付款'!$AX18-SUM('2024年-挂账付款'!AH18:$AH18),0))</f>
        <v>0</v>
      </c>
      <c r="AK18" s="128">
        <f>IF('2024年-挂账付款'!$AX18&gt;=SUM('2024年-挂账付款'!AH18:$AH18),'2024年-挂账付款'!AH18,IF('2024年-挂账付款'!$AX18-SUM('2024年-挂账付款'!$AH18:AI18)&gt;0,'2024年-挂账付款'!$AX18-SUM('2024年-挂账付款'!$AH18:AI18),0))</f>
        <v>0</v>
      </c>
      <c r="AL18" s="182"/>
      <c r="AM18" s="184"/>
      <c r="AN18" s="176">
        <f t="shared" si="1"/>
        <v>0</v>
      </c>
      <c r="AO18" s="203"/>
      <c r="AP18" s="204"/>
      <c r="AQ18" s="205"/>
      <c r="AR18" s="206"/>
    </row>
    <row r="19" s="107" customFormat="1" ht="18" customHeight="1" spans="1:44">
      <c r="A19" s="122"/>
      <c r="B19" s="139" t="s">
        <v>81</v>
      </c>
      <c r="C19" s="130" t="s">
        <v>318</v>
      </c>
      <c r="D19" s="130" t="s">
        <v>319</v>
      </c>
      <c r="E19" s="125">
        <v>60</v>
      </c>
      <c r="F19" s="126">
        <f t="shared" si="2"/>
        <v>0</v>
      </c>
      <c r="G19" s="127" t="str">
        <f t="shared" si="0"/>
        <v>0</v>
      </c>
      <c r="H19" s="128" t="str">
        <f>IF('2024年-挂账付款'!$AX19&gt;=SUM('2024年-挂账付款'!E19:$AH19),'2024年-挂账付款'!E19,IF('2024年-挂账付款'!$AX19-SUM('2024年-挂账付款'!F19:$AH19)&gt;0,'2024年-挂账付款'!$AX19-SUM('2024年-挂账付款'!F19:$AH19),0))</f>
        <v/>
      </c>
      <c r="I19" s="128" t="str">
        <f>IF('2024年-挂账付款'!$AX19&gt;=SUM('2024年-挂账付款'!F19:$AH19),'2024年-挂账付款'!F19,IF('2024年-挂账付款'!$AX19-SUM('2024年-挂账付款'!G19:$AH19)&gt;0,'2024年-挂账付款'!$AX19-SUM('2024年-挂账付款'!G19:$AH19),0))</f>
        <v/>
      </c>
      <c r="J19" s="128" t="str">
        <f>IF('2024年-挂账付款'!$AX19&gt;=SUM('2024年-挂账付款'!G19:$AH19),'2024年-挂账付款'!G19,IF('2024年-挂账付款'!$AX19-SUM('2024年-挂账付款'!H19:$AH19)&gt;0,'2024年-挂账付款'!$AX19-SUM('2024年-挂账付款'!H19:$AH19),0))</f>
        <v/>
      </c>
      <c r="K19" s="128">
        <f>IF('2024年-挂账付款'!$AX19&gt;=SUM('2024年-挂账付款'!H19:$AH19),'2024年-挂账付款'!H19,IF('2024年-挂账付款'!$AX19-SUM('2024年-挂账付款'!I19:$AH19)&gt;0,'2024年-挂账付款'!$AX19-SUM('2024年-挂账付款'!I19:$AH19),0))</f>
        <v>0</v>
      </c>
      <c r="L19" s="128">
        <f>IF('2024年-挂账付款'!$AX19&gt;=SUM('2024年-挂账付款'!I19:$AH19),'2024年-挂账付款'!I19,IF('2024年-挂账付款'!$AX19-SUM('2024年-挂账付款'!J19:$AH19)&gt;0,'2024年-挂账付款'!$AX19-SUM('2024年-挂账付款'!J19:$AH19),0))</f>
        <v>0</v>
      </c>
      <c r="M19" s="128" t="str">
        <f>IF('2024年-挂账付款'!$AX19&gt;=SUM('2024年-挂账付款'!J19:$AH19),'2024年-挂账付款'!J19,IF('2024年-挂账付款'!$AX19-SUM('2024年-挂账付款'!K19:$AH19)&gt;0,'2024年-挂账付款'!$AX19-SUM('2024年-挂账付款'!K19:$AH19),0))</f>
        <v/>
      </c>
      <c r="N19" s="128">
        <f>IF('2024年-挂账付款'!$AX19&gt;=SUM('2024年-挂账付款'!K19:$AH19),'2024年-挂账付款'!K19,IF('2024年-挂账付款'!$AX19-SUM('2024年-挂账付款'!L19:$AH19)&gt;0,'2024年-挂账付款'!$AX19-SUM('2024年-挂账付款'!L19:$AH19),0))</f>
        <v>0</v>
      </c>
      <c r="O19" s="128">
        <f>IF('2024年-挂账付款'!$AX19&gt;=SUM('2024年-挂账付款'!L19:$AH19),'2024年-挂账付款'!L19,IF('2024年-挂账付款'!$AX19-SUM('2024年-挂账付款'!M19:$AH19)&gt;0,'2024年-挂账付款'!$AX19-SUM('2024年-挂账付款'!M19:$AH19),0))</f>
        <v>0</v>
      </c>
      <c r="P19" s="128">
        <f>IF('2024年-挂账付款'!$AX19&gt;=SUM('2024年-挂账付款'!M19:$AH19),'2024年-挂账付款'!M19,IF('2024年-挂账付款'!$AX19-SUM('2024年-挂账付款'!N19:$AH19)&gt;0,'2024年-挂账付款'!$AX19-SUM('2024年-挂账付款'!N19:$AH19),0))</f>
        <v>0</v>
      </c>
      <c r="Q19" s="128">
        <f>IF('2024年-挂账付款'!$AX19&gt;=SUM('2024年-挂账付款'!N19:$AH19),'2024年-挂账付款'!N19,IF('2024年-挂账付款'!$AX19-SUM('2024年-挂账付款'!O19:$AH19)&gt;0,'2024年-挂账付款'!$AX19-SUM('2024年-挂账付款'!O19:$AH19),0))</f>
        <v>0</v>
      </c>
      <c r="R19" s="128">
        <f>IF('2024年-挂账付款'!$AX19&gt;=SUM('2024年-挂账付款'!O19:$AH19),'2024年-挂账付款'!O19,IF('2024年-挂账付款'!$AX19-SUM('2024年-挂账付款'!P19:$AH19)&gt;0,'2024年-挂账付款'!$AX19-SUM('2024年-挂账付款'!P19:$AH19),0))</f>
        <v>0</v>
      </c>
      <c r="S19" s="128">
        <f>IF('2024年-挂账付款'!$AX19&gt;=SUM('2024年-挂账付款'!P19:$AH19),'2024年-挂账付款'!P19,IF('2024年-挂账付款'!$AX19-SUM('2024年-挂账付款'!Q19:$AH19)&gt;0,'2024年-挂账付款'!$AX19-SUM('2024年-挂账付款'!Q19:$AH19),0))</f>
        <v>0</v>
      </c>
      <c r="T19" s="128">
        <f>IF('2024年-挂账付款'!$AX19&gt;=SUM('2024年-挂账付款'!Q19:$AH19),'2024年-挂账付款'!Q19,IF('2024年-挂账付款'!$AX19-SUM('2024年-挂账付款'!R19:$AH19)&gt;0,'2024年-挂账付款'!$AX19-SUM('2024年-挂账付款'!R19:$AH19),0))</f>
        <v>0</v>
      </c>
      <c r="U19" s="128">
        <f>IF('2024年-挂账付款'!$AX19&gt;=SUM('2024年-挂账付款'!R19:$AH19),'2024年-挂账付款'!R19,IF('2024年-挂账付款'!$AX19-SUM('2024年-挂账付款'!S19:$AH19)&gt;0,'2024年-挂账付款'!$AX19-SUM('2024年-挂账付款'!S19:$AH19),0))</f>
        <v>0</v>
      </c>
      <c r="V19" s="128">
        <f>IF('2024年-挂账付款'!$AX19&gt;=SUM('2024年-挂账付款'!S19:$AH19),'2024年-挂账付款'!S19,IF('2024年-挂账付款'!$AX19-SUM('2024年-挂账付款'!T19:$AH19)&gt;0,'2024年-挂账付款'!$AX19-SUM('2024年-挂账付款'!T19:$AH19),0))</f>
        <v>0</v>
      </c>
      <c r="W19" s="128">
        <f>IF('2024年-挂账付款'!$AX19&gt;=SUM('2024年-挂账付款'!T19:$AH19),'2024年-挂账付款'!T19,IF('2024年-挂账付款'!$AX19-SUM('2024年-挂账付款'!U19:$AH19)&gt;0,'2024年-挂账付款'!$AX19-SUM('2024年-挂账付款'!U19:$AH19),0))</f>
        <v>0</v>
      </c>
      <c r="X19" s="128">
        <f>IF('2024年-挂账付款'!$AX19&gt;=SUM('2024年-挂账付款'!U19:$AH19),'2024年-挂账付款'!U19,IF('2024年-挂账付款'!$AX19-SUM('2024年-挂账付款'!V19:$AH19)&gt;0,'2024年-挂账付款'!$AX19-SUM('2024年-挂账付款'!V19:$AH19),0))</f>
        <v>0</v>
      </c>
      <c r="Y19" s="128">
        <f>IF('2024年-挂账付款'!$AX19&gt;=SUM('2024年-挂账付款'!V19:$AH19),'2024年-挂账付款'!V19,IF('2024年-挂账付款'!$AX19-SUM('2024年-挂账付款'!W19:$AH19)&gt;0,'2024年-挂账付款'!$AX19-SUM('2024年-挂账付款'!W19:$AH19),0))</f>
        <v>0</v>
      </c>
      <c r="Z19" s="128">
        <f>IF('2024年-挂账付款'!$AX19&gt;=SUM('2024年-挂账付款'!W19:$AH19),'2024年-挂账付款'!W19,IF('2024年-挂账付款'!$AX19-SUM('2024年-挂账付款'!X19:$AH19)&gt;0,'2024年-挂账付款'!$AX19-SUM('2024年-挂账付款'!X19:$AH19),0))</f>
        <v>0</v>
      </c>
      <c r="AA19" s="167">
        <f>IF('2024年-挂账付款'!$AX19&gt;=SUM('2024年-挂账付款'!X19:$AH19),'2024年-挂账付款'!X19,IF('2024年-挂账付款'!$AX19-SUM('2024年-挂账付款'!Y19:$AH19)&gt;0,'2024年-挂账付款'!$AX19-SUM('2024年-挂账付款'!Y19:$AH19),0))</f>
        <v>0</v>
      </c>
      <c r="AB19" s="128">
        <f>IF('2024年-挂账付款'!$AX19&gt;=SUM('2024年-挂账付款'!Y19:$AH19),'2024年-挂账付款'!Y19,IF('2024年-挂账付款'!$AX19-SUM('2024年-挂账付款'!Z19:$AH19)&gt;0,'2024年-挂账付款'!$AX19-SUM('2024年-挂账付款'!Z19:$AH19),0))</f>
        <v>0</v>
      </c>
      <c r="AC19" s="128">
        <f>IF('2024年-挂账付款'!$AX19&gt;=SUM('2024年-挂账付款'!Z19:$AH19),'2024年-挂账付款'!Z19,IF('2024年-挂账付款'!$AX19-SUM('2024年-挂账付款'!AA19:$AH19)&gt;0,'2024年-挂账付款'!$AX19-SUM('2024年-挂账付款'!AA19:$AH19),0))</f>
        <v>0</v>
      </c>
      <c r="AD19" s="128">
        <f>IF('2024年-挂账付款'!$AX19&gt;=SUM('2024年-挂账付款'!AA19:$AH19),'2024年-挂账付款'!AA19,IF('2024年-挂账付款'!$AX19-SUM('2024年-挂账付款'!AB19:$AH19)&gt;0,'2024年-挂账付款'!$AX19-SUM('2024年-挂账付款'!AB19:$AH19),0))</f>
        <v>0</v>
      </c>
      <c r="AE19" s="128">
        <f>IF('2024年-挂账付款'!$AX19&gt;=SUM('2024年-挂账付款'!AB19:$AH19),'2024年-挂账付款'!AB19,IF('2024年-挂账付款'!$AX19-SUM('2024年-挂账付款'!AC19:$AH19)&gt;0,'2024年-挂账付款'!$AX19-SUM('2024年-挂账付款'!AC19:$AH19),0))</f>
        <v>0</v>
      </c>
      <c r="AF19" s="128">
        <f>IF('2024年-挂账付款'!$AX19&gt;=SUM('2024年-挂账付款'!AC19:$AH19),'2024年-挂账付款'!AC19,IF('2024年-挂账付款'!$AX19-SUM('2024年-挂账付款'!AD19:$AH19)&gt;0,'2024年-挂账付款'!$AX19-SUM('2024年-挂账付款'!AD19:$AH19),0))</f>
        <v>0</v>
      </c>
      <c r="AG19" s="128">
        <f>IF('2024年-挂账付款'!$AX19&gt;=SUM('2024年-挂账付款'!AD19:$AH19),'2024年-挂账付款'!AD19,IF('2024年-挂账付款'!$AX19-SUM('2024年-挂账付款'!AE19:$AH19)&gt;0,'2024年-挂账付款'!$AX19-SUM('2024年-挂账付款'!AE19:$AH19),0))</f>
        <v>0</v>
      </c>
      <c r="AH19" s="128">
        <f>IF('2024年-挂账付款'!$AX19&gt;=SUM('2024年-挂账付款'!AE19:$AH19),'2024年-挂账付款'!AE19,IF('2024年-挂账付款'!$AX19-SUM('2024年-挂账付款'!AF19:$AH19)&gt;0,'2024年-挂账付款'!$AX19-SUM('2024年-挂账付款'!AF19:$AH19),0))</f>
        <v>0</v>
      </c>
      <c r="AI19" s="128">
        <f>IF('2024年-挂账付款'!$AX19&gt;=SUM('2024年-挂账付款'!AF19:$AH19),'2024年-挂账付款'!AF19,IF('2024年-挂账付款'!$AX19-SUM('2024年-挂账付款'!AG19:$AH19)&gt;0,'2024年-挂账付款'!$AX19-SUM('2024年-挂账付款'!AG19:$AH19),0))</f>
        <v>0</v>
      </c>
      <c r="AJ19" s="128">
        <f>IF('2024年-挂账付款'!$AX19&gt;=SUM('2024年-挂账付款'!AG19:$AH19),'2024年-挂账付款'!AG19,IF('2024年-挂账付款'!$AX19-SUM('2024年-挂账付款'!AH19:$AH19)&gt;0,'2024年-挂账付款'!$AX19-SUM('2024年-挂账付款'!AH19:$AH19),0))</f>
        <v>0</v>
      </c>
      <c r="AK19" s="128">
        <f>IF('2024年-挂账付款'!$AX19&gt;=SUM('2024年-挂账付款'!AH19:$AH19),'2024年-挂账付款'!AH19,IF('2024年-挂账付款'!$AX19-SUM('2024年-挂账付款'!$AH19:AI19)&gt;0,'2024年-挂账付款'!$AX19-SUM('2024年-挂账付款'!$AH19:AI19),0))</f>
        <v>0</v>
      </c>
      <c r="AL19" s="182"/>
      <c r="AM19" s="183"/>
      <c r="AN19" s="176">
        <f t="shared" si="1"/>
        <v>0</v>
      </c>
      <c r="AO19" s="203"/>
      <c r="AP19" s="204"/>
      <c r="AQ19" s="205"/>
      <c r="AR19" s="206"/>
    </row>
    <row r="20" s="107" customFormat="1" ht="18" customHeight="1" spans="1:44">
      <c r="A20" s="122"/>
      <c r="B20" s="139" t="s">
        <v>81</v>
      </c>
      <c r="C20" s="130" t="s">
        <v>90</v>
      </c>
      <c r="D20" s="130" t="s">
        <v>91</v>
      </c>
      <c r="E20" s="125">
        <v>90</v>
      </c>
      <c r="F20" s="126">
        <f>IF(SUM(H20:Y20)&gt;0,SUM(H20:Y20),0)</f>
        <v>264557.84</v>
      </c>
      <c r="G20" s="127">
        <f t="shared" si="0"/>
        <v>264557.84</v>
      </c>
      <c r="H20" s="128">
        <f>IF('2024年-挂账付款'!$AX20&gt;=SUM('2024年-挂账付款'!E20:$AH20),'2024年-挂账付款'!E20,IF('2024年-挂账付款'!$AX20-SUM('2024年-挂账付款'!F20:$AH20)&gt;0,'2024年-挂账付款'!$AX20-SUM('2024年-挂账付款'!F20:$AH20),0))</f>
        <v>0</v>
      </c>
      <c r="I20" s="128">
        <f>IF('2024年-挂账付款'!$AX20&gt;=SUM('2024年-挂账付款'!F20:$AH20),'2024年-挂账付款'!F20,IF('2024年-挂账付款'!$AX20-SUM('2024年-挂账付款'!G20:$AH20)&gt;0,'2024年-挂账付款'!$AX20-SUM('2024年-挂账付款'!G20:$AH20),0))</f>
        <v>0</v>
      </c>
      <c r="J20" s="128">
        <f>IF('2024年-挂账付款'!$AX20&gt;=SUM('2024年-挂账付款'!G20:$AH20),'2024年-挂账付款'!G20,IF('2024年-挂账付款'!$AX20-SUM('2024年-挂账付款'!H20:$AH20)&gt;0,'2024年-挂账付款'!$AX20-SUM('2024年-挂账付款'!H20:$AH20),0))</f>
        <v>0</v>
      </c>
      <c r="K20" s="128">
        <f>IF('2024年-挂账付款'!$AX20&gt;=SUM('2024年-挂账付款'!H20:$AH20),'2024年-挂账付款'!H20,IF('2024年-挂账付款'!$AX20-SUM('2024年-挂账付款'!I20:$AH20)&gt;0,'2024年-挂账付款'!$AX20-SUM('2024年-挂账付款'!I20:$AH20),0))</f>
        <v>8535.99999999997</v>
      </c>
      <c r="L20" s="128">
        <f>IF('2024年-挂账付款'!$AX20&gt;=SUM('2024年-挂账付款'!I20:$AH20),'2024年-挂账付款'!I20,IF('2024年-挂账付款'!$AX20-SUM('2024年-挂账付款'!J20:$AH20)&gt;0,'2024年-挂账付款'!$AX20-SUM('2024年-挂账付款'!J20:$AH20),0))</f>
        <v>19097</v>
      </c>
      <c r="M20" s="128">
        <f>IF('2024年-挂账付款'!$AX20&gt;=SUM('2024年-挂账付款'!J20:$AH20),'2024年-挂账付款'!J20,IF('2024年-挂账付款'!$AX20-SUM('2024年-挂账付款'!K20:$AH20)&gt;0,'2024年-挂账付款'!$AX20-SUM('2024年-挂账付款'!K20:$AH20),0))</f>
        <v>0</v>
      </c>
      <c r="N20" s="128">
        <f>IF('2024年-挂账付款'!$AX20&gt;=SUM('2024年-挂账付款'!K20:$AH20),'2024年-挂账付款'!K20,IF('2024年-挂账付款'!$AX20-SUM('2024年-挂账付款'!L20:$AH20)&gt;0,'2024年-挂账付款'!$AX20-SUM('2024年-挂账付款'!L20:$AH20),0))</f>
        <v>49042</v>
      </c>
      <c r="O20" s="128">
        <f>IF('2024年-挂账付款'!$AX20&gt;=SUM('2024年-挂账付款'!L20:$AH20),'2024年-挂账付款'!L20,IF('2024年-挂账付款'!$AX20-SUM('2024年-挂账付款'!M20:$AH20)&gt;0,'2024年-挂账付款'!$AX20-SUM('2024年-挂账付款'!M20:$AH20),0))</f>
        <v>0</v>
      </c>
      <c r="P20" s="128">
        <f>IF('2024年-挂账付款'!$AX20&gt;=SUM('2024年-挂账付款'!M20:$AH20),'2024年-挂账付款'!M20,IF('2024年-挂账付款'!$AX20-SUM('2024年-挂账付款'!N20:$AH20)&gt;0,'2024年-挂账付款'!$AX20-SUM('2024年-挂账付款'!N20:$AH20),0))</f>
        <v>0</v>
      </c>
      <c r="Q20" s="128">
        <f>IF('2024年-挂账付款'!$AX20&gt;=SUM('2024年-挂账付款'!N20:$AH20),'2024年-挂账付款'!N20,IF('2024年-挂账付款'!$AX20-SUM('2024年-挂账付款'!O20:$AH20)&gt;0,'2024年-挂账付款'!$AX20-SUM('2024年-挂账付款'!O20:$AH20),0))</f>
        <v>0</v>
      </c>
      <c r="R20" s="128">
        <f>IF('2024年-挂账付款'!$AX20&gt;=SUM('2024年-挂账付款'!O20:$AH20),'2024年-挂账付款'!O20,IF('2024年-挂账付款'!$AX20-SUM('2024年-挂账付款'!P20:$AH20)&gt;0,'2024年-挂账付款'!$AX20-SUM('2024年-挂账付款'!P20:$AH20),0))</f>
        <v>21696</v>
      </c>
      <c r="S20" s="128">
        <f>IF('2024年-挂账付款'!$AX20&gt;=SUM('2024年-挂账付款'!P20:$AH20),'2024年-挂账付款'!P20,IF('2024年-挂账付款'!$AX20-SUM('2024年-挂账付款'!Q20:$AH20)&gt;0,'2024年-挂账付款'!$AX20-SUM('2024年-挂账付款'!Q20:$AH20),0))</f>
        <v>0</v>
      </c>
      <c r="T20" s="128">
        <f>IF('2024年-挂账付款'!$AX20&gt;=SUM('2024年-挂账付款'!Q20:$AH20),'2024年-挂账付款'!Q20,IF('2024年-挂账付款'!$AX20-SUM('2024年-挂账付款'!R20:$AH20)&gt;0,'2024年-挂账付款'!$AX20-SUM('2024年-挂账付款'!R20:$AH20),0))</f>
        <v>16272</v>
      </c>
      <c r="U20" s="128">
        <f>IF('2024年-挂账付款'!$AX20&gt;=SUM('2024年-挂账付款'!R20:$AH20),'2024年-挂账付款'!R20,IF('2024年-挂账付款'!$AX20-SUM('2024年-挂账付款'!S20:$AH20)&gt;0,'2024年-挂账付款'!$AX20-SUM('2024年-挂账付款'!S20:$AH20),0))</f>
        <v>0</v>
      </c>
      <c r="V20" s="128">
        <f>IF('2024年-挂账付款'!$AX20&gt;=SUM('2024年-挂账付款'!S20:$AH20),'2024年-挂账付款'!S20,IF('2024年-挂账付款'!$AX20-SUM('2024年-挂账付款'!T20:$AH20)&gt;0,'2024年-挂账付款'!$AX20-SUM('2024年-挂账付款'!T20:$AH20),0))</f>
        <v>0</v>
      </c>
      <c r="W20" s="128">
        <f>IF('2024年-挂账付款'!$AX20&gt;=SUM('2024年-挂账付款'!T20:$AH20),'2024年-挂账付款'!T20,IF('2024年-挂账付款'!$AX20-SUM('2024年-挂账付款'!U20:$AH20)&gt;0,'2024年-挂账付款'!$AX20-SUM('2024年-挂账付款'!U20:$AH20),0))</f>
        <v>0</v>
      </c>
      <c r="X20" s="128">
        <f>IF('2024年-挂账付款'!$AX20&gt;=SUM('2024年-挂账付款'!U20:$AH20),'2024年-挂账付款'!U20,IF('2024年-挂账付款'!$AX20-SUM('2024年-挂账付款'!V20:$AH20)&gt;0,'2024年-挂账付款'!$AX20-SUM('2024年-挂账付款'!V20:$AH20),0))</f>
        <v>0</v>
      </c>
      <c r="Y20" s="128">
        <f>IF('2024年-挂账付款'!$AX20&gt;=SUM('2024年-挂账付款'!V20:$AH20),'2024年-挂账付款'!V20,IF('2024年-挂账付款'!$AX20-SUM('2024年-挂账付款'!W20:$AH20)&gt;0,'2024年-挂账付款'!$AX20-SUM('2024年-挂账付款'!W20:$AH20),0))</f>
        <v>149914.84</v>
      </c>
      <c r="Z20" s="128">
        <f>IF('2024年-挂账付款'!$AX20&gt;=SUM('2024年-挂账付款'!W20:$AH20),'2024年-挂账付款'!W20,IF('2024年-挂账付款'!$AX20-SUM('2024年-挂账付款'!X20:$AH20)&gt;0,'2024年-挂账付款'!$AX20-SUM('2024年-挂账付款'!X20:$AH20),0))</f>
        <v>0</v>
      </c>
      <c r="AA20" s="167">
        <f>IF('2024年-挂账付款'!$AX20&gt;=SUM('2024年-挂账付款'!X20:$AH20),'2024年-挂账付款'!X20,IF('2024年-挂账付款'!$AX20-SUM('2024年-挂账付款'!Y20:$AH20)&gt;0,'2024年-挂账付款'!$AX20-SUM('2024年-挂账付款'!Y20:$AH20),0))</f>
        <v>0</v>
      </c>
      <c r="AB20" s="128">
        <f>IF('2024年-挂账付款'!$AX20&gt;=SUM('2024年-挂账付款'!Y20:$AH20),'2024年-挂账付款'!Y20,IF('2024年-挂账付款'!$AX20-SUM('2024年-挂账付款'!Z20:$AH20)&gt;0,'2024年-挂账付款'!$AX20-SUM('2024年-挂账付款'!Z20:$AH20),0))</f>
        <v>0</v>
      </c>
      <c r="AC20" s="128">
        <f>IF('2024年-挂账付款'!$AX20&gt;=SUM('2024年-挂账付款'!Z20:$AH20),'2024年-挂账付款'!Z20,IF('2024年-挂账付款'!$AX20-SUM('2024年-挂账付款'!AA20:$AH20)&gt;0,'2024年-挂账付款'!$AX20-SUM('2024年-挂账付款'!AA20:$AH20),0))</f>
        <v>0</v>
      </c>
      <c r="AD20" s="128">
        <f>IF('2024年-挂账付款'!$AX20&gt;=SUM('2024年-挂账付款'!AA20:$AH20),'2024年-挂账付款'!AA20,IF('2024年-挂账付款'!$AX20-SUM('2024年-挂账付款'!AB20:$AH20)&gt;0,'2024年-挂账付款'!$AX20-SUM('2024年-挂账付款'!AB20:$AH20),0))</f>
        <v>0</v>
      </c>
      <c r="AE20" s="128">
        <f>IF('2024年-挂账付款'!$AX20&gt;=SUM('2024年-挂账付款'!AB20:$AH20),'2024年-挂账付款'!AB20,IF('2024年-挂账付款'!$AX20-SUM('2024年-挂账付款'!AC20:$AH20)&gt;0,'2024年-挂账付款'!$AX20-SUM('2024年-挂账付款'!AC20:$AH20),0))</f>
        <v>0</v>
      </c>
      <c r="AF20" s="128">
        <f>IF('2024年-挂账付款'!$AX20&gt;=SUM('2024年-挂账付款'!AC20:$AH20),'2024年-挂账付款'!AC20,IF('2024年-挂账付款'!$AX20-SUM('2024年-挂账付款'!AD20:$AH20)&gt;0,'2024年-挂账付款'!$AX20-SUM('2024年-挂账付款'!AD20:$AH20),0))</f>
        <v>0</v>
      </c>
      <c r="AG20" s="128">
        <f>IF('2024年-挂账付款'!$AX20&gt;=SUM('2024年-挂账付款'!AD20:$AH20),'2024年-挂账付款'!AD20,IF('2024年-挂账付款'!$AX20-SUM('2024年-挂账付款'!AE20:$AH20)&gt;0,'2024年-挂账付款'!$AX20-SUM('2024年-挂账付款'!AE20:$AH20),0))</f>
        <v>0</v>
      </c>
      <c r="AH20" s="128">
        <f>IF('2024年-挂账付款'!$AX20&gt;=SUM('2024年-挂账付款'!AE20:$AH20),'2024年-挂账付款'!AE20,IF('2024年-挂账付款'!$AX20-SUM('2024年-挂账付款'!AF20:$AH20)&gt;0,'2024年-挂账付款'!$AX20-SUM('2024年-挂账付款'!AF20:$AH20),0))</f>
        <v>0</v>
      </c>
      <c r="AI20" s="128">
        <f>IF('2024年-挂账付款'!$AX20&gt;=SUM('2024年-挂账付款'!AF20:$AH20),'2024年-挂账付款'!AF20,IF('2024年-挂账付款'!$AX20-SUM('2024年-挂账付款'!AG20:$AH20)&gt;0,'2024年-挂账付款'!$AX20-SUM('2024年-挂账付款'!AG20:$AH20),0))</f>
        <v>0</v>
      </c>
      <c r="AJ20" s="128">
        <f>IF('2024年-挂账付款'!$AX20&gt;=SUM('2024年-挂账付款'!AG20:$AH20),'2024年-挂账付款'!AG20,IF('2024年-挂账付款'!$AX20-SUM('2024年-挂账付款'!AH20:$AH20)&gt;0,'2024年-挂账付款'!$AX20-SUM('2024年-挂账付款'!AH20:$AH20),0))</f>
        <v>0</v>
      </c>
      <c r="AK20" s="128">
        <f>IF('2024年-挂账付款'!$AX20&gt;=SUM('2024年-挂账付款'!AH20:$AH20),'2024年-挂账付款'!AH20,IF('2024年-挂账付款'!$AX20-SUM('2024年-挂账付款'!$AH20:AI20)&gt;0,'2024年-挂账付款'!$AX20-SUM('2024年-挂账付款'!$AH20:AI20),0))</f>
        <v>0</v>
      </c>
      <c r="AL20" s="182" t="s">
        <v>426</v>
      </c>
      <c r="AM20" s="183"/>
      <c r="AN20" s="176">
        <f t="shared" si="1"/>
        <v>19988.6453333333</v>
      </c>
      <c r="AO20" s="203"/>
      <c r="AP20" s="204"/>
      <c r="AQ20" s="205"/>
      <c r="AR20" s="206">
        <v>20000</v>
      </c>
    </row>
    <row r="21" s="108" customFormat="1" ht="18" customHeight="1" spans="1:44">
      <c r="A21" s="132"/>
      <c r="B21" s="133" t="s">
        <v>81</v>
      </c>
      <c r="C21" s="134" t="s">
        <v>92</v>
      </c>
      <c r="D21" s="134" t="s">
        <v>93</v>
      </c>
      <c r="E21" s="140">
        <v>90</v>
      </c>
      <c r="F21" s="136">
        <f t="shared" ref="F21:F62" si="3">IF(SUM(H21:Y21)&gt;0,SUM(H21:Y21),0)</f>
        <v>31962.54</v>
      </c>
      <c r="G21" s="137">
        <f t="shared" si="0"/>
        <v>31962.54</v>
      </c>
      <c r="H21" s="138">
        <f>IF('2024年-挂账付款'!$AX21&gt;=SUM('2024年-挂账付款'!E21:$AH21),'2024年-挂账付款'!E21,IF('2024年-挂账付款'!$AX21-SUM('2024年-挂账付款'!F21:$AH21)&gt;0,'2024年-挂账付款'!$AX21-SUM('2024年-挂账付款'!F21:$AH21),0))</f>
        <v>0</v>
      </c>
      <c r="I21" s="138">
        <f>IF('2024年-挂账付款'!$AX21&gt;=SUM('2024年-挂账付款'!F21:$AH21),'2024年-挂账付款'!F21,IF('2024年-挂账付款'!$AX21-SUM('2024年-挂账付款'!G21:$AH21)&gt;0,'2024年-挂账付款'!$AX21-SUM('2024年-挂账付款'!G21:$AH21),0))</f>
        <v>0</v>
      </c>
      <c r="J21" s="138">
        <f>IF('2024年-挂账付款'!$AX21&gt;=SUM('2024年-挂账付款'!G21:$AH21),'2024年-挂账付款'!G21,IF('2024年-挂账付款'!$AX21-SUM('2024年-挂账付款'!H21:$AH21)&gt;0,'2024年-挂账付款'!$AX21-SUM('2024年-挂账付款'!H21:$AH21),0))</f>
        <v>0</v>
      </c>
      <c r="K21" s="138">
        <f>IF('2024年-挂账付款'!$AX21&gt;=SUM('2024年-挂账付款'!H21:$AH21),'2024年-挂账付款'!H21,IF('2024年-挂账付款'!$AX21-SUM('2024年-挂账付款'!I21:$AH21)&gt;0,'2024年-挂账付款'!$AX21-SUM('2024年-挂账付款'!I21:$AH21),0))</f>
        <v>0</v>
      </c>
      <c r="L21" s="138">
        <f>IF('2024年-挂账付款'!$AX21&gt;=SUM('2024年-挂账付款'!I21:$AH21),'2024年-挂账付款'!I21,IF('2024年-挂账付款'!$AX21-SUM('2024年-挂账付款'!J21:$AH21)&gt;0,'2024年-挂账付款'!$AX21-SUM('2024年-挂账付款'!J21:$AH21),0))</f>
        <v>0</v>
      </c>
      <c r="M21" s="138">
        <f>IF('2024年-挂账付款'!$AX21&gt;=SUM('2024年-挂账付款'!J21:$AH21),'2024年-挂账付款'!J21,IF('2024年-挂账付款'!$AX21-SUM('2024年-挂账付款'!K21:$AH21)&gt;0,'2024年-挂账付款'!$AX21-SUM('2024年-挂账付款'!K21:$AH21),0))</f>
        <v>0</v>
      </c>
      <c r="N21" s="138">
        <f>IF('2024年-挂账付款'!$AX21&gt;=SUM('2024年-挂账付款'!K21:$AH21),'2024年-挂账付款'!K21,IF('2024年-挂账付款'!$AX21-SUM('2024年-挂账付款'!L21:$AH21)&gt;0,'2024年-挂账付款'!$AX21-SUM('2024年-挂账付款'!L21:$AH21),0))</f>
        <v>0</v>
      </c>
      <c r="O21" s="138">
        <f>IF('2024年-挂账付款'!$AX21&gt;=SUM('2024年-挂账付款'!L21:$AH21),'2024年-挂账付款'!L21,IF('2024年-挂账付款'!$AX21-SUM('2024年-挂账付款'!M21:$AH21)&gt;0,'2024年-挂账付款'!$AX21-SUM('2024年-挂账付款'!M21:$AH21),0))</f>
        <v>0</v>
      </c>
      <c r="P21" s="138">
        <f>IF('2024年-挂账付款'!$AX21&gt;=SUM('2024年-挂账付款'!M21:$AH21),'2024年-挂账付款'!M21,IF('2024年-挂账付款'!$AX21-SUM('2024年-挂账付款'!N21:$AH21)&gt;0,'2024年-挂账付款'!$AX21-SUM('2024年-挂账付款'!N21:$AH21),0))</f>
        <v>0</v>
      </c>
      <c r="Q21" s="138">
        <f>IF('2024年-挂账付款'!$AX21&gt;=SUM('2024年-挂账付款'!N21:$AH21),'2024年-挂账付款'!N21,IF('2024年-挂账付款'!$AX21-SUM('2024年-挂账付款'!O21:$AH21)&gt;0,'2024年-挂账付款'!$AX21-SUM('2024年-挂账付款'!O21:$AH21),0))</f>
        <v>0</v>
      </c>
      <c r="R21" s="138">
        <f>IF('2024年-挂账付款'!$AX21&gt;=SUM('2024年-挂账付款'!O21:$AH21),'2024年-挂账付款'!O21,IF('2024年-挂账付款'!$AX21-SUM('2024年-挂账付款'!P21:$AH21)&gt;0,'2024年-挂账付款'!$AX21-SUM('2024年-挂账付款'!P21:$AH21),0))</f>
        <v>0</v>
      </c>
      <c r="S21" s="138">
        <f>IF('2024年-挂账付款'!$AX21&gt;=SUM('2024年-挂账付款'!P21:$AH21),'2024年-挂账付款'!P21,IF('2024年-挂账付款'!$AX21-SUM('2024年-挂账付款'!Q21:$AH21)&gt;0,'2024年-挂账付款'!$AX21-SUM('2024年-挂账付款'!Q21:$AH21),0))</f>
        <v>11764.92</v>
      </c>
      <c r="T21" s="138">
        <f>IF('2024年-挂账付款'!$AX21&gt;=SUM('2024年-挂账付款'!Q21:$AH21),'2024年-挂账付款'!Q21,IF('2024年-挂账付款'!$AX21-SUM('2024年-挂账付款'!R21:$AH21)&gt;0,'2024年-挂账付款'!$AX21-SUM('2024年-挂账付款'!R21:$AH21),0))</f>
        <v>12265.02</v>
      </c>
      <c r="U21" s="138">
        <f>IF('2024年-挂账付款'!$AX21&gt;=SUM('2024年-挂账付款'!R21:$AH21),'2024年-挂账付款'!R21,IF('2024年-挂账付款'!$AX21-SUM('2024年-挂账付款'!S21:$AH21)&gt;0,'2024年-挂账付款'!$AX21-SUM('2024年-挂账付款'!S21:$AH21),0))</f>
        <v>442.96</v>
      </c>
      <c r="V21" s="138">
        <f>IF('2024年-挂账付款'!$AX21&gt;=SUM('2024年-挂账付款'!S21:$AH21),'2024年-挂账付款'!S21,IF('2024年-挂账付款'!$AX21-SUM('2024年-挂账付款'!T21:$AH21)&gt;0,'2024年-挂账付款'!$AX21-SUM('2024年-挂账付款'!T21:$AH21),0))</f>
        <v>0</v>
      </c>
      <c r="W21" s="138">
        <f>IF('2024年-挂账付款'!$AX21&gt;=SUM('2024年-挂账付款'!T21:$AH21),'2024年-挂账付款'!T21,IF('2024年-挂账付款'!$AX21-SUM('2024年-挂账付款'!U21:$AH21)&gt;0,'2024年-挂账付款'!$AX21-SUM('2024年-挂账付款'!U21:$AH21),0))</f>
        <v>7268.16</v>
      </c>
      <c r="X21" s="138">
        <f>IF('2024年-挂账付款'!$AX21&gt;=SUM('2024年-挂账付款'!U21:$AH21),'2024年-挂账付款'!U21,IF('2024年-挂账付款'!$AX21-SUM('2024年-挂账付款'!V21:$AH21)&gt;0,'2024年-挂账付款'!$AX21-SUM('2024年-挂账付款'!V21:$AH21),0))</f>
        <v>221.48</v>
      </c>
      <c r="Y21" s="138">
        <f>IF('2024年-挂账付款'!$AX21&gt;=SUM('2024年-挂账付款'!V21:$AH21),'2024年-挂账付款'!V21,IF('2024年-挂账付款'!$AX21-SUM('2024年-挂账付款'!W21:$AH21)&gt;0,'2024年-挂账付款'!$AX21-SUM('2024年-挂账付款'!W21:$AH21),0))</f>
        <v>0</v>
      </c>
      <c r="Z21" s="138">
        <f>IF('2024年-挂账付款'!$AX21&gt;=SUM('2024年-挂账付款'!W21:$AH21),'2024年-挂账付款'!W21,IF('2024年-挂账付款'!$AX21-SUM('2024年-挂账付款'!X21:$AH21)&gt;0,'2024年-挂账付款'!$AX21-SUM('2024年-挂账付款'!X21:$AH21),0))</f>
        <v>0</v>
      </c>
      <c r="AA21" s="168">
        <f>IF('2024年-挂账付款'!$AX21&gt;=SUM('2024年-挂账付款'!X21:$AH21),'2024年-挂账付款'!X21,IF('2024年-挂账付款'!$AX21-SUM('2024年-挂账付款'!Y21:$AH21)&gt;0,'2024年-挂账付款'!$AX21-SUM('2024年-挂账付款'!Y21:$AH21),0))</f>
        <v>0</v>
      </c>
      <c r="AB21" s="138">
        <f>IF('2024年-挂账付款'!$AX21&gt;=SUM('2024年-挂账付款'!Y21:$AH21),'2024年-挂账付款'!Y21,IF('2024年-挂账付款'!$AX21-SUM('2024年-挂账付款'!Z21:$AH21)&gt;0,'2024年-挂账付款'!$AX21-SUM('2024年-挂账付款'!Z21:$AH21),0))</f>
        <v>0</v>
      </c>
      <c r="AC21" s="138">
        <f>IF('2024年-挂账付款'!$AX21&gt;=SUM('2024年-挂账付款'!Z21:$AH21),'2024年-挂账付款'!Z21,IF('2024年-挂账付款'!$AX21-SUM('2024年-挂账付款'!AA21:$AH21)&gt;0,'2024年-挂账付款'!$AX21-SUM('2024年-挂账付款'!AA21:$AH21),0))</f>
        <v>0</v>
      </c>
      <c r="AD21" s="138">
        <f>IF('2024年-挂账付款'!$AX21&gt;=SUM('2024年-挂账付款'!AA21:$AH21),'2024年-挂账付款'!AA21,IF('2024年-挂账付款'!$AX21-SUM('2024年-挂账付款'!AB21:$AH21)&gt;0,'2024年-挂账付款'!$AX21-SUM('2024年-挂账付款'!AB21:$AH21),0))</f>
        <v>0</v>
      </c>
      <c r="AE21" s="138">
        <f>IF('2024年-挂账付款'!$AX21&gt;=SUM('2024年-挂账付款'!AB21:$AH21),'2024年-挂账付款'!AB21,IF('2024年-挂账付款'!$AX21-SUM('2024年-挂账付款'!AC21:$AH21)&gt;0,'2024年-挂账付款'!$AX21-SUM('2024年-挂账付款'!AC21:$AH21),0))</f>
        <v>0</v>
      </c>
      <c r="AF21" s="138">
        <f>IF('2024年-挂账付款'!$AX21&gt;=SUM('2024年-挂账付款'!AC21:$AH21),'2024年-挂账付款'!AC21,IF('2024年-挂账付款'!$AX21-SUM('2024年-挂账付款'!AD21:$AH21)&gt;0,'2024年-挂账付款'!$AX21-SUM('2024年-挂账付款'!AD21:$AH21),0))</f>
        <v>0</v>
      </c>
      <c r="AG21" s="138">
        <f>IF('2024年-挂账付款'!$AX21&gt;=SUM('2024年-挂账付款'!AD21:$AH21),'2024年-挂账付款'!AD21,IF('2024年-挂账付款'!$AX21-SUM('2024年-挂账付款'!AE21:$AH21)&gt;0,'2024年-挂账付款'!$AX21-SUM('2024年-挂账付款'!AE21:$AH21),0))</f>
        <v>0</v>
      </c>
      <c r="AH21" s="138">
        <f>IF('2024年-挂账付款'!$AX21&gt;=SUM('2024年-挂账付款'!AE21:$AH21),'2024年-挂账付款'!AE21,IF('2024年-挂账付款'!$AX21-SUM('2024年-挂账付款'!AF21:$AH21)&gt;0,'2024年-挂账付款'!$AX21-SUM('2024年-挂账付款'!AF21:$AH21),0))</f>
        <v>0</v>
      </c>
      <c r="AI21" s="138">
        <f>IF('2024年-挂账付款'!$AX21&gt;=SUM('2024年-挂账付款'!AF21:$AH21),'2024年-挂账付款'!AF21,IF('2024年-挂账付款'!$AX21-SUM('2024年-挂账付款'!AG21:$AH21)&gt;0,'2024年-挂账付款'!$AX21-SUM('2024年-挂账付款'!AG21:$AH21),0))</f>
        <v>0</v>
      </c>
      <c r="AJ21" s="138">
        <f>IF('2024年-挂账付款'!$AX21&gt;=SUM('2024年-挂账付款'!AG21:$AH21),'2024年-挂账付款'!AG21,IF('2024年-挂账付款'!$AX21-SUM('2024年-挂账付款'!AH21:$AH21)&gt;0,'2024年-挂账付款'!$AX21-SUM('2024年-挂账付款'!AH21:$AH21),0))</f>
        <v>0</v>
      </c>
      <c r="AK21" s="138">
        <f>IF('2024年-挂账付款'!$AX21&gt;=SUM('2024年-挂账付款'!AH21:$AH21),'2024年-挂账付款'!AH21,IF('2024年-挂账付款'!$AX21-SUM('2024年-挂账付款'!$AH21:AI21)&gt;0,'2024年-挂账付款'!$AX21-SUM('2024年-挂账付款'!$AH21:AI21),0))</f>
        <v>0</v>
      </c>
      <c r="AL21" s="185" t="s">
        <v>426</v>
      </c>
      <c r="AM21" s="186"/>
      <c r="AN21" s="180">
        <f t="shared" si="1"/>
        <v>1057.68</v>
      </c>
      <c r="AO21" s="207">
        <f>G21</f>
        <v>31962.54</v>
      </c>
      <c r="AP21" s="208" t="s">
        <v>478</v>
      </c>
      <c r="AQ21" s="205"/>
      <c r="AR21" s="206">
        <v>22000</v>
      </c>
    </row>
    <row r="22" s="108" customFormat="1" ht="18" customHeight="1" spans="1:44">
      <c r="A22" s="132"/>
      <c r="B22" s="133" t="s">
        <v>81</v>
      </c>
      <c r="C22" s="134" t="s">
        <v>105</v>
      </c>
      <c r="D22" s="134" t="s">
        <v>106</v>
      </c>
      <c r="E22" s="140">
        <v>90</v>
      </c>
      <c r="F22" s="136">
        <f t="shared" si="3"/>
        <v>251530.39</v>
      </c>
      <c r="G22" s="137">
        <f t="shared" si="0"/>
        <v>524217.72</v>
      </c>
      <c r="H22" s="138">
        <f>IF('2024年-挂账付款'!$AX22&gt;=SUM('2024年-挂账付款'!E22:$AH22),'2024年-挂账付款'!E22,IF('2024年-挂账付款'!$AX22-SUM('2024年-挂账付款'!F22:$AH22)&gt;0,'2024年-挂账付款'!$AX22-SUM('2024年-挂账付款'!F22:$AH22),0))</f>
        <v>0</v>
      </c>
      <c r="I22" s="138">
        <f>IF('2024年-挂账付款'!$AX22&gt;=SUM('2024年-挂账付款'!F22:$AH22),'2024年-挂账付款'!F22,IF('2024年-挂账付款'!$AX22-SUM('2024年-挂账付款'!G22:$AH22)&gt;0,'2024年-挂账付款'!$AX22-SUM('2024年-挂账付款'!G22:$AH22),0))</f>
        <v>0</v>
      </c>
      <c r="J22" s="138">
        <f>IF('2024年-挂账付款'!$AX22&gt;=SUM('2024年-挂账付款'!G22:$AH22),'2024年-挂账付款'!G22,IF('2024年-挂账付款'!$AX22-SUM('2024年-挂账付款'!H22:$AH22)&gt;0,'2024年-挂账付款'!$AX22-SUM('2024年-挂账付款'!H22:$AH22),0))</f>
        <v>0</v>
      </c>
      <c r="K22" s="138">
        <f>IF('2024年-挂账付款'!$AX22&gt;=SUM('2024年-挂账付款'!H22:$AH22),'2024年-挂账付款'!H22,IF('2024年-挂账付款'!$AX22-SUM('2024年-挂账付款'!I22:$AH22)&gt;0,'2024年-挂账付款'!$AX22-SUM('2024年-挂账付款'!I22:$AH22),0))</f>
        <v>0</v>
      </c>
      <c r="L22" s="138">
        <f>IF('2024年-挂账付款'!$AX22&gt;=SUM('2024年-挂账付款'!I22:$AH22),'2024年-挂账付款'!I22,IF('2024年-挂账付款'!$AX22-SUM('2024年-挂账付款'!J22:$AH22)&gt;0,'2024年-挂账付款'!$AX22-SUM('2024年-挂账付款'!J22:$AH22),0))</f>
        <v>0</v>
      </c>
      <c r="M22" s="138">
        <f>IF('2024年-挂账付款'!$AX22&gt;=SUM('2024年-挂账付款'!J22:$AH22),'2024年-挂账付款'!J22,IF('2024年-挂账付款'!$AX22-SUM('2024年-挂账付款'!K22:$AH22)&gt;0,'2024年-挂账付款'!$AX22-SUM('2024年-挂账付款'!K22:$AH22),0))</f>
        <v>0</v>
      </c>
      <c r="N22" s="138">
        <f>IF('2024年-挂账付款'!$AX22&gt;=SUM('2024年-挂账付款'!K22:$AH22),'2024年-挂账付款'!K22,IF('2024年-挂账付款'!$AX22-SUM('2024年-挂账付款'!L22:$AH22)&gt;0,'2024年-挂账付款'!$AX22-SUM('2024年-挂账付款'!L22:$AH22),0))</f>
        <v>0</v>
      </c>
      <c r="O22" s="138">
        <f>IF('2024年-挂账付款'!$AX22&gt;=SUM('2024年-挂账付款'!L22:$AH22),'2024年-挂账付款'!L22,IF('2024年-挂账付款'!$AX22-SUM('2024年-挂账付款'!M22:$AH22)&gt;0,'2024年-挂账付款'!$AX22-SUM('2024年-挂账付款'!M22:$AH22),0))</f>
        <v>0</v>
      </c>
      <c r="P22" s="138">
        <f>IF('2024年-挂账付款'!$AX22&gt;=SUM('2024年-挂账付款'!M22:$AH22),'2024年-挂账付款'!M22,IF('2024年-挂账付款'!$AX22-SUM('2024年-挂账付款'!N22:$AH22)&gt;0,'2024年-挂账付款'!$AX22-SUM('2024年-挂账付款'!N22:$AH22),0))</f>
        <v>0</v>
      </c>
      <c r="Q22" s="138">
        <f>IF('2024年-挂账付款'!$AX22&gt;=SUM('2024年-挂账付款'!N22:$AH22),'2024年-挂账付款'!N22,IF('2024年-挂账付款'!$AX22-SUM('2024年-挂账付款'!O22:$AH22)&gt;0,'2024年-挂账付款'!$AX22-SUM('2024年-挂账付款'!O22:$AH22),0))</f>
        <v>0</v>
      </c>
      <c r="R22" s="138">
        <f>IF('2024年-挂账付款'!$AX22&gt;=SUM('2024年-挂账付款'!O22:$AH22),'2024年-挂账付款'!O22,IF('2024年-挂账付款'!$AX22-SUM('2024年-挂账付款'!P22:$AH22)&gt;0,'2024年-挂账付款'!$AX22-SUM('2024年-挂账付款'!P22:$AH22),0))</f>
        <v>0</v>
      </c>
      <c r="S22" s="138">
        <f>IF('2024年-挂账付款'!$AX22&gt;=SUM('2024年-挂账付款'!P22:$AH22),'2024年-挂账付款'!P22,IF('2024年-挂账付款'!$AX22-SUM('2024年-挂账付款'!Q22:$AH22)&gt;0,'2024年-挂账付款'!$AX22-SUM('2024年-挂账付款'!Q22:$AH22),0))</f>
        <v>0</v>
      </c>
      <c r="T22" s="138">
        <f>IF('2024年-挂账付款'!$AX22&gt;=SUM('2024年-挂账付款'!Q22:$AH22),'2024年-挂账付款'!Q22,IF('2024年-挂账付款'!$AX22-SUM('2024年-挂账付款'!R22:$AH22)&gt;0,'2024年-挂账付款'!$AX22-SUM('2024年-挂账付款'!R22:$AH22),0))</f>
        <v>0</v>
      </c>
      <c r="U22" s="138">
        <f>IF('2024年-挂账付款'!$AX22&gt;=SUM('2024年-挂账付款'!R22:$AH22),'2024年-挂账付款'!R22,IF('2024年-挂账付款'!$AX22-SUM('2024年-挂账付款'!S22:$AH22)&gt;0,'2024年-挂账付款'!$AX22-SUM('2024年-挂账付款'!S22:$AH22),0))</f>
        <v>0</v>
      </c>
      <c r="V22" s="138">
        <f>IF('2024年-挂账付款'!$AX22&gt;=SUM('2024年-挂账付款'!S22:$AH22),'2024年-挂账付款'!S22,IF('2024年-挂账付款'!$AX22-SUM('2024年-挂账付款'!T22:$AH22)&gt;0,'2024年-挂账付款'!$AX22-SUM('2024年-挂账付款'!T22:$AH22),0))</f>
        <v>0</v>
      </c>
      <c r="W22" s="138">
        <f>IF('2024年-挂账付款'!$AX22&gt;=SUM('2024年-挂账付款'!T22:$AH22),'2024年-挂账付款'!T22,IF('2024年-挂账付款'!$AX22-SUM('2024年-挂账付款'!U22:$AH22)&gt;0,'2024年-挂账付款'!$AX22-SUM('2024年-挂账付款'!U22:$AH22),0))</f>
        <v>96404.5699999999</v>
      </c>
      <c r="X22" s="138">
        <f>IF('2024年-挂账付款'!$AX22&gt;=SUM('2024年-挂账付款'!U22:$AH22),'2024年-挂账付款'!U22,IF('2024年-挂账付款'!$AX22-SUM('2024年-挂账付款'!V22:$AH22)&gt;0,'2024年-挂账付款'!$AX22-SUM('2024年-挂账付款'!V22:$AH22),0))</f>
        <v>68031.5</v>
      </c>
      <c r="Y22" s="138">
        <f>IF('2024年-挂账付款'!$AX22&gt;=SUM('2024年-挂账付款'!V22:$AH22),'2024年-挂账付款'!V22,IF('2024年-挂账付款'!$AX22-SUM('2024年-挂账付款'!W22:$AH22)&gt;0,'2024年-挂账付款'!$AX22-SUM('2024年-挂账付款'!W22:$AH22),0))</f>
        <v>87094.32</v>
      </c>
      <c r="Z22" s="138">
        <f>IF('2024年-挂账付款'!$AX22&gt;=SUM('2024年-挂账付款'!W22:$AH22),'2024年-挂账付款'!W22,IF('2024年-挂账付款'!$AX22-SUM('2024年-挂账付款'!X22:$AH22)&gt;0,'2024年-挂账付款'!$AX22-SUM('2024年-挂账付款'!X22:$AH22),0))</f>
        <v>119486.02</v>
      </c>
      <c r="AA22" s="168">
        <f>IF('2024年-挂账付款'!$AX22&gt;=SUM('2024年-挂账付款'!X22:$AH22),'2024年-挂账付款'!X22,IF('2024年-挂账付款'!$AX22-SUM('2024年-挂账付款'!Y22:$AH22)&gt;0,'2024年-挂账付款'!$AX22-SUM('2024年-挂账付款'!Y22:$AH22),0))</f>
        <v>153201.31</v>
      </c>
      <c r="AB22" s="138">
        <f>IF('2024年-挂账付款'!$AX22&gt;=SUM('2024年-挂账付款'!Y22:$AH22),'2024年-挂账付款'!Y22,IF('2024年-挂账付款'!$AX22-SUM('2024年-挂账付款'!Z22:$AH22)&gt;0,'2024年-挂账付款'!$AX22-SUM('2024年-挂账付款'!Z22:$AH22),0))</f>
        <v>0</v>
      </c>
      <c r="AC22" s="138">
        <f>IF('2024年-挂账付款'!$AX22&gt;=SUM('2024年-挂账付款'!Z22:$AH22),'2024年-挂账付款'!Z22,IF('2024年-挂账付款'!$AX22-SUM('2024年-挂账付款'!AA22:$AH22)&gt;0,'2024年-挂账付款'!$AX22-SUM('2024年-挂账付款'!AA22:$AH22),0))</f>
        <v>0</v>
      </c>
      <c r="AD22" s="138">
        <f>IF('2024年-挂账付款'!$AX22&gt;=SUM('2024年-挂账付款'!AA22:$AH22),'2024年-挂账付款'!AA22,IF('2024年-挂账付款'!$AX22-SUM('2024年-挂账付款'!AB22:$AH22)&gt;0,'2024年-挂账付款'!$AX22-SUM('2024年-挂账付款'!AB22:$AH22),0))</f>
        <v>0</v>
      </c>
      <c r="AE22" s="138">
        <f>IF('2024年-挂账付款'!$AX22&gt;=SUM('2024年-挂账付款'!AB22:$AH22),'2024年-挂账付款'!AB22,IF('2024年-挂账付款'!$AX22-SUM('2024年-挂账付款'!AC22:$AH22)&gt;0,'2024年-挂账付款'!$AX22-SUM('2024年-挂账付款'!AC22:$AH22),0))</f>
        <v>0</v>
      </c>
      <c r="AF22" s="138">
        <f>IF('2024年-挂账付款'!$AX22&gt;=SUM('2024年-挂账付款'!AC22:$AH22),'2024年-挂账付款'!AC22,IF('2024年-挂账付款'!$AX22-SUM('2024年-挂账付款'!AD22:$AH22)&gt;0,'2024年-挂账付款'!$AX22-SUM('2024年-挂账付款'!AD22:$AH22),0))</f>
        <v>0</v>
      </c>
      <c r="AG22" s="138">
        <f>IF('2024年-挂账付款'!$AX22&gt;=SUM('2024年-挂账付款'!AD22:$AH22),'2024年-挂账付款'!AD22,IF('2024年-挂账付款'!$AX22-SUM('2024年-挂账付款'!AE22:$AH22)&gt;0,'2024年-挂账付款'!$AX22-SUM('2024年-挂账付款'!AE22:$AH22),0))</f>
        <v>0</v>
      </c>
      <c r="AH22" s="138">
        <f>IF('2024年-挂账付款'!$AX22&gt;=SUM('2024年-挂账付款'!AE22:$AH22),'2024年-挂账付款'!AE22,IF('2024年-挂账付款'!$AX22-SUM('2024年-挂账付款'!AF22:$AH22)&gt;0,'2024年-挂账付款'!$AX22-SUM('2024年-挂账付款'!AF22:$AH22),0))</f>
        <v>0</v>
      </c>
      <c r="AI22" s="138">
        <f>IF('2024年-挂账付款'!$AX22&gt;=SUM('2024年-挂账付款'!AF22:$AH22),'2024年-挂账付款'!AF22,IF('2024年-挂账付款'!$AX22-SUM('2024年-挂账付款'!AG22:$AH22)&gt;0,'2024年-挂账付款'!$AX22-SUM('2024年-挂账付款'!AG22:$AH22),0))</f>
        <v>0</v>
      </c>
      <c r="AJ22" s="138">
        <f>IF('2024年-挂账付款'!$AX22&gt;=SUM('2024年-挂账付款'!AG22:$AH22),'2024年-挂账付款'!AG22,IF('2024年-挂账付款'!$AX22-SUM('2024年-挂账付款'!AH22:$AH22)&gt;0,'2024年-挂账付款'!$AX22-SUM('2024年-挂账付款'!AH22:$AH22),0))</f>
        <v>0</v>
      </c>
      <c r="AK22" s="138">
        <f>IF('2024年-挂账付款'!$AX22&gt;=SUM('2024年-挂账付款'!AH22:$AH22),'2024年-挂账付款'!AH22,IF('2024年-挂账付款'!$AX22-SUM('2024年-挂账付款'!$AH22:AI22)&gt;0,'2024年-挂账付款'!$AX22-SUM('2024年-挂账付款'!$AH22:AI22),0))</f>
        <v>0</v>
      </c>
      <c r="AL22" s="185" t="s">
        <v>426</v>
      </c>
      <c r="AM22" s="186"/>
      <c r="AN22" s="180">
        <f t="shared" si="1"/>
        <v>49468.8546666667</v>
      </c>
      <c r="AO22" s="207">
        <v>150000</v>
      </c>
      <c r="AP22" s="208" t="s">
        <v>479</v>
      </c>
      <c r="AQ22" s="205">
        <v>30000</v>
      </c>
      <c r="AR22" s="206"/>
    </row>
    <row r="23" s="107" customFormat="1" ht="18" customHeight="1" spans="1:44">
      <c r="A23" s="122"/>
      <c r="B23" s="139" t="s">
        <v>81</v>
      </c>
      <c r="C23" s="130" t="s">
        <v>112</v>
      </c>
      <c r="D23" s="130" t="s">
        <v>113</v>
      </c>
      <c r="E23" s="141">
        <v>90</v>
      </c>
      <c r="F23" s="126">
        <f t="shared" si="3"/>
        <v>350296.93</v>
      </c>
      <c r="G23" s="127">
        <f t="shared" si="0"/>
        <v>350296.93</v>
      </c>
      <c r="H23" s="128">
        <f>IF('2024年-挂账付款'!$AX23&gt;=SUM('2024年-挂账付款'!E23:$AH23),'2024年-挂账付款'!E23,IF('2024年-挂账付款'!$AX23-SUM('2024年-挂账付款'!F23:$AH23)&gt;0,'2024年-挂账付款'!$AX23-SUM('2024年-挂账付款'!F23:$AH23),0))</f>
        <v>0</v>
      </c>
      <c r="I23" s="128">
        <f>IF('2024年-挂账付款'!$AX23&gt;=SUM('2024年-挂账付款'!F23:$AH23),'2024年-挂账付款'!F23,IF('2024年-挂账付款'!$AX23-SUM('2024年-挂账付款'!G23:$AH23)&gt;0,'2024年-挂账付款'!$AX23-SUM('2024年-挂账付款'!G23:$AH23),0))</f>
        <v>0</v>
      </c>
      <c r="J23" s="128">
        <f>IF('2024年-挂账付款'!$AX23&gt;=SUM('2024年-挂账付款'!G23:$AH23),'2024年-挂账付款'!G23,IF('2024年-挂账付款'!$AX23-SUM('2024年-挂账付款'!H23:$AH23)&gt;0,'2024年-挂账付款'!$AX23-SUM('2024年-挂账付款'!H23:$AH23),0))</f>
        <v>0</v>
      </c>
      <c r="K23" s="128">
        <f>IF('2024年-挂账付款'!$AX23&gt;=SUM('2024年-挂账付款'!H23:$AH23),'2024年-挂账付款'!H23,IF('2024年-挂账付款'!$AX23-SUM('2024年-挂账付款'!I23:$AH23)&gt;0,'2024年-挂账付款'!$AX23-SUM('2024年-挂账付款'!I23:$AH23),0))</f>
        <v>0</v>
      </c>
      <c r="L23" s="128">
        <f>IF('2024年-挂账付款'!$AX23&gt;=SUM('2024年-挂账付款'!I23:$AH23),'2024年-挂账付款'!I23,IF('2024年-挂账付款'!$AX23-SUM('2024年-挂账付款'!J23:$AH23)&gt;0,'2024年-挂账付款'!$AX23-SUM('2024年-挂账付款'!J23:$AH23),0))</f>
        <v>0</v>
      </c>
      <c r="M23" s="128">
        <f>IF('2024年-挂账付款'!$AX23&gt;=SUM('2024年-挂账付款'!J23:$AH23),'2024年-挂账付款'!J23,IF('2024年-挂账付款'!$AX23-SUM('2024年-挂账付款'!K23:$AH23)&gt;0,'2024年-挂账付款'!$AX23-SUM('2024年-挂账付款'!K23:$AH23),0))</f>
        <v>0</v>
      </c>
      <c r="N23" s="128">
        <f>IF('2024年-挂账付款'!$AX23&gt;=SUM('2024年-挂账付款'!K23:$AH23),'2024年-挂账付款'!K23,IF('2024年-挂账付款'!$AX23-SUM('2024年-挂账付款'!L23:$AH23)&gt;0,'2024年-挂账付款'!$AX23-SUM('2024年-挂账付款'!L23:$AH23),0))</f>
        <v>0</v>
      </c>
      <c r="O23" s="128">
        <f>IF('2024年-挂账付款'!$AX23&gt;=SUM('2024年-挂账付款'!L23:$AH23),'2024年-挂账付款'!L23,IF('2024年-挂账付款'!$AX23-SUM('2024年-挂账付款'!M23:$AH23)&gt;0,'2024年-挂账付款'!$AX23-SUM('2024年-挂账付款'!M23:$AH23),0))</f>
        <v>125279.13</v>
      </c>
      <c r="P23" s="128">
        <f>IF('2024年-挂账付款'!$AX23&gt;=SUM('2024年-挂账付款'!M23:$AH23),'2024年-挂账付款'!M23,IF('2024年-挂账付款'!$AX23-SUM('2024年-挂账付款'!N23:$AH23)&gt;0,'2024年-挂账付款'!$AX23-SUM('2024年-挂账付款'!N23:$AH23),0))</f>
        <v>0</v>
      </c>
      <c r="Q23" s="128">
        <f>IF('2024年-挂账付款'!$AX23&gt;=SUM('2024年-挂账付款'!N23:$AH23),'2024年-挂账付款'!N23,IF('2024年-挂账付款'!$AX23-SUM('2024年-挂账付款'!O23:$AH23)&gt;0,'2024年-挂账付款'!$AX23-SUM('2024年-挂账付款'!O23:$AH23),0))</f>
        <v>0</v>
      </c>
      <c r="R23" s="128">
        <f>IF('2024年-挂账付款'!$AX23&gt;=SUM('2024年-挂账付款'!O23:$AH23),'2024年-挂账付款'!O23,IF('2024年-挂账付款'!$AX23-SUM('2024年-挂账付款'!P23:$AH23)&gt;0,'2024年-挂账付款'!$AX23-SUM('2024年-挂账付款'!P23:$AH23),0))</f>
        <v>0</v>
      </c>
      <c r="S23" s="128">
        <f>IF('2024年-挂账付款'!$AX23&gt;=SUM('2024年-挂账付款'!P23:$AH23),'2024年-挂账付款'!P23,IF('2024年-挂账付款'!$AX23-SUM('2024年-挂账付款'!Q23:$AH23)&gt;0,'2024年-挂账付款'!$AX23-SUM('2024年-挂账付款'!Q23:$AH23),0))</f>
        <v>0</v>
      </c>
      <c r="T23" s="128">
        <f>IF('2024年-挂账付款'!$AX23&gt;=SUM('2024年-挂账付款'!Q23:$AH23),'2024年-挂账付款'!Q23,IF('2024年-挂账付款'!$AX23-SUM('2024年-挂账付款'!R23:$AH23)&gt;0,'2024年-挂账付款'!$AX23-SUM('2024年-挂账付款'!R23:$AH23),0))</f>
        <v>89595.83</v>
      </c>
      <c r="U23" s="128">
        <f>IF('2024年-挂账付款'!$AX23&gt;=SUM('2024年-挂账付款'!R23:$AH23),'2024年-挂账付款'!R23,IF('2024年-挂账付款'!$AX23-SUM('2024年-挂账付款'!S23:$AH23)&gt;0,'2024年-挂账付款'!$AX23-SUM('2024年-挂账付款'!S23:$AH23),0))</f>
        <v>0</v>
      </c>
      <c r="V23" s="128">
        <f>IF('2024年-挂账付款'!$AX23&gt;=SUM('2024年-挂账付款'!S23:$AH23),'2024年-挂账付款'!S23,IF('2024年-挂账付款'!$AX23-SUM('2024年-挂账付款'!T23:$AH23)&gt;0,'2024年-挂账付款'!$AX23-SUM('2024年-挂账付款'!T23:$AH23),0))</f>
        <v>0</v>
      </c>
      <c r="W23" s="128">
        <f>IF('2024年-挂账付款'!$AX23&gt;=SUM('2024年-挂账付款'!T23:$AH23),'2024年-挂账付款'!T23,IF('2024年-挂账付款'!$AX23-SUM('2024年-挂账付款'!U23:$AH23)&gt;0,'2024年-挂账付款'!$AX23-SUM('2024年-挂账付款'!U23:$AH23),0))</f>
        <v>0</v>
      </c>
      <c r="X23" s="128">
        <f>IF('2024年-挂账付款'!$AX23&gt;=SUM('2024年-挂账付款'!U23:$AH23),'2024年-挂账付款'!U23,IF('2024年-挂账付款'!$AX23-SUM('2024年-挂账付款'!V23:$AH23)&gt;0,'2024年-挂账付款'!$AX23-SUM('2024年-挂账付款'!V23:$AH23),0))</f>
        <v>0</v>
      </c>
      <c r="Y23" s="128">
        <f>IF('2024年-挂账付款'!$AX23&gt;=SUM('2024年-挂账付款'!V23:$AH23),'2024年-挂账付款'!V23,IF('2024年-挂账付款'!$AX23-SUM('2024年-挂账付款'!W23:$AH23)&gt;0,'2024年-挂账付款'!$AX23-SUM('2024年-挂账付款'!W23:$AH23),0))</f>
        <v>135421.97</v>
      </c>
      <c r="Z23" s="128">
        <f>IF('2024年-挂账付款'!$AX23&gt;=SUM('2024年-挂账付款'!W23:$AH23),'2024年-挂账付款'!W23,IF('2024年-挂账付款'!$AX23-SUM('2024年-挂账付款'!X23:$AH23)&gt;0,'2024年-挂账付款'!$AX23-SUM('2024年-挂账付款'!X23:$AH23),0))</f>
        <v>0</v>
      </c>
      <c r="AA23" s="167">
        <f>IF('2024年-挂账付款'!$AX23&gt;=SUM('2024年-挂账付款'!X23:$AH23),'2024年-挂账付款'!X23,IF('2024年-挂账付款'!$AX23-SUM('2024年-挂账付款'!Y23:$AH23)&gt;0,'2024年-挂账付款'!$AX23-SUM('2024年-挂账付款'!Y23:$AH23),0))</f>
        <v>0</v>
      </c>
      <c r="AB23" s="128">
        <f>IF('2024年-挂账付款'!$AX23&gt;=SUM('2024年-挂账付款'!Y23:$AH23),'2024年-挂账付款'!Y23,IF('2024年-挂账付款'!$AX23-SUM('2024年-挂账付款'!Z23:$AH23)&gt;0,'2024年-挂账付款'!$AX23-SUM('2024年-挂账付款'!Z23:$AH23),0))</f>
        <v>0</v>
      </c>
      <c r="AC23" s="128">
        <f>IF('2024年-挂账付款'!$AX23&gt;=SUM('2024年-挂账付款'!Z23:$AH23),'2024年-挂账付款'!Z23,IF('2024年-挂账付款'!$AX23-SUM('2024年-挂账付款'!AA23:$AH23)&gt;0,'2024年-挂账付款'!$AX23-SUM('2024年-挂账付款'!AA23:$AH23),0))</f>
        <v>0</v>
      </c>
      <c r="AD23" s="128">
        <f>IF('2024年-挂账付款'!$AX23&gt;=SUM('2024年-挂账付款'!AA23:$AH23),'2024年-挂账付款'!AA23,IF('2024年-挂账付款'!$AX23-SUM('2024年-挂账付款'!AB23:$AH23)&gt;0,'2024年-挂账付款'!$AX23-SUM('2024年-挂账付款'!AB23:$AH23),0))</f>
        <v>0</v>
      </c>
      <c r="AE23" s="128">
        <f>IF('2024年-挂账付款'!$AX23&gt;=SUM('2024年-挂账付款'!AB23:$AH23),'2024年-挂账付款'!AB23,IF('2024年-挂账付款'!$AX23-SUM('2024年-挂账付款'!AC23:$AH23)&gt;0,'2024年-挂账付款'!$AX23-SUM('2024年-挂账付款'!AC23:$AH23),0))</f>
        <v>0</v>
      </c>
      <c r="AF23" s="128">
        <f>IF('2024年-挂账付款'!$AX23&gt;=SUM('2024年-挂账付款'!AC23:$AH23),'2024年-挂账付款'!AC23,IF('2024年-挂账付款'!$AX23-SUM('2024年-挂账付款'!AD23:$AH23)&gt;0,'2024年-挂账付款'!$AX23-SUM('2024年-挂账付款'!AD23:$AH23),0))</f>
        <v>0</v>
      </c>
      <c r="AG23" s="128">
        <f>IF('2024年-挂账付款'!$AX23&gt;=SUM('2024年-挂账付款'!AD23:$AH23),'2024年-挂账付款'!AD23,IF('2024年-挂账付款'!$AX23-SUM('2024年-挂账付款'!AE23:$AH23)&gt;0,'2024年-挂账付款'!$AX23-SUM('2024年-挂账付款'!AE23:$AH23),0))</f>
        <v>0</v>
      </c>
      <c r="AH23" s="128">
        <f>IF('2024年-挂账付款'!$AX23&gt;=SUM('2024年-挂账付款'!AE23:$AH23),'2024年-挂账付款'!AE23,IF('2024年-挂账付款'!$AX23-SUM('2024年-挂账付款'!AF23:$AH23)&gt;0,'2024年-挂账付款'!$AX23-SUM('2024年-挂账付款'!AF23:$AH23),0))</f>
        <v>0</v>
      </c>
      <c r="AI23" s="128">
        <f>IF('2024年-挂账付款'!$AX23&gt;=SUM('2024年-挂账付款'!AF23:$AH23),'2024年-挂账付款'!AF23,IF('2024年-挂账付款'!$AX23-SUM('2024年-挂账付款'!AG23:$AH23)&gt;0,'2024年-挂账付款'!$AX23-SUM('2024年-挂账付款'!AG23:$AH23),0))</f>
        <v>0</v>
      </c>
      <c r="AJ23" s="128">
        <f>IF('2024年-挂账付款'!$AX23&gt;=SUM('2024年-挂账付款'!AG23:$AH23),'2024年-挂账付款'!AG23,IF('2024年-挂账付款'!$AX23-SUM('2024年-挂账付款'!AH23:$AH23)&gt;0,'2024年-挂账付款'!$AX23-SUM('2024年-挂账付款'!AH23:$AH23),0))</f>
        <v>0</v>
      </c>
      <c r="AK23" s="128">
        <f>IF('2024年-挂账付款'!$AX23&gt;=SUM('2024年-挂账付款'!AH23:$AH23),'2024年-挂账付款'!AH23,IF('2024年-挂账付款'!$AX23-SUM('2024年-挂账付款'!$AH23:AI23)&gt;0,'2024年-挂账付款'!$AX23-SUM('2024年-挂账付款'!$AH23:AI23),0))</f>
        <v>0</v>
      </c>
      <c r="AL23" s="182" t="s">
        <v>426</v>
      </c>
      <c r="AM23" s="183"/>
      <c r="AN23" s="176">
        <f t="shared" si="1"/>
        <v>18056.2626666667</v>
      </c>
      <c r="AO23" s="203">
        <v>20000</v>
      </c>
      <c r="AP23" s="204"/>
      <c r="AQ23" s="205"/>
      <c r="AR23" s="206">
        <v>20000</v>
      </c>
    </row>
    <row r="24" s="107" customFormat="1" ht="18" customHeight="1" spans="1:44">
      <c r="A24" s="122"/>
      <c r="B24" s="139" t="s">
        <v>81</v>
      </c>
      <c r="C24" s="130" t="s">
        <v>215</v>
      </c>
      <c r="D24" s="130" t="s">
        <v>216</v>
      </c>
      <c r="E24" s="131">
        <v>90</v>
      </c>
      <c r="F24" s="126">
        <f t="shared" si="3"/>
        <v>142072.46</v>
      </c>
      <c r="G24" s="127">
        <f t="shared" si="0"/>
        <v>160412.36</v>
      </c>
      <c r="H24" s="128">
        <f>IF('2024年-挂账付款'!$AX24&gt;=SUM('2024年-挂账付款'!E24:$AH24),'2024年-挂账付款'!E24,IF('2024年-挂账付款'!$AX24-SUM('2024年-挂账付款'!F24:$AH24)&gt;0,'2024年-挂账付款'!$AX24-SUM('2024年-挂账付款'!F24:$AH24),0))</f>
        <v>0</v>
      </c>
      <c r="I24" s="128">
        <f>IF('2024年-挂账付款'!$AX24&gt;=SUM('2024年-挂账付款'!F24:$AH24),'2024年-挂账付款'!F24,IF('2024年-挂账付款'!$AX24-SUM('2024年-挂账付款'!G24:$AH24)&gt;0,'2024年-挂账付款'!$AX24-SUM('2024年-挂账付款'!G24:$AH24),0))</f>
        <v>0</v>
      </c>
      <c r="J24" s="128">
        <f>IF('2024年-挂账付款'!$AX24&gt;=SUM('2024年-挂账付款'!G24:$AH24),'2024年-挂账付款'!G24,IF('2024年-挂账付款'!$AX24-SUM('2024年-挂账付款'!H24:$AH24)&gt;0,'2024年-挂账付款'!$AX24-SUM('2024年-挂账付款'!H24:$AH24),0))</f>
        <v>0</v>
      </c>
      <c r="K24" s="128">
        <f>IF('2024年-挂账付款'!$AX24&gt;=SUM('2024年-挂账付款'!H24:$AH24),'2024年-挂账付款'!H24,IF('2024年-挂账付款'!$AX24-SUM('2024年-挂账付款'!I24:$AH24)&gt;0,'2024年-挂账付款'!$AX24-SUM('2024年-挂账付款'!I24:$AH24),0))</f>
        <v>0</v>
      </c>
      <c r="L24" s="128">
        <f>IF('2024年-挂账付款'!$AX24&gt;=SUM('2024年-挂账付款'!I24:$AH24),'2024年-挂账付款'!I24,IF('2024年-挂账付款'!$AX24-SUM('2024年-挂账付款'!J24:$AH24)&gt;0,'2024年-挂账付款'!$AX24-SUM('2024年-挂账付款'!J24:$AH24),0))</f>
        <v>0</v>
      </c>
      <c r="M24" s="128">
        <f>IF('2024年-挂账付款'!$AX24&gt;=SUM('2024年-挂账付款'!J24:$AH24),'2024年-挂账付款'!J24,IF('2024年-挂账付款'!$AX24-SUM('2024年-挂账付款'!K24:$AH24)&gt;0,'2024年-挂账付款'!$AX24-SUM('2024年-挂账付款'!K24:$AH24),0))</f>
        <v>0</v>
      </c>
      <c r="N24" s="128">
        <f>IF('2024年-挂账付款'!$AX24&gt;=SUM('2024年-挂账付款'!K24:$AH24),'2024年-挂账付款'!K24,IF('2024年-挂账付款'!$AX24-SUM('2024年-挂账付款'!L24:$AH24)&gt;0,'2024年-挂账付款'!$AX24-SUM('2024年-挂账付款'!L24:$AH24),0))</f>
        <v>0</v>
      </c>
      <c r="O24" s="128">
        <f>IF('2024年-挂账付款'!$AX24&gt;=SUM('2024年-挂账付款'!L24:$AH24),'2024年-挂账付款'!L24,IF('2024年-挂账付款'!$AX24-SUM('2024年-挂账付款'!M24:$AH24)&gt;0,'2024年-挂账付款'!$AX24-SUM('2024年-挂账付款'!M24:$AH24),0))</f>
        <v>0</v>
      </c>
      <c r="P24" s="128">
        <f>IF('2024年-挂账付款'!$AX24&gt;=SUM('2024年-挂账付款'!M24:$AH24),'2024年-挂账付款'!M24,IF('2024年-挂账付款'!$AX24-SUM('2024年-挂账付款'!N24:$AH24)&gt;0,'2024年-挂账付款'!$AX24-SUM('2024年-挂账付款'!N24:$AH24),0))</f>
        <v>9418.41000000003</v>
      </c>
      <c r="Q24" s="128">
        <f>IF('2024年-挂账付款'!$AX24&gt;=SUM('2024年-挂账付款'!N24:$AH24),'2024年-挂账付款'!N24,IF('2024年-挂账付款'!$AX24-SUM('2024年-挂账付款'!O24:$AH24)&gt;0,'2024年-挂账付款'!$AX24-SUM('2024年-挂账付款'!O24:$AH24),0))</f>
        <v>0</v>
      </c>
      <c r="R24" s="128">
        <f>IF('2024年-挂账付款'!$AX24&gt;=SUM('2024年-挂账付款'!O24:$AH24),'2024年-挂账付款'!O24,IF('2024年-挂账付款'!$AX24-SUM('2024年-挂账付款'!P24:$AH24)&gt;0,'2024年-挂账付款'!$AX24-SUM('2024年-挂账付款'!P24:$AH24),0))</f>
        <v>36679.8</v>
      </c>
      <c r="S24" s="128">
        <f>IF('2024年-挂账付款'!$AX24&gt;=SUM('2024年-挂账付款'!P24:$AH24),'2024年-挂账付款'!P24,IF('2024年-挂账付款'!$AX24-SUM('2024年-挂账付款'!Q24:$AH24)&gt;0,'2024年-挂账付款'!$AX24-SUM('2024年-挂账付款'!Q24:$AH24),0))</f>
        <v>0</v>
      </c>
      <c r="T24" s="128">
        <f>IF('2024年-挂账付款'!$AX24&gt;=SUM('2024年-挂账付款'!Q24:$AH24),'2024年-挂账付款'!Q24,IF('2024年-挂账付款'!$AX24-SUM('2024年-挂账付款'!R24:$AH24)&gt;0,'2024年-挂账付款'!$AX24-SUM('2024年-挂账付款'!R24:$AH24),0))</f>
        <v>71506.4</v>
      </c>
      <c r="U24" s="128">
        <f>IF('2024年-挂账付款'!$AX24&gt;=SUM('2024年-挂账付款'!R24:$AH24),'2024年-挂账付款'!R24,IF('2024年-挂账付款'!$AX24-SUM('2024年-挂账付款'!S24:$AH24)&gt;0,'2024年-挂账付款'!$AX24-SUM('2024年-挂账付款'!S24:$AH24),0))</f>
        <v>0</v>
      </c>
      <c r="V24" s="128">
        <f>IF('2024年-挂账付款'!$AX24&gt;=SUM('2024年-挂账付款'!S24:$AH24),'2024年-挂账付款'!S24,IF('2024年-挂账付款'!$AX24-SUM('2024年-挂账付款'!T24:$AH24)&gt;0,'2024年-挂账付款'!$AX24-SUM('2024年-挂账付款'!T24:$AH24),0))</f>
        <v>3036.27</v>
      </c>
      <c r="W24" s="128">
        <f>IF('2024年-挂账付款'!$AX24&gt;=SUM('2024年-挂账付款'!T24:$AH24),'2024年-挂账付款'!T24,IF('2024年-挂账付款'!$AX24-SUM('2024年-挂账付款'!U24:$AH24)&gt;0,'2024年-挂账付款'!$AX24-SUM('2024年-挂账付款'!U24:$AH24),0))</f>
        <v>0</v>
      </c>
      <c r="X24" s="128">
        <f>IF('2024年-挂账付款'!$AX24&gt;=SUM('2024年-挂账付款'!U24:$AH24),'2024年-挂账付款'!U24,IF('2024年-挂账付款'!$AX24-SUM('2024年-挂账付款'!V24:$AH24)&gt;0,'2024年-挂账付款'!$AX24-SUM('2024年-挂账付款'!V24:$AH24),0))</f>
        <v>21431.58</v>
      </c>
      <c r="Y24" s="128">
        <f>IF('2024年-挂账付款'!$AX24&gt;=SUM('2024年-挂账付款'!V24:$AH24),'2024年-挂账付款'!V24,IF('2024年-挂账付款'!$AX24-SUM('2024年-挂账付款'!W24:$AH24)&gt;0,'2024年-挂账付款'!$AX24-SUM('2024年-挂账付款'!W24:$AH24),0))</f>
        <v>0</v>
      </c>
      <c r="Z24" s="128">
        <f>IF('2024年-挂账付款'!$AX24&gt;=SUM('2024年-挂账付款'!W24:$AH24),'2024年-挂账付款'!W24,IF('2024年-挂账付款'!$AX24-SUM('2024年-挂账付款'!X24:$AH24)&gt;0,'2024年-挂账付款'!$AX24-SUM('2024年-挂账付款'!X24:$AH24),0))</f>
        <v>0</v>
      </c>
      <c r="AA24" s="167">
        <f>IF('2024年-挂账付款'!$AX24&gt;=SUM('2024年-挂账付款'!X24:$AH24),'2024年-挂账付款'!X24,IF('2024年-挂账付款'!$AX24-SUM('2024年-挂账付款'!Y24:$AH24)&gt;0,'2024年-挂账付款'!$AX24-SUM('2024年-挂账付款'!Y24:$AH24),0))</f>
        <v>18339.9</v>
      </c>
      <c r="AB24" s="128">
        <f>IF('2024年-挂账付款'!$AX24&gt;=SUM('2024年-挂账付款'!Y24:$AH24),'2024年-挂账付款'!Y24,IF('2024年-挂账付款'!$AX24-SUM('2024年-挂账付款'!Z24:$AH24)&gt;0,'2024年-挂账付款'!$AX24-SUM('2024年-挂账付款'!Z24:$AH24),0))</f>
        <v>0</v>
      </c>
      <c r="AC24" s="128">
        <f>IF('2024年-挂账付款'!$AX24&gt;=SUM('2024年-挂账付款'!Z24:$AH24),'2024年-挂账付款'!Z24,IF('2024年-挂账付款'!$AX24-SUM('2024年-挂账付款'!AA24:$AH24)&gt;0,'2024年-挂账付款'!$AX24-SUM('2024年-挂账付款'!AA24:$AH24),0))</f>
        <v>0</v>
      </c>
      <c r="AD24" s="128">
        <f>IF('2024年-挂账付款'!$AX24&gt;=SUM('2024年-挂账付款'!AA24:$AH24),'2024年-挂账付款'!AA24,IF('2024年-挂账付款'!$AX24-SUM('2024年-挂账付款'!AB24:$AH24)&gt;0,'2024年-挂账付款'!$AX24-SUM('2024年-挂账付款'!AB24:$AH24),0))</f>
        <v>0</v>
      </c>
      <c r="AE24" s="128">
        <f>IF('2024年-挂账付款'!$AX24&gt;=SUM('2024年-挂账付款'!AB24:$AH24),'2024年-挂账付款'!AB24,IF('2024年-挂账付款'!$AX24-SUM('2024年-挂账付款'!AC24:$AH24)&gt;0,'2024年-挂账付款'!$AX24-SUM('2024年-挂账付款'!AC24:$AH24),0))</f>
        <v>0</v>
      </c>
      <c r="AF24" s="128">
        <f>IF('2024年-挂账付款'!$AX24&gt;=SUM('2024年-挂账付款'!AC24:$AH24),'2024年-挂账付款'!AC24,IF('2024年-挂账付款'!$AX24-SUM('2024年-挂账付款'!AD24:$AH24)&gt;0,'2024年-挂账付款'!$AX24-SUM('2024年-挂账付款'!AD24:$AH24),0))</f>
        <v>0</v>
      </c>
      <c r="AG24" s="128">
        <f>IF('2024年-挂账付款'!$AX24&gt;=SUM('2024年-挂账付款'!AD24:$AH24),'2024年-挂账付款'!AD24,IF('2024年-挂账付款'!$AX24-SUM('2024年-挂账付款'!AE24:$AH24)&gt;0,'2024年-挂账付款'!$AX24-SUM('2024年-挂账付款'!AE24:$AH24),0))</f>
        <v>0</v>
      </c>
      <c r="AH24" s="128">
        <f>IF('2024年-挂账付款'!$AX24&gt;=SUM('2024年-挂账付款'!AE24:$AH24),'2024年-挂账付款'!AE24,IF('2024年-挂账付款'!$AX24-SUM('2024年-挂账付款'!AF24:$AH24)&gt;0,'2024年-挂账付款'!$AX24-SUM('2024年-挂账付款'!AF24:$AH24),0))</f>
        <v>0</v>
      </c>
      <c r="AI24" s="128">
        <f>IF('2024年-挂账付款'!$AX24&gt;=SUM('2024年-挂账付款'!AF24:$AH24),'2024年-挂账付款'!AF24,IF('2024年-挂账付款'!$AX24-SUM('2024年-挂账付款'!AG24:$AH24)&gt;0,'2024年-挂账付款'!$AX24-SUM('2024年-挂账付款'!AG24:$AH24),0))</f>
        <v>0</v>
      </c>
      <c r="AJ24" s="128">
        <f>IF('2024年-挂账付款'!$AX24&gt;=SUM('2024年-挂账付款'!AG24:$AH24),'2024年-挂账付款'!AG24,IF('2024年-挂账付款'!$AX24-SUM('2024年-挂账付款'!AH24:$AH24)&gt;0,'2024年-挂账付款'!$AX24-SUM('2024年-挂账付款'!AH24:$AH24),0))</f>
        <v>0</v>
      </c>
      <c r="AK24" s="128">
        <f>IF('2024年-挂账付款'!$AX24&gt;=SUM('2024年-挂账付款'!AH24:$AH24),'2024年-挂账付款'!AH24,IF('2024年-挂账付款'!$AX24-SUM('2024年-挂账付款'!$AH24:AI24)&gt;0,'2024年-挂账付款'!$AX24-SUM('2024年-挂账付款'!$AH24:AI24),0))</f>
        <v>0</v>
      </c>
      <c r="AL24" s="177" t="s">
        <v>426</v>
      </c>
      <c r="AM24" s="175"/>
      <c r="AN24" s="176">
        <f t="shared" si="1"/>
        <v>3262.38</v>
      </c>
      <c r="AO24" s="203">
        <v>10000</v>
      </c>
      <c r="AP24" s="204"/>
      <c r="AQ24" s="205"/>
      <c r="AR24" s="206">
        <v>10000</v>
      </c>
    </row>
    <row r="25" s="107" customFormat="1" ht="18" customHeight="1" spans="1:44">
      <c r="A25" s="122"/>
      <c r="B25" s="139" t="s">
        <v>81</v>
      </c>
      <c r="C25" s="130" t="s">
        <v>230</v>
      </c>
      <c r="D25" s="130" t="s">
        <v>231</v>
      </c>
      <c r="E25" s="125">
        <v>90</v>
      </c>
      <c r="F25" s="126">
        <f t="shared" si="3"/>
        <v>0</v>
      </c>
      <c r="G25" s="127">
        <f t="shared" si="0"/>
        <v>651666.1</v>
      </c>
      <c r="H25" s="128">
        <f>IF('2024年-挂账付款'!$AX25&gt;=SUM('2024年-挂账付款'!E25:$AH25),'2024年-挂账付款'!E25,IF('2024年-挂账付款'!$AX25-SUM('2024年-挂账付款'!F25:$AH25)&gt;0,'2024年-挂账付款'!$AX25-SUM('2024年-挂账付款'!F25:$AH25),0))</f>
        <v>0</v>
      </c>
      <c r="I25" s="128">
        <f>IF('2024年-挂账付款'!$AX25&gt;=SUM('2024年-挂账付款'!F25:$AH25),'2024年-挂账付款'!F25,IF('2024年-挂账付款'!$AX25-SUM('2024年-挂账付款'!G25:$AH25)&gt;0,'2024年-挂账付款'!$AX25-SUM('2024年-挂账付款'!G25:$AH25),0))</f>
        <v>0</v>
      </c>
      <c r="J25" s="128">
        <f>IF('2024年-挂账付款'!$AX25&gt;=SUM('2024年-挂账付款'!G25:$AH25),'2024年-挂账付款'!G25,IF('2024年-挂账付款'!$AX25-SUM('2024年-挂账付款'!H25:$AH25)&gt;0,'2024年-挂账付款'!$AX25-SUM('2024年-挂账付款'!H25:$AH25),0))</f>
        <v>0</v>
      </c>
      <c r="K25" s="128">
        <f>IF('2024年-挂账付款'!$AX25&gt;=SUM('2024年-挂账付款'!H25:$AH25),'2024年-挂账付款'!H25,IF('2024年-挂账付款'!$AX25-SUM('2024年-挂账付款'!I25:$AH25)&gt;0,'2024年-挂账付款'!$AX25-SUM('2024年-挂账付款'!I25:$AH25),0))</f>
        <v>0</v>
      </c>
      <c r="L25" s="128">
        <f>IF('2024年-挂账付款'!$AX25&gt;=SUM('2024年-挂账付款'!I25:$AH25),'2024年-挂账付款'!I25,IF('2024年-挂账付款'!$AX25-SUM('2024年-挂账付款'!J25:$AH25)&gt;0,'2024年-挂账付款'!$AX25-SUM('2024年-挂账付款'!J25:$AH25),0))</f>
        <v>0</v>
      </c>
      <c r="M25" s="128">
        <f>IF('2024年-挂账付款'!$AX25&gt;=SUM('2024年-挂账付款'!J25:$AH25),'2024年-挂账付款'!J25,IF('2024年-挂账付款'!$AX25-SUM('2024年-挂账付款'!K25:$AH25)&gt;0,'2024年-挂账付款'!$AX25-SUM('2024年-挂账付款'!K25:$AH25),0))</f>
        <v>0</v>
      </c>
      <c r="N25" s="128">
        <f>IF('2024年-挂账付款'!$AX25&gt;=SUM('2024年-挂账付款'!K25:$AH25),'2024年-挂账付款'!K25,IF('2024年-挂账付款'!$AX25-SUM('2024年-挂账付款'!L25:$AH25)&gt;0,'2024年-挂账付款'!$AX25-SUM('2024年-挂账付款'!L25:$AH25),0))</f>
        <v>0</v>
      </c>
      <c r="O25" s="128">
        <f>IF('2024年-挂账付款'!$AX25&gt;=SUM('2024年-挂账付款'!L25:$AH25),'2024年-挂账付款'!L25,IF('2024年-挂账付款'!$AX25-SUM('2024年-挂账付款'!M25:$AH25)&gt;0,'2024年-挂账付款'!$AX25-SUM('2024年-挂账付款'!M25:$AH25),0))</f>
        <v>0</v>
      </c>
      <c r="P25" s="128">
        <f>IF('2024年-挂账付款'!$AX25&gt;=SUM('2024年-挂账付款'!M25:$AH25),'2024年-挂账付款'!M25,IF('2024年-挂账付款'!$AX25-SUM('2024年-挂账付款'!N25:$AH25)&gt;0,'2024年-挂账付款'!$AX25-SUM('2024年-挂账付款'!N25:$AH25),0))</f>
        <v>0</v>
      </c>
      <c r="Q25" s="128">
        <f>IF('2024年-挂账付款'!$AX25&gt;=SUM('2024年-挂账付款'!N25:$AH25),'2024年-挂账付款'!N25,IF('2024年-挂账付款'!$AX25-SUM('2024年-挂账付款'!O25:$AH25)&gt;0,'2024年-挂账付款'!$AX25-SUM('2024年-挂账付款'!O25:$AH25),0))</f>
        <v>0</v>
      </c>
      <c r="R25" s="128">
        <f>IF('2024年-挂账付款'!$AX25&gt;=SUM('2024年-挂账付款'!O25:$AH25),'2024年-挂账付款'!O25,IF('2024年-挂账付款'!$AX25-SUM('2024年-挂账付款'!P25:$AH25)&gt;0,'2024年-挂账付款'!$AX25-SUM('2024年-挂账付款'!P25:$AH25),0))</f>
        <v>0</v>
      </c>
      <c r="S25" s="128">
        <f>IF('2024年-挂账付款'!$AX25&gt;=SUM('2024年-挂账付款'!P25:$AH25),'2024年-挂账付款'!P25,IF('2024年-挂账付款'!$AX25-SUM('2024年-挂账付款'!Q25:$AH25)&gt;0,'2024年-挂账付款'!$AX25-SUM('2024年-挂账付款'!Q25:$AH25),0))</f>
        <v>0</v>
      </c>
      <c r="T25" s="128">
        <f>IF('2024年-挂账付款'!$AX25&gt;=SUM('2024年-挂账付款'!Q25:$AH25),'2024年-挂账付款'!Q25,IF('2024年-挂账付款'!$AX25-SUM('2024年-挂账付款'!R25:$AH25)&gt;0,'2024年-挂账付款'!$AX25-SUM('2024年-挂账付款'!R25:$AH25),0))</f>
        <v>0</v>
      </c>
      <c r="U25" s="128">
        <f>IF('2024年-挂账付款'!$AX25&gt;=SUM('2024年-挂账付款'!R25:$AH25),'2024年-挂账付款'!R25,IF('2024年-挂账付款'!$AX25-SUM('2024年-挂账付款'!S25:$AH25)&gt;0,'2024年-挂账付款'!$AX25-SUM('2024年-挂账付款'!S25:$AH25),0))</f>
        <v>0</v>
      </c>
      <c r="V25" s="128">
        <f>IF('2024年-挂账付款'!$AX25&gt;=SUM('2024年-挂账付款'!S25:$AH25),'2024年-挂账付款'!S25,IF('2024年-挂账付款'!$AX25-SUM('2024年-挂账付款'!T25:$AH25)&gt;0,'2024年-挂账付款'!$AX25-SUM('2024年-挂账付款'!T25:$AH25),0))</f>
        <v>0</v>
      </c>
      <c r="W25" s="128">
        <f>IF('2024年-挂账付款'!$AX25&gt;=SUM('2024年-挂账付款'!T25:$AH25),'2024年-挂账付款'!T25,IF('2024年-挂账付款'!$AX25-SUM('2024年-挂账付款'!U25:$AH25)&gt;0,'2024年-挂账付款'!$AX25-SUM('2024年-挂账付款'!U25:$AH25),0))</f>
        <v>0</v>
      </c>
      <c r="X25" s="128">
        <f>IF('2024年-挂账付款'!$AX25&gt;=SUM('2024年-挂账付款'!U25:$AH25),'2024年-挂账付款'!U25,IF('2024年-挂账付款'!$AX25-SUM('2024年-挂账付款'!V25:$AH25)&gt;0,'2024年-挂账付款'!$AX25-SUM('2024年-挂账付款'!V25:$AH25),0))</f>
        <v>0</v>
      </c>
      <c r="Y25" s="128">
        <f>IF('2024年-挂账付款'!$AX25&gt;=SUM('2024年-挂账付款'!V25:$AH25),'2024年-挂账付款'!V25,IF('2024年-挂账付款'!$AX25-SUM('2024年-挂账付款'!W25:$AH25)&gt;0,'2024年-挂账付款'!$AX25-SUM('2024年-挂账付款'!W25:$AH25),0))</f>
        <v>0</v>
      </c>
      <c r="Z25" s="128">
        <f>IF('2024年-挂账付款'!$AX25&gt;=SUM('2024年-挂账付款'!W25:$AH25),'2024年-挂账付款'!W25,IF('2024年-挂账付款'!$AX25-SUM('2024年-挂账付款'!X25:$AH25)&gt;0,'2024年-挂账付款'!$AX25-SUM('2024年-挂账付款'!X25:$AH25),0))</f>
        <v>281727.26</v>
      </c>
      <c r="AA25" s="167">
        <f>IF('2024年-挂账付款'!$AX25&gt;=SUM('2024年-挂账付款'!X25:$AH25),'2024年-挂账付款'!X25,IF('2024年-挂账付款'!$AX25-SUM('2024年-挂账付款'!Y25:$AH25)&gt;0,'2024年-挂账付款'!$AX25-SUM('2024年-挂账付款'!Y25:$AH25),0))</f>
        <v>369938.84</v>
      </c>
      <c r="AB25" s="128">
        <f>IF('2024年-挂账付款'!$AX25&gt;=SUM('2024年-挂账付款'!Y25:$AH25),'2024年-挂账付款'!Y25,IF('2024年-挂账付款'!$AX25-SUM('2024年-挂账付款'!Z25:$AH25)&gt;0,'2024年-挂账付款'!$AX25-SUM('2024年-挂账付款'!Z25:$AH25),0))</f>
        <v>0</v>
      </c>
      <c r="AC25" s="128">
        <f>IF('2024年-挂账付款'!$AX25&gt;=SUM('2024年-挂账付款'!Z25:$AH25),'2024年-挂账付款'!Z25,IF('2024年-挂账付款'!$AX25-SUM('2024年-挂账付款'!AA25:$AH25)&gt;0,'2024年-挂账付款'!$AX25-SUM('2024年-挂账付款'!AA25:$AH25),0))</f>
        <v>0</v>
      </c>
      <c r="AD25" s="128">
        <f>IF('2024年-挂账付款'!$AX25&gt;=SUM('2024年-挂账付款'!AA25:$AH25),'2024年-挂账付款'!AA25,IF('2024年-挂账付款'!$AX25-SUM('2024年-挂账付款'!AB25:$AH25)&gt;0,'2024年-挂账付款'!$AX25-SUM('2024年-挂账付款'!AB25:$AH25),0))</f>
        <v>0</v>
      </c>
      <c r="AE25" s="128">
        <f>IF('2024年-挂账付款'!$AX25&gt;=SUM('2024年-挂账付款'!AB25:$AH25),'2024年-挂账付款'!AB25,IF('2024年-挂账付款'!$AX25-SUM('2024年-挂账付款'!AC25:$AH25)&gt;0,'2024年-挂账付款'!$AX25-SUM('2024年-挂账付款'!AC25:$AH25),0))</f>
        <v>0</v>
      </c>
      <c r="AF25" s="128">
        <f>IF('2024年-挂账付款'!$AX25&gt;=SUM('2024年-挂账付款'!AC25:$AH25),'2024年-挂账付款'!AC25,IF('2024年-挂账付款'!$AX25-SUM('2024年-挂账付款'!AD25:$AH25)&gt;0,'2024年-挂账付款'!$AX25-SUM('2024年-挂账付款'!AD25:$AH25),0))</f>
        <v>0</v>
      </c>
      <c r="AG25" s="128">
        <f>IF('2024年-挂账付款'!$AX25&gt;=SUM('2024年-挂账付款'!AD25:$AH25),'2024年-挂账付款'!AD25,IF('2024年-挂账付款'!$AX25-SUM('2024年-挂账付款'!AE25:$AH25)&gt;0,'2024年-挂账付款'!$AX25-SUM('2024年-挂账付款'!AE25:$AH25),0))</f>
        <v>0</v>
      </c>
      <c r="AH25" s="128">
        <f>IF('2024年-挂账付款'!$AX25&gt;=SUM('2024年-挂账付款'!AE25:$AH25),'2024年-挂账付款'!AE25,IF('2024年-挂账付款'!$AX25-SUM('2024年-挂账付款'!AF25:$AH25)&gt;0,'2024年-挂账付款'!$AX25-SUM('2024年-挂账付款'!AF25:$AH25),0))</f>
        <v>0</v>
      </c>
      <c r="AI25" s="128">
        <f>IF('2024年-挂账付款'!$AX25&gt;=SUM('2024年-挂账付款'!AF25:$AH25),'2024年-挂账付款'!AF25,IF('2024年-挂账付款'!$AX25-SUM('2024年-挂账付款'!AG25:$AH25)&gt;0,'2024年-挂账付款'!$AX25-SUM('2024年-挂账付款'!AG25:$AH25),0))</f>
        <v>0</v>
      </c>
      <c r="AJ25" s="128">
        <f>IF('2024年-挂账付款'!$AX25&gt;=SUM('2024年-挂账付款'!AG25:$AH25),'2024年-挂账付款'!AG25,IF('2024年-挂账付款'!$AX25-SUM('2024年-挂账付款'!AH25:$AH25)&gt;0,'2024年-挂账付款'!$AX25-SUM('2024年-挂账付款'!AH25:$AH25),0))</f>
        <v>0</v>
      </c>
      <c r="AK25" s="128">
        <f>IF('2024年-挂账付款'!$AX25&gt;=SUM('2024年-挂账付款'!AH25:$AH25),'2024年-挂账付款'!AH25,IF('2024年-挂账付款'!$AX25-SUM('2024年-挂账付款'!$AH25:AI25)&gt;0,'2024年-挂账付款'!$AX25-SUM('2024年-挂账付款'!$AH25:AI25),0))</f>
        <v>0</v>
      </c>
      <c r="AL25" s="182" t="s">
        <v>426</v>
      </c>
      <c r="AM25" s="183" t="s">
        <v>480</v>
      </c>
      <c r="AN25" s="176">
        <f t="shared" si="1"/>
        <v>37563.6346666667</v>
      </c>
      <c r="AO25" s="203"/>
      <c r="AP25" s="204"/>
      <c r="AQ25" s="205"/>
      <c r="AR25" s="206"/>
    </row>
    <row r="26" s="107" customFormat="1" ht="18" customHeight="1" spans="1:44">
      <c r="A26" s="122"/>
      <c r="B26" s="129" t="s">
        <v>81</v>
      </c>
      <c r="C26" s="130" t="s">
        <v>271</v>
      </c>
      <c r="D26" s="130" t="s">
        <v>272</v>
      </c>
      <c r="E26" s="131">
        <v>90</v>
      </c>
      <c r="F26" s="126">
        <f t="shared" si="3"/>
        <v>16581.89</v>
      </c>
      <c r="G26" s="127">
        <f t="shared" si="0"/>
        <v>16581.89</v>
      </c>
      <c r="H26" s="128">
        <f>IF('2024年-挂账付款'!$AX26&gt;=SUM('2024年-挂账付款'!E26:$AH26),'2024年-挂账付款'!E26,IF('2024年-挂账付款'!$AX26-SUM('2024年-挂账付款'!F26:$AH26)&gt;0,'2024年-挂账付款'!$AX26-SUM('2024年-挂账付款'!F26:$AH26),0))</f>
        <v>0</v>
      </c>
      <c r="I26" s="128">
        <f>IF('2024年-挂账付款'!$AX26&gt;=SUM('2024年-挂账付款'!F26:$AH26),'2024年-挂账付款'!F26,IF('2024年-挂账付款'!$AX26-SUM('2024年-挂账付款'!G26:$AH26)&gt;0,'2024年-挂账付款'!$AX26-SUM('2024年-挂账付款'!G26:$AH26),0))</f>
        <v>0</v>
      </c>
      <c r="J26" s="128">
        <f>IF('2024年-挂账付款'!$AX26&gt;=SUM('2024年-挂账付款'!G26:$AH26),'2024年-挂账付款'!G26,IF('2024年-挂账付款'!$AX26-SUM('2024年-挂账付款'!H26:$AH26)&gt;0,'2024年-挂账付款'!$AX26-SUM('2024年-挂账付款'!H26:$AH26),0))</f>
        <v>0</v>
      </c>
      <c r="K26" s="128">
        <f>IF('2024年-挂账付款'!$AX26&gt;=SUM('2024年-挂账付款'!H26:$AH26),'2024年-挂账付款'!H26,IF('2024年-挂账付款'!$AX26-SUM('2024年-挂账付款'!I26:$AH26)&gt;0,'2024年-挂账付款'!$AX26-SUM('2024年-挂账付款'!I26:$AH26),0))</f>
        <v>0</v>
      </c>
      <c r="L26" s="128">
        <f>IF('2024年-挂账付款'!$AX26&gt;=SUM('2024年-挂账付款'!I26:$AH26),'2024年-挂账付款'!I26,IF('2024年-挂账付款'!$AX26-SUM('2024年-挂账付款'!J26:$AH26)&gt;0,'2024年-挂账付款'!$AX26-SUM('2024年-挂账付款'!J26:$AH26),0))</f>
        <v>0</v>
      </c>
      <c r="M26" s="128">
        <f>IF('2024年-挂账付款'!$AX26&gt;=SUM('2024年-挂账付款'!J26:$AH26),'2024年-挂账付款'!J26,IF('2024年-挂账付款'!$AX26-SUM('2024年-挂账付款'!K26:$AH26)&gt;0,'2024年-挂账付款'!$AX26-SUM('2024年-挂账付款'!K26:$AH26),0))</f>
        <v>0</v>
      </c>
      <c r="N26" s="128">
        <f>IF('2024年-挂账付款'!$AX26&gt;=SUM('2024年-挂账付款'!K26:$AH26),'2024年-挂账付款'!K26,IF('2024年-挂账付款'!$AX26-SUM('2024年-挂账付款'!L26:$AH26)&gt;0,'2024年-挂账付款'!$AX26-SUM('2024年-挂账付款'!L26:$AH26),0))</f>
        <v>0</v>
      </c>
      <c r="O26" s="128">
        <f>IF('2024年-挂账付款'!$AX26&gt;=SUM('2024年-挂账付款'!L26:$AH26),'2024年-挂账付款'!L26,IF('2024年-挂账付款'!$AX26-SUM('2024年-挂账付款'!M26:$AH26)&gt;0,'2024年-挂账付款'!$AX26-SUM('2024年-挂账付款'!M26:$AH26),0))</f>
        <v>0</v>
      </c>
      <c r="P26" s="128">
        <f>IF('2024年-挂账付款'!$AX26&gt;=SUM('2024年-挂账付款'!M26:$AH26),'2024年-挂账付款'!M26,IF('2024年-挂账付款'!$AX26-SUM('2024年-挂账付款'!N26:$AH26)&gt;0,'2024年-挂账付款'!$AX26-SUM('2024年-挂账付款'!N26:$AH26),0))</f>
        <v>0</v>
      </c>
      <c r="Q26" s="128">
        <f>IF('2024年-挂账付款'!$AX26&gt;=SUM('2024年-挂账付款'!N26:$AH26),'2024年-挂账付款'!N26,IF('2024年-挂账付款'!$AX26-SUM('2024年-挂账付款'!O26:$AH26)&gt;0,'2024年-挂账付款'!$AX26-SUM('2024年-挂账付款'!O26:$AH26),0))</f>
        <v>0</v>
      </c>
      <c r="R26" s="128">
        <f>IF('2024年-挂账付款'!$AX26&gt;=SUM('2024年-挂账付款'!O26:$AH26),'2024年-挂账付款'!O26,IF('2024年-挂账付款'!$AX26-SUM('2024年-挂账付款'!P26:$AH26)&gt;0,'2024年-挂账付款'!$AX26-SUM('2024年-挂账付款'!P26:$AH26),0))</f>
        <v>0</v>
      </c>
      <c r="S26" s="128">
        <f>IF('2024年-挂账付款'!$AX26&gt;=SUM('2024年-挂账付款'!P26:$AH26),'2024年-挂账付款'!P26,IF('2024年-挂账付款'!$AX26-SUM('2024年-挂账付款'!Q26:$AH26)&gt;0,'2024年-挂账付款'!$AX26-SUM('2024年-挂账付款'!Q26:$AH26),0))</f>
        <v>0</v>
      </c>
      <c r="T26" s="128">
        <f>IF('2024年-挂账付款'!$AX26&gt;=SUM('2024年-挂账付款'!Q26:$AH26),'2024年-挂账付款'!Q26,IF('2024年-挂账付款'!$AX26-SUM('2024年-挂账付款'!R26:$AH26)&gt;0,'2024年-挂账付款'!$AX26-SUM('2024年-挂账付款'!R26:$AH26),0))</f>
        <v>0</v>
      </c>
      <c r="U26" s="128">
        <f>IF('2024年-挂账付款'!$AX26&gt;=SUM('2024年-挂账付款'!R26:$AH26),'2024年-挂账付款'!R26,IF('2024年-挂账付款'!$AX26-SUM('2024年-挂账付款'!S26:$AH26)&gt;0,'2024年-挂账付款'!$AX26-SUM('2024年-挂账付款'!S26:$AH26),0))</f>
        <v>6222.04999999999</v>
      </c>
      <c r="V26" s="128">
        <f>IF('2024年-挂账付款'!$AX26&gt;=SUM('2024年-挂账付款'!S26:$AH26),'2024年-挂账付款'!S26,IF('2024年-挂账付款'!$AX26-SUM('2024年-挂账付款'!T26:$AH26)&gt;0,'2024年-挂账付款'!$AX26-SUM('2024年-挂账付款'!T26:$AH26),0))</f>
        <v>0</v>
      </c>
      <c r="W26" s="128">
        <f>IF('2024年-挂账付款'!$AX26&gt;=SUM('2024年-挂账付款'!T26:$AH26),'2024年-挂账付款'!T26,IF('2024年-挂账付款'!$AX26-SUM('2024年-挂账付款'!U26:$AH26)&gt;0,'2024年-挂账付款'!$AX26-SUM('2024年-挂账付款'!U26:$AH26),0))</f>
        <v>10359.84</v>
      </c>
      <c r="X26" s="128">
        <f>IF('2024年-挂账付款'!$AX26&gt;=SUM('2024年-挂账付款'!U26:$AH26),'2024年-挂账付款'!U26,IF('2024年-挂账付款'!$AX26-SUM('2024年-挂账付款'!V26:$AH26)&gt;0,'2024年-挂账付款'!$AX26-SUM('2024年-挂账付款'!V26:$AH26),0))</f>
        <v>0</v>
      </c>
      <c r="Y26" s="128">
        <f>IF('2024年-挂账付款'!$AX26&gt;=SUM('2024年-挂账付款'!V26:$AH26),'2024年-挂账付款'!V26,IF('2024年-挂账付款'!$AX26-SUM('2024年-挂账付款'!W26:$AH26)&gt;0,'2024年-挂账付款'!$AX26-SUM('2024年-挂账付款'!W26:$AH26),0))</f>
        <v>0</v>
      </c>
      <c r="Z26" s="128">
        <f>IF('2024年-挂账付款'!$AX26&gt;=SUM('2024年-挂账付款'!W26:$AH26),'2024年-挂账付款'!W26,IF('2024年-挂账付款'!$AX26-SUM('2024年-挂账付款'!X26:$AH26)&gt;0,'2024年-挂账付款'!$AX26-SUM('2024年-挂账付款'!X26:$AH26),0))</f>
        <v>0</v>
      </c>
      <c r="AA26" s="167">
        <f>IF('2024年-挂账付款'!$AX26&gt;=SUM('2024年-挂账付款'!X26:$AH26),'2024年-挂账付款'!X26,IF('2024年-挂账付款'!$AX26-SUM('2024年-挂账付款'!Y26:$AH26)&gt;0,'2024年-挂账付款'!$AX26-SUM('2024年-挂账付款'!Y26:$AH26),0))</f>
        <v>0</v>
      </c>
      <c r="AB26" s="128">
        <f>IF('2024年-挂账付款'!$AX26&gt;=SUM('2024年-挂账付款'!Y26:$AH26),'2024年-挂账付款'!Y26,IF('2024年-挂账付款'!$AX26-SUM('2024年-挂账付款'!Z26:$AH26)&gt;0,'2024年-挂账付款'!$AX26-SUM('2024年-挂账付款'!Z26:$AH26),0))</f>
        <v>0</v>
      </c>
      <c r="AC26" s="128">
        <f>IF('2024年-挂账付款'!$AX26&gt;=SUM('2024年-挂账付款'!Z26:$AH26),'2024年-挂账付款'!Z26,IF('2024年-挂账付款'!$AX26-SUM('2024年-挂账付款'!AA26:$AH26)&gt;0,'2024年-挂账付款'!$AX26-SUM('2024年-挂账付款'!AA26:$AH26),0))</f>
        <v>0</v>
      </c>
      <c r="AD26" s="128">
        <f>IF('2024年-挂账付款'!$AX26&gt;=SUM('2024年-挂账付款'!AA26:$AH26),'2024年-挂账付款'!AA26,IF('2024年-挂账付款'!$AX26-SUM('2024年-挂账付款'!AB26:$AH26)&gt;0,'2024年-挂账付款'!$AX26-SUM('2024年-挂账付款'!AB26:$AH26),0))</f>
        <v>0</v>
      </c>
      <c r="AE26" s="128">
        <f>IF('2024年-挂账付款'!$AX26&gt;=SUM('2024年-挂账付款'!AB26:$AH26),'2024年-挂账付款'!AB26,IF('2024年-挂账付款'!$AX26-SUM('2024年-挂账付款'!AC26:$AH26)&gt;0,'2024年-挂账付款'!$AX26-SUM('2024年-挂账付款'!AC26:$AH26),0))</f>
        <v>0</v>
      </c>
      <c r="AF26" s="128">
        <f>IF('2024年-挂账付款'!$AX26&gt;=SUM('2024年-挂账付款'!AC26:$AH26),'2024年-挂账付款'!AC26,IF('2024年-挂账付款'!$AX26-SUM('2024年-挂账付款'!AD26:$AH26)&gt;0,'2024年-挂账付款'!$AX26-SUM('2024年-挂账付款'!AD26:$AH26),0))</f>
        <v>0</v>
      </c>
      <c r="AG26" s="128">
        <f>IF('2024年-挂账付款'!$AX26&gt;=SUM('2024年-挂账付款'!AD26:$AH26),'2024年-挂账付款'!AD26,IF('2024年-挂账付款'!$AX26-SUM('2024年-挂账付款'!AE26:$AH26)&gt;0,'2024年-挂账付款'!$AX26-SUM('2024年-挂账付款'!AE26:$AH26),0))</f>
        <v>0</v>
      </c>
      <c r="AH26" s="128">
        <f>IF('2024年-挂账付款'!$AX26&gt;=SUM('2024年-挂账付款'!AE26:$AH26),'2024年-挂账付款'!AE26,IF('2024年-挂账付款'!$AX26-SUM('2024年-挂账付款'!AF26:$AH26)&gt;0,'2024年-挂账付款'!$AX26-SUM('2024年-挂账付款'!AF26:$AH26),0))</f>
        <v>0</v>
      </c>
      <c r="AI26" s="128">
        <f>IF('2024年-挂账付款'!$AX26&gt;=SUM('2024年-挂账付款'!AF26:$AH26),'2024年-挂账付款'!AF26,IF('2024年-挂账付款'!$AX26-SUM('2024年-挂账付款'!AG26:$AH26)&gt;0,'2024年-挂账付款'!$AX26-SUM('2024年-挂账付款'!AG26:$AH26),0))</f>
        <v>0</v>
      </c>
      <c r="AJ26" s="128">
        <f>IF('2024年-挂账付款'!$AX26&gt;=SUM('2024年-挂账付款'!AG26:$AH26),'2024年-挂账付款'!AG26,IF('2024年-挂账付款'!$AX26-SUM('2024年-挂账付款'!AH26:$AH26)&gt;0,'2024年-挂账付款'!$AX26-SUM('2024年-挂账付款'!AH26:$AH26),0))</f>
        <v>0</v>
      </c>
      <c r="AK26" s="128">
        <f>IF('2024年-挂账付款'!$AX26&gt;=SUM('2024年-挂账付款'!AH26:$AH26),'2024年-挂账付款'!AH26,IF('2024年-挂账付款'!$AX26-SUM('2024年-挂账付款'!$AH26:AI26)&gt;0,'2024年-挂账付款'!$AX26-SUM('2024年-挂账付款'!$AH26:AI26),0))</f>
        <v>0</v>
      </c>
      <c r="AL26" s="177" t="s">
        <v>426</v>
      </c>
      <c r="AM26" s="175"/>
      <c r="AN26" s="176">
        <f t="shared" si="1"/>
        <v>2210.91866666667</v>
      </c>
      <c r="AO26" s="203">
        <v>8000</v>
      </c>
      <c r="AP26" s="204"/>
      <c r="AQ26" s="205"/>
      <c r="AR26" s="206">
        <v>10000</v>
      </c>
    </row>
    <row r="27" s="108" customFormat="1" ht="18" customHeight="1" spans="1:44">
      <c r="A27" s="132"/>
      <c r="B27" s="142" t="s">
        <v>81</v>
      </c>
      <c r="C27" s="134" t="s">
        <v>332</v>
      </c>
      <c r="D27" s="134" t="s">
        <v>333</v>
      </c>
      <c r="E27" s="135">
        <v>90</v>
      </c>
      <c r="F27" s="136">
        <f>IF(SUM(H27:Y27)&gt;0,SUM(H27:Y27),0)</f>
        <v>250693.63</v>
      </c>
      <c r="G27" s="137">
        <f t="shared" si="0"/>
        <v>1220247.39</v>
      </c>
      <c r="H27" s="138">
        <f>IF('2024年-挂账付款'!$AX27&gt;=SUM('2024年-挂账付款'!E27:$AH27),'2024年-挂账付款'!E27,IF('2024年-挂账付款'!$AX27-SUM('2024年-挂账付款'!F27:$AH27)&gt;0,'2024年-挂账付款'!$AX27-SUM('2024年-挂账付款'!F27:$AH27),0))</f>
        <v>0</v>
      </c>
      <c r="I27" s="138">
        <f>IF('2024年-挂账付款'!$AX27&gt;=SUM('2024年-挂账付款'!F27:$AH27),'2024年-挂账付款'!F27,IF('2024年-挂账付款'!$AX27-SUM('2024年-挂账付款'!G27:$AH27)&gt;0,'2024年-挂账付款'!$AX27-SUM('2024年-挂账付款'!G27:$AH27),0))</f>
        <v>0</v>
      </c>
      <c r="J27" s="138">
        <f>IF('2024年-挂账付款'!$AX27&gt;=SUM('2024年-挂账付款'!G27:$AH27),'2024年-挂账付款'!G27,IF('2024年-挂账付款'!$AX27-SUM('2024年-挂账付款'!H27:$AH27)&gt;0,'2024年-挂账付款'!$AX27-SUM('2024年-挂账付款'!H27:$AH27),0))</f>
        <v>0</v>
      </c>
      <c r="K27" s="138">
        <f>IF('2024年-挂账付款'!$AX27&gt;=SUM('2024年-挂账付款'!H27:$AH27),'2024年-挂账付款'!H27,IF('2024年-挂账付款'!$AX27-SUM('2024年-挂账付款'!I27:$AH27)&gt;0,'2024年-挂账付款'!$AX27-SUM('2024年-挂账付款'!I27:$AH27),0))</f>
        <v>0</v>
      </c>
      <c r="L27" s="138">
        <f>IF('2024年-挂账付款'!$AX27&gt;=SUM('2024年-挂账付款'!I27:$AH27),'2024年-挂账付款'!I27,IF('2024年-挂账付款'!$AX27-SUM('2024年-挂账付款'!J27:$AH27)&gt;0,'2024年-挂账付款'!$AX27-SUM('2024年-挂账付款'!J27:$AH27),0))</f>
        <v>0</v>
      </c>
      <c r="M27" s="138">
        <f>IF('2024年-挂账付款'!$AX27&gt;=SUM('2024年-挂账付款'!J27:$AH27),'2024年-挂账付款'!J27,IF('2024年-挂账付款'!$AX27-SUM('2024年-挂账付款'!K27:$AH27)&gt;0,'2024年-挂账付款'!$AX27-SUM('2024年-挂账付款'!K27:$AH27),0))</f>
        <v>0</v>
      </c>
      <c r="N27" s="138">
        <f>IF('2024年-挂账付款'!$AX27&gt;=SUM('2024年-挂账付款'!K27:$AH27),'2024年-挂账付款'!K27,IF('2024年-挂账付款'!$AX27-SUM('2024年-挂账付款'!L27:$AH27)&gt;0,'2024年-挂账付款'!$AX27-SUM('2024年-挂账付款'!L27:$AH27),0))</f>
        <v>0</v>
      </c>
      <c r="O27" s="138">
        <f>IF('2024年-挂账付款'!$AX27&gt;=SUM('2024年-挂账付款'!L27:$AH27),'2024年-挂账付款'!L27,IF('2024年-挂账付款'!$AX27-SUM('2024年-挂账付款'!M27:$AH27)&gt;0,'2024年-挂账付款'!$AX27-SUM('2024年-挂账付款'!M27:$AH27),0))</f>
        <v>0</v>
      </c>
      <c r="P27" s="138">
        <f>IF('2024年-挂账付款'!$AX27&gt;=SUM('2024年-挂账付款'!M27:$AH27),'2024年-挂账付款'!M27,IF('2024年-挂账付款'!$AX27-SUM('2024年-挂账付款'!N27:$AH27)&gt;0,'2024年-挂账付款'!$AX27-SUM('2024年-挂账付款'!N27:$AH27),0))</f>
        <v>0</v>
      </c>
      <c r="Q27" s="138">
        <f>IF('2024年-挂账付款'!$AX27&gt;=SUM('2024年-挂账付款'!N27:$AH27),'2024年-挂账付款'!N27,IF('2024年-挂账付款'!$AX27-SUM('2024年-挂账付款'!O27:$AH27)&gt;0,'2024年-挂账付款'!$AX27-SUM('2024年-挂账付款'!O27:$AH27),0))</f>
        <v>0</v>
      </c>
      <c r="R27" s="138">
        <f>IF('2024年-挂账付款'!$AX27&gt;=SUM('2024年-挂账付款'!O27:$AH27),'2024年-挂账付款'!O27,IF('2024年-挂账付款'!$AX27-SUM('2024年-挂账付款'!P27:$AH27)&gt;0,'2024年-挂账付款'!$AX27-SUM('2024年-挂账付款'!P27:$AH27),0))</f>
        <v>0</v>
      </c>
      <c r="S27" s="138">
        <f>IF('2024年-挂账付款'!$AX27&gt;=SUM('2024年-挂账付款'!P27:$AH27),'2024年-挂账付款'!P27,IF('2024年-挂账付款'!$AX27-SUM('2024年-挂账付款'!Q27:$AH27)&gt;0,'2024年-挂账付款'!$AX27-SUM('2024年-挂账付款'!Q27:$AH27),0))</f>
        <v>0</v>
      </c>
      <c r="T27" s="138">
        <f>IF('2024年-挂账付款'!$AX27&gt;=SUM('2024年-挂账付款'!Q27:$AH27),'2024年-挂账付款'!Q27,IF('2024年-挂账付款'!$AX27-SUM('2024年-挂账付款'!R27:$AH27)&gt;0,'2024年-挂账付款'!$AX27-SUM('2024年-挂账付款'!R27:$AH27),0))</f>
        <v>0</v>
      </c>
      <c r="U27" s="138">
        <f>IF('2024年-挂账付款'!$AX27&gt;=SUM('2024年-挂账付款'!R27:$AH27),'2024年-挂账付款'!R27,IF('2024年-挂账付款'!$AX27-SUM('2024年-挂账付款'!S27:$AH27)&gt;0,'2024年-挂账付款'!$AX27-SUM('2024年-挂账付款'!S27:$AH27),0))</f>
        <v>0</v>
      </c>
      <c r="V27" s="138">
        <f>IF('2024年-挂账付款'!$AX27&gt;=SUM('2024年-挂账付款'!S27:$AH27),'2024年-挂账付款'!S27,IF('2024年-挂账付款'!$AX27-SUM('2024年-挂账付款'!T27:$AH27)&gt;0,'2024年-挂账付款'!$AX27-SUM('2024年-挂账付款'!T27:$AH27),0))</f>
        <v>0</v>
      </c>
      <c r="W27" s="138">
        <f>IF('2024年-挂账付款'!$AX27&gt;=SUM('2024年-挂账付款'!T27:$AH27),'2024年-挂账付款'!T27,IF('2024年-挂账付款'!$AX27-SUM('2024年-挂账付款'!U27:$AH27)&gt;0,'2024年-挂账付款'!$AX27-SUM('2024年-挂账付款'!U27:$AH27),0))</f>
        <v>0</v>
      </c>
      <c r="X27" s="138">
        <f>IF('2024年-挂账付款'!$AX27&gt;=SUM('2024年-挂账付款'!U27:$AH27),'2024年-挂账付款'!U27,IF('2024年-挂账付款'!$AX27-SUM('2024年-挂账付款'!V27:$AH27)&gt;0,'2024年-挂账付款'!$AX27-SUM('2024年-挂账付款'!V27:$AH27),0))</f>
        <v>0</v>
      </c>
      <c r="Y27" s="138">
        <f>IF('2024年-挂账付款'!$AX27&gt;=SUM('2024年-挂账付款'!V27:$AH27),'2024年-挂账付款'!V27,IF('2024年-挂账付款'!$AX27-SUM('2024年-挂账付款'!W27:$AH27)&gt;0,'2024年-挂账付款'!$AX27-SUM('2024年-挂账付款'!W27:$AH27),0))</f>
        <v>250693.63</v>
      </c>
      <c r="Z27" s="138">
        <f>IF('2024年-挂账付款'!$AX27&gt;=SUM('2024年-挂账付款'!W27:$AH27),'2024年-挂账付款'!W27,IF('2024年-挂账付款'!$AX27-SUM('2024年-挂账付款'!X27:$AH27)&gt;0,'2024年-挂账付款'!$AX27-SUM('2024年-挂账付款'!X27:$AH27),0))</f>
        <v>637946.76</v>
      </c>
      <c r="AA27" s="168">
        <f>IF('2024年-挂账付款'!$AX27&gt;=SUM('2024年-挂账付款'!X27:$AH27),'2024年-挂账付款'!X27,IF('2024年-挂账付款'!$AX27-SUM('2024年-挂账付款'!Y27:$AH27)&gt;0,'2024年-挂账付款'!$AX27-SUM('2024年-挂账付款'!Y27:$AH27),0))</f>
        <v>331607</v>
      </c>
      <c r="AB27" s="138">
        <f>IF('2024年-挂账付款'!$AX27&gt;=SUM('2024年-挂账付款'!Y27:$AH27),'2024年-挂账付款'!Y27,IF('2024年-挂账付款'!$AX27-SUM('2024年-挂账付款'!Z27:$AH27)&gt;0,'2024年-挂账付款'!$AX27-SUM('2024年-挂账付款'!Z27:$AH27),0))</f>
        <v>0</v>
      </c>
      <c r="AC27" s="138">
        <f>IF('2024年-挂账付款'!$AX27&gt;=SUM('2024年-挂账付款'!Z27:$AH27),'2024年-挂账付款'!Z27,IF('2024年-挂账付款'!$AX27-SUM('2024年-挂账付款'!AA27:$AH27)&gt;0,'2024年-挂账付款'!$AX27-SUM('2024年-挂账付款'!AA27:$AH27),0))</f>
        <v>0</v>
      </c>
      <c r="AD27" s="138">
        <f>IF('2024年-挂账付款'!$AX27&gt;=SUM('2024年-挂账付款'!AA27:$AH27),'2024年-挂账付款'!AA27,IF('2024年-挂账付款'!$AX27-SUM('2024年-挂账付款'!AB27:$AH27)&gt;0,'2024年-挂账付款'!$AX27-SUM('2024年-挂账付款'!AB27:$AH27),0))</f>
        <v>0</v>
      </c>
      <c r="AE27" s="138">
        <f>IF('2024年-挂账付款'!$AX27&gt;=SUM('2024年-挂账付款'!AB27:$AH27),'2024年-挂账付款'!AB27,IF('2024年-挂账付款'!$AX27-SUM('2024年-挂账付款'!AC27:$AH27)&gt;0,'2024年-挂账付款'!$AX27-SUM('2024年-挂账付款'!AC27:$AH27),0))</f>
        <v>0</v>
      </c>
      <c r="AF27" s="138">
        <f>IF('2024年-挂账付款'!$AX27&gt;=SUM('2024年-挂账付款'!AC27:$AH27),'2024年-挂账付款'!AC27,IF('2024年-挂账付款'!$AX27-SUM('2024年-挂账付款'!AD27:$AH27)&gt;0,'2024年-挂账付款'!$AX27-SUM('2024年-挂账付款'!AD27:$AH27),0))</f>
        <v>0</v>
      </c>
      <c r="AG27" s="138">
        <f>IF('2024年-挂账付款'!$AX27&gt;=SUM('2024年-挂账付款'!AD27:$AH27),'2024年-挂账付款'!AD27,IF('2024年-挂账付款'!$AX27-SUM('2024年-挂账付款'!AE27:$AH27)&gt;0,'2024年-挂账付款'!$AX27-SUM('2024年-挂账付款'!AE27:$AH27),0))</f>
        <v>0</v>
      </c>
      <c r="AH27" s="138">
        <f>IF('2024年-挂账付款'!$AX27&gt;=SUM('2024年-挂账付款'!AE27:$AH27),'2024年-挂账付款'!AE27,IF('2024年-挂账付款'!$AX27-SUM('2024年-挂账付款'!AF27:$AH27)&gt;0,'2024年-挂账付款'!$AX27-SUM('2024年-挂账付款'!AF27:$AH27),0))</f>
        <v>0</v>
      </c>
      <c r="AI27" s="138">
        <f>IF('2024年-挂账付款'!$AX27&gt;=SUM('2024年-挂账付款'!AF27:$AH27),'2024年-挂账付款'!AF27,IF('2024年-挂账付款'!$AX27-SUM('2024年-挂账付款'!AG27:$AH27)&gt;0,'2024年-挂账付款'!$AX27-SUM('2024年-挂账付款'!AG27:$AH27),0))</f>
        <v>0</v>
      </c>
      <c r="AJ27" s="138">
        <f>IF('2024年-挂账付款'!$AX27&gt;=SUM('2024年-挂账付款'!AG27:$AH27),'2024年-挂账付款'!AG27,IF('2024年-挂账付款'!$AX27-SUM('2024年-挂账付款'!AH27:$AH27)&gt;0,'2024年-挂账付款'!$AX27-SUM('2024年-挂账付款'!AH27:$AH27),0))</f>
        <v>0</v>
      </c>
      <c r="AK27" s="138">
        <f>IF('2024年-挂账付款'!$AX27&gt;=SUM('2024年-挂账付款'!AH27:$AH27),'2024年-挂账付款'!AH27,IF('2024年-挂账付款'!$AX27-SUM('2024年-挂账付款'!$AH27:AI27)&gt;0,'2024年-挂账付款'!$AX27-SUM('2024年-挂账付款'!$AH27:AI27),0))</f>
        <v>0</v>
      </c>
      <c r="AL27" s="185" t="s">
        <v>426</v>
      </c>
      <c r="AM27" s="186"/>
      <c r="AN27" s="180">
        <f t="shared" si="1"/>
        <v>118485.385333333</v>
      </c>
      <c r="AO27" s="207">
        <f>F27</f>
        <v>250693.63</v>
      </c>
      <c r="AP27" s="208"/>
      <c r="AQ27" s="205"/>
      <c r="AR27" s="206">
        <v>50000</v>
      </c>
    </row>
    <row r="28" s="107" customFormat="1" ht="18" customHeight="1" spans="1:44">
      <c r="A28" s="122"/>
      <c r="B28" s="129" t="s">
        <v>81</v>
      </c>
      <c r="C28" s="130" t="s">
        <v>136</v>
      </c>
      <c r="D28" s="130" t="s">
        <v>137</v>
      </c>
      <c r="E28" s="131">
        <v>90</v>
      </c>
      <c r="F28" s="126">
        <f t="shared" si="3"/>
        <v>301257.19</v>
      </c>
      <c r="G28" s="127">
        <f t="shared" si="0"/>
        <v>301257.19</v>
      </c>
      <c r="H28" s="128">
        <f>IF('2024年-挂账付款'!$AX28&gt;=SUM('2024年-挂账付款'!E28:$AH28),'2024年-挂账付款'!E28,IF('2024年-挂账付款'!$AX28-SUM('2024年-挂账付款'!F28:$AH28)&gt;0,'2024年-挂账付款'!$AX28-SUM('2024年-挂账付款'!F28:$AH28),0))</f>
        <v>0</v>
      </c>
      <c r="I28" s="128">
        <f>IF('2024年-挂账付款'!$AX28&gt;=SUM('2024年-挂账付款'!F28:$AH28),'2024年-挂账付款'!F28,IF('2024年-挂账付款'!$AX28-SUM('2024年-挂账付款'!G28:$AH28)&gt;0,'2024年-挂账付款'!$AX28-SUM('2024年-挂账付款'!G28:$AH28),0))</f>
        <v>0</v>
      </c>
      <c r="J28" s="128">
        <f>IF('2024年-挂账付款'!$AX28&gt;=SUM('2024年-挂账付款'!G28:$AH28),'2024年-挂账付款'!G28,IF('2024年-挂账付款'!$AX28-SUM('2024年-挂账付款'!H28:$AH28)&gt;0,'2024年-挂账付款'!$AX28-SUM('2024年-挂账付款'!H28:$AH28),0))</f>
        <v>0</v>
      </c>
      <c r="K28" s="128">
        <f>IF('2024年-挂账付款'!$AX28&gt;=SUM('2024年-挂账付款'!H28:$AH28),'2024年-挂账付款'!H28,IF('2024年-挂账付款'!$AX28-SUM('2024年-挂账付款'!I28:$AH28)&gt;0,'2024年-挂账付款'!$AX28-SUM('2024年-挂账付款'!I28:$AH28),0))</f>
        <v>0</v>
      </c>
      <c r="L28" s="128">
        <f>IF('2024年-挂账付款'!$AX28&gt;=SUM('2024年-挂账付款'!I28:$AH28),'2024年-挂账付款'!I28,IF('2024年-挂账付款'!$AX28-SUM('2024年-挂账付款'!J28:$AH28)&gt;0,'2024年-挂账付款'!$AX28-SUM('2024年-挂账付款'!J28:$AH28),0))</f>
        <v>0</v>
      </c>
      <c r="M28" s="128">
        <f>IF('2024年-挂账付款'!$AX28&gt;=SUM('2024年-挂账付款'!J28:$AH28),'2024年-挂账付款'!J28,IF('2024年-挂账付款'!$AX28-SUM('2024年-挂账付款'!K28:$AH28)&gt;0,'2024年-挂账付款'!$AX28-SUM('2024年-挂账付款'!K28:$AH28),0))</f>
        <v>0</v>
      </c>
      <c r="N28" s="128">
        <f>IF('2024年-挂账付款'!$AX28&gt;=SUM('2024年-挂账付款'!K28:$AH28),'2024年-挂账付款'!K28,IF('2024年-挂账付款'!$AX28-SUM('2024年-挂账付款'!L28:$AH28)&gt;0,'2024年-挂账付款'!$AX28-SUM('2024年-挂账付款'!L28:$AH28),0))</f>
        <v>0</v>
      </c>
      <c r="O28" s="128">
        <f>IF('2024年-挂账付款'!$AX28&gt;=SUM('2024年-挂账付款'!L28:$AH28),'2024年-挂账付款'!L28,IF('2024年-挂账付款'!$AX28-SUM('2024年-挂账付款'!M28:$AH28)&gt;0,'2024年-挂账付款'!$AX28-SUM('2024年-挂账付款'!M28:$AH28),0))</f>
        <v>0</v>
      </c>
      <c r="P28" s="128">
        <f>IF('2024年-挂账付款'!$AX28&gt;=SUM('2024年-挂账付款'!M28:$AH28),'2024年-挂账付款'!M28,IF('2024年-挂账付款'!$AX28-SUM('2024年-挂账付款'!N28:$AH28)&gt;0,'2024年-挂账付款'!$AX28-SUM('2024年-挂账付款'!N28:$AH28),0))</f>
        <v>0</v>
      </c>
      <c r="Q28" s="128">
        <f>IF('2024年-挂账付款'!$AX28&gt;=SUM('2024年-挂账付款'!N28:$AH28),'2024年-挂账付款'!N28,IF('2024年-挂账付款'!$AX28-SUM('2024年-挂账付款'!O28:$AH28)&gt;0,'2024年-挂账付款'!$AX28-SUM('2024年-挂账付款'!O28:$AH28),0))</f>
        <v>24135.1300000002</v>
      </c>
      <c r="R28" s="128">
        <f>IF('2024年-挂账付款'!$AX28&gt;=SUM('2024年-挂账付款'!O28:$AH28),'2024年-挂账付款'!O28,IF('2024年-挂账付款'!$AX28-SUM('2024年-挂账付款'!P28:$AH28)&gt;0,'2024年-挂账付款'!$AX28-SUM('2024年-挂账付款'!P28:$AH28),0))</f>
        <v>47545.77</v>
      </c>
      <c r="S28" s="128">
        <f>IF('2024年-挂账付款'!$AX28&gt;=SUM('2024年-挂账付款'!P28:$AH28),'2024年-挂账付款'!P28,IF('2024年-挂账付款'!$AX28-SUM('2024年-挂账付款'!Q28:$AH28)&gt;0,'2024年-挂账付款'!$AX28-SUM('2024年-挂账付款'!Q28:$AH28),0))</f>
        <v>0</v>
      </c>
      <c r="T28" s="128">
        <f>IF('2024年-挂账付款'!$AX28&gt;=SUM('2024年-挂账付款'!Q28:$AH28),'2024年-挂账付款'!Q28,IF('2024年-挂账付款'!$AX28-SUM('2024年-挂账付款'!R28:$AH28)&gt;0,'2024年-挂账付款'!$AX28-SUM('2024年-挂账付款'!R28:$AH28),0))</f>
        <v>91824.79</v>
      </c>
      <c r="U28" s="128">
        <f>IF('2024年-挂账付款'!$AX28&gt;=SUM('2024年-挂账付款'!R28:$AH28),'2024年-挂账付款'!R28,IF('2024年-挂账付款'!$AX28-SUM('2024年-挂账付款'!S28:$AH28)&gt;0,'2024年-挂账付款'!$AX28-SUM('2024年-挂账付款'!S28:$AH28),0))</f>
        <v>0</v>
      </c>
      <c r="V28" s="128">
        <f>IF('2024年-挂账付款'!$AX28&gt;=SUM('2024年-挂账付款'!S28:$AH28),'2024年-挂账付款'!S28,IF('2024年-挂账付款'!$AX28-SUM('2024年-挂账付款'!T28:$AH28)&gt;0,'2024年-挂账付款'!$AX28-SUM('2024年-挂账付款'!T28:$AH28),0))</f>
        <v>45900.5</v>
      </c>
      <c r="W28" s="128">
        <f>IF('2024年-挂账付款'!$AX28&gt;=SUM('2024年-挂账付款'!T28:$AH28),'2024年-挂账付款'!T28,IF('2024年-挂账付款'!$AX28-SUM('2024年-挂账付款'!U28:$AH28)&gt;0,'2024年-挂账付款'!$AX28-SUM('2024年-挂账付款'!U28:$AH28),0))</f>
        <v>45864.8</v>
      </c>
      <c r="X28" s="128">
        <f>IF('2024年-挂账付款'!$AX28&gt;=SUM('2024年-挂账付款'!U28:$AH28),'2024年-挂账付款'!U28,IF('2024年-挂账付款'!$AX28-SUM('2024年-挂账付款'!V28:$AH28)&gt;0,'2024年-挂账付款'!$AX28-SUM('2024年-挂账付款'!V28:$AH28),0))</f>
        <v>45986.2</v>
      </c>
      <c r="Y28" s="128">
        <f>IF('2024年-挂账付款'!$AX28&gt;=SUM('2024年-挂账付款'!V28:$AH28),'2024年-挂账付款'!V28,IF('2024年-挂账付款'!$AX28-SUM('2024年-挂账付款'!W28:$AH28)&gt;0,'2024年-挂账付款'!$AX28-SUM('2024年-挂账付款'!W28:$AH28),0))</f>
        <v>0</v>
      </c>
      <c r="Z28" s="128">
        <f>IF('2024年-挂账付款'!$AX28&gt;=SUM('2024年-挂账付款'!W28:$AH28),'2024年-挂账付款'!W28,IF('2024年-挂账付款'!$AX28-SUM('2024年-挂账付款'!X28:$AH28)&gt;0,'2024年-挂账付款'!$AX28-SUM('2024年-挂账付款'!X28:$AH28),0))</f>
        <v>0</v>
      </c>
      <c r="AA28" s="167">
        <f>IF('2024年-挂账付款'!$AX28&gt;=SUM('2024年-挂账付款'!X28:$AH28),'2024年-挂账付款'!X28,IF('2024年-挂账付款'!$AX28-SUM('2024年-挂账付款'!Y28:$AH28)&gt;0,'2024年-挂账付款'!$AX28-SUM('2024年-挂账付款'!Y28:$AH28),0))</f>
        <v>0</v>
      </c>
      <c r="AB28" s="128">
        <f>IF('2024年-挂账付款'!$AX28&gt;=SUM('2024年-挂账付款'!Y28:$AH28),'2024年-挂账付款'!Y28,IF('2024年-挂账付款'!$AX28-SUM('2024年-挂账付款'!Z28:$AH28)&gt;0,'2024年-挂账付款'!$AX28-SUM('2024年-挂账付款'!Z28:$AH28),0))</f>
        <v>0</v>
      </c>
      <c r="AC28" s="128">
        <f>IF('2024年-挂账付款'!$AX28&gt;=SUM('2024年-挂账付款'!Z28:$AH28),'2024年-挂账付款'!Z28,IF('2024年-挂账付款'!$AX28-SUM('2024年-挂账付款'!AA28:$AH28)&gt;0,'2024年-挂账付款'!$AX28-SUM('2024年-挂账付款'!AA28:$AH28),0))</f>
        <v>0</v>
      </c>
      <c r="AD28" s="128">
        <f>IF('2024年-挂账付款'!$AX28&gt;=SUM('2024年-挂账付款'!AA28:$AH28),'2024年-挂账付款'!AA28,IF('2024年-挂账付款'!$AX28-SUM('2024年-挂账付款'!AB28:$AH28)&gt;0,'2024年-挂账付款'!$AX28-SUM('2024年-挂账付款'!AB28:$AH28),0))</f>
        <v>0</v>
      </c>
      <c r="AE28" s="128">
        <f>IF('2024年-挂账付款'!$AX28&gt;=SUM('2024年-挂账付款'!AB28:$AH28),'2024年-挂账付款'!AB28,IF('2024年-挂账付款'!$AX28-SUM('2024年-挂账付款'!AC28:$AH28)&gt;0,'2024年-挂账付款'!$AX28-SUM('2024年-挂账付款'!AC28:$AH28),0))</f>
        <v>0</v>
      </c>
      <c r="AF28" s="128">
        <f>IF('2024年-挂账付款'!$AX28&gt;=SUM('2024年-挂账付款'!AC28:$AH28),'2024年-挂账付款'!AC28,IF('2024年-挂账付款'!$AX28-SUM('2024年-挂账付款'!AD28:$AH28)&gt;0,'2024年-挂账付款'!$AX28-SUM('2024年-挂账付款'!AD28:$AH28),0))</f>
        <v>0</v>
      </c>
      <c r="AG28" s="128">
        <f>IF('2024年-挂账付款'!$AX28&gt;=SUM('2024年-挂账付款'!AD28:$AH28),'2024年-挂账付款'!AD28,IF('2024年-挂账付款'!$AX28-SUM('2024年-挂账付款'!AE28:$AH28)&gt;0,'2024年-挂账付款'!$AX28-SUM('2024年-挂账付款'!AE28:$AH28),0))</f>
        <v>0</v>
      </c>
      <c r="AH28" s="128">
        <f>IF('2024年-挂账付款'!$AX28&gt;=SUM('2024年-挂账付款'!AE28:$AH28),'2024年-挂账付款'!AE28,IF('2024年-挂账付款'!$AX28-SUM('2024年-挂账付款'!AF28:$AH28)&gt;0,'2024年-挂账付款'!$AX28-SUM('2024年-挂账付款'!AF28:$AH28),0))</f>
        <v>0</v>
      </c>
      <c r="AI28" s="128">
        <f>IF('2024年-挂账付款'!$AX28&gt;=SUM('2024年-挂账付款'!AF28:$AH28),'2024年-挂账付款'!AF28,IF('2024年-挂账付款'!$AX28-SUM('2024年-挂账付款'!AG28:$AH28)&gt;0,'2024年-挂账付款'!$AX28-SUM('2024年-挂账付款'!AG28:$AH28),0))</f>
        <v>0</v>
      </c>
      <c r="AJ28" s="128">
        <f>IF('2024年-挂账付款'!$AX28&gt;=SUM('2024年-挂账付款'!AG28:$AH28),'2024年-挂账付款'!AG28,IF('2024年-挂账付款'!$AX28-SUM('2024年-挂账付款'!AH28:$AH28)&gt;0,'2024年-挂账付款'!$AX28-SUM('2024年-挂账付款'!AH28:$AH28),0))</f>
        <v>0</v>
      </c>
      <c r="AK28" s="128">
        <f>IF('2024年-挂账付款'!$AX28&gt;=SUM('2024年-挂账付款'!AH28:$AH28),'2024年-挂账付款'!AH28,IF('2024年-挂账付款'!$AX28-SUM('2024年-挂账付款'!$AH28:AI28)&gt;0,'2024年-挂账付款'!$AX28-SUM('2024年-挂账付款'!$AH28:AI28),0))</f>
        <v>0</v>
      </c>
      <c r="AL28" s="182" t="s">
        <v>426</v>
      </c>
      <c r="AM28" s="183"/>
      <c r="AN28" s="176">
        <f t="shared" si="1"/>
        <v>18366.8666666667</v>
      </c>
      <c r="AO28" s="203">
        <v>50000</v>
      </c>
      <c r="AP28" s="204"/>
      <c r="AQ28" s="205"/>
      <c r="AR28" s="206">
        <v>50000</v>
      </c>
    </row>
    <row r="29" s="107" customFormat="1" ht="18" customHeight="1" spans="1:44">
      <c r="A29" s="122"/>
      <c r="B29" s="129" t="s">
        <v>81</v>
      </c>
      <c r="C29" s="130" t="s">
        <v>217</v>
      </c>
      <c r="D29" s="130" t="s">
        <v>223</v>
      </c>
      <c r="E29" s="131">
        <v>90</v>
      </c>
      <c r="F29" s="126">
        <f t="shared" si="3"/>
        <v>29867.9</v>
      </c>
      <c r="G29" s="127">
        <f t="shared" si="0"/>
        <v>29867.9</v>
      </c>
      <c r="H29" s="128">
        <f>IF('2024年-挂账付款'!$AX29&gt;=SUM('2024年-挂账付款'!E29:$AH29),'2024年-挂账付款'!E29,IF('2024年-挂账付款'!$AX29-SUM('2024年-挂账付款'!F29:$AH29)&gt;0,'2024年-挂账付款'!$AX29-SUM('2024年-挂账付款'!F29:$AH29),0))</f>
        <v>0</v>
      </c>
      <c r="I29" s="128">
        <f>IF('2024年-挂账付款'!$AX29&gt;=SUM('2024年-挂账付款'!F29:$AH29),'2024年-挂账付款'!F29,IF('2024年-挂账付款'!$AX29-SUM('2024年-挂账付款'!G29:$AH29)&gt;0,'2024年-挂账付款'!$AX29-SUM('2024年-挂账付款'!G29:$AH29),0))</f>
        <v>0</v>
      </c>
      <c r="J29" s="128">
        <f>IF('2024年-挂账付款'!$AX29&gt;=SUM('2024年-挂账付款'!G29:$AH29),'2024年-挂账付款'!G29,IF('2024年-挂账付款'!$AX29-SUM('2024年-挂账付款'!H29:$AH29)&gt;0,'2024年-挂账付款'!$AX29-SUM('2024年-挂账付款'!H29:$AH29),0))</f>
        <v>0</v>
      </c>
      <c r="K29" s="128">
        <f>IF('2024年-挂账付款'!$AX29&gt;=SUM('2024年-挂账付款'!H29:$AH29),'2024年-挂账付款'!H29,IF('2024年-挂账付款'!$AX29-SUM('2024年-挂账付款'!I29:$AH29)&gt;0,'2024年-挂账付款'!$AX29-SUM('2024年-挂账付款'!I29:$AH29),0))</f>
        <v>0</v>
      </c>
      <c r="L29" s="128">
        <f>IF('2024年-挂账付款'!$AX29&gt;=SUM('2024年-挂账付款'!I29:$AH29),'2024年-挂账付款'!I29,IF('2024年-挂账付款'!$AX29-SUM('2024年-挂账付款'!J29:$AH29)&gt;0,'2024年-挂账付款'!$AX29-SUM('2024年-挂账付款'!J29:$AH29),0))</f>
        <v>0</v>
      </c>
      <c r="M29" s="128">
        <f>IF('2024年-挂账付款'!$AX29&gt;=SUM('2024年-挂账付款'!J29:$AH29),'2024年-挂账付款'!J29,IF('2024年-挂账付款'!$AX29-SUM('2024年-挂账付款'!K29:$AH29)&gt;0,'2024年-挂账付款'!$AX29-SUM('2024年-挂账付款'!K29:$AH29),0))</f>
        <v>0</v>
      </c>
      <c r="N29" s="128">
        <f>IF('2024年-挂账付款'!$AX29&gt;=SUM('2024年-挂账付款'!K29:$AH29),'2024年-挂账付款'!K29,IF('2024年-挂账付款'!$AX29-SUM('2024年-挂账付款'!L29:$AH29)&gt;0,'2024年-挂账付款'!$AX29-SUM('2024年-挂账付款'!L29:$AH29),0))</f>
        <v>0</v>
      </c>
      <c r="O29" s="128">
        <f>IF('2024年-挂账付款'!$AX29&gt;=SUM('2024年-挂账付款'!L29:$AH29),'2024年-挂账付款'!L29,IF('2024年-挂账付款'!$AX29-SUM('2024年-挂账付款'!M29:$AH29)&gt;0,'2024年-挂账付款'!$AX29-SUM('2024年-挂账付款'!M29:$AH29),0))</f>
        <v>0</v>
      </c>
      <c r="P29" s="128">
        <f>IF('2024年-挂账付款'!$AX29&gt;=SUM('2024年-挂账付款'!M29:$AH29),'2024年-挂账付款'!M29,IF('2024年-挂账付款'!$AX29-SUM('2024年-挂账付款'!N29:$AH29)&gt;0,'2024年-挂账付款'!$AX29-SUM('2024年-挂账付款'!N29:$AH29),0))</f>
        <v>0</v>
      </c>
      <c r="Q29" s="128">
        <f>IF('2024年-挂账付款'!$AX29&gt;=SUM('2024年-挂账付款'!N29:$AH29),'2024年-挂账付款'!N29,IF('2024年-挂账付款'!$AX29-SUM('2024年-挂账付款'!O29:$AH29)&gt;0,'2024年-挂账付款'!$AX29-SUM('2024年-挂账付款'!O29:$AH29),0))</f>
        <v>0</v>
      </c>
      <c r="R29" s="128">
        <f>IF('2024年-挂账付款'!$AX29&gt;=SUM('2024年-挂账付款'!O29:$AH29),'2024年-挂账付款'!O29,IF('2024年-挂账付款'!$AX29-SUM('2024年-挂账付款'!P29:$AH29)&gt;0,'2024年-挂账付款'!$AX29-SUM('2024年-挂账付款'!P29:$AH29),0))</f>
        <v>0</v>
      </c>
      <c r="S29" s="128">
        <f>IF('2024年-挂账付款'!$AX29&gt;=SUM('2024年-挂账付款'!P29:$AH29),'2024年-挂账付款'!P29,IF('2024年-挂账付款'!$AX29-SUM('2024年-挂账付款'!Q29:$AH29)&gt;0,'2024年-挂账付款'!$AX29-SUM('2024年-挂账付款'!Q29:$AH29),0))</f>
        <v>0</v>
      </c>
      <c r="T29" s="128">
        <f>IF('2024年-挂账付款'!$AX29&gt;=SUM('2024年-挂账付款'!Q29:$AH29),'2024年-挂账付款'!Q29,IF('2024年-挂账付款'!$AX29-SUM('2024年-挂账付款'!R29:$AH29)&gt;0,'2024年-挂账付款'!$AX29-SUM('2024年-挂账付款'!R29:$AH29),0))</f>
        <v>1391.89999999999</v>
      </c>
      <c r="U29" s="128">
        <f>IF('2024年-挂账付款'!$AX29&gt;=SUM('2024年-挂账付款'!R29:$AH29),'2024年-挂账付款'!R29,IF('2024年-挂账付款'!$AX29-SUM('2024年-挂账付款'!S29:$AH29)&gt;0,'2024年-挂账付款'!$AX29-SUM('2024年-挂账付款'!S29:$AH29),0))</f>
        <v>4746</v>
      </c>
      <c r="V29" s="128">
        <f>IF('2024年-挂账付款'!$AX29&gt;=SUM('2024年-挂账付款'!S29:$AH29),'2024年-挂账付款'!S29,IF('2024年-挂账付款'!$AX29-SUM('2024年-挂账付款'!T29:$AH29)&gt;0,'2024年-挂账付款'!$AX29-SUM('2024年-挂账付款'!T29:$AH29),0))</f>
        <v>4746</v>
      </c>
      <c r="W29" s="128">
        <f>IF('2024年-挂账付款'!$AX29&gt;=SUM('2024年-挂账付款'!T29:$AH29),'2024年-挂账付款'!T29,IF('2024年-挂账付款'!$AX29-SUM('2024年-挂账付款'!U29:$AH29)&gt;0,'2024年-挂账付款'!$AX29-SUM('2024年-挂账付款'!U29:$AH29),0))</f>
        <v>9492</v>
      </c>
      <c r="X29" s="128">
        <f>IF('2024年-挂账付款'!$AX29&gt;=SUM('2024年-挂账付款'!U29:$AH29),'2024年-挂账付款'!U29,IF('2024年-挂账付款'!$AX29-SUM('2024年-挂账付款'!V29:$AH29)&gt;0,'2024年-挂账付款'!$AX29-SUM('2024年-挂账付款'!V29:$AH29),0))</f>
        <v>4746</v>
      </c>
      <c r="Y29" s="128">
        <f>IF('2024年-挂账付款'!$AX29&gt;=SUM('2024年-挂账付款'!V29:$AH29),'2024年-挂账付款'!V29,IF('2024年-挂账付款'!$AX29-SUM('2024年-挂账付款'!W29:$AH29)&gt;0,'2024年-挂账付款'!$AX29-SUM('2024年-挂账付款'!W29:$AH29),0))</f>
        <v>4746</v>
      </c>
      <c r="Z29" s="128">
        <f>IF('2024年-挂账付款'!$AX29&gt;=SUM('2024年-挂账付款'!W29:$AH29),'2024年-挂账付款'!W29,IF('2024年-挂账付款'!$AX29-SUM('2024年-挂账付款'!X29:$AH29)&gt;0,'2024年-挂账付款'!$AX29-SUM('2024年-挂账付款'!X29:$AH29),0))</f>
        <v>0</v>
      </c>
      <c r="AA29" s="167">
        <f>IF('2024年-挂账付款'!$AX29&gt;=SUM('2024年-挂账付款'!X29:$AH29),'2024年-挂账付款'!X29,IF('2024年-挂账付款'!$AX29-SUM('2024年-挂账付款'!Y29:$AH29)&gt;0,'2024年-挂账付款'!$AX29-SUM('2024年-挂账付款'!Y29:$AH29),0))</f>
        <v>0</v>
      </c>
      <c r="AB29" s="128">
        <f>IF('2024年-挂账付款'!$AX29&gt;=SUM('2024年-挂账付款'!Y29:$AH29),'2024年-挂账付款'!Y29,IF('2024年-挂账付款'!$AX29-SUM('2024年-挂账付款'!Z29:$AH29)&gt;0,'2024年-挂账付款'!$AX29-SUM('2024年-挂账付款'!Z29:$AH29),0))</f>
        <v>0</v>
      </c>
      <c r="AC29" s="128">
        <f>IF('2024年-挂账付款'!$AX29&gt;=SUM('2024年-挂账付款'!Z29:$AH29),'2024年-挂账付款'!Z29,IF('2024年-挂账付款'!$AX29-SUM('2024年-挂账付款'!AA29:$AH29)&gt;0,'2024年-挂账付款'!$AX29-SUM('2024年-挂账付款'!AA29:$AH29),0))</f>
        <v>0</v>
      </c>
      <c r="AD29" s="128">
        <f>IF('2024年-挂账付款'!$AX29&gt;=SUM('2024年-挂账付款'!AA29:$AH29),'2024年-挂账付款'!AA29,IF('2024年-挂账付款'!$AX29-SUM('2024年-挂账付款'!AB29:$AH29)&gt;0,'2024年-挂账付款'!$AX29-SUM('2024年-挂账付款'!AB29:$AH29),0))</f>
        <v>0</v>
      </c>
      <c r="AE29" s="128">
        <f>IF('2024年-挂账付款'!$AX29&gt;=SUM('2024年-挂账付款'!AB29:$AH29),'2024年-挂账付款'!AB29,IF('2024年-挂账付款'!$AX29-SUM('2024年-挂账付款'!AC29:$AH29)&gt;0,'2024年-挂账付款'!$AX29-SUM('2024年-挂账付款'!AC29:$AH29),0))</f>
        <v>0</v>
      </c>
      <c r="AF29" s="128">
        <f>IF('2024年-挂账付款'!$AX29&gt;=SUM('2024年-挂账付款'!AC29:$AH29),'2024年-挂账付款'!AC29,IF('2024年-挂账付款'!$AX29-SUM('2024年-挂账付款'!AD29:$AH29)&gt;0,'2024年-挂账付款'!$AX29-SUM('2024年-挂账付款'!AD29:$AH29),0))</f>
        <v>0</v>
      </c>
      <c r="AG29" s="128">
        <f>IF('2024年-挂账付款'!$AX29&gt;=SUM('2024年-挂账付款'!AD29:$AH29),'2024年-挂账付款'!AD29,IF('2024年-挂账付款'!$AX29-SUM('2024年-挂账付款'!AE29:$AH29)&gt;0,'2024年-挂账付款'!$AX29-SUM('2024年-挂账付款'!AE29:$AH29),0))</f>
        <v>0</v>
      </c>
      <c r="AH29" s="128">
        <f>IF('2024年-挂账付款'!$AX29&gt;=SUM('2024年-挂账付款'!AE29:$AH29),'2024年-挂账付款'!AE29,IF('2024年-挂账付款'!$AX29-SUM('2024年-挂账付款'!AF29:$AH29)&gt;0,'2024年-挂账付款'!$AX29-SUM('2024年-挂账付款'!AF29:$AH29),0))</f>
        <v>0</v>
      </c>
      <c r="AI29" s="128">
        <f>IF('2024年-挂账付款'!$AX29&gt;=SUM('2024年-挂账付款'!AF29:$AH29),'2024年-挂账付款'!AF29,IF('2024年-挂账付款'!$AX29-SUM('2024年-挂账付款'!AG29:$AH29)&gt;0,'2024年-挂账付款'!$AX29-SUM('2024年-挂账付款'!AG29:$AH29),0))</f>
        <v>0</v>
      </c>
      <c r="AJ29" s="128">
        <f>IF('2024年-挂账付款'!$AX29&gt;=SUM('2024年-挂账付款'!AG29:$AH29),'2024年-挂账付款'!AG29,IF('2024年-挂账付款'!$AX29-SUM('2024年-挂账付款'!AH29:$AH29)&gt;0,'2024年-挂账付款'!$AX29-SUM('2024年-挂账付款'!AH29:$AH29),0))</f>
        <v>0</v>
      </c>
      <c r="AK29" s="128">
        <f>IF('2024年-挂账付款'!$AX29&gt;=SUM('2024年-挂账付款'!AH29:$AH29),'2024年-挂账付款'!AH29,IF('2024年-挂账付款'!$AX29-SUM('2024年-挂账付款'!$AH29:AI29)&gt;0,'2024年-挂账付款'!$AX29-SUM('2024年-挂账付款'!$AH29:AI29),0))</f>
        <v>0</v>
      </c>
      <c r="AL29" s="182" t="s">
        <v>426</v>
      </c>
      <c r="AM29" s="183"/>
      <c r="AN29" s="176">
        <f t="shared" si="1"/>
        <v>3796.8</v>
      </c>
      <c r="AO29" s="203">
        <v>5000</v>
      </c>
      <c r="AP29" s="204"/>
      <c r="AQ29" s="205"/>
      <c r="AR29" s="206">
        <v>10000</v>
      </c>
    </row>
    <row r="30" s="107" customFormat="1" ht="18" customHeight="1" spans="1:44">
      <c r="A30" s="122"/>
      <c r="B30" s="129" t="s">
        <v>81</v>
      </c>
      <c r="C30" s="130" t="s">
        <v>224</v>
      </c>
      <c r="D30" s="130" t="s">
        <v>225</v>
      </c>
      <c r="E30" s="125">
        <v>90</v>
      </c>
      <c r="F30" s="126">
        <f t="shared" si="3"/>
        <v>408228.44</v>
      </c>
      <c r="G30" s="127">
        <f t="shared" si="0"/>
        <v>408228.44</v>
      </c>
      <c r="H30" s="128">
        <f>IF('2024年-挂账付款'!$AX30&gt;=SUM('2024年-挂账付款'!E30:$AH30),'2024年-挂账付款'!E30,IF('2024年-挂账付款'!$AX30-SUM('2024年-挂账付款'!F30:$AH30)&gt;0,'2024年-挂账付款'!$AX30-SUM('2024年-挂账付款'!F30:$AH30),0))</f>
        <v>0</v>
      </c>
      <c r="I30" s="128">
        <f>IF('2024年-挂账付款'!$AX30&gt;=SUM('2024年-挂账付款'!F30:$AH30),'2024年-挂账付款'!F30,IF('2024年-挂账付款'!$AX30-SUM('2024年-挂账付款'!G30:$AH30)&gt;0,'2024年-挂账付款'!$AX30-SUM('2024年-挂账付款'!G30:$AH30),0))</f>
        <v>0</v>
      </c>
      <c r="J30" s="128">
        <f>IF('2024年-挂账付款'!$AX30&gt;=SUM('2024年-挂账付款'!G30:$AH30),'2024年-挂账付款'!G30,IF('2024年-挂账付款'!$AX30-SUM('2024年-挂账付款'!H30:$AH30)&gt;0,'2024年-挂账付款'!$AX30-SUM('2024年-挂账付款'!H30:$AH30),0))</f>
        <v>0</v>
      </c>
      <c r="K30" s="128">
        <f>IF('2024年-挂账付款'!$AX30&gt;=SUM('2024年-挂账付款'!H30:$AH30),'2024年-挂账付款'!H30,IF('2024年-挂账付款'!$AX30-SUM('2024年-挂账付款'!I30:$AH30)&gt;0,'2024年-挂账付款'!$AX30-SUM('2024年-挂账付款'!I30:$AH30),0))</f>
        <v>0</v>
      </c>
      <c r="L30" s="128">
        <f>IF('2024年-挂账付款'!$AX30&gt;=SUM('2024年-挂账付款'!I30:$AH30),'2024年-挂账付款'!I30,IF('2024年-挂账付款'!$AX30-SUM('2024年-挂账付款'!J30:$AH30)&gt;0,'2024年-挂账付款'!$AX30-SUM('2024年-挂账付款'!J30:$AH30),0))</f>
        <v>0</v>
      </c>
      <c r="M30" s="128">
        <f>IF('2024年-挂账付款'!$AX30&gt;=SUM('2024年-挂账付款'!J30:$AH30),'2024年-挂账付款'!J30,IF('2024年-挂账付款'!$AX30-SUM('2024年-挂账付款'!K30:$AH30)&gt;0,'2024年-挂账付款'!$AX30-SUM('2024年-挂账付款'!K30:$AH30),0))</f>
        <v>0</v>
      </c>
      <c r="N30" s="128">
        <f>IF('2024年-挂账付款'!$AX30&gt;=SUM('2024年-挂账付款'!K30:$AH30),'2024年-挂账付款'!K30,IF('2024年-挂账付款'!$AX30-SUM('2024年-挂账付款'!L30:$AH30)&gt;0,'2024年-挂账付款'!$AX30-SUM('2024年-挂账付款'!L30:$AH30),0))</f>
        <v>0</v>
      </c>
      <c r="O30" s="128">
        <f>IF('2024年-挂账付款'!$AX30&gt;=SUM('2024年-挂账付款'!L30:$AH30),'2024年-挂账付款'!L30,IF('2024年-挂账付款'!$AX30-SUM('2024年-挂账付款'!M30:$AH30)&gt;0,'2024年-挂账付款'!$AX30-SUM('2024年-挂账付款'!M30:$AH30),0))</f>
        <v>35408.67</v>
      </c>
      <c r="P30" s="128">
        <f>IF('2024年-挂账付款'!$AX30&gt;=SUM('2024年-挂账付款'!M30:$AH30),'2024年-挂账付款'!M30,IF('2024年-挂账付款'!$AX30-SUM('2024年-挂账付款'!N30:$AH30)&gt;0,'2024年-挂账付款'!$AX30-SUM('2024年-挂账付款'!N30:$AH30),0))</f>
        <v>0</v>
      </c>
      <c r="Q30" s="128">
        <f>IF('2024年-挂账付款'!$AX30&gt;=SUM('2024年-挂账付款'!N30:$AH30),'2024年-挂账付款'!N30,IF('2024年-挂账付款'!$AX30-SUM('2024年-挂账付款'!O30:$AH30)&gt;0,'2024年-挂账付款'!$AX30-SUM('2024年-挂账付款'!O30:$AH30),0))</f>
        <v>0</v>
      </c>
      <c r="R30" s="128">
        <f>IF('2024年-挂账付款'!$AX30&gt;=SUM('2024年-挂账付款'!O30:$AH30),'2024年-挂账付款'!O30,IF('2024年-挂账付款'!$AX30-SUM('2024年-挂账付款'!P30:$AH30)&gt;0,'2024年-挂账付款'!$AX30-SUM('2024年-挂账付款'!P30:$AH30),0))</f>
        <v>0</v>
      </c>
      <c r="S30" s="128">
        <f>IF('2024年-挂账付款'!$AX30&gt;=SUM('2024年-挂账付款'!P30:$AH30),'2024年-挂账付款'!P30,IF('2024年-挂账付款'!$AX30-SUM('2024年-挂账付款'!Q30:$AH30)&gt;0,'2024年-挂账付款'!$AX30-SUM('2024年-挂账付款'!Q30:$AH30),0))</f>
        <v>0</v>
      </c>
      <c r="T30" s="128">
        <f>IF('2024年-挂账付款'!$AX30&gt;=SUM('2024年-挂账付款'!Q30:$AH30),'2024年-挂账付款'!Q30,IF('2024年-挂账付款'!$AX30-SUM('2024年-挂账付款'!R30:$AH30)&gt;0,'2024年-挂账付款'!$AX30-SUM('2024年-挂账付款'!R30:$AH30),0))</f>
        <v>251804.91</v>
      </c>
      <c r="U30" s="128">
        <f>IF('2024年-挂账付款'!$AX30&gt;=SUM('2024年-挂账付款'!R30:$AH30),'2024年-挂账付款'!R30,IF('2024年-挂账付款'!$AX30-SUM('2024年-挂账付款'!S30:$AH30)&gt;0,'2024年-挂账付款'!$AX30-SUM('2024年-挂账付款'!S30:$AH30),0))</f>
        <v>0</v>
      </c>
      <c r="V30" s="128">
        <f>IF('2024年-挂账付款'!$AX30&gt;=SUM('2024年-挂账付款'!S30:$AH30),'2024年-挂账付款'!S30,IF('2024年-挂账付款'!$AX30-SUM('2024年-挂账付款'!T30:$AH30)&gt;0,'2024年-挂账付款'!$AX30-SUM('2024年-挂账付款'!T30:$AH30),0))</f>
        <v>0</v>
      </c>
      <c r="W30" s="128">
        <f>IF('2024年-挂账付款'!$AX30&gt;=SUM('2024年-挂账付款'!T30:$AH30),'2024年-挂账付款'!T30,IF('2024年-挂账付款'!$AX30-SUM('2024年-挂账付款'!U30:$AH30)&gt;0,'2024年-挂账付款'!$AX30-SUM('2024年-挂账付款'!U30:$AH30),0))</f>
        <v>0</v>
      </c>
      <c r="X30" s="128">
        <f>IF('2024年-挂账付款'!$AX30&gt;=SUM('2024年-挂账付款'!U30:$AH30),'2024年-挂账付款'!U30,IF('2024年-挂账付款'!$AX30-SUM('2024年-挂账付款'!V30:$AH30)&gt;0,'2024年-挂账付款'!$AX30-SUM('2024年-挂账付款'!V30:$AH30),0))</f>
        <v>0</v>
      </c>
      <c r="Y30" s="128">
        <f>IF('2024年-挂账付款'!$AX30&gt;=SUM('2024年-挂账付款'!V30:$AH30),'2024年-挂账付款'!V30,IF('2024年-挂账付款'!$AX30-SUM('2024年-挂账付款'!W30:$AH30)&gt;0,'2024年-挂账付款'!$AX30-SUM('2024年-挂账付款'!W30:$AH30),0))</f>
        <v>121014.86</v>
      </c>
      <c r="Z30" s="128">
        <f>IF('2024年-挂账付款'!$AX30&gt;=SUM('2024年-挂账付款'!W30:$AH30),'2024年-挂账付款'!W30,IF('2024年-挂账付款'!$AX30-SUM('2024年-挂账付款'!X30:$AH30)&gt;0,'2024年-挂账付款'!$AX30-SUM('2024年-挂账付款'!X30:$AH30),0))</f>
        <v>0</v>
      </c>
      <c r="AA30" s="167">
        <f>IF('2024年-挂账付款'!$AX30&gt;=SUM('2024年-挂账付款'!X30:$AH30),'2024年-挂账付款'!X30,IF('2024年-挂账付款'!$AX30-SUM('2024年-挂账付款'!Y30:$AH30)&gt;0,'2024年-挂账付款'!$AX30-SUM('2024年-挂账付款'!Y30:$AH30),0))</f>
        <v>0</v>
      </c>
      <c r="AB30" s="128">
        <f>IF('2024年-挂账付款'!$AX30&gt;=SUM('2024年-挂账付款'!Y30:$AH30),'2024年-挂账付款'!Y30,IF('2024年-挂账付款'!$AX30-SUM('2024年-挂账付款'!Z30:$AH30)&gt;0,'2024年-挂账付款'!$AX30-SUM('2024年-挂账付款'!Z30:$AH30),0))</f>
        <v>0</v>
      </c>
      <c r="AC30" s="128">
        <f>IF('2024年-挂账付款'!$AX30&gt;=SUM('2024年-挂账付款'!Z30:$AH30),'2024年-挂账付款'!Z30,IF('2024年-挂账付款'!$AX30-SUM('2024年-挂账付款'!AA30:$AH30)&gt;0,'2024年-挂账付款'!$AX30-SUM('2024年-挂账付款'!AA30:$AH30),0))</f>
        <v>0</v>
      </c>
      <c r="AD30" s="128">
        <f>IF('2024年-挂账付款'!$AX30&gt;=SUM('2024年-挂账付款'!AA30:$AH30),'2024年-挂账付款'!AA30,IF('2024年-挂账付款'!$AX30-SUM('2024年-挂账付款'!AB30:$AH30)&gt;0,'2024年-挂账付款'!$AX30-SUM('2024年-挂账付款'!AB30:$AH30),0))</f>
        <v>0</v>
      </c>
      <c r="AE30" s="128">
        <f>IF('2024年-挂账付款'!$AX30&gt;=SUM('2024年-挂账付款'!AB30:$AH30),'2024年-挂账付款'!AB30,IF('2024年-挂账付款'!$AX30-SUM('2024年-挂账付款'!AC30:$AH30)&gt;0,'2024年-挂账付款'!$AX30-SUM('2024年-挂账付款'!AC30:$AH30),0))</f>
        <v>0</v>
      </c>
      <c r="AF30" s="128">
        <f>IF('2024年-挂账付款'!$AX30&gt;=SUM('2024年-挂账付款'!AC30:$AH30),'2024年-挂账付款'!AC30,IF('2024年-挂账付款'!$AX30-SUM('2024年-挂账付款'!AD30:$AH30)&gt;0,'2024年-挂账付款'!$AX30-SUM('2024年-挂账付款'!AD30:$AH30),0))</f>
        <v>0</v>
      </c>
      <c r="AG30" s="128">
        <f>IF('2024年-挂账付款'!$AX30&gt;=SUM('2024年-挂账付款'!AD30:$AH30),'2024年-挂账付款'!AD30,IF('2024年-挂账付款'!$AX30-SUM('2024年-挂账付款'!AE30:$AH30)&gt;0,'2024年-挂账付款'!$AX30-SUM('2024年-挂账付款'!AE30:$AH30),0))</f>
        <v>0</v>
      </c>
      <c r="AH30" s="128">
        <f>IF('2024年-挂账付款'!$AX30&gt;=SUM('2024年-挂账付款'!AE30:$AH30),'2024年-挂账付款'!AE30,IF('2024年-挂账付款'!$AX30-SUM('2024年-挂账付款'!AF30:$AH30)&gt;0,'2024年-挂账付款'!$AX30-SUM('2024年-挂账付款'!AF30:$AH30),0))</f>
        <v>0</v>
      </c>
      <c r="AI30" s="128">
        <f>IF('2024年-挂账付款'!$AX30&gt;=SUM('2024年-挂账付款'!AF30:$AH30),'2024年-挂账付款'!AF30,IF('2024年-挂账付款'!$AX30-SUM('2024年-挂账付款'!AG30:$AH30)&gt;0,'2024年-挂账付款'!$AX30-SUM('2024年-挂账付款'!AG30:$AH30),0))</f>
        <v>0</v>
      </c>
      <c r="AJ30" s="128">
        <f>IF('2024年-挂账付款'!$AX30&gt;=SUM('2024年-挂账付款'!AG30:$AH30),'2024年-挂账付款'!AG30,IF('2024年-挂账付款'!$AX30-SUM('2024年-挂账付款'!AH30:$AH30)&gt;0,'2024年-挂账付款'!$AX30-SUM('2024年-挂账付款'!AH30:$AH30),0))</f>
        <v>0</v>
      </c>
      <c r="AK30" s="128">
        <f>IF('2024年-挂账付款'!$AX30&gt;=SUM('2024年-挂账付款'!AH30:$AH30),'2024年-挂账付款'!AH30,IF('2024年-挂账付款'!$AX30-SUM('2024年-挂账付款'!$AH30:AI30)&gt;0,'2024年-挂账付款'!$AX30-SUM('2024年-挂账付款'!$AH30:AI30),0))</f>
        <v>0</v>
      </c>
      <c r="AL30" s="182" t="s">
        <v>426</v>
      </c>
      <c r="AM30" s="183"/>
      <c r="AN30" s="176">
        <f t="shared" si="1"/>
        <v>16135.3146666667</v>
      </c>
      <c r="AO30" s="203">
        <v>100000</v>
      </c>
      <c r="AP30" s="204" t="s">
        <v>475</v>
      </c>
      <c r="AQ30" s="205"/>
      <c r="AR30" s="206">
        <v>100000</v>
      </c>
    </row>
    <row r="31" s="107" customFormat="1" ht="18" customHeight="1" spans="1:44">
      <c r="A31" s="143"/>
      <c r="B31" s="144" t="s">
        <v>81</v>
      </c>
      <c r="C31" s="145" t="s">
        <v>186</v>
      </c>
      <c r="D31" s="145" t="s">
        <v>187</v>
      </c>
      <c r="E31" s="146">
        <v>90</v>
      </c>
      <c r="F31" s="126">
        <f t="shared" si="3"/>
        <v>0</v>
      </c>
      <c r="G31" s="127">
        <f t="shared" si="0"/>
        <v>1358146.67</v>
      </c>
      <c r="H31" s="128" t="str">
        <f>IF('2024年-挂账付款'!$AX31&gt;=SUM('2024年-挂账付款'!E31:$AH31),'2024年-挂账付款'!E31,IF('2024年-挂账付款'!$AX31-SUM('2024年-挂账付款'!F31:$AH31)&gt;0,'2024年-挂账付款'!$AX31-SUM('2024年-挂账付款'!F31:$AH31),0))</f>
        <v/>
      </c>
      <c r="I31" s="128" t="str">
        <f>IF('2024年-挂账付款'!$AX31&gt;=SUM('2024年-挂账付款'!F31:$AH31),'2024年-挂账付款'!F31,IF('2024年-挂账付款'!$AX31-SUM('2024年-挂账付款'!G31:$AH31)&gt;0,'2024年-挂账付款'!$AX31-SUM('2024年-挂账付款'!G31:$AH31),0))</f>
        <v/>
      </c>
      <c r="J31" s="128" t="str">
        <f>IF('2024年-挂账付款'!$AX31&gt;=SUM('2024年-挂账付款'!G31:$AH31),'2024年-挂账付款'!G31,IF('2024年-挂账付款'!$AX31-SUM('2024年-挂账付款'!H31:$AH31)&gt;0,'2024年-挂账付款'!$AX31-SUM('2024年-挂账付款'!H31:$AH31),0))</f>
        <v/>
      </c>
      <c r="K31" s="128">
        <f>IF('2024年-挂账付款'!$AX31&gt;=SUM('2024年-挂账付款'!H31:$AH31),'2024年-挂账付款'!H31,IF('2024年-挂账付款'!$AX31-SUM('2024年-挂账付款'!I31:$AH31)&gt;0,'2024年-挂账付款'!$AX31-SUM('2024年-挂账付款'!I31:$AH31),0))</f>
        <v>0</v>
      </c>
      <c r="L31" s="128">
        <f>IF('2024年-挂账付款'!$AX31&gt;=SUM('2024年-挂账付款'!I31:$AH31),'2024年-挂账付款'!I31,IF('2024年-挂账付款'!$AX31-SUM('2024年-挂账付款'!J31:$AH31)&gt;0,'2024年-挂账付款'!$AX31-SUM('2024年-挂账付款'!J31:$AH31),0))</f>
        <v>0</v>
      </c>
      <c r="M31" s="128" t="str">
        <f>IF('2024年-挂账付款'!$AX31&gt;=SUM('2024年-挂账付款'!J31:$AH31),'2024年-挂账付款'!J31,IF('2024年-挂账付款'!$AX31-SUM('2024年-挂账付款'!K31:$AH31)&gt;0,'2024年-挂账付款'!$AX31-SUM('2024年-挂账付款'!K31:$AH31),0))</f>
        <v/>
      </c>
      <c r="N31" s="128">
        <f>IF('2024年-挂账付款'!$AX31&gt;=SUM('2024年-挂账付款'!K31:$AH31),'2024年-挂账付款'!K31,IF('2024年-挂账付款'!$AX31-SUM('2024年-挂账付款'!L31:$AH31)&gt;0,'2024年-挂账付款'!$AX31-SUM('2024年-挂账付款'!L31:$AH31),0))</f>
        <v>0</v>
      </c>
      <c r="O31" s="128">
        <f>IF('2024年-挂账付款'!$AX31&gt;=SUM('2024年-挂账付款'!L31:$AH31),'2024年-挂账付款'!L31,IF('2024年-挂账付款'!$AX31-SUM('2024年-挂账付款'!M31:$AH31)&gt;0,'2024年-挂账付款'!$AX31-SUM('2024年-挂账付款'!M31:$AH31),0))</f>
        <v>0</v>
      </c>
      <c r="P31" s="128">
        <f>IF('2024年-挂账付款'!$AX31&gt;=SUM('2024年-挂账付款'!M31:$AH31),'2024年-挂账付款'!M31,IF('2024年-挂账付款'!$AX31-SUM('2024年-挂账付款'!N31:$AH31)&gt;0,'2024年-挂账付款'!$AX31-SUM('2024年-挂账付款'!N31:$AH31),0))</f>
        <v>0</v>
      </c>
      <c r="Q31" s="128">
        <f>IF('2024年-挂账付款'!$AX31&gt;=SUM('2024年-挂账付款'!N31:$AH31),'2024年-挂账付款'!N31,IF('2024年-挂账付款'!$AX31-SUM('2024年-挂账付款'!O31:$AH31)&gt;0,'2024年-挂账付款'!$AX31-SUM('2024年-挂账付款'!O31:$AH31),0))</f>
        <v>0</v>
      </c>
      <c r="R31" s="128">
        <f>IF('2024年-挂账付款'!$AX31&gt;=SUM('2024年-挂账付款'!O31:$AH31),'2024年-挂账付款'!O31,IF('2024年-挂账付款'!$AX31-SUM('2024年-挂账付款'!P31:$AH31)&gt;0,'2024年-挂账付款'!$AX31-SUM('2024年-挂账付款'!P31:$AH31),0))</f>
        <v>0</v>
      </c>
      <c r="S31" s="128">
        <f>IF('2024年-挂账付款'!$AX31&gt;=SUM('2024年-挂账付款'!P31:$AH31),'2024年-挂账付款'!P31,IF('2024年-挂账付款'!$AX31-SUM('2024年-挂账付款'!Q31:$AH31)&gt;0,'2024年-挂账付款'!$AX31-SUM('2024年-挂账付款'!Q31:$AH31),0))</f>
        <v>0</v>
      </c>
      <c r="T31" s="128">
        <f>IF('2024年-挂账付款'!$AX31&gt;=SUM('2024年-挂账付款'!Q31:$AH31),'2024年-挂账付款'!Q31,IF('2024年-挂账付款'!$AX31-SUM('2024年-挂账付款'!R31:$AH31)&gt;0,'2024年-挂账付款'!$AX31-SUM('2024年-挂账付款'!R31:$AH31),0))</f>
        <v>0</v>
      </c>
      <c r="U31" s="128">
        <f>IF('2024年-挂账付款'!$AX31&gt;=SUM('2024年-挂账付款'!R31:$AH31),'2024年-挂账付款'!R31,IF('2024年-挂账付款'!$AX31-SUM('2024年-挂账付款'!S31:$AH31)&gt;0,'2024年-挂账付款'!$AX31-SUM('2024年-挂账付款'!S31:$AH31),0))</f>
        <v>0</v>
      </c>
      <c r="V31" s="128">
        <f>IF('2024年-挂账付款'!$AX31&gt;=SUM('2024年-挂账付款'!S31:$AH31),'2024年-挂账付款'!S31,IF('2024年-挂账付款'!$AX31-SUM('2024年-挂账付款'!T31:$AH31)&gt;0,'2024年-挂账付款'!$AX31-SUM('2024年-挂账付款'!T31:$AH31),0))</f>
        <v>0</v>
      </c>
      <c r="W31" s="128">
        <f>IF('2024年-挂账付款'!$AX31&gt;=SUM('2024年-挂账付款'!T31:$AH31),'2024年-挂账付款'!T31,IF('2024年-挂账付款'!$AX31-SUM('2024年-挂账付款'!U31:$AH31)&gt;0,'2024年-挂账付款'!$AX31-SUM('2024年-挂账付款'!U31:$AH31),0))</f>
        <v>0</v>
      </c>
      <c r="X31" s="128">
        <f>IF('2024年-挂账付款'!$AX31&gt;=SUM('2024年-挂账付款'!U31:$AH31),'2024年-挂账付款'!U31,IF('2024年-挂账付款'!$AX31-SUM('2024年-挂账付款'!V31:$AH31)&gt;0,'2024年-挂账付款'!$AX31-SUM('2024年-挂账付款'!V31:$AH31),0))</f>
        <v>0</v>
      </c>
      <c r="Y31" s="128">
        <f>IF('2024年-挂账付款'!$AX31&gt;=SUM('2024年-挂账付款'!V31:$AH31),'2024年-挂账付款'!V31,IF('2024年-挂账付款'!$AX31-SUM('2024年-挂账付款'!W31:$AH31)&gt;0,'2024年-挂账付款'!$AX31-SUM('2024年-挂账付款'!W31:$AH31),0))</f>
        <v>0</v>
      </c>
      <c r="Z31" s="128">
        <f>IF('2024年-挂账付款'!$AX31&gt;=SUM('2024年-挂账付款'!W31:$AH31),'2024年-挂账付款'!W31,IF('2024年-挂账付款'!$AX31-SUM('2024年-挂账付款'!X31:$AH31)&gt;0,'2024年-挂账付款'!$AX31-SUM('2024年-挂账付款'!X31:$AH31),0))</f>
        <v>650754.56</v>
      </c>
      <c r="AA31" s="167">
        <f>IF('2024年-挂账付款'!$AX31&gt;=SUM('2024年-挂账付款'!X31:$AH31),'2024年-挂账付款'!X31,IF('2024年-挂账付款'!$AX31-SUM('2024年-挂账付款'!Y31:$AH31)&gt;0,'2024年-挂账付款'!$AX31-SUM('2024年-挂账付款'!Y31:$AH31),0))</f>
        <v>707392.11</v>
      </c>
      <c r="AB31" s="128">
        <f>IF('2024年-挂账付款'!$AX31&gt;=SUM('2024年-挂账付款'!Y31:$AH31),'2024年-挂账付款'!Y31,IF('2024年-挂账付款'!$AX31-SUM('2024年-挂账付款'!Z31:$AH31)&gt;0,'2024年-挂账付款'!$AX31-SUM('2024年-挂账付款'!Z31:$AH31),0))</f>
        <v>0</v>
      </c>
      <c r="AC31" s="128">
        <f>IF('2024年-挂账付款'!$AX31&gt;=SUM('2024年-挂账付款'!Z31:$AH31),'2024年-挂账付款'!Z31,IF('2024年-挂账付款'!$AX31-SUM('2024年-挂账付款'!AA31:$AH31)&gt;0,'2024年-挂账付款'!$AX31-SUM('2024年-挂账付款'!AA31:$AH31),0))</f>
        <v>0</v>
      </c>
      <c r="AD31" s="128">
        <f>IF('2024年-挂账付款'!$AX31&gt;=SUM('2024年-挂账付款'!AA31:$AH31),'2024年-挂账付款'!AA31,IF('2024年-挂账付款'!$AX31-SUM('2024年-挂账付款'!AB31:$AH31)&gt;0,'2024年-挂账付款'!$AX31-SUM('2024年-挂账付款'!AB31:$AH31),0))</f>
        <v>0</v>
      </c>
      <c r="AE31" s="128">
        <f>IF('2024年-挂账付款'!$AX31&gt;=SUM('2024年-挂账付款'!AB31:$AH31),'2024年-挂账付款'!AB31,IF('2024年-挂账付款'!$AX31-SUM('2024年-挂账付款'!AC31:$AH31)&gt;0,'2024年-挂账付款'!$AX31-SUM('2024年-挂账付款'!AC31:$AH31),0))</f>
        <v>0</v>
      </c>
      <c r="AF31" s="128">
        <f>IF('2024年-挂账付款'!$AX31&gt;=SUM('2024年-挂账付款'!AC31:$AH31),'2024年-挂账付款'!AC31,IF('2024年-挂账付款'!$AX31-SUM('2024年-挂账付款'!AD31:$AH31)&gt;0,'2024年-挂账付款'!$AX31-SUM('2024年-挂账付款'!AD31:$AH31),0))</f>
        <v>0</v>
      </c>
      <c r="AG31" s="128">
        <f>IF('2024年-挂账付款'!$AX31&gt;=SUM('2024年-挂账付款'!AD31:$AH31),'2024年-挂账付款'!AD31,IF('2024年-挂账付款'!$AX31-SUM('2024年-挂账付款'!AE31:$AH31)&gt;0,'2024年-挂账付款'!$AX31-SUM('2024年-挂账付款'!AE31:$AH31),0))</f>
        <v>0</v>
      </c>
      <c r="AH31" s="128">
        <f>IF('2024年-挂账付款'!$AX31&gt;=SUM('2024年-挂账付款'!AE31:$AH31),'2024年-挂账付款'!AE31,IF('2024年-挂账付款'!$AX31-SUM('2024年-挂账付款'!AF31:$AH31)&gt;0,'2024年-挂账付款'!$AX31-SUM('2024年-挂账付款'!AF31:$AH31),0))</f>
        <v>0</v>
      </c>
      <c r="AI31" s="128">
        <f>IF('2024年-挂账付款'!$AX31&gt;=SUM('2024年-挂账付款'!AF31:$AH31),'2024年-挂账付款'!AF31,IF('2024年-挂账付款'!$AX31-SUM('2024年-挂账付款'!AG31:$AH31)&gt;0,'2024年-挂账付款'!$AX31-SUM('2024年-挂账付款'!AG31:$AH31),0))</f>
        <v>0</v>
      </c>
      <c r="AJ31" s="128">
        <f>IF('2024年-挂账付款'!$AX31&gt;=SUM('2024年-挂账付款'!AG31:$AH31),'2024年-挂账付款'!AG31,IF('2024年-挂账付款'!$AX31-SUM('2024年-挂账付款'!AH31:$AH31)&gt;0,'2024年-挂账付款'!$AX31-SUM('2024年-挂账付款'!AH31:$AH31),0))</f>
        <v>0</v>
      </c>
      <c r="AK31" s="128">
        <f>IF('2024年-挂账付款'!$AX31&gt;=SUM('2024年-挂账付款'!AH31:$AH31),'2024年-挂账付款'!AH31,IF('2024年-挂账付款'!$AX31-SUM('2024年-挂账付款'!$AH31:AI31)&gt;0,'2024年-挂账付款'!$AX31-SUM('2024年-挂账付款'!$AH31:AI31),0))</f>
        <v>0</v>
      </c>
      <c r="AL31" s="187" t="s">
        <v>429</v>
      </c>
      <c r="AM31" s="188"/>
      <c r="AN31" s="176">
        <f t="shared" si="1"/>
        <v>86767.2746666667</v>
      </c>
      <c r="AO31" s="209"/>
      <c r="AP31" s="204"/>
      <c r="AQ31" s="205"/>
      <c r="AR31" s="206"/>
    </row>
    <row r="32" s="107" customFormat="1" ht="18" customHeight="1" spans="1:44">
      <c r="A32" s="122"/>
      <c r="B32" s="129" t="s">
        <v>81</v>
      </c>
      <c r="C32" s="130" t="s">
        <v>114</v>
      </c>
      <c r="D32" s="130" t="s">
        <v>115</v>
      </c>
      <c r="E32" s="125">
        <v>90</v>
      </c>
      <c r="F32" s="126">
        <f t="shared" si="3"/>
        <v>286151.98</v>
      </c>
      <c r="G32" s="127">
        <f t="shared" si="0"/>
        <v>524211.34</v>
      </c>
      <c r="H32" s="128">
        <f>IF('2024年-挂账付款'!$AX32&gt;=SUM('2024年-挂账付款'!E32:$AH32),'2024年-挂账付款'!E32,IF('2024年-挂账付款'!$AX32-SUM('2024年-挂账付款'!F32:$AH32)&gt;0,'2024年-挂账付款'!$AX32-SUM('2024年-挂账付款'!F32:$AH32),0))</f>
        <v>0</v>
      </c>
      <c r="I32" s="128">
        <f>IF('2024年-挂账付款'!$AX32&gt;=SUM('2024年-挂账付款'!F32:$AH32),'2024年-挂账付款'!F32,IF('2024年-挂账付款'!$AX32-SUM('2024年-挂账付款'!G32:$AH32)&gt;0,'2024年-挂账付款'!$AX32-SUM('2024年-挂账付款'!G32:$AH32),0))</f>
        <v>0</v>
      </c>
      <c r="J32" s="128">
        <f>IF('2024年-挂账付款'!$AX32&gt;=SUM('2024年-挂账付款'!G32:$AH32),'2024年-挂账付款'!G32,IF('2024年-挂账付款'!$AX32-SUM('2024年-挂账付款'!H32:$AH32)&gt;0,'2024年-挂账付款'!$AX32-SUM('2024年-挂账付款'!H32:$AH32),0))</f>
        <v>0</v>
      </c>
      <c r="K32" s="128">
        <f>IF('2024年-挂账付款'!$AX32&gt;=SUM('2024年-挂账付款'!H32:$AH32),'2024年-挂账付款'!H32,IF('2024年-挂账付款'!$AX32-SUM('2024年-挂账付款'!I32:$AH32)&gt;0,'2024年-挂账付款'!$AX32-SUM('2024年-挂账付款'!I32:$AH32),0))</f>
        <v>0</v>
      </c>
      <c r="L32" s="128">
        <f>IF('2024年-挂账付款'!$AX32&gt;=SUM('2024年-挂账付款'!I32:$AH32),'2024年-挂账付款'!I32,IF('2024年-挂账付款'!$AX32-SUM('2024年-挂账付款'!J32:$AH32)&gt;0,'2024年-挂账付款'!$AX32-SUM('2024年-挂账付款'!J32:$AH32),0))</f>
        <v>0</v>
      </c>
      <c r="M32" s="128">
        <f>IF('2024年-挂账付款'!$AX32&gt;=SUM('2024年-挂账付款'!J32:$AH32),'2024年-挂账付款'!J32,IF('2024年-挂账付款'!$AX32-SUM('2024年-挂账付款'!K32:$AH32)&gt;0,'2024年-挂账付款'!$AX32-SUM('2024年-挂账付款'!K32:$AH32),0))</f>
        <v>0</v>
      </c>
      <c r="N32" s="128">
        <f>IF('2024年-挂账付款'!$AX32&gt;=SUM('2024年-挂账付款'!K32:$AH32),'2024年-挂账付款'!K32,IF('2024年-挂账付款'!$AX32-SUM('2024年-挂账付款'!L32:$AH32)&gt;0,'2024年-挂账付款'!$AX32-SUM('2024年-挂账付款'!L32:$AH32),0))</f>
        <v>0</v>
      </c>
      <c r="O32" s="128">
        <f>IF('2024年-挂账付款'!$AX32&gt;=SUM('2024年-挂账付款'!L32:$AH32),'2024年-挂账付款'!L32,IF('2024年-挂账付款'!$AX32-SUM('2024年-挂账付款'!M32:$AH32)&gt;0,'2024年-挂账付款'!$AX32-SUM('2024年-挂账付款'!M32:$AH32),0))</f>
        <v>0</v>
      </c>
      <c r="P32" s="128">
        <f>IF('2024年-挂账付款'!$AX32&gt;=SUM('2024年-挂账付款'!M32:$AH32),'2024年-挂账付款'!M32,IF('2024年-挂账付款'!$AX32-SUM('2024年-挂账付款'!N32:$AH32)&gt;0,'2024年-挂账付款'!$AX32-SUM('2024年-挂账付款'!N32:$AH32),0))</f>
        <v>0</v>
      </c>
      <c r="Q32" s="128">
        <f>IF('2024年-挂账付款'!$AX32&gt;=SUM('2024年-挂账付款'!N32:$AH32),'2024年-挂账付款'!N32,IF('2024年-挂账付款'!$AX32-SUM('2024年-挂账付款'!O32:$AH32)&gt;0,'2024年-挂账付款'!$AX32-SUM('2024年-挂账付款'!O32:$AH32),0))</f>
        <v>0</v>
      </c>
      <c r="R32" s="128">
        <f>IF('2024年-挂账付款'!$AX32&gt;=SUM('2024年-挂账付款'!O32:$AH32),'2024年-挂账付款'!O32,IF('2024年-挂账付款'!$AX32-SUM('2024年-挂账付款'!P32:$AH32)&gt;0,'2024年-挂账付款'!$AX32-SUM('2024年-挂账付款'!P32:$AH32),0))</f>
        <v>0</v>
      </c>
      <c r="S32" s="128">
        <f>IF('2024年-挂账付款'!$AX32&gt;=SUM('2024年-挂账付款'!P32:$AH32),'2024年-挂账付款'!P32,IF('2024年-挂账付款'!$AX32-SUM('2024年-挂账付款'!Q32:$AH32)&gt;0,'2024年-挂账付款'!$AX32-SUM('2024年-挂账付款'!Q32:$AH32),0))</f>
        <v>0</v>
      </c>
      <c r="T32" s="128">
        <f>IF('2024年-挂账付款'!$AX32&gt;=SUM('2024年-挂账付款'!Q32:$AH32),'2024年-挂账付款'!Q32,IF('2024年-挂账付款'!$AX32-SUM('2024年-挂账付款'!R32:$AH32)&gt;0,'2024年-挂账付款'!$AX32-SUM('2024年-挂账付款'!R32:$AH32),0))</f>
        <v>67095.6200000001</v>
      </c>
      <c r="U32" s="128">
        <f>IF('2024年-挂账付款'!$AX32&gt;=SUM('2024年-挂账付款'!R32:$AH32),'2024年-挂账付款'!R32,IF('2024年-挂账付款'!$AX32-SUM('2024年-挂账付款'!S32:$AH32)&gt;0,'2024年-挂账付款'!$AX32-SUM('2024年-挂账付款'!S32:$AH32),0))</f>
        <v>28309.89</v>
      </c>
      <c r="V32" s="128">
        <f>IF('2024年-挂账付款'!$AX32&gt;=SUM('2024年-挂账付款'!S32:$AH32),'2024年-挂账付款'!S32,IF('2024年-挂账付款'!$AX32-SUM('2024年-挂账付款'!T32:$AH32)&gt;0,'2024年-挂账付款'!$AX32-SUM('2024年-挂账付款'!T32:$AH32),0))</f>
        <v>34550.88</v>
      </c>
      <c r="W32" s="128">
        <f>IF('2024年-挂账付款'!$AX32&gt;=SUM('2024年-挂账付款'!T32:$AH32),'2024年-挂账付款'!T32,IF('2024年-挂账付款'!$AX32-SUM('2024年-挂账付款'!U32:$AH32)&gt;0,'2024年-挂账付款'!$AX32-SUM('2024年-挂账付款'!U32:$AH32),0))</f>
        <v>63985.57</v>
      </c>
      <c r="X32" s="128">
        <f>IF('2024年-挂账付款'!$AX32&gt;=SUM('2024年-挂账付款'!U32:$AH32),'2024年-挂账付款'!U32,IF('2024年-挂账付款'!$AX32-SUM('2024年-挂账付款'!V32:$AH32)&gt;0,'2024年-挂账付款'!$AX32-SUM('2024年-挂账付款'!V32:$AH32),0))</f>
        <v>48271.56</v>
      </c>
      <c r="Y32" s="128">
        <f>IF('2024年-挂账付款'!$AX32&gt;=SUM('2024年-挂账付款'!V32:$AH32),'2024年-挂账付款'!V32,IF('2024年-挂账付款'!$AX32-SUM('2024年-挂账付款'!W32:$AH32)&gt;0,'2024年-挂账付款'!$AX32-SUM('2024年-挂账付款'!W32:$AH32),0))</f>
        <v>43938.46</v>
      </c>
      <c r="Z32" s="128">
        <f>IF('2024年-挂账付款'!$AX32&gt;=SUM('2024年-挂账付款'!W32:$AH32),'2024年-挂账付款'!W32,IF('2024年-挂账付款'!$AX32-SUM('2024年-挂账付款'!X32:$AH32)&gt;0,'2024年-挂账付款'!$AX32-SUM('2024年-挂账付款'!X32:$AH32),0))</f>
        <v>115133.22</v>
      </c>
      <c r="AA32" s="167">
        <f>IF('2024年-挂账付款'!$AX32&gt;=SUM('2024年-挂账付款'!X32:$AH32),'2024年-挂账付款'!X32,IF('2024年-挂账付款'!$AX32-SUM('2024年-挂账付款'!Y32:$AH32)&gt;0,'2024年-挂账付款'!$AX32-SUM('2024年-挂账付款'!Y32:$AH32),0))</f>
        <v>122926.14</v>
      </c>
      <c r="AB32" s="128">
        <f>IF('2024年-挂账付款'!$AX32&gt;=SUM('2024年-挂账付款'!Y32:$AH32),'2024年-挂账付款'!Y32,IF('2024年-挂账付款'!$AX32-SUM('2024年-挂账付款'!Z32:$AH32)&gt;0,'2024年-挂账付款'!$AX32-SUM('2024年-挂账付款'!Z32:$AH32),0))</f>
        <v>0</v>
      </c>
      <c r="AC32" s="128">
        <f>IF('2024年-挂账付款'!$AX32&gt;=SUM('2024年-挂账付款'!Z32:$AH32),'2024年-挂账付款'!Z32,IF('2024年-挂账付款'!$AX32-SUM('2024年-挂账付款'!AA32:$AH32)&gt;0,'2024年-挂账付款'!$AX32-SUM('2024年-挂账付款'!AA32:$AH32),0))</f>
        <v>0</v>
      </c>
      <c r="AD32" s="128">
        <f>IF('2024年-挂账付款'!$AX32&gt;=SUM('2024年-挂账付款'!AA32:$AH32),'2024年-挂账付款'!AA32,IF('2024年-挂账付款'!$AX32-SUM('2024年-挂账付款'!AB32:$AH32)&gt;0,'2024年-挂账付款'!$AX32-SUM('2024年-挂账付款'!AB32:$AH32),0))</f>
        <v>0</v>
      </c>
      <c r="AE32" s="128">
        <f>IF('2024年-挂账付款'!$AX32&gt;=SUM('2024年-挂账付款'!AB32:$AH32),'2024年-挂账付款'!AB32,IF('2024年-挂账付款'!$AX32-SUM('2024年-挂账付款'!AC32:$AH32)&gt;0,'2024年-挂账付款'!$AX32-SUM('2024年-挂账付款'!AC32:$AH32),0))</f>
        <v>0</v>
      </c>
      <c r="AF32" s="128">
        <f>IF('2024年-挂账付款'!$AX32&gt;=SUM('2024年-挂账付款'!AC32:$AH32),'2024年-挂账付款'!AC32,IF('2024年-挂账付款'!$AX32-SUM('2024年-挂账付款'!AD32:$AH32)&gt;0,'2024年-挂账付款'!$AX32-SUM('2024年-挂账付款'!AD32:$AH32),0))</f>
        <v>0</v>
      </c>
      <c r="AG32" s="128">
        <f>IF('2024年-挂账付款'!$AX32&gt;=SUM('2024年-挂账付款'!AD32:$AH32),'2024年-挂账付款'!AD32,IF('2024年-挂账付款'!$AX32-SUM('2024年-挂账付款'!AE32:$AH32)&gt;0,'2024年-挂账付款'!$AX32-SUM('2024年-挂账付款'!AE32:$AH32),0))</f>
        <v>0</v>
      </c>
      <c r="AH32" s="128">
        <f>IF('2024年-挂账付款'!$AX32&gt;=SUM('2024年-挂账付款'!AE32:$AH32),'2024年-挂账付款'!AE32,IF('2024年-挂账付款'!$AX32-SUM('2024年-挂账付款'!AF32:$AH32)&gt;0,'2024年-挂账付款'!$AX32-SUM('2024年-挂账付款'!AF32:$AH32),0))</f>
        <v>0</v>
      </c>
      <c r="AI32" s="128">
        <f>IF('2024年-挂账付款'!$AX32&gt;=SUM('2024年-挂账付款'!AF32:$AH32),'2024年-挂账付款'!AF32,IF('2024年-挂账付款'!$AX32-SUM('2024年-挂账付款'!AG32:$AH32)&gt;0,'2024年-挂账付款'!$AX32-SUM('2024年-挂账付款'!AG32:$AH32),0))</f>
        <v>0</v>
      </c>
      <c r="AJ32" s="128">
        <f>IF('2024年-挂账付款'!$AX32&gt;=SUM('2024年-挂账付款'!AG32:$AH32),'2024年-挂账付款'!AG32,IF('2024年-挂账付款'!$AX32-SUM('2024年-挂账付款'!AH32:$AH32)&gt;0,'2024年-挂账付款'!$AX32-SUM('2024年-挂账付款'!AH32:$AH32),0))</f>
        <v>0</v>
      </c>
      <c r="AK32" s="128">
        <f>IF('2024年-挂账付款'!$AX32&gt;=SUM('2024年-挂账付款'!AH32:$AH32),'2024年-挂账付款'!AH32,IF('2024年-挂账付款'!$AX32-SUM('2024年-挂账付款'!$AH32:AI32)&gt;0,'2024年-挂账付款'!$AX32-SUM('2024年-挂账付款'!$AH32:AI32),0))</f>
        <v>0</v>
      </c>
      <c r="AL32" s="182" t="s">
        <v>427</v>
      </c>
      <c r="AM32" s="183"/>
      <c r="AN32" s="176">
        <f t="shared" si="1"/>
        <v>44558.6106666667</v>
      </c>
      <c r="AO32" s="203">
        <v>50000</v>
      </c>
      <c r="AP32" s="204"/>
      <c r="AQ32" s="205">
        <v>50000</v>
      </c>
      <c r="AR32" s="206"/>
    </row>
    <row r="33" s="107" customFormat="1" ht="18" customHeight="1" spans="1:44">
      <c r="A33" s="122"/>
      <c r="B33" s="129" t="s">
        <v>81</v>
      </c>
      <c r="C33" s="130" t="s">
        <v>287</v>
      </c>
      <c r="D33" s="130" t="s">
        <v>288</v>
      </c>
      <c r="E33" s="125">
        <v>90</v>
      </c>
      <c r="F33" s="126">
        <f t="shared" si="3"/>
        <v>126042.33</v>
      </c>
      <c r="G33" s="127">
        <f t="shared" si="0"/>
        <v>260065.98</v>
      </c>
      <c r="H33" s="128">
        <f>IF('2024年-挂账付款'!$AX33&gt;=SUM('2024年-挂账付款'!E33:$AH33),'2024年-挂账付款'!E33,IF('2024年-挂账付款'!$AX33-SUM('2024年-挂账付款'!F33:$AH33)&gt;0,'2024年-挂账付款'!$AX33-SUM('2024年-挂账付款'!F33:$AH33),0))</f>
        <v>0</v>
      </c>
      <c r="I33" s="128">
        <f>IF('2024年-挂账付款'!$AX33&gt;=SUM('2024年-挂账付款'!F33:$AH33),'2024年-挂账付款'!F33,IF('2024年-挂账付款'!$AX33-SUM('2024年-挂账付款'!G33:$AH33)&gt;0,'2024年-挂账付款'!$AX33-SUM('2024年-挂账付款'!G33:$AH33),0))</f>
        <v>0</v>
      </c>
      <c r="J33" s="128">
        <f>IF('2024年-挂账付款'!$AX33&gt;=SUM('2024年-挂账付款'!G33:$AH33),'2024年-挂账付款'!G33,IF('2024年-挂账付款'!$AX33-SUM('2024年-挂账付款'!H33:$AH33)&gt;0,'2024年-挂账付款'!$AX33-SUM('2024年-挂账付款'!H33:$AH33),0))</f>
        <v>0</v>
      </c>
      <c r="K33" s="128">
        <f>IF('2024年-挂账付款'!$AX33&gt;=SUM('2024年-挂账付款'!H33:$AH33),'2024年-挂账付款'!H33,IF('2024年-挂账付款'!$AX33-SUM('2024年-挂账付款'!I33:$AH33)&gt;0,'2024年-挂账付款'!$AX33-SUM('2024年-挂账付款'!I33:$AH33),0))</f>
        <v>0</v>
      </c>
      <c r="L33" s="128">
        <f>IF('2024年-挂账付款'!$AX33&gt;=SUM('2024年-挂账付款'!I33:$AH33),'2024年-挂账付款'!I33,IF('2024年-挂账付款'!$AX33-SUM('2024年-挂账付款'!J33:$AH33)&gt;0,'2024年-挂账付款'!$AX33-SUM('2024年-挂账付款'!J33:$AH33),0))</f>
        <v>0</v>
      </c>
      <c r="M33" s="128">
        <f>IF('2024年-挂账付款'!$AX33&gt;=SUM('2024年-挂账付款'!J33:$AH33),'2024年-挂账付款'!J33,IF('2024年-挂账付款'!$AX33-SUM('2024年-挂账付款'!K33:$AH33)&gt;0,'2024年-挂账付款'!$AX33-SUM('2024年-挂账付款'!K33:$AH33),0))</f>
        <v>0</v>
      </c>
      <c r="N33" s="128">
        <f>IF('2024年-挂账付款'!$AX33&gt;=SUM('2024年-挂账付款'!K33:$AH33),'2024年-挂账付款'!K33,IF('2024年-挂账付款'!$AX33-SUM('2024年-挂账付款'!L33:$AH33)&gt;0,'2024年-挂账付款'!$AX33-SUM('2024年-挂账付款'!L33:$AH33),0))</f>
        <v>0</v>
      </c>
      <c r="O33" s="128">
        <f>IF('2024年-挂账付款'!$AX33&gt;=SUM('2024年-挂账付款'!L33:$AH33),'2024年-挂账付款'!L33,IF('2024年-挂账付款'!$AX33-SUM('2024年-挂账付款'!M33:$AH33)&gt;0,'2024年-挂账付款'!$AX33-SUM('2024年-挂账付款'!M33:$AH33),0))</f>
        <v>0</v>
      </c>
      <c r="P33" s="128">
        <f>IF('2024年-挂账付款'!$AX33&gt;=SUM('2024年-挂账付款'!M33:$AH33),'2024年-挂账付款'!M33,IF('2024年-挂账付款'!$AX33-SUM('2024年-挂账付款'!N33:$AH33)&gt;0,'2024年-挂账付款'!$AX33-SUM('2024年-挂账付款'!N33:$AH33),0))</f>
        <v>0</v>
      </c>
      <c r="Q33" s="128">
        <f>IF('2024年-挂账付款'!$AX33&gt;=SUM('2024年-挂账付款'!N33:$AH33),'2024年-挂账付款'!N33,IF('2024年-挂账付款'!$AX33-SUM('2024年-挂账付款'!O33:$AH33)&gt;0,'2024年-挂账付款'!$AX33-SUM('2024年-挂账付款'!O33:$AH33),0))</f>
        <v>0</v>
      </c>
      <c r="R33" s="128">
        <f>IF('2024年-挂账付款'!$AX33&gt;=SUM('2024年-挂账付款'!O33:$AH33),'2024年-挂账付款'!O33,IF('2024年-挂账付款'!$AX33-SUM('2024年-挂账付款'!P33:$AH33)&gt;0,'2024年-挂账付款'!$AX33-SUM('2024年-挂账付款'!P33:$AH33),0))</f>
        <v>0</v>
      </c>
      <c r="S33" s="128">
        <f>IF('2024年-挂账付款'!$AX33&gt;=SUM('2024年-挂账付款'!P33:$AH33),'2024年-挂账付款'!P33,IF('2024年-挂账付款'!$AX33-SUM('2024年-挂账付款'!Q33:$AH33)&gt;0,'2024年-挂账付款'!$AX33-SUM('2024年-挂账付款'!Q33:$AH33),0))</f>
        <v>0</v>
      </c>
      <c r="T33" s="128">
        <f>IF('2024年-挂账付款'!$AX33&gt;=SUM('2024年-挂账付款'!Q33:$AH33),'2024年-挂账付款'!Q33,IF('2024年-挂账付款'!$AX33-SUM('2024年-挂账付款'!R33:$AH33)&gt;0,'2024年-挂账付款'!$AX33-SUM('2024年-挂账付款'!R33:$AH33),0))</f>
        <v>0</v>
      </c>
      <c r="U33" s="128">
        <f>IF('2024年-挂账付款'!$AX33&gt;=SUM('2024年-挂账付款'!R33:$AH33),'2024年-挂账付款'!R33,IF('2024年-挂账付款'!$AX33-SUM('2024年-挂账付款'!S33:$AH33)&gt;0,'2024年-挂账付款'!$AX33-SUM('2024年-挂账付款'!S33:$AH33),0))</f>
        <v>0</v>
      </c>
      <c r="V33" s="128">
        <f>IF('2024年-挂账付款'!$AX33&gt;=SUM('2024年-挂账付款'!S33:$AH33),'2024年-挂账付款'!S33,IF('2024年-挂账付款'!$AX33-SUM('2024年-挂账付款'!T33:$AH33)&gt;0,'2024年-挂账付款'!$AX33-SUM('2024年-挂账付款'!T33:$AH33),0))</f>
        <v>0</v>
      </c>
      <c r="W33" s="128">
        <f>IF('2024年-挂账付款'!$AX33&gt;=SUM('2024年-挂账付款'!T33:$AH33),'2024年-挂账付款'!T33,IF('2024年-挂账付款'!$AX33-SUM('2024年-挂账付款'!U33:$AH33)&gt;0,'2024年-挂账付款'!$AX33-SUM('2024年-挂账付款'!U33:$AH33),0))</f>
        <v>63871.99</v>
      </c>
      <c r="X33" s="128">
        <f>IF('2024年-挂账付款'!$AX33&gt;=SUM('2024年-挂账付款'!U33:$AH33),'2024年-挂账付款'!U33,IF('2024年-挂账付款'!$AX33-SUM('2024年-挂账付款'!V33:$AH33)&gt;0,'2024年-挂账付款'!$AX33-SUM('2024年-挂账付款'!V33:$AH33),0))</f>
        <v>0</v>
      </c>
      <c r="Y33" s="128">
        <f>IF('2024年-挂账付款'!$AX33&gt;=SUM('2024年-挂账付款'!V33:$AH33),'2024年-挂账付款'!V33,IF('2024年-挂账付款'!$AX33-SUM('2024年-挂账付款'!W33:$AH33)&gt;0,'2024年-挂账付款'!$AX33-SUM('2024年-挂账付款'!W33:$AH33),0))</f>
        <v>62170.34</v>
      </c>
      <c r="Z33" s="128">
        <f>IF('2024年-挂账付款'!$AX33&gt;=SUM('2024年-挂账付款'!W33:$AH33),'2024年-挂账付款'!W33,IF('2024年-挂账付款'!$AX33-SUM('2024年-挂账付款'!X33:$AH33)&gt;0,'2024年-挂账付款'!$AX33-SUM('2024年-挂账付款'!X33:$AH33),0))</f>
        <v>134023.65</v>
      </c>
      <c r="AA33" s="167">
        <f>IF('2024年-挂账付款'!$AX33&gt;=SUM('2024年-挂账付款'!X33:$AH33),'2024年-挂账付款'!X33,IF('2024年-挂账付款'!$AX33-SUM('2024年-挂账付款'!Y33:$AH33)&gt;0,'2024年-挂账付款'!$AX33-SUM('2024年-挂账付款'!Y33:$AH33),0))</f>
        <v>0</v>
      </c>
      <c r="AB33" s="128">
        <f>IF('2024年-挂账付款'!$AX33&gt;=SUM('2024年-挂账付款'!Y33:$AH33),'2024年-挂账付款'!Y33,IF('2024年-挂账付款'!$AX33-SUM('2024年-挂账付款'!Z33:$AH33)&gt;0,'2024年-挂账付款'!$AX33-SUM('2024年-挂账付款'!Z33:$AH33),0))</f>
        <v>0</v>
      </c>
      <c r="AC33" s="128">
        <f>IF('2024年-挂账付款'!$AX33&gt;=SUM('2024年-挂账付款'!Z33:$AH33),'2024年-挂账付款'!Z33,IF('2024年-挂账付款'!$AX33-SUM('2024年-挂账付款'!AA33:$AH33)&gt;0,'2024年-挂账付款'!$AX33-SUM('2024年-挂账付款'!AA33:$AH33),0))</f>
        <v>0</v>
      </c>
      <c r="AD33" s="128">
        <f>IF('2024年-挂账付款'!$AX33&gt;=SUM('2024年-挂账付款'!AA33:$AH33),'2024年-挂账付款'!AA33,IF('2024年-挂账付款'!$AX33-SUM('2024年-挂账付款'!AB33:$AH33)&gt;0,'2024年-挂账付款'!$AX33-SUM('2024年-挂账付款'!AB33:$AH33),0))</f>
        <v>0</v>
      </c>
      <c r="AE33" s="128">
        <f>IF('2024年-挂账付款'!$AX33&gt;=SUM('2024年-挂账付款'!AB33:$AH33),'2024年-挂账付款'!AB33,IF('2024年-挂账付款'!$AX33-SUM('2024年-挂账付款'!AC33:$AH33)&gt;0,'2024年-挂账付款'!$AX33-SUM('2024年-挂账付款'!AC33:$AH33),0))</f>
        <v>0</v>
      </c>
      <c r="AF33" s="128">
        <f>IF('2024年-挂账付款'!$AX33&gt;=SUM('2024年-挂账付款'!AC33:$AH33),'2024年-挂账付款'!AC33,IF('2024年-挂账付款'!$AX33-SUM('2024年-挂账付款'!AD33:$AH33)&gt;0,'2024年-挂账付款'!$AX33-SUM('2024年-挂账付款'!AD33:$AH33),0))</f>
        <v>0</v>
      </c>
      <c r="AG33" s="128">
        <f>IF('2024年-挂账付款'!$AX33&gt;=SUM('2024年-挂账付款'!AD33:$AH33),'2024年-挂账付款'!AD33,IF('2024年-挂账付款'!$AX33-SUM('2024年-挂账付款'!AE33:$AH33)&gt;0,'2024年-挂账付款'!$AX33-SUM('2024年-挂账付款'!AE33:$AH33),0))</f>
        <v>0</v>
      </c>
      <c r="AH33" s="128">
        <f>IF('2024年-挂账付款'!$AX33&gt;=SUM('2024年-挂账付款'!AE33:$AH33),'2024年-挂账付款'!AE33,IF('2024年-挂账付款'!$AX33-SUM('2024年-挂账付款'!AF33:$AH33)&gt;0,'2024年-挂账付款'!$AX33-SUM('2024年-挂账付款'!AF33:$AH33),0))</f>
        <v>0</v>
      </c>
      <c r="AI33" s="128">
        <f>IF('2024年-挂账付款'!$AX33&gt;=SUM('2024年-挂账付款'!AF33:$AH33),'2024年-挂账付款'!AF33,IF('2024年-挂账付款'!$AX33-SUM('2024年-挂账付款'!AG33:$AH33)&gt;0,'2024年-挂账付款'!$AX33-SUM('2024年-挂账付款'!AG33:$AH33),0))</f>
        <v>0</v>
      </c>
      <c r="AJ33" s="128">
        <f>IF('2024年-挂账付款'!$AX33&gt;=SUM('2024年-挂账付款'!AG33:$AH33),'2024年-挂账付款'!AG33,IF('2024年-挂账付款'!$AX33-SUM('2024年-挂账付款'!AH33:$AH33)&gt;0,'2024年-挂账付款'!$AX33-SUM('2024年-挂账付款'!AH33:$AH33),0))</f>
        <v>0</v>
      </c>
      <c r="AK33" s="128">
        <f>IF('2024年-挂账付款'!$AX33&gt;=SUM('2024年-挂账付款'!AH33:$AH33),'2024年-挂账付款'!AH33,IF('2024年-挂账付款'!$AX33-SUM('2024年-挂账付款'!$AH33:AI33)&gt;0,'2024年-挂账付款'!$AX33-SUM('2024年-挂账付款'!$AH33:AI33),0))</f>
        <v>0</v>
      </c>
      <c r="AL33" s="182" t="s">
        <v>428</v>
      </c>
      <c r="AM33" s="184"/>
      <c r="AN33" s="176">
        <f t="shared" si="1"/>
        <v>34675.464</v>
      </c>
      <c r="AO33" s="203">
        <v>30000</v>
      </c>
      <c r="AP33" s="204"/>
      <c r="AQ33" s="205"/>
      <c r="AR33" s="206">
        <v>50000</v>
      </c>
    </row>
    <row r="34" s="107" customFormat="1" ht="18" customHeight="1" spans="1:44">
      <c r="A34" s="143"/>
      <c r="B34" s="144" t="s">
        <v>81</v>
      </c>
      <c r="C34" s="145" t="s">
        <v>289</v>
      </c>
      <c r="D34" s="145" t="s">
        <v>290</v>
      </c>
      <c r="E34" s="146">
        <v>90</v>
      </c>
      <c r="F34" s="126">
        <f t="shared" si="3"/>
        <v>543515.92</v>
      </c>
      <c r="G34" s="127">
        <f t="shared" si="0"/>
        <v>543515.92</v>
      </c>
      <c r="H34" s="128" t="str">
        <f>IF('2024年-挂账付款'!$AX34&gt;=SUM('2024年-挂账付款'!E34:$AH34),'2024年-挂账付款'!E34,IF('2024年-挂账付款'!$AX34-SUM('2024年-挂账付款'!F34:$AH34)&gt;0,'2024年-挂账付款'!$AX34-SUM('2024年-挂账付款'!F34:$AH34),0))</f>
        <v/>
      </c>
      <c r="I34" s="128" t="str">
        <f>IF('2024年-挂账付款'!$AX34&gt;=SUM('2024年-挂账付款'!F34:$AH34),'2024年-挂账付款'!F34,IF('2024年-挂账付款'!$AX34-SUM('2024年-挂账付款'!G34:$AH34)&gt;0,'2024年-挂账付款'!$AX34-SUM('2024年-挂账付款'!G34:$AH34),0))</f>
        <v/>
      </c>
      <c r="J34" s="128" t="str">
        <f>IF('2024年-挂账付款'!$AX34&gt;=SUM('2024年-挂账付款'!G34:$AH34),'2024年-挂账付款'!G34,IF('2024年-挂账付款'!$AX34-SUM('2024年-挂账付款'!H34:$AH34)&gt;0,'2024年-挂账付款'!$AX34-SUM('2024年-挂账付款'!H34:$AH34),0))</f>
        <v/>
      </c>
      <c r="K34" s="128">
        <f>IF('2024年-挂账付款'!$AX34&gt;=SUM('2024年-挂账付款'!H34:$AH34),'2024年-挂账付款'!H34,IF('2024年-挂账付款'!$AX34-SUM('2024年-挂账付款'!I34:$AH34)&gt;0,'2024年-挂账付款'!$AX34-SUM('2024年-挂账付款'!I34:$AH34),0))</f>
        <v>0</v>
      </c>
      <c r="L34" s="128">
        <f>IF('2024年-挂账付款'!$AX34&gt;=SUM('2024年-挂账付款'!I34:$AH34),'2024年-挂账付款'!I34,IF('2024年-挂账付款'!$AX34-SUM('2024年-挂账付款'!J34:$AH34)&gt;0,'2024年-挂账付款'!$AX34-SUM('2024年-挂账付款'!J34:$AH34),0))</f>
        <v>0</v>
      </c>
      <c r="M34" s="128" t="str">
        <f>IF('2024年-挂账付款'!$AX34&gt;=SUM('2024年-挂账付款'!J34:$AH34),'2024年-挂账付款'!J34,IF('2024年-挂账付款'!$AX34-SUM('2024年-挂账付款'!K34:$AH34)&gt;0,'2024年-挂账付款'!$AX34-SUM('2024年-挂账付款'!K34:$AH34),0))</f>
        <v/>
      </c>
      <c r="N34" s="128">
        <f>IF('2024年-挂账付款'!$AX34&gt;=SUM('2024年-挂账付款'!K34:$AH34),'2024年-挂账付款'!K34,IF('2024年-挂账付款'!$AX34-SUM('2024年-挂账付款'!L34:$AH34)&gt;0,'2024年-挂账付款'!$AX34-SUM('2024年-挂账付款'!L34:$AH34),0))</f>
        <v>0</v>
      </c>
      <c r="O34" s="128">
        <f>IF('2024年-挂账付款'!$AX34&gt;=SUM('2024年-挂账付款'!L34:$AH34),'2024年-挂账付款'!L34,IF('2024年-挂账付款'!$AX34-SUM('2024年-挂账付款'!M34:$AH34)&gt;0,'2024年-挂账付款'!$AX34-SUM('2024年-挂账付款'!M34:$AH34),0))</f>
        <v>0</v>
      </c>
      <c r="P34" s="128">
        <f>IF('2024年-挂账付款'!$AX34&gt;=SUM('2024年-挂账付款'!M34:$AH34),'2024年-挂账付款'!M34,IF('2024年-挂账付款'!$AX34-SUM('2024年-挂账付款'!N34:$AH34)&gt;0,'2024年-挂账付款'!$AX34-SUM('2024年-挂账付款'!N34:$AH34),0))</f>
        <v>156897.18</v>
      </c>
      <c r="Q34" s="128">
        <f>IF('2024年-挂账付款'!$AX34&gt;=SUM('2024年-挂账付款'!N34:$AH34),'2024年-挂账付款'!N34,IF('2024年-挂账付款'!$AX34-SUM('2024年-挂账付款'!O34:$AH34)&gt;0,'2024年-挂账付款'!$AX34-SUM('2024年-挂账付款'!O34:$AH34),0))</f>
        <v>40061.43</v>
      </c>
      <c r="R34" s="128">
        <f>IF('2024年-挂账付款'!$AX34&gt;=SUM('2024年-挂账付款'!O34:$AH34),'2024年-挂账付款'!O34,IF('2024年-挂账付款'!$AX34-SUM('2024年-挂账付款'!P34:$AH34)&gt;0,'2024年-挂账付款'!$AX34-SUM('2024年-挂账付款'!P34:$AH34),0))</f>
        <v>24892.05</v>
      </c>
      <c r="S34" s="128">
        <f>IF('2024年-挂账付款'!$AX34&gt;=SUM('2024年-挂账付款'!P34:$AH34),'2024年-挂账付款'!P34,IF('2024年-挂账付款'!$AX34-SUM('2024年-挂账付款'!Q34:$AH34)&gt;0,'2024年-挂账付款'!$AX34-SUM('2024年-挂账付款'!Q34:$AH34),0))</f>
        <v>12725.95</v>
      </c>
      <c r="T34" s="128">
        <f>IF('2024年-挂账付款'!$AX34&gt;=SUM('2024年-挂账付款'!Q34:$AH34),'2024年-挂账付款'!Q34,IF('2024年-挂账付款'!$AX34-SUM('2024年-挂账付款'!R34:$AH34)&gt;0,'2024年-挂账付款'!$AX34-SUM('2024年-挂账付款'!R34:$AH34),0))</f>
        <v>95100.09</v>
      </c>
      <c r="U34" s="128">
        <f>IF('2024年-挂账付款'!$AX34&gt;=SUM('2024年-挂账付款'!R34:$AH34),'2024年-挂账付款'!R34,IF('2024年-挂账付款'!$AX34-SUM('2024年-挂账付款'!S34:$AH34)&gt;0,'2024年-挂账付款'!$AX34-SUM('2024年-挂账付款'!S34:$AH34),0))</f>
        <v>0</v>
      </c>
      <c r="V34" s="128">
        <f>IF('2024年-挂账付款'!$AX34&gt;=SUM('2024年-挂账付款'!S34:$AH34),'2024年-挂账付款'!S34,IF('2024年-挂账付款'!$AX34-SUM('2024年-挂账付款'!T34:$AH34)&gt;0,'2024年-挂账付款'!$AX34-SUM('2024年-挂账付款'!T34:$AH34),0))</f>
        <v>70.75</v>
      </c>
      <c r="W34" s="128">
        <f>IF('2024年-挂账付款'!$AX34&gt;=SUM('2024年-挂账付款'!T34:$AH34),'2024年-挂账付款'!T34,IF('2024年-挂账付款'!$AX34-SUM('2024年-挂账付款'!U34:$AH34)&gt;0,'2024年-挂账付款'!$AX34-SUM('2024年-挂账付款'!U34:$AH34),0))</f>
        <v>120886.07</v>
      </c>
      <c r="X34" s="128">
        <f>IF('2024年-挂账付款'!$AX34&gt;=SUM('2024年-挂账付款'!U34:$AH34),'2024年-挂账付款'!U34,IF('2024年-挂账付款'!$AX34-SUM('2024年-挂账付款'!V34:$AH34)&gt;0,'2024年-挂账付款'!$AX34-SUM('2024年-挂账付款'!V34:$AH34),0))</f>
        <v>66283.25</v>
      </c>
      <c r="Y34" s="128">
        <f>IF('2024年-挂账付款'!$AX34&gt;=SUM('2024年-挂账付款'!V34:$AH34),'2024年-挂账付款'!V34,IF('2024年-挂账付款'!$AX34-SUM('2024年-挂账付款'!W34:$AH34)&gt;0,'2024年-挂账付款'!$AX34-SUM('2024年-挂账付款'!W34:$AH34),0))</f>
        <v>26599.15</v>
      </c>
      <c r="Z34" s="128">
        <f>IF('2024年-挂账付款'!$AX34&gt;=SUM('2024年-挂账付款'!W34:$AH34),'2024年-挂账付款'!W34,IF('2024年-挂账付款'!$AX34-SUM('2024年-挂账付款'!X34:$AH34)&gt;0,'2024年-挂账付款'!$AX34-SUM('2024年-挂账付款'!X34:$AH34),0))</f>
        <v>0</v>
      </c>
      <c r="AA34" s="167">
        <f>IF('2024年-挂账付款'!$AX34&gt;=SUM('2024年-挂账付款'!X34:$AH34),'2024年-挂账付款'!X34,IF('2024年-挂账付款'!$AX34-SUM('2024年-挂账付款'!Y34:$AH34)&gt;0,'2024年-挂账付款'!$AX34-SUM('2024年-挂账付款'!Y34:$AH34),0))</f>
        <v>0</v>
      </c>
      <c r="AB34" s="128">
        <f>IF('2024年-挂账付款'!$AX34&gt;=SUM('2024年-挂账付款'!Y34:$AH34),'2024年-挂账付款'!Y34,IF('2024年-挂账付款'!$AX34-SUM('2024年-挂账付款'!Z34:$AH34)&gt;0,'2024年-挂账付款'!$AX34-SUM('2024年-挂账付款'!Z34:$AH34),0))</f>
        <v>0</v>
      </c>
      <c r="AC34" s="128">
        <f>IF('2024年-挂账付款'!$AX34&gt;=SUM('2024年-挂账付款'!Z34:$AH34),'2024年-挂账付款'!Z34,IF('2024年-挂账付款'!$AX34-SUM('2024年-挂账付款'!AA34:$AH34)&gt;0,'2024年-挂账付款'!$AX34-SUM('2024年-挂账付款'!AA34:$AH34),0))</f>
        <v>0</v>
      </c>
      <c r="AD34" s="128">
        <f>IF('2024年-挂账付款'!$AX34&gt;=SUM('2024年-挂账付款'!AA34:$AH34),'2024年-挂账付款'!AA34,IF('2024年-挂账付款'!$AX34-SUM('2024年-挂账付款'!AB34:$AH34)&gt;0,'2024年-挂账付款'!$AX34-SUM('2024年-挂账付款'!AB34:$AH34),0))</f>
        <v>0</v>
      </c>
      <c r="AE34" s="128">
        <f>IF('2024年-挂账付款'!$AX34&gt;=SUM('2024年-挂账付款'!AB34:$AH34),'2024年-挂账付款'!AB34,IF('2024年-挂账付款'!$AX34-SUM('2024年-挂账付款'!AC34:$AH34)&gt;0,'2024年-挂账付款'!$AX34-SUM('2024年-挂账付款'!AC34:$AH34),0))</f>
        <v>0</v>
      </c>
      <c r="AF34" s="128">
        <f>IF('2024年-挂账付款'!$AX34&gt;=SUM('2024年-挂账付款'!AC34:$AH34),'2024年-挂账付款'!AC34,IF('2024年-挂账付款'!$AX34-SUM('2024年-挂账付款'!AD34:$AH34)&gt;0,'2024年-挂账付款'!$AX34-SUM('2024年-挂账付款'!AD34:$AH34),0))</f>
        <v>0</v>
      </c>
      <c r="AG34" s="128">
        <f>IF('2024年-挂账付款'!$AX34&gt;=SUM('2024年-挂账付款'!AD34:$AH34),'2024年-挂账付款'!AD34,IF('2024年-挂账付款'!$AX34-SUM('2024年-挂账付款'!AE34:$AH34)&gt;0,'2024年-挂账付款'!$AX34-SUM('2024年-挂账付款'!AE34:$AH34),0))</f>
        <v>0</v>
      </c>
      <c r="AH34" s="128">
        <f>IF('2024年-挂账付款'!$AX34&gt;=SUM('2024年-挂账付款'!AE34:$AH34),'2024年-挂账付款'!AE34,IF('2024年-挂账付款'!$AX34-SUM('2024年-挂账付款'!AF34:$AH34)&gt;0,'2024年-挂账付款'!$AX34-SUM('2024年-挂账付款'!AF34:$AH34),0))</f>
        <v>0</v>
      </c>
      <c r="AI34" s="128">
        <f>IF('2024年-挂账付款'!$AX34&gt;=SUM('2024年-挂账付款'!AF34:$AH34),'2024年-挂账付款'!AF34,IF('2024年-挂账付款'!$AX34-SUM('2024年-挂账付款'!AG34:$AH34)&gt;0,'2024年-挂账付款'!$AX34-SUM('2024年-挂账付款'!AG34:$AH34),0))</f>
        <v>0</v>
      </c>
      <c r="AJ34" s="128">
        <f>IF('2024年-挂账付款'!$AX34&gt;=SUM('2024年-挂账付款'!AG34:$AH34),'2024年-挂账付款'!AG34,IF('2024年-挂账付款'!$AX34-SUM('2024年-挂账付款'!AH34:$AH34)&gt;0,'2024年-挂账付款'!$AX34-SUM('2024年-挂账付款'!AH34:$AH34),0))</f>
        <v>0</v>
      </c>
      <c r="AK34" s="128">
        <f>IF('2024年-挂账付款'!$AX34&gt;=SUM('2024年-挂账付款'!AH34:$AH34),'2024年-挂账付款'!AH34,IF('2024年-挂账付款'!$AX34-SUM('2024年-挂账付款'!$AH34:AI34)&gt;0,'2024年-挂账付款'!$AX34-SUM('2024年-挂账付款'!$AH34:AI34),0))</f>
        <v>0</v>
      </c>
      <c r="AL34" s="187" t="s">
        <v>428</v>
      </c>
      <c r="AM34" s="189"/>
      <c r="AN34" s="176">
        <f t="shared" si="1"/>
        <v>28511.896</v>
      </c>
      <c r="AO34" s="209"/>
      <c r="AP34" s="204"/>
      <c r="AQ34" s="205"/>
      <c r="AR34" s="206"/>
    </row>
    <row r="35" s="107" customFormat="1" ht="18" customHeight="1" spans="1:44">
      <c r="A35" s="122"/>
      <c r="B35" s="129" t="s">
        <v>81</v>
      </c>
      <c r="C35" s="130" t="s">
        <v>293</v>
      </c>
      <c r="D35" s="130" t="s">
        <v>294</v>
      </c>
      <c r="E35" s="125">
        <v>90</v>
      </c>
      <c r="F35" s="126">
        <f t="shared" si="3"/>
        <v>218950.31</v>
      </c>
      <c r="G35" s="127">
        <f t="shared" si="0"/>
        <v>552860.88</v>
      </c>
      <c r="H35" s="128">
        <f>IF('2024年-挂账付款'!$AX35&gt;=SUM('2024年-挂账付款'!E35:$AH35),'2024年-挂账付款'!E35,IF('2024年-挂账付款'!$AX35-SUM('2024年-挂账付款'!F35:$AH35)&gt;0,'2024年-挂账付款'!$AX35-SUM('2024年-挂账付款'!F35:$AH35),0))</f>
        <v>0</v>
      </c>
      <c r="I35" s="128">
        <f>IF('2024年-挂账付款'!$AX35&gt;=SUM('2024年-挂账付款'!F35:$AH35),'2024年-挂账付款'!F35,IF('2024年-挂账付款'!$AX35-SUM('2024年-挂账付款'!G35:$AH35)&gt;0,'2024年-挂账付款'!$AX35-SUM('2024年-挂账付款'!G35:$AH35),0))</f>
        <v>0</v>
      </c>
      <c r="J35" s="128">
        <f>IF('2024年-挂账付款'!$AX35&gt;=SUM('2024年-挂账付款'!G35:$AH35),'2024年-挂账付款'!G35,IF('2024年-挂账付款'!$AX35-SUM('2024年-挂账付款'!H35:$AH35)&gt;0,'2024年-挂账付款'!$AX35-SUM('2024年-挂账付款'!H35:$AH35),0))</f>
        <v>0</v>
      </c>
      <c r="K35" s="128">
        <f>IF('2024年-挂账付款'!$AX35&gt;=SUM('2024年-挂账付款'!H35:$AH35),'2024年-挂账付款'!H35,IF('2024年-挂账付款'!$AX35-SUM('2024年-挂账付款'!I35:$AH35)&gt;0,'2024年-挂账付款'!$AX35-SUM('2024年-挂账付款'!I35:$AH35),0))</f>
        <v>0</v>
      </c>
      <c r="L35" s="128">
        <f>IF('2024年-挂账付款'!$AX35&gt;=SUM('2024年-挂账付款'!I35:$AH35),'2024年-挂账付款'!I35,IF('2024年-挂账付款'!$AX35-SUM('2024年-挂账付款'!J35:$AH35)&gt;0,'2024年-挂账付款'!$AX35-SUM('2024年-挂账付款'!J35:$AH35),0))</f>
        <v>0</v>
      </c>
      <c r="M35" s="128">
        <f>IF('2024年-挂账付款'!$AX35&gt;=SUM('2024年-挂账付款'!J35:$AH35),'2024年-挂账付款'!J35,IF('2024年-挂账付款'!$AX35-SUM('2024年-挂账付款'!K35:$AH35)&gt;0,'2024年-挂账付款'!$AX35-SUM('2024年-挂账付款'!K35:$AH35),0))</f>
        <v>0</v>
      </c>
      <c r="N35" s="128">
        <f>IF('2024年-挂账付款'!$AX35&gt;=SUM('2024年-挂账付款'!K35:$AH35),'2024年-挂账付款'!K35,IF('2024年-挂账付款'!$AX35-SUM('2024年-挂账付款'!L35:$AH35)&gt;0,'2024年-挂账付款'!$AX35-SUM('2024年-挂账付款'!L35:$AH35),0))</f>
        <v>0</v>
      </c>
      <c r="O35" s="128">
        <f>IF('2024年-挂账付款'!$AX35&gt;=SUM('2024年-挂账付款'!L35:$AH35),'2024年-挂账付款'!L35,IF('2024年-挂账付款'!$AX35-SUM('2024年-挂账付款'!M35:$AH35)&gt;0,'2024年-挂账付款'!$AX35-SUM('2024年-挂账付款'!M35:$AH35),0))</f>
        <v>0</v>
      </c>
      <c r="P35" s="128">
        <f>IF('2024年-挂账付款'!$AX35&gt;=SUM('2024年-挂账付款'!M35:$AH35),'2024年-挂账付款'!M35,IF('2024年-挂账付款'!$AX35-SUM('2024年-挂账付款'!N35:$AH35)&gt;0,'2024年-挂账付款'!$AX35-SUM('2024年-挂账付款'!N35:$AH35),0))</f>
        <v>0</v>
      </c>
      <c r="Q35" s="128">
        <f>IF('2024年-挂账付款'!$AX35&gt;=SUM('2024年-挂账付款'!N35:$AH35),'2024年-挂账付款'!N35,IF('2024年-挂账付款'!$AX35-SUM('2024年-挂账付款'!O35:$AH35)&gt;0,'2024年-挂账付款'!$AX35-SUM('2024年-挂账付款'!O35:$AH35),0))</f>
        <v>0</v>
      </c>
      <c r="R35" s="128">
        <f>IF('2024年-挂账付款'!$AX35&gt;=SUM('2024年-挂账付款'!O35:$AH35),'2024年-挂账付款'!O35,IF('2024年-挂账付款'!$AX35-SUM('2024年-挂账付款'!P35:$AH35)&gt;0,'2024年-挂账付款'!$AX35-SUM('2024年-挂账付款'!P35:$AH35),0))</f>
        <v>0</v>
      </c>
      <c r="S35" s="128">
        <f>IF('2024年-挂账付款'!$AX35&gt;=SUM('2024年-挂账付款'!P35:$AH35),'2024年-挂账付款'!P35,IF('2024年-挂账付款'!$AX35-SUM('2024年-挂账付款'!Q35:$AH35)&gt;0,'2024年-挂账付款'!$AX35-SUM('2024年-挂账付款'!Q35:$AH35),0))</f>
        <v>0</v>
      </c>
      <c r="T35" s="128">
        <f>IF('2024年-挂账付款'!$AX35&gt;=SUM('2024年-挂账付款'!Q35:$AH35),'2024年-挂账付款'!Q35,IF('2024年-挂账付款'!$AX35-SUM('2024年-挂账付款'!R35:$AH35)&gt;0,'2024年-挂账付款'!$AX35-SUM('2024年-挂账付款'!R35:$AH35),0))</f>
        <v>0</v>
      </c>
      <c r="U35" s="128">
        <f>IF('2024年-挂账付款'!$AX35&gt;=SUM('2024年-挂账付款'!R35:$AH35),'2024年-挂账付款'!R35,IF('2024年-挂账付款'!$AX35-SUM('2024年-挂账付款'!S35:$AH35)&gt;0,'2024年-挂账付款'!$AX35-SUM('2024年-挂账付款'!S35:$AH35),0))</f>
        <v>0</v>
      </c>
      <c r="V35" s="128">
        <f>IF('2024年-挂账付款'!$AX35&gt;=SUM('2024年-挂账付款'!S35:$AH35),'2024年-挂账付款'!S35,IF('2024年-挂账付款'!$AX35-SUM('2024年-挂账付款'!T35:$AH35)&gt;0,'2024年-挂账付款'!$AX35-SUM('2024年-挂账付款'!T35:$AH35),0))</f>
        <v>10174.03</v>
      </c>
      <c r="W35" s="128">
        <f>IF('2024年-挂账付款'!$AX35&gt;=SUM('2024年-挂账付款'!T35:$AH35),'2024年-挂账付款'!T35,IF('2024年-挂账付款'!$AX35-SUM('2024年-挂账付款'!U35:$AH35)&gt;0,'2024年-挂账付款'!$AX35-SUM('2024年-挂账付款'!U35:$AH35),0))</f>
        <v>0</v>
      </c>
      <c r="X35" s="128">
        <f>IF('2024年-挂账付款'!$AX35&gt;=SUM('2024年-挂账付款'!U35:$AH35),'2024年-挂账付款'!U35,IF('2024年-挂账付款'!$AX35-SUM('2024年-挂账付款'!V35:$AH35)&gt;0,'2024年-挂账付款'!$AX35-SUM('2024年-挂账付款'!V35:$AH35),0))</f>
        <v>72024.12</v>
      </c>
      <c r="Y35" s="128">
        <f>IF('2024年-挂账付款'!$AX35&gt;=SUM('2024年-挂账付款'!V35:$AH35),'2024年-挂账付款'!V35,IF('2024年-挂账付款'!$AX35-SUM('2024年-挂账付款'!W35:$AH35)&gt;0,'2024年-挂账付款'!$AX35-SUM('2024年-挂账付款'!W35:$AH35),0))</f>
        <v>136752.16</v>
      </c>
      <c r="Z35" s="128">
        <f>IF('2024年-挂账付款'!$AX35&gt;=SUM('2024年-挂账付款'!W35:$AH35),'2024年-挂账付款'!W35,IF('2024年-挂账付款'!$AX35-SUM('2024年-挂账付款'!X35:$AH35)&gt;0,'2024年-挂账付款'!$AX35-SUM('2024年-挂账付款'!X35:$AH35),0))</f>
        <v>217945.86</v>
      </c>
      <c r="AA35" s="167">
        <f>IF('2024年-挂账付款'!$AX35&gt;=SUM('2024年-挂账付款'!X35:$AH35),'2024年-挂账付款'!X35,IF('2024年-挂账付款'!$AX35-SUM('2024年-挂账付款'!Y35:$AH35)&gt;0,'2024年-挂账付款'!$AX35-SUM('2024年-挂账付款'!Y35:$AH35),0))</f>
        <v>111567.15</v>
      </c>
      <c r="AB35" s="128">
        <f>IF('2024年-挂账付款'!$AX35&gt;=SUM('2024年-挂账付款'!Y35:$AH35),'2024年-挂账付款'!Y35,IF('2024年-挂账付款'!$AX35-SUM('2024年-挂账付款'!Z35:$AH35)&gt;0,'2024年-挂账付款'!$AX35-SUM('2024年-挂账付款'!Z35:$AH35),0))</f>
        <v>4397.56</v>
      </c>
      <c r="AC35" s="128">
        <f>IF('2024年-挂账付款'!$AX35&gt;=SUM('2024年-挂账付款'!Z35:$AH35),'2024年-挂账付款'!Z35,IF('2024年-挂账付款'!$AX35-SUM('2024年-挂账付款'!AA35:$AH35)&gt;0,'2024年-挂账付款'!$AX35-SUM('2024年-挂账付款'!AA35:$AH35),0))</f>
        <v>0</v>
      </c>
      <c r="AD35" s="128">
        <f>IF('2024年-挂账付款'!$AX35&gt;=SUM('2024年-挂账付款'!AA35:$AH35),'2024年-挂账付款'!AA35,IF('2024年-挂账付款'!$AX35-SUM('2024年-挂账付款'!AB35:$AH35)&gt;0,'2024年-挂账付款'!$AX35-SUM('2024年-挂账付款'!AB35:$AH35),0))</f>
        <v>0</v>
      </c>
      <c r="AE35" s="128">
        <f>IF('2024年-挂账付款'!$AX35&gt;=SUM('2024年-挂账付款'!AB35:$AH35),'2024年-挂账付款'!AB35,IF('2024年-挂账付款'!$AX35-SUM('2024年-挂账付款'!AC35:$AH35)&gt;0,'2024年-挂账付款'!$AX35-SUM('2024年-挂账付款'!AC35:$AH35),0))</f>
        <v>0</v>
      </c>
      <c r="AF35" s="128">
        <f>IF('2024年-挂账付款'!$AX35&gt;=SUM('2024年-挂账付款'!AC35:$AH35),'2024年-挂账付款'!AC35,IF('2024年-挂账付款'!$AX35-SUM('2024年-挂账付款'!AD35:$AH35)&gt;0,'2024年-挂账付款'!$AX35-SUM('2024年-挂账付款'!AD35:$AH35),0))</f>
        <v>0</v>
      </c>
      <c r="AG35" s="128">
        <f>IF('2024年-挂账付款'!$AX35&gt;=SUM('2024年-挂账付款'!AD35:$AH35),'2024年-挂账付款'!AD35,IF('2024年-挂账付款'!$AX35-SUM('2024年-挂账付款'!AE35:$AH35)&gt;0,'2024年-挂账付款'!$AX35-SUM('2024年-挂账付款'!AE35:$AH35),0))</f>
        <v>0</v>
      </c>
      <c r="AH35" s="128">
        <f>IF('2024年-挂账付款'!$AX35&gt;=SUM('2024年-挂账付款'!AE35:$AH35),'2024年-挂账付款'!AE35,IF('2024年-挂账付款'!$AX35-SUM('2024年-挂账付款'!AF35:$AH35)&gt;0,'2024年-挂账付款'!$AX35-SUM('2024年-挂账付款'!AF35:$AH35),0))</f>
        <v>0</v>
      </c>
      <c r="AI35" s="128">
        <f>IF('2024年-挂账付款'!$AX35&gt;=SUM('2024年-挂账付款'!AF35:$AH35),'2024年-挂账付款'!AF35,IF('2024年-挂账付款'!$AX35-SUM('2024年-挂账付款'!AG35:$AH35)&gt;0,'2024年-挂账付款'!$AX35-SUM('2024年-挂账付款'!AG35:$AH35),0))</f>
        <v>0</v>
      </c>
      <c r="AJ35" s="128">
        <f>IF('2024年-挂账付款'!$AX35&gt;=SUM('2024年-挂账付款'!AG35:$AH35),'2024年-挂账付款'!AG35,IF('2024年-挂账付款'!$AX35-SUM('2024年-挂账付款'!AH35:$AH35)&gt;0,'2024年-挂账付款'!$AX35-SUM('2024年-挂账付款'!AH35:$AH35),0))</f>
        <v>0</v>
      </c>
      <c r="AK35" s="128">
        <f>IF('2024年-挂账付款'!$AX35&gt;=SUM('2024年-挂账付款'!AH35:$AH35),'2024年-挂账付款'!AH35,IF('2024年-挂账付款'!$AX35-SUM('2024年-挂账付款'!$AH35:AI35)&gt;0,'2024年-挂账付款'!$AX35-SUM('2024年-挂账付款'!$AH35:AI35),0))</f>
        <v>0</v>
      </c>
      <c r="AL35" s="182" t="s">
        <v>428</v>
      </c>
      <c r="AM35" s="184"/>
      <c r="AN35" s="176">
        <f t="shared" si="1"/>
        <v>58252.8226666667</v>
      </c>
      <c r="AO35" s="203">
        <v>50000</v>
      </c>
      <c r="AP35" s="204"/>
      <c r="AQ35" s="205"/>
      <c r="AR35" s="206">
        <v>50000</v>
      </c>
    </row>
    <row r="36" s="107" customFormat="1" ht="18" customHeight="1" spans="1:44">
      <c r="A36" s="122"/>
      <c r="B36" s="129" t="s">
        <v>81</v>
      </c>
      <c r="C36" s="130" t="s">
        <v>303</v>
      </c>
      <c r="D36" s="130" t="s">
        <v>304</v>
      </c>
      <c r="E36" s="125">
        <v>90</v>
      </c>
      <c r="F36" s="126">
        <f t="shared" si="3"/>
        <v>127990.48</v>
      </c>
      <c r="G36" s="127">
        <f t="shared" si="0"/>
        <v>287770.8</v>
      </c>
      <c r="H36" s="128">
        <f>IF('2024年-挂账付款'!$AX36&gt;=SUM('2024年-挂账付款'!E36:$AH36),'2024年-挂账付款'!E36,IF('2024年-挂账付款'!$AX36-SUM('2024年-挂账付款'!F36:$AH36)&gt;0,'2024年-挂账付款'!$AX36-SUM('2024年-挂账付款'!F36:$AH36),0))</f>
        <v>0</v>
      </c>
      <c r="I36" s="128">
        <f>IF('2024年-挂账付款'!$AX36&gt;=SUM('2024年-挂账付款'!F36:$AH36),'2024年-挂账付款'!F36,IF('2024年-挂账付款'!$AX36-SUM('2024年-挂账付款'!G36:$AH36)&gt;0,'2024年-挂账付款'!$AX36-SUM('2024年-挂账付款'!G36:$AH36),0))</f>
        <v>0</v>
      </c>
      <c r="J36" s="128">
        <f>IF('2024年-挂账付款'!$AX36&gt;=SUM('2024年-挂账付款'!G36:$AH36),'2024年-挂账付款'!G36,IF('2024年-挂账付款'!$AX36-SUM('2024年-挂账付款'!H36:$AH36)&gt;0,'2024年-挂账付款'!$AX36-SUM('2024年-挂账付款'!H36:$AH36),0))</f>
        <v>0</v>
      </c>
      <c r="K36" s="128">
        <f>IF('2024年-挂账付款'!$AX36&gt;=SUM('2024年-挂账付款'!H36:$AH36),'2024年-挂账付款'!H36,IF('2024年-挂账付款'!$AX36-SUM('2024年-挂账付款'!I36:$AH36)&gt;0,'2024年-挂账付款'!$AX36-SUM('2024年-挂账付款'!I36:$AH36),0))</f>
        <v>0</v>
      </c>
      <c r="L36" s="128">
        <f>IF('2024年-挂账付款'!$AX36&gt;=SUM('2024年-挂账付款'!I36:$AH36),'2024年-挂账付款'!I36,IF('2024年-挂账付款'!$AX36-SUM('2024年-挂账付款'!J36:$AH36)&gt;0,'2024年-挂账付款'!$AX36-SUM('2024年-挂账付款'!J36:$AH36),0))</f>
        <v>0</v>
      </c>
      <c r="M36" s="128">
        <f>IF('2024年-挂账付款'!$AX36&gt;=SUM('2024年-挂账付款'!J36:$AH36),'2024年-挂账付款'!J36,IF('2024年-挂账付款'!$AX36-SUM('2024年-挂账付款'!K36:$AH36)&gt;0,'2024年-挂账付款'!$AX36-SUM('2024年-挂账付款'!K36:$AH36),0))</f>
        <v>0</v>
      </c>
      <c r="N36" s="128">
        <f>IF('2024年-挂账付款'!$AX36&gt;=SUM('2024年-挂账付款'!K36:$AH36),'2024年-挂账付款'!K36,IF('2024年-挂账付款'!$AX36-SUM('2024年-挂账付款'!L36:$AH36)&gt;0,'2024年-挂账付款'!$AX36-SUM('2024年-挂账付款'!L36:$AH36),0))</f>
        <v>0</v>
      </c>
      <c r="O36" s="128">
        <f>IF('2024年-挂账付款'!$AX36&gt;=SUM('2024年-挂账付款'!L36:$AH36),'2024年-挂账付款'!L36,IF('2024年-挂账付款'!$AX36-SUM('2024年-挂账付款'!M36:$AH36)&gt;0,'2024年-挂账付款'!$AX36-SUM('2024年-挂账付款'!M36:$AH36),0))</f>
        <v>0</v>
      </c>
      <c r="P36" s="128">
        <f>IF('2024年-挂账付款'!$AX36&gt;=SUM('2024年-挂账付款'!M36:$AH36),'2024年-挂账付款'!M36,IF('2024年-挂账付款'!$AX36-SUM('2024年-挂账付款'!N36:$AH36)&gt;0,'2024年-挂账付款'!$AX36-SUM('2024年-挂账付款'!N36:$AH36),0))</f>
        <v>0</v>
      </c>
      <c r="Q36" s="128">
        <f>IF('2024年-挂账付款'!$AX36&gt;=SUM('2024年-挂账付款'!N36:$AH36),'2024年-挂账付款'!N36,IF('2024年-挂账付款'!$AX36-SUM('2024年-挂账付款'!O36:$AH36)&gt;0,'2024年-挂账付款'!$AX36-SUM('2024年-挂账付款'!O36:$AH36),0))</f>
        <v>0</v>
      </c>
      <c r="R36" s="128">
        <f>IF('2024年-挂账付款'!$AX36&gt;=SUM('2024年-挂账付款'!O36:$AH36),'2024年-挂账付款'!O36,IF('2024年-挂账付款'!$AX36-SUM('2024年-挂账付款'!P36:$AH36)&gt;0,'2024年-挂账付款'!$AX36-SUM('2024年-挂账付款'!P36:$AH36),0))</f>
        <v>82223.0800000001</v>
      </c>
      <c r="S36" s="128">
        <f>IF('2024年-挂账付款'!$AX36&gt;=SUM('2024年-挂账付款'!P36:$AH36),'2024年-挂账付款'!P36,IF('2024年-挂账付款'!$AX36-SUM('2024年-挂账付款'!Q36:$AH36)&gt;0,'2024年-挂账付款'!$AX36-SUM('2024年-挂账付款'!Q36:$AH36),0))</f>
        <v>0</v>
      </c>
      <c r="T36" s="128">
        <f>IF('2024年-挂账付款'!$AX36&gt;=SUM('2024年-挂账付款'!Q36:$AH36),'2024年-挂账付款'!Q36,IF('2024年-挂账付款'!$AX36-SUM('2024年-挂账付款'!R36:$AH36)&gt;0,'2024年-挂账付款'!$AX36-SUM('2024年-挂账付款'!R36:$AH36),0))</f>
        <v>0</v>
      </c>
      <c r="U36" s="128">
        <f>IF('2024年-挂账付款'!$AX36&gt;=SUM('2024年-挂账付款'!R36:$AH36),'2024年-挂账付款'!R36,IF('2024年-挂账付款'!$AX36-SUM('2024年-挂账付款'!S36:$AH36)&gt;0,'2024年-挂账付款'!$AX36-SUM('2024年-挂账付款'!S36:$AH36),0))</f>
        <v>0</v>
      </c>
      <c r="V36" s="128">
        <f>IF('2024年-挂账付款'!$AX36&gt;=SUM('2024年-挂账付款'!S36:$AH36),'2024年-挂账付款'!S36,IF('2024年-挂账付款'!$AX36-SUM('2024年-挂账付款'!T36:$AH36)&gt;0,'2024年-挂账付款'!$AX36-SUM('2024年-挂账付款'!T36:$AH36),0))</f>
        <v>45767.4</v>
      </c>
      <c r="W36" s="128">
        <f>IF('2024年-挂账付款'!$AX36&gt;=SUM('2024年-挂账付款'!T36:$AH36),'2024年-挂账付款'!T36,IF('2024年-挂账付款'!$AX36-SUM('2024年-挂账付款'!U36:$AH36)&gt;0,'2024年-挂账付款'!$AX36-SUM('2024年-挂账付款'!U36:$AH36),0))</f>
        <v>0</v>
      </c>
      <c r="X36" s="128">
        <f>IF('2024年-挂账付款'!$AX36&gt;=SUM('2024年-挂账付款'!U36:$AH36),'2024年-挂账付款'!U36,IF('2024年-挂账付款'!$AX36-SUM('2024年-挂账付款'!V36:$AH36)&gt;0,'2024年-挂账付款'!$AX36-SUM('2024年-挂账付款'!V36:$AH36),0))</f>
        <v>0</v>
      </c>
      <c r="Y36" s="128">
        <f>IF('2024年-挂账付款'!$AX36&gt;=SUM('2024年-挂账付款'!V36:$AH36),'2024年-挂账付款'!V36,IF('2024年-挂账付款'!$AX36-SUM('2024年-挂账付款'!W36:$AH36)&gt;0,'2024年-挂账付款'!$AX36-SUM('2024年-挂账付款'!W36:$AH36),0))</f>
        <v>0</v>
      </c>
      <c r="Z36" s="128">
        <f>IF('2024年-挂账付款'!$AX36&gt;=SUM('2024年-挂账付款'!W36:$AH36),'2024年-挂账付款'!W36,IF('2024年-挂账付款'!$AX36-SUM('2024年-挂账付款'!X36:$AH36)&gt;0,'2024年-挂账付款'!$AX36-SUM('2024年-挂账付款'!X36:$AH36),0))</f>
        <v>0</v>
      </c>
      <c r="AA36" s="167">
        <f>IF('2024年-挂账付款'!$AX36&gt;=SUM('2024年-挂账付款'!X36:$AH36),'2024年-挂账付款'!X36,IF('2024年-挂账付款'!$AX36-SUM('2024年-挂账付款'!Y36:$AH36)&gt;0,'2024年-挂账付款'!$AX36-SUM('2024年-挂账付款'!Y36:$AH36),0))</f>
        <v>142939.3</v>
      </c>
      <c r="AB36" s="128">
        <f>IF('2024年-挂账付款'!$AX36&gt;=SUM('2024年-挂账付款'!Y36:$AH36),'2024年-挂账付款'!Y36,IF('2024年-挂账付款'!$AX36-SUM('2024年-挂账付款'!Z36:$AH36)&gt;0,'2024年-挂账付款'!$AX36-SUM('2024年-挂账付款'!Z36:$AH36),0))</f>
        <v>16841.02</v>
      </c>
      <c r="AC36" s="128">
        <f>IF('2024年-挂账付款'!$AX36&gt;=SUM('2024年-挂账付款'!Z36:$AH36),'2024年-挂账付款'!Z36,IF('2024年-挂账付款'!$AX36-SUM('2024年-挂账付款'!AA36:$AH36)&gt;0,'2024年-挂账付款'!$AX36-SUM('2024年-挂账付款'!AA36:$AH36),0))</f>
        <v>0</v>
      </c>
      <c r="AD36" s="128">
        <f>IF('2024年-挂账付款'!$AX36&gt;=SUM('2024年-挂账付款'!AA36:$AH36),'2024年-挂账付款'!AA36,IF('2024年-挂账付款'!$AX36-SUM('2024年-挂账付款'!AB36:$AH36)&gt;0,'2024年-挂账付款'!$AX36-SUM('2024年-挂账付款'!AB36:$AH36),0))</f>
        <v>0</v>
      </c>
      <c r="AE36" s="128">
        <f>IF('2024年-挂账付款'!$AX36&gt;=SUM('2024年-挂账付款'!AB36:$AH36),'2024年-挂账付款'!AB36,IF('2024年-挂账付款'!$AX36-SUM('2024年-挂账付款'!AC36:$AH36)&gt;0,'2024年-挂账付款'!$AX36-SUM('2024年-挂账付款'!AC36:$AH36),0))</f>
        <v>0</v>
      </c>
      <c r="AF36" s="128">
        <f>IF('2024年-挂账付款'!$AX36&gt;=SUM('2024年-挂账付款'!AC36:$AH36),'2024年-挂账付款'!AC36,IF('2024年-挂账付款'!$AX36-SUM('2024年-挂账付款'!AD36:$AH36)&gt;0,'2024年-挂账付款'!$AX36-SUM('2024年-挂账付款'!AD36:$AH36),0))</f>
        <v>0</v>
      </c>
      <c r="AG36" s="128">
        <f>IF('2024年-挂账付款'!$AX36&gt;=SUM('2024年-挂账付款'!AD36:$AH36),'2024年-挂账付款'!AD36,IF('2024年-挂账付款'!$AX36-SUM('2024年-挂账付款'!AE36:$AH36)&gt;0,'2024年-挂账付款'!$AX36-SUM('2024年-挂账付款'!AE36:$AH36),0))</f>
        <v>0</v>
      </c>
      <c r="AH36" s="128">
        <f>IF('2024年-挂账付款'!$AX36&gt;=SUM('2024年-挂账付款'!AE36:$AH36),'2024年-挂账付款'!AE36,IF('2024年-挂账付款'!$AX36-SUM('2024年-挂账付款'!AF36:$AH36)&gt;0,'2024年-挂账付款'!$AX36-SUM('2024年-挂账付款'!AF36:$AH36),0))</f>
        <v>0</v>
      </c>
      <c r="AI36" s="128">
        <f>IF('2024年-挂账付款'!$AX36&gt;=SUM('2024年-挂账付款'!AF36:$AH36),'2024年-挂账付款'!AF36,IF('2024年-挂账付款'!$AX36-SUM('2024年-挂账付款'!AG36:$AH36)&gt;0,'2024年-挂账付款'!$AX36-SUM('2024年-挂账付款'!AG36:$AH36),0))</f>
        <v>0</v>
      </c>
      <c r="AJ36" s="128">
        <f>IF('2024年-挂账付款'!$AX36&gt;=SUM('2024年-挂账付款'!AG36:$AH36),'2024年-挂账付款'!AG36,IF('2024年-挂账付款'!$AX36-SUM('2024年-挂账付款'!AH36:$AH36)&gt;0,'2024年-挂账付款'!$AX36-SUM('2024年-挂账付款'!AH36:$AH36),0))</f>
        <v>0</v>
      </c>
      <c r="AK36" s="128">
        <f>IF('2024年-挂账付款'!$AX36&gt;=SUM('2024年-挂账付款'!AH36:$AH36),'2024年-挂账付款'!AH36,IF('2024年-挂账付款'!$AX36-SUM('2024年-挂账付款'!$AH36:AI36)&gt;0,'2024年-挂账付款'!$AX36-SUM('2024年-挂账付款'!$AH36:AI36),0))</f>
        <v>0</v>
      </c>
      <c r="AL36" s="182" t="s">
        <v>428</v>
      </c>
      <c r="AM36" s="183"/>
      <c r="AN36" s="176">
        <f t="shared" si="1"/>
        <v>6102.32</v>
      </c>
      <c r="AO36" s="203">
        <v>10000</v>
      </c>
      <c r="AP36" s="204"/>
      <c r="AQ36" s="205"/>
      <c r="AR36" s="206">
        <v>20000</v>
      </c>
    </row>
    <row r="37" s="107" customFormat="1" ht="18" customHeight="1" spans="1:44">
      <c r="A37" s="122"/>
      <c r="B37" s="129" t="s">
        <v>81</v>
      </c>
      <c r="C37" s="130" t="s">
        <v>306</v>
      </c>
      <c r="D37" s="130" t="s">
        <v>307</v>
      </c>
      <c r="E37" s="125">
        <v>90</v>
      </c>
      <c r="F37" s="126">
        <f t="shared" si="3"/>
        <v>18728.25</v>
      </c>
      <c r="G37" s="127">
        <f t="shared" si="0"/>
        <v>23004.17</v>
      </c>
      <c r="H37" s="128">
        <f>IF('2024年-挂账付款'!$AX37&gt;=SUM('2024年-挂账付款'!E37:$AH37),'2024年-挂账付款'!E37,IF('2024年-挂账付款'!$AX37-SUM('2024年-挂账付款'!F37:$AH37)&gt;0,'2024年-挂账付款'!$AX37-SUM('2024年-挂账付款'!F37:$AH37),0))</f>
        <v>0</v>
      </c>
      <c r="I37" s="128">
        <f>IF('2024年-挂账付款'!$AX37&gt;=SUM('2024年-挂账付款'!F37:$AH37),'2024年-挂账付款'!F37,IF('2024年-挂账付款'!$AX37-SUM('2024年-挂账付款'!G37:$AH37)&gt;0,'2024年-挂账付款'!$AX37-SUM('2024年-挂账付款'!G37:$AH37),0))</f>
        <v>0</v>
      </c>
      <c r="J37" s="128">
        <f>IF('2024年-挂账付款'!$AX37&gt;=SUM('2024年-挂账付款'!G37:$AH37),'2024年-挂账付款'!G37,IF('2024年-挂账付款'!$AX37-SUM('2024年-挂账付款'!H37:$AH37)&gt;0,'2024年-挂账付款'!$AX37-SUM('2024年-挂账付款'!H37:$AH37),0))</f>
        <v>0</v>
      </c>
      <c r="K37" s="128">
        <f>IF('2024年-挂账付款'!$AX37&gt;=SUM('2024年-挂账付款'!H37:$AH37),'2024年-挂账付款'!H37,IF('2024年-挂账付款'!$AX37-SUM('2024年-挂账付款'!I37:$AH37)&gt;0,'2024年-挂账付款'!$AX37-SUM('2024年-挂账付款'!I37:$AH37),0))</f>
        <v>0</v>
      </c>
      <c r="L37" s="128">
        <f>IF('2024年-挂账付款'!$AX37&gt;=SUM('2024年-挂账付款'!I37:$AH37),'2024年-挂账付款'!I37,IF('2024年-挂账付款'!$AX37-SUM('2024年-挂账付款'!J37:$AH37)&gt;0,'2024年-挂账付款'!$AX37-SUM('2024年-挂账付款'!J37:$AH37),0))</f>
        <v>0</v>
      </c>
      <c r="M37" s="128">
        <f>IF('2024年-挂账付款'!$AX37&gt;=SUM('2024年-挂账付款'!J37:$AH37),'2024年-挂账付款'!J37,IF('2024年-挂账付款'!$AX37-SUM('2024年-挂账付款'!K37:$AH37)&gt;0,'2024年-挂账付款'!$AX37-SUM('2024年-挂账付款'!K37:$AH37),0))</f>
        <v>0</v>
      </c>
      <c r="N37" s="128">
        <f>IF('2024年-挂账付款'!$AX37&gt;=SUM('2024年-挂账付款'!K37:$AH37),'2024年-挂账付款'!K37,IF('2024年-挂账付款'!$AX37-SUM('2024年-挂账付款'!L37:$AH37)&gt;0,'2024年-挂账付款'!$AX37-SUM('2024年-挂账付款'!L37:$AH37),0))</f>
        <v>0</v>
      </c>
      <c r="O37" s="128">
        <f>IF('2024年-挂账付款'!$AX37&gt;=SUM('2024年-挂账付款'!L37:$AH37),'2024年-挂账付款'!L37,IF('2024年-挂账付款'!$AX37-SUM('2024年-挂账付款'!M37:$AH37)&gt;0,'2024年-挂账付款'!$AX37-SUM('2024年-挂账付款'!M37:$AH37),0))</f>
        <v>0</v>
      </c>
      <c r="P37" s="128">
        <f>IF('2024年-挂账付款'!$AX37&gt;=SUM('2024年-挂账付款'!M37:$AH37),'2024年-挂账付款'!M37,IF('2024年-挂账付款'!$AX37-SUM('2024年-挂账付款'!N37:$AH37)&gt;0,'2024年-挂账付款'!$AX37-SUM('2024年-挂账付款'!N37:$AH37),0))</f>
        <v>0</v>
      </c>
      <c r="Q37" s="128">
        <f>IF('2024年-挂账付款'!$AX37&gt;=SUM('2024年-挂账付款'!N37:$AH37),'2024年-挂账付款'!N37,IF('2024年-挂账付款'!$AX37-SUM('2024年-挂账付款'!O37:$AH37)&gt;0,'2024年-挂账付款'!$AX37-SUM('2024年-挂账付款'!O37:$AH37),0))</f>
        <v>0</v>
      </c>
      <c r="R37" s="128">
        <f>IF('2024年-挂账付款'!$AX37&gt;=SUM('2024年-挂账付款'!O37:$AH37),'2024年-挂账付款'!O37,IF('2024年-挂账付款'!$AX37-SUM('2024年-挂账付款'!P37:$AH37)&gt;0,'2024年-挂账付款'!$AX37-SUM('2024年-挂账付款'!P37:$AH37),0))</f>
        <v>0</v>
      </c>
      <c r="S37" s="128">
        <f>IF('2024年-挂账付款'!$AX37&gt;=SUM('2024年-挂账付款'!P37:$AH37),'2024年-挂账付款'!P37,IF('2024年-挂账付款'!$AX37-SUM('2024年-挂账付款'!Q37:$AH37)&gt;0,'2024年-挂账付款'!$AX37-SUM('2024年-挂账付款'!Q37:$AH37),0))</f>
        <v>7503.96</v>
      </c>
      <c r="T37" s="128">
        <f>IF('2024年-挂账付款'!$AX37&gt;=SUM('2024年-挂账付款'!Q37:$AH37),'2024年-挂账付款'!Q37,IF('2024年-挂账付款'!$AX37-SUM('2024年-挂账付款'!R37:$AH37)&gt;0,'2024年-挂账付款'!$AX37-SUM('2024年-挂账付款'!R37:$AH37),0))</f>
        <v>0</v>
      </c>
      <c r="U37" s="128">
        <f>IF('2024年-挂账付款'!$AX37&gt;=SUM('2024年-挂账付款'!R37:$AH37),'2024年-挂账付款'!R37,IF('2024年-挂账付款'!$AX37-SUM('2024年-挂账付款'!S37:$AH37)&gt;0,'2024年-挂账付款'!$AX37-SUM('2024年-挂账付款'!S37:$AH37),0))</f>
        <v>0</v>
      </c>
      <c r="V37" s="128">
        <f>IF('2024年-挂账付款'!$AX37&gt;=SUM('2024年-挂账付款'!S37:$AH37),'2024年-挂账付款'!S37,IF('2024年-挂账付款'!$AX37-SUM('2024年-挂账付款'!T37:$AH37)&gt;0,'2024年-挂账付款'!$AX37-SUM('2024年-挂账付款'!T37:$AH37),0))</f>
        <v>0</v>
      </c>
      <c r="W37" s="128">
        <f>IF('2024年-挂账付款'!$AX37&gt;=SUM('2024年-挂账付款'!T37:$AH37),'2024年-挂账付款'!T37,IF('2024年-挂账付款'!$AX37-SUM('2024年-挂账付款'!U37:$AH37)&gt;0,'2024年-挂账付款'!$AX37-SUM('2024年-挂账付款'!U37:$AH37),0))</f>
        <v>11224.29</v>
      </c>
      <c r="X37" s="128">
        <f>IF('2024年-挂账付款'!$AX37&gt;=SUM('2024年-挂账付款'!U37:$AH37),'2024年-挂账付款'!U37,IF('2024年-挂账付款'!$AX37-SUM('2024年-挂账付款'!V37:$AH37)&gt;0,'2024年-挂账付款'!$AX37-SUM('2024年-挂账付款'!V37:$AH37),0))</f>
        <v>0</v>
      </c>
      <c r="Y37" s="128">
        <f>IF('2024年-挂账付款'!$AX37&gt;=SUM('2024年-挂账付款'!V37:$AH37),'2024年-挂账付款'!V37,IF('2024年-挂账付款'!$AX37-SUM('2024年-挂账付款'!W37:$AH37)&gt;0,'2024年-挂账付款'!$AX37-SUM('2024年-挂账付款'!W37:$AH37),0))</f>
        <v>0</v>
      </c>
      <c r="Z37" s="128">
        <f>IF('2024年-挂账付款'!$AX37&gt;=SUM('2024年-挂账付款'!W37:$AH37),'2024年-挂账付款'!W37,IF('2024年-挂账付款'!$AX37-SUM('2024年-挂账付款'!X37:$AH37)&gt;0,'2024年-挂账付款'!$AX37-SUM('2024年-挂账付款'!X37:$AH37),0))</f>
        <v>0</v>
      </c>
      <c r="AA37" s="167">
        <f>IF('2024年-挂账付款'!$AX37&gt;=SUM('2024年-挂账付款'!X37:$AH37),'2024年-挂账付款'!X37,IF('2024年-挂账付款'!$AX37-SUM('2024年-挂账付款'!Y37:$AH37)&gt;0,'2024年-挂账付款'!$AX37-SUM('2024年-挂账付款'!Y37:$AH37),0))</f>
        <v>4275.92</v>
      </c>
      <c r="AB37" s="128">
        <f>IF('2024年-挂账付款'!$AX37&gt;=SUM('2024年-挂账付款'!Y37:$AH37),'2024年-挂账付款'!Y37,IF('2024年-挂账付款'!$AX37-SUM('2024年-挂账付款'!Z37:$AH37)&gt;0,'2024年-挂账付款'!$AX37-SUM('2024年-挂账付款'!Z37:$AH37),0))</f>
        <v>0</v>
      </c>
      <c r="AC37" s="128">
        <f>IF('2024年-挂账付款'!$AX37&gt;=SUM('2024年-挂账付款'!Z37:$AH37),'2024年-挂账付款'!Z37,IF('2024年-挂账付款'!$AX37-SUM('2024年-挂账付款'!AA37:$AH37)&gt;0,'2024年-挂账付款'!$AX37-SUM('2024年-挂账付款'!AA37:$AH37),0))</f>
        <v>0</v>
      </c>
      <c r="AD37" s="128">
        <f>IF('2024年-挂账付款'!$AX37&gt;=SUM('2024年-挂账付款'!AA37:$AH37),'2024年-挂账付款'!AA37,IF('2024年-挂账付款'!$AX37-SUM('2024年-挂账付款'!AB37:$AH37)&gt;0,'2024年-挂账付款'!$AX37-SUM('2024年-挂账付款'!AB37:$AH37),0))</f>
        <v>0</v>
      </c>
      <c r="AE37" s="128">
        <f>IF('2024年-挂账付款'!$AX37&gt;=SUM('2024年-挂账付款'!AB37:$AH37),'2024年-挂账付款'!AB37,IF('2024年-挂账付款'!$AX37-SUM('2024年-挂账付款'!AC37:$AH37)&gt;0,'2024年-挂账付款'!$AX37-SUM('2024年-挂账付款'!AC37:$AH37),0))</f>
        <v>0</v>
      </c>
      <c r="AF37" s="128">
        <f>IF('2024年-挂账付款'!$AX37&gt;=SUM('2024年-挂账付款'!AC37:$AH37),'2024年-挂账付款'!AC37,IF('2024年-挂账付款'!$AX37-SUM('2024年-挂账付款'!AD37:$AH37)&gt;0,'2024年-挂账付款'!$AX37-SUM('2024年-挂账付款'!AD37:$AH37),0))</f>
        <v>0</v>
      </c>
      <c r="AG37" s="128">
        <f>IF('2024年-挂账付款'!$AX37&gt;=SUM('2024年-挂账付款'!AD37:$AH37),'2024年-挂账付款'!AD37,IF('2024年-挂账付款'!$AX37-SUM('2024年-挂账付款'!AE37:$AH37)&gt;0,'2024年-挂账付款'!$AX37-SUM('2024年-挂账付款'!AE37:$AH37),0))</f>
        <v>0</v>
      </c>
      <c r="AH37" s="128">
        <f>IF('2024年-挂账付款'!$AX37&gt;=SUM('2024年-挂账付款'!AE37:$AH37),'2024年-挂账付款'!AE37,IF('2024年-挂账付款'!$AX37-SUM('2024年-挂账付款'!AF37:$AH37)&gt;0,'2024年-挂账付款'!$AX37-SUM('2024年-挂账付款'!AF37:$AH37),0))</f>
        <v>0</v>
      </c>
      <c r="AI37" s="128">
        <f>IF('2024年-挂账付款'!$AX37&gt;=SUM('2024年-挂账付款'!AF37:$AH37),'2024年-挂账付款'!AF37,IF('2024年-挂账付款'!$AX37-SUM('2024年-挂账付款'!AG37:$AH37)&gt;0,'2024年-挂账付款'!$AX37-SUM('2024年-挂账付款'!AG37:$AH37),0))</f>
        <v>0</v>
      </c>
      <c r="AJ37" s="128">
        <f>IF('2024年-挂账付款'!$AX37&gt;=SUM('2024年-挂账付款'!AG37:$AH37),'2024年-挂账付款'!AG37,IF('2024年-挂账付款'!$AX37-SUM('2024年-挂账付款'!AH37:$AH37)&gt;0,'2024年-挂账付款'!$AX37-SUM('2024年-挂账付款'!AH37:$AH37),0))</f>
        <v>0</v>
      </c>
      <c r="AK37" s="128">
        <f>IF('2024年-挂账付款'!$AX37&gt;=SUM('2024年-挂账付款'!AH37:$AH37),'2024年-挂账付款'!AH37,IF('2024年-挂账付款'!$AX37-SUM('2024年-挂账付款'!$AH37:AI37)&gt;0,'2024年-挂账付款'!$AX37-SUM('2024年-挂账付款'!$AH37:AI37),0))</f>
        <v>0</v>
      </c>
      <c r="AL37" s="182" t="s">
        <v>428</v>
      </c>
      <c r="AM37" s="183"/>
      <c r="AN37" s="176">
        <f t="shared" si="1"/>
        <v>1496.572</v>
      </c>
      <c r="AO37" s="203">
        <v>10000</v>
      </c>
      <c r="AP37" s="204"/>
      <c r="AQ37" s="205"/>
      <c r="AR37" s="206">
        <v>10000</v>
      </c>
    </row>
    <row r="38" s="107" customFormat="1" ht="18" customHeight="1" spans="1:44">
      <c r="A38" s="122"/>
      <c r="B38" s="129" t="s">
        <v>81</v>
      </c>
      <c r="C38" s="130" t="s">
        <v>308</v>
      </c>
      <c r="D38" s="130" t="s">
        <v>309</v>
      </c>
      <c r="E38" s="125">
        <v>90</v>
      </c>
      <c r="F38" s="126">
        <f t="shared" si="3"/>
        <v>1865</v>
      </c>
      <c r="G38" s="127">
        <f t="shared" ref="G38:G52" si="4">IF(SUM(H38:AK38)&gt;0,SUM(H38:AK38),"0")</f>
        <v>19755.16</v>
      </c>
      <c r="H38" s="128">
        <f>IF('2024年-挂账付款'!$AX38&gt;=SUM('2024年-挂账付款'!E38:$AH38),'2024年-挂账付款'!E38,IF('2024年-挂账付款'!$AX38-SUM('2024年-挂账付款'!F38:$AH38)&gt;0,'2024年-挂账付款'!$AX38-SUM('2024年-挂账付款'!F38:$AH38),0))</f>
        <v>0</v>
      </c>
      <c r="I38" s="128">
        <f>IF('2024年-挂账付款'!$AX38&gt;=SUM('2024年-挂账付款'!F38:$AH38),'2024年-挂账付款'!F38,IF('2024年-挂账付款'!$AX38-SUM('2024年-挂账付款'!G38:$AH38)&gt;0,'2024年-挂账付款'!$AX38-SUM('2024年-挂账付款'!G38:$AH38),0))</f>
        <v>0</v>
      </c>
      <c r="J38" s="128">
        <f>IF('2024年-挂账付款'!$AX38&gt;=SUM('2024年-挂账付款'!G38:$AH38),'2024年-挂账付款'!G38,IF('2024年-挂账付款'!$AX38-SUM('2024年-挂账付款'!H38:$AH38)&gt;0,'2024年-挂账付款'!$AX38-SUM('2024年-挂账付款'!H38:$AH38),0))</f>
        <v>0</v>
      </c>
      <c r="K38" s="128">
        <f>IF('2024年-挂账付款'!$AX38&gt;=SUM('2024年-挂账付款'!H38:$AH38),'2024年-挂账付款'!H38,IF('2024年-挂账付款'!$AX38-SUM('2024年-挂账付款'!I38:$AH38)&gt;0,'2024年-挂账付款'!$AX38-SUM('2024年-挂账付款'!I38:$AH38),0))</f>
        <v>0</v>
      </c>
      <c r="L38" s="128">
        <f>IF('2024年-挂账付款'!$AX38&gt;=SUM('2024年-挂账付款'!I38:$AH38),'2024年-挂账付款'!I38,IF('2024年-挂账付款'!$AX38-SUM('2024年-挂账付款'!J38:$AH38)&gt;0,'2024年-挂账付款'!$AX38-SUM('2024年-挂账付款'!J38:$AH38),0))</f>
        <v>0</v>
      </c>
      <c r="M38" s="128">
        <f>IF('2024年-挂账付款'!$AX38&gt;=SUM('2024年-挂账付款'!J38:$AH38),'2024年-挂账付款'!J38,IF('2024年-挂账付款'!$AX38-SUM('2024年-挂账付款'!K38:$AH38)&gt;0,'2024年-挂账付款'!$AX38-SUM('2024年-挂账付款'!K38:$AH38),0))</f>
        <v>0</v>
      </c>
      <c r="N38" s="128">
        <f>IF('2024年-挂账付款'!$AX38&gt;=SUM('2024年-挂账付款'!K38:$AH38),'2024年-挂账付款'!K38,IF('2024年-挂账付款'!$AX38-SUM('2024年-挂账付款'!L38:$AH38)&gt;0,'2024年-挂账付款'!$AX38-SUM('2024年-挂账付款'!L38:$AH38),0))</f>
        <v>0</v>
      </c>
      <c r="O38" s="128">
        <f>IF('2024年-挂账付款'!$AX38&gt;=SUM('2024年-挂账付款'!L38:$AH38),'2024年-挂账付款'!L38,IF('2024年-挂账付款'!$AX38-SUM('2024年-挂账付款'!M38:$AH38)&gt;0,'2024年-挂账付款'!$AX38-SUM('2024年-挂账付款'!M38:$AH38),0))</f>
        <v>0</v>
      </c>
      <c r="P38" s="128">
        <f>IF('2024年-挂账付款'!$AX38&gt;=SUM('2024年-挂账付款'!M38:$AH38),'2024年-挂账付款'!M38,IF('2024年-挂账付款'!$AX38-SUM('2024年-挂账付款'!N38:$AH38)&gt;0,'2024年-挂账付款'!$AX38-SUM('2024年-挂账付款'!N38:$AH38),0))</f>
        <v>0</v>
      </c>
      <c r="Q38" s="128">
        <f>IF('2024年-挂账付款'!$AX38&gt;=SUM('2024年-挂账付款'!N38:$AH38),'2024年-挂账付款'!N38,IF('2024年-挂账付款'!$AX38-SUM('2024年-挂账付款'!O38:$AH38)&gt;0,'2024年-挂账付款'!$AX38-SUM('2024年-挂账付款'!O38:$AH38),0))</f>
        <v>0</v>
      </c>
      <c r="R38" s="128">
        <f>IF('2024年-挂账付款'!$AX38&gt;=SUM('2024年-挂账付款'!O38:$AH38),'2024年-挂账付款'!O38,IF('2024年-挂账付款'!$AX38-SUM('2024年-挂账付款'!P38:$AH38)&gt;0,'2024年-挂账付款'!$AX38-SUM('2024年-挂账付款'!P38:$AH38),0))</f>
        <v>0</v>
      </c>
      <c r="S38" s="128">
        <f>IF('2024年-挂账付款'!$AX38&gt;=SUM('2024年-挂账付款'!P38:$AH38),'2024年-挂账付款'!P38,IF('2024年-挂账付款'!$AX38-SUM('2024年-挂账付款'!Q38:$AH38)&gt;0,'2024年-挂账付款'!$AX38-SUM('2024年-挂账付款'!Q38:$AH38),0))</f>
        <v>1865</v>
      </c>
      <c r="T38" s="128">
        <f>IF('2024年-挂账付款'!$AX38&gt;=SUM('2024年-挂账付款'!Q38:$AH38),'2024年-挂账付款'!Q38,IF('2024年-挂账付款'!$AX38-SUM('2024年-挂账付款'!R38:$AH38)&gt;0,'2024年-挂账付款'!$AX38-SUM('2024年-挂账付款'!R38:$AH38),0))</f>
        <v>0</v>
      </c>
      <c r="U38" s="128">
        <f>IF('2024年-挂账付款'!$AX38&gt;=SUM('2024年-挂账付款'!R38:$AH38),'2024年-挂账付款'!R38,IF('2024年-挂账付款'!$AX38-SUM('2024年-挂账付款'!S38:$AH38)&gt;0,'2024年-挂账付款'!$AX38-SUM('2024年-挂账付款'!S38:$AH38),0))</f>
        <v>0</v>
      </c>
      <c r="V38" s="128">
        <f>IF('2024年-挂账付款'!$AX38&gt;=SUM('2024年-挂账付款'!S38:$AH38),'2024年-挂账付款'!S38,IF('2024年-挂账付款'!$AX38-SUM('2024年-挂账付款'!T38:$AH38)&gt;0,'2024年-挂账付款'!$AX38-SUM('2024年-挂账付款'!T38:$AH38),0))</f>
        <v>0</v>
      </c>
      <c r="W38" s="128">
        <f>IF('2024年-挂账付款'!$AX38&gt;=SUM('2024年-挂账付款'!T38:$AH38),'2024年-挂账付款'!T38,IF('2024年-挂账付款'!$AX38-SUM('2024年-挂账付款'!U38:$AH38)&gt;0,'2024年-挂账付款'!$AX38-SUM('2024年-挂账付款'!U38:$AH38),0))</f>
        <v>0</v>
      </c>
      <c r="X38" s="128">
        <f>IF('2024年-挂账付款'!$AX38&gt;=SUM('2024年-挂账付款'!U38:$AH38),'2024年-挂账付款'!U38,IF('2024年-挂账付款'!$AX38-SUM('2024年-挂账付款'!V38:$AH38)&gt;0,'2024年-挂账付款'!$AX38-SUM('2024年-挂账付款'!V38:$AH38),0))</f>
        <v>0</v>
      </c>
      <c r="Y38" s="128">
        <f>IF('2024年-挂账付款'!$AX38&gt;=SUM('2024年-挂账付款'!V38:$AH38),'2024年-挂账付款'!V38,IF('2024年-挂账付款'!$AX38-SUM('2024年-挂账付款'!W38:$AH38)&gt;0,'2024年-挂账付款'!$AX38-SUM('2024年-挂账付款'!W38:$AH38),0))</f>
        <v>0</v>
      </c>
      <c r="Z38" s="128">
        <f>IF('2024年-挂账付款'!$AX38&gt;=SUM('2024年-挂账付款'!W38:$AH38),'2024年-挂账付款'!W38,IF('2024年-挂账付款'!$AX38-SUM('2024年-挂账付款'!X38:$AH38)&gt;0,'2024年-挂账付款'!$AX38-SUM('2024年-挂账付款'!X38:$AH38),0))</f>
        <v>16618.91</v>
      </c>
      <c r="AA38" s="167">
        <f>IF('2024年-挂账付款'!$AX38&gt;=SUM('2024年-挂账付款'!X38:$AH38),'2024年-挂账付款'!X38,IF('2024年-挂账付款'!$AX38-SUM('2024年-挂账付款'!Y38:$AH38)&gt;0,'2024年-挂账付款'!$AX38-SUM('2024年-挂账付款'!Y38:$AH38),0))</f>
        <v>0</v>
      </c>
      <c r="AB38" s="128">
        <f>IF('2024年-挂账付款'!$AX38&gt;=SUM('2024年-挂账付款'!Y38:$AH38),'2024年-挂账付款'!Y38,IF('2024年-挂账付款'!$AX38-SUM('2024年-挂账付款'!Z38:$AH38)&gt;0,'2024年-挂账付款'!$AX38-SUM('2024年-挂账付款'!Z38:$AH38),0))</f>
        <v>1271.25</v>
      </c>
      <c r="AC38" s="128">
        <f>IF('2024年-挂账付款'!$AX38&gt;=SUM('2024年-挂账付款'!Z38:$AH38),'2024年-挂账付款'!Z38,IF('2024年-挂账付款'!$AX38-SUM('2024年-挂账付款'!AA38:$AH38)&gt;0,'2024年-挂账付款'!$AX38-SUM('2024年-挂账付款'!AA38:$AH38),0))</f>
        <v>0</v>
      </c>
      <c r="AD38" s="128">
        <f>IF('2024年-挂账付款'!$AX38&gt;=SUM('2024年-挂账付款'!AA38:$AH38),'2024年-挂账付款'!AA38,IF('2024年-挂账付款'!$AX38-SUM('2024年-挂账付款'!AB38:$AH38)&gt;0,'2024年-挂账付款'!$AX38-SUM('2024年-挂账付款'!AB38:$AH38),0))</f>
        <v>0</v>
      </c>
      <c r="AE38" s="128">
        <f>IF('2024年-挂账付款'!$AX38&gt;=SUM('2024年-挂账付款'!AB38:$AH38),'2024年-挂账付款'!AB38,IF('2024年-挂账付款'!$AX38-SUM('2024年-挂账付款'!AC38:$AH38)&gt;0,'2024年-挂账付款'!$AX38-SUM('2024年-挂账付款'!AC38:$AH38),0))</f>
        <v>0</v>
      </c>
      <c r="AF38" s="128">
        <f>IF('2024年-挂账付款'!$AX38&gt;=SUM('2024年-挂账付款'!AC38:$AH38),'2024年-挂账付款'!AC38,IF('2024年-挂账付款'!$AX38-SUM('2024年-挂账付款'!AD38:$AH38)&gt;0,'2024年-挂账付款'!$AX38-SUM('2024年-挂账付款'!AD38:$AH38),0))</f>
        <v>0</v>
      </c>
      <c r="AG38" s="128">
        <f>IF('2024年-挂账付款'!$AX38&gt;=SUM('2024年-挂账付款'!AD38:$AH38),'2024年-挂账付款'!AD38,IF('2024年-挂账付款'!$AX38-SUM('2024年-挂账付款'!AE38:$AH38)&gt;0,'2024年-挂账付款'!$AX38-SUM('2024年-挂账付款'!AE38:$AH38),0))</f>
        <v>0</v>
      </c>
      <c r="AH38" s="128">
        <f>IF('2024年-挂账付款'!$AX38&gt;=SUM('2024年-挂账付款'!AE38:$AH38),'2024年-挂账付款'!AE38,IF('2024年-挂账付款'!$AX38-SUM('2024年-挂账付款'!AF38:$AH38)&gt;0,'2024年-挂账付款'!$AX38-SUM('2024年-挂账付款'!AF38:$AH38),0))</f>
        <v>0</v>
      </c>
      <c r="AI38" s="128">
        <f>IF('2024年-挂账付款'!$AX38&gt;=SUM('2024年-挂账付款'!AF38:$AH38),'2024年-挂账付款'!AF38,IF('2024年-挂账付款'!$AX38-SUM('2024年-挂账付款'!AG38:$AH38)&gt;0,'2024年-挂账付款'!$AX38-SUM('2024年-挂账付款'!AG38:$AH38),0))</f>
        <v>0</v>
      </c>
      <c r="AJ38" s="128">
        <f>IF('2024年-挂账付款'!$AX38&gt;=SUM('2024年-挂账付款'!AG38:$AH38),'2024年-挂账付款'!AG38,IF('2024年-挂账付款'!$AX38-SUM('2024年-挂账付款'!AH38:$AH38)&gt;0,'2024年-挂账付款'!$AX38-SUM('2024年-挂账付款'!AH38:$AH38),0))</f>
        <v>0</v>
      </c>
      <c r="AK38" s="128">
        <f>IF('2024年-挂账付款'!$AX38&gt;=SUM('2024年-挂账付款'!AH38:$AH38),'2024年-挂账付款'!AH38,IF('2024年-挂账付款'!$AX38-SUM('2024年-挂账付款'!$AH38:AI38)&gt;0,'2024年-挂账付款'!$AX38-SUM('2024年-挂账付款'!$AH38:AI38),0))</f>
        <v>0</v>
      </c>
      <c r="AL38" s="182" t="s">
        <v>428</v>
      </c>
      <c r="AM38" s="184"/>
      <c r="AN38" s="176">
        <f t="shared" ref="AN38:AN52" si="5">SUM(U38:Z38)/6*0.8</f>
        <v>2215.85466666667</v>
      </c>
      <c r="AO38" s="203">
        <f>AN38</f>
        <v>2215.85466666667</v>
      </c>
      <c r="AP38" s="204"/>
      <c r="AQ38" s="205"/>
      <c r="AR38" s="206">
        <v>1865</v>
      </c>
    </row>
    <row r="39" s="107" customFormat="1" ht="18" customHeight="1" spans="1:44">
      <c r="A39" s="122"/>
      <c r="B39" s="129" t="s">
        <v>81</v>
      </c>
      <c r="C39" s="130" t="s">
        <v>314</v>
      </c>
      <c r="D39" s="130" t="s">
        <v>315</v>
      </c>
      <c r="E39" s="125">
        <v>90</v>
      </c>
      <c r="F39" s="126">
        <f t="shared" si="3"/>
        <v>233529.04</v>
      </c>
      <c r="G39" s="127">
        <f t="shared" si="4"/>
        <v>286684.24</v>
      </c>
      <c r="H39" s="128">
        <f>IF('2024年-挂账付款'!$AX39&gt;=SUM('2024年-挂账付款'!E39:$AH39),'2024年-挂账付款'!E39,IF('2024年-挂账付款'!$AX39-SUM('2024年-挂账付款'!F39:$AH39)&gt;0,'2024年-挂账付款'!$AX39-SUM('2024年-挂账付款'!F39:$AH39),0))</f>
        <v>0</v>
      </c>
      <c r="I39" s="128">
        <f>IF('2024年-挂账付款'!$AX39&gt;=SUM('2024年-挂账付款'!F39:$AH39),'2024年-挂账付款'!F39,IF('2024年-挂账付款'!$AX39-SUM('2024年-挂账付款'!G39:$AH39)&gt;0,'2024年-挂账付款'!$AX39-SUM('2024年-挂账付款'!G39:$AH39),0))</f>
        <v>0</v>
      </c>
      <c r="J39" s="128" t="str">
        <f>IF('2024年-挂账付款'!$AX39&gt;=SUM('2024年-挂账付款'!G39:$AH39),'2024年-挂账付款'!G39,IF('2024年-挂账付款'!$AX39-SUM('2024年-挂账付款'!H39:$AH39)&gt;0,'2024年-挂账付款'!$AX39-SUM('2024年-挂账付款'!H39:$AH39),0))</f>
        <v/>
      </c>
      <c r="K39" s="128">
        <f>IF('2024年-挂账付款'!$AX39&gt;=SUM('2024年-挂账付款'!H39:$AH39),'2024年-挂账付款'!H39,IF('2024年-挂账付款'!$AX39-SUM('2024年-挂账付款'!I39:$AH39)&gt;0,'2024年-挂账付款'!$AX39-SUM('2024年-挂账付款'!I39:$AH39),0))</f>
        <v>0</v>
      </c>
      <c r="L39" s="128">
        <f>IF('2024年-挂账付款'!$AX39&gt;=SUM('2024年-挂账付款'!I39:$AH39),'2024年-挂账付款'!I39,IF('2024年-挂账付款'!$AX39-SUM('2024年-挂账付款'!J39:$AH39)&gt;0,'2024年-挂账付款'!$AX39-SUM('2024年-挂账付款'!J39:$AH39),0))</f>
        <v>0</v>
      </c>
      <c r="M39" s="128" t="str">
        <f>IF('2024年-挂账付款'!$AX39&gt;=SUM('2024年-挂账付款'!J39:$AH39),'2024年-挂账付款'!J39,IF('2024年-挂账付款'!$AX39-SUM('2024年-挂账付款'!K39:$AH39)&gt;0,'2024年-挂账付款'!$AX39-SUM('2024年-挂账付款'!K39:$AH39),0))</f>
        <v/>
      </c>
      <c r="N39" s="128">
        <f>IF('2024年-挂账付款'!$AX39&gt;=SUM('2024年-挂账付款'!K39:$AH39),'2024年-挂账付款'!K39,IF('2024年-挂账付款'!$AX39-SUM('2024年-挂账付款'!L39:$AH39)&gt;0,'2024年-挂账付款'!$AX39-SUM('2024年-挂账付款'!L39:$AH39),0))</f>
        <v>0</v>
      </c>
      <c r="O39" s="128">
        <f>IF('2024年-挂账付款'!$AX39&gt;=SUM('2024年-挂账付款'!L39:$AH39),'2024年-挂账付款'!L39,IF('2024年-挂账付款'!$AX39-SUM('2024年-挂账付款'!M39:$AH39)&gt;0,'2024年-挂账付款'!$AX39-SUM('2024年-挂账付款'!M39:$AH39),0))</f>
        <v>0</v>
      </c>
      <c r="P39" s="128">
        <f>IF('2024年-挂账付款'!$AX39&gt;=SUM('2024年-挂账付款'!M39:$AH39),'2024年-挂账付款'!M39,IF('2024年-挂账付款'!$AX39-SUM('2024年-挂账付款'!N39:$AH39)&gt;0,'2024年-挂账付款'!$AX39-SUM('2024年-挂账付款'!N39:$AH39),0))</f>
        <v>0</v>
      </c>
      <c r="Q39" s="128">
        <f>IF('2024年-挂账付款'!$AX39&gt;=SUM('2024年-挂账付款'!N39:$AH39),'2024年-挂账付款'!N39,IF('2024年-挂账付款'!$AX39-SUM('2024年-挂账付款'!O39:$AH39)&gt;0,'2024年-挂账付款'!$AX39-SUM('2024年-挂账付款'!O39:$AH39),0))</f>
        <v>0</v>
      </c>
      <c r="R39" s="128">
        <f>IF('2024年-挂账付款'!$AX39&gt;=SUM('2024年-挂账付款'!O39:$AH39),'2024年-挂账付款'!O39,IF('2024年-挂账付款'!$AX39-SUM('2024年-挂账付款'!P39:$AH39)&gt;0,'2024年-挂账付款'!$AX39-SUM('2024年-挂账付款'!P39:$AH39),0))</f>
        <v>65285.6</v>
      </c>
      <c r="S39" s="128">
        <f>IF('2024年-挂账付款'!$AX39&gt;=SUM('2024年-挂账付款'!P39:$AH39),'2024年-挂账付款'!P39,IF('2024年-挂账付款'!$AX39-SUM('2024年-挂账付款'!Q39:$AH39)&gt;0,'2024年-挂账付款'!$AX39-SUM('2024年-挂账付款'!Q39:$AH39),0))</f>
        <v>65558.08</v>
      </c>
      <c r="T39" s="128">
        <f>IF('2024年-挂账付款'!$AX39&gt;=SUM('2024年-挂账付款'!Q39:$AH39),'2024年-挂账付款'!Q39,IF('2024年-挂账付款'!$AX39-SUM('2024年-挂账付款'!R39:$AH39)&gt;0,'2024年-挂账付款'!$AX39-SUM('2024年-挂账付款'!R39:$AH39),0))</f>
        <v>0</v>
      </c>
      <c r="U39" s="128">
        <f>IF('2024年-挂账付款'!$AX39&gt;=SUM('2024年-挂账付款'!R39:$AH39),'2024年-挂账付款'!R39,IF('2024年-挂账付款'!$AX39-SUM('2024年-挂账付款'!S39:$AH39)&gt;0,'2024年-挂账付款'!$AX39-SUM('2024年-挂账付款'!S39:$AH39),0))</f>
        <v>0</v>
      </c>
      <c r="V39" s="128">
        <f>IF('2024年-挂账付款'!$AX39&gt;=SUM('2024年-挂账付款'!S39:$AH39),'2024年-挂账付款'!S39,IF('2024年-挂账付款'!$AX39-SUM('2024年-挂账付款'!T39:$AH39)&gt;0,'2024年-挂账付款'!$AX39-SUM('2024年-挂账付款'!T39:$AH39),0))</f>
        <v>0</v>
      </c>
      <c r="W39" s="128">
        <f>IF('2024年-挂账付款'!$AX39&gt;=SUM('2024年-挂账付款'!T39:$AH39),'2024年-挂账付款'!T39,IF('2024年-挂账付款'!$AX39-SUM('2024年-挂账付款'!U39:$AH39)&gt;0,'2024年-挂账付款'!$AX39-SUM('2024年-挂账付款'!U39:$AH39),0))</f>
        <v>15905.88</v>
      </c>
      <c r="X39" s="128">
        <f>IF('2024年-挂账付款'!$AX39&gt;=SUM('2024年-挂账付款'!U39:$AH39),'2024年-挂账付款'!U39,IF('2024年-挂账付款'!$AX39-SUM('2024年-挂账付款'!V39:$AH39)&gt;0,'2024年-挂账付款'!$AX39-SUM('2024年-挂账付款'!V39:$AH39),0))</f>
        <v>0</v>
      </c>
      <c r="Y39" s="128">
        <f>IF('2024年-挂账付款'!$AX39&gt;=SUM('2024年-挂账付款'!V39:$AH39),'2024年-挂账付款'!V39,IF('2024年-挂账付款'!$AX39-SUM('2024年-挂账付款'!W39:$AH39)&gt;0,'2024年-挂账付款'!$AX39-SUM('2024年-挂账付款'!W39:$AH39),0))</f>
        <v>86779.48</v>
      </c>
      <c r="Z39" s="128">
        <f>IF('2024年-挂账付款'!$AX39&gt;=SUM('2024年-挂账付款'!W39:$AH39),'2024年-挂账付款'!W39,IF('2024年-挂账付款'!$AX39-SUM('2024年-挂账付款'!X39:$AH39)&gt;0,'2024年-挂账付款'!$AX39-SUM('2024年-挂账付款'!X39:$AH39),0))</f>
        <v>53155.2</v>
      </c>
      <c r="AA39" s="167">
        <f>IF('2024年-挂账付款'!$AX39&gt;=SUM('2024年-挂账付款'!X39:$AH39),'2024年-挂账付款'!X39,IF('2024年-挂账付款'!$AX39-SUM('2024年-挂账付款'!Y39:$AH39)&gt;0,'2024年-挂账付款'!$AX39-SUM('2024年-挂账付款'!Y39:$AH39),0))</f>
        <v>0</v>
      </c>
      <c r="AB39" s="128">
        <f>IF('2024年-挂账付款'!$AX39&gt;=SUM('2024年-挂账付款'!Y39:$AH39),'2024年-挂账付款'!Y39,IF('2024年-挂账付款'!$AX39-SUM('2024年-挂账付款'!Z39:$AH39)&gt;0,'2024年-挂账付款'!$AX39-SUM('2024年-挂账付款'!Z39:$AH39),0))</f>
        <v>0</v>
      </c>
      <c r="AC39" s="128">
        <f>IF('2024年-挂账付款'!$AX39&gt;=SUM('2024年-挂账付款'!Z39:$AH39),'2024年-挂账付款'!Z39,IF('2024年-挂账付款'!$AX39-SUM('2024年-挂账付款'!AA39:$AH39)&gt;0,'2024年-挂账付款'!$AX39-SUM('2024年-挂账付款'!AA39:$AH39),0))</f>
        <v>0</v>
      </c>
      <c r="AD39" s="128">
        <f>IF('2024年-挂账付款'!$AX39&gt;=SUM('2024年-挂账付款'!AA39:$AH39),'2024年-挂账付款'!AA39,IF('2024年-挂账付款'!$AX39-SUM('2024年-挂账付款'!AB39:$AH39)&gt;0,'2024年-挂账付款'!$AX39-SUM('2024年-挂账付款'!AB39:$AH39),0))</f>
        <v>0</v>
      </c>
      <c r="AE39" s="128">
        <f>IF('2024年-挂账付款'!$AX39&gt;=SUM('2024年-挂账付款'!AB39:$AH39),'2024年-挂账付款'!AB39,IF('2024年-挂账付款'!$AX39-SUM('2024年-挂账付款'!AC39:$AH39)&gt;0,'2024年-挂账付款'!$AX39-SUM('2024年-挂账付款'!AC39:$AH39),0))</f>
        <v>0</v>
      </c>
      <c r="AF39" s="128">
        <f>IF('2024年-挂账付款'!$AX39&gt;=SUM('2024年-挂账付款'!AC39:$AH39),'2024年-挂账付款'!AC39,IF('2024年-挂账付款'!$AX39-SUM('2024年-挂账付款'!AD39:$AH39)&gt;0,'2024年-挂账付款'!$AX39-SUM('2024年-挂账付款'!AD39:$AH39),0))</f>
        <v>0</v>
      </c>
      <c r="AG39" s="128">
        <f>IF('2024年-挂账付款'!$AX39&gt;=SUM('2024年-挂账付款'!AD39:$AH39),'2024年-挂账付款'!AD39,IF('2024年-挂账付款'!$AX39-SUM('2024年-挂账付款'!AE39:$AH39)&gt;0,'2024年-挂账付款'!$AX39-SUM('2024年-挂账付款'!AE39:$AH39),0))</f>
        <v>0</v>
      </c>
      <c r="AH39" s="128">
        <f>IF('2024年-挂账付款'!$AX39&gt;=SUM('2024年-挂账付款'!AE39:$AH39),'2024年-挂账付款'!AE39,IF('2024年-挂账付款'!$AX39-SUM('2024年-挂账付款'!AF39:$AH39)&gt;0,'2024年-挂账付款'!$AX39-SUM('2024年-挂账付款'!AF39:$AH39),0))</f>
        <v>0</v>
      </c>
      <c r="AI39" s="128">
        <f>IF('2024年-挂账付款'!$AX39&gt;=SUM('2024年-挂账付款'!AF39:$AH39),'2024年-挂账付款'!AF39,IF('2024年-挂账付款'!$AX39-SUM('2024年-挂账付款'!AG39:$AH39)&gt;0,'2024年-挂账付款'!$AX39-SUM('2024年-挂账付款'!AG39:$AH39),0))</f>
        <v>0</v>
      </c>
      <c r="AJ39" s="128">
        <f>IF('2024年-挂账付款'!$AX39&gt;=SUM('2024年-挂账付款'!AG39:$AH39),'2024年-挂账付款'!AG39,IF('2024年-挂账付款'!$AX39-SUM('2024年-挂账付款'!AH39:$AH39)&gt;0,'2024年-挂账付款'!$AX39-SUM('2024年-挂账付款'!AH39:$AH39),0))</f>
        <v>0</v>
      </c>
      <c r="AK39" s="128">
        <f>IF('2024年-挂账付款'!$AX39&gt;=SUM('2024年-挂账付款'!AH39:$AH39),'2024年-挂账付款'!AH39,IF('2024年-挂账付款'!$AX39-SUM('2024年-挂账付款'!$AH39:AI39)&gt;0,'2024年-挂账付款'!$AX39-SUM('2024年-挂账付款'!$AH39:AI39),0))</f>
        <v>0</v>
      </c>
      <c r="AL39" s="182" t="s">
        <v>428</v>
      </c>
      <c r="AM39" s="183"/>
      <c r="AN39" s="176">
        <f t="shared" si="5"/>
        <v>20778.7413333333</v>
      </c>
      <c r="AO39" s="203">
        <v>30000</v>
      </c>
      <c r="AP39" s="204"/>
      <c r="AQ39" s="205">
        <v>30000</v>
      </c>
      <c r="AR39" s="206"/>
    </row>
    <row r="40" s="107" customFormat="1" ht="18" customHeight="1" spans="1:44">
      <c r="A40" s="122"/>
      <c r="B40" s="129" t="s">
        <v>81</v>
      </c>
      <c r="C40" s="130" t="s">
        <v>316</v>
      </c>
      <c r="D40" s="130" t="s">
        <v>317</v>
      </c>
      <c r="E40" s="125">
        <v>90</v>
      </c>
      <c r="F40" s="126">
        <f t="shared" si="3"/>
        <v>2815.34</v>
      </c>
      <c r="G40" s="127">
        <f t="shared" si="4"/>
        <v>2815.34</v>
      </c>
      <c r="H40" s="128" t="str">
        <f>IF('2024年-挂账付款'!$AX40&gt;=SUM('2024年-挂账付款'!E40:$AH40),'2024年-挂账付款'!E40,IF('2024年-挂账付款'!$AX40-SUM('2024年-挂账付款'!F40:$AH40)&gt;0,'2024年-挂账付款'!$AX40-SUM('2024年-挂账付款'!F40:$AH40),0))</f>
        <v/>
      </c>
      <c r="I40" s="128" t="str">
        <f>IF('2024年-挂账付款'!$AX40&gt;=SUM('2024年-挂账付款'!F40:$AH40),'2024年-挂账付款'!F40,IF('2024年-挂账付款'!$AX40-SUM('2024年-挂账付款'!G40:$AH40)&gt;0,'2024年-挂账付款'!$AX40-SUM('2024年-挂账付款'!G40:$AH40),0))</f>
        <v/>
      </c>
      <c r="J40" s="128" t="str">
        <f>IF('2024年-挂账付款'!$AX40&gt;=SUM('2024年-挂账付款'!G40:$AH40),'2024年-挂账付款'!G40,IF('2024年-挂账付款'!$AX40-SUM('2024年-挂账付款'!H40:$AH40)&gt;0,'2024年-挂账付款'!$AX40-SUM('2024年-挂账付款'!H40:$AH40),0))</f>
        <v/>
      </c>
      <c r="K40" s="128">
        <f>IF('2024年-挂账付款'!$AX40&gt;=SUM('2024年-挂账付款'!H40:$AH40),'2024年-挂账付款'!H40,IF('2024年-挂账付款'!$AX40-SUM('2024年-挂账付款'!I40:$AH40)&gt;0,'2024年-挂账付款'!$AX40-SUM('2024年-挂账付款'!I40:$AH40),0))</f>
        <v>0</v>
      </c>
      <c r="L40" s="128">
        <f>IF('2024年-挂账付款'!$AX40&gt;=SUM('2024年-挂账付款'!I40:$AH40),'2024年-挂账付款'!I40,IF('2024年-挂账付款'!$AX40-SUM('2024年-挂账付款'!J40:$AH40)&gt;0,'2024年-挂账付款'!$AX40-SUM('2024年-挂账付款'!J40:$AH40),0))</f>
        <v>0</v>
      </c>
      <c r="M40" s="128" t="str">
        <f>IF('2024年-挂账付款'!$AX40&gt;=SUM('2024年-挂账付款'!J40:$AH40),'2024年-挂账付款'!J40,IF('2024年-挂账付款'!$AX40-SUM('2024年-挂账付款'!K40:$AH40)&gt;0,'2024年-挂账付款'!$AX40-SUM('2024年-挂账付款'!K40:$AH40),0))</f>
        <v/>
      </c>
      <c r="N40" s="128">
        <f>IF('2024年-挂账付款'!$AX40&gt;=SUM('2024年-挂账付款'!K40:$AH40),'2024年-挂账付款'!K40,IF('2024年-挂账付款'!$AX40-SUM('2024年-挂账付款'!L40:$AH40)&gt;0,'2024年-挂账付款'!$AX40-SUM('2024年-挂账付款'!L40:$AH40),0))</f>
        <v>0</v>
      </c>
      <c r="O40" s="128">
        <f>IF('2024年-挂账付款'!$AX40&gt;=SUM('2024年-挂账付款'!L40:$AH40),'2024年-挂账付款'!L40,IF('2024年-挂账付款'!$AX40-SUM('2024年-挂账付款'!M40:$AH40)&gt;0,'2024年-挂账付款'!$AX40-SUM('2024年-挂账付款'!M40:$AH40),0))</f>
        <v>0</v>
      </c>
      <c r="P40" s="128">
        <f>IF('2024年-挂账付款'!$AX40&gt;=SUM('2024年-挂账付款'!M40:$AH40),'2024年-挂账付款'!M40,IF('2024年-挂账付款'!$AX40-SUM('2024年-挂账付款'!N40:$AH40)&gt;0,'2024年-挂账付款'!$AX40-SUM('2024年-挂账付款'!N40:$AH40),0))</f>
        <v>0</v>
      </c>
      <c r="Q40" s="128">
        <f>IF('2024年-挂账付款'!$AX40&gt;=SUM('2024年-挂账付款'!N40:$AH40),'2024年-挂账付款'!N40,IF('2024年-挂账付款'!$AX40-SUM('2024年-挂账付款'!O40:$AH40)&gt;0,'2024年-挂账付款'!$AX40-SUM('2024年-挂账付款'!O40:$AH40),0))</f>
        <v>2815.34</v>
      </c>
      <c r="R40" s="128">
        <f>IF('2024年-挂账付款'!$AX40&gt;=SUM('2024年-挂账付款'!O40:$AH40),'2024年-挂账付款'!O40,IF('2024年-挂账付款'!$AX40-SUM('2024年-挂账付款'!P40:$AH40)&gt;0,'2024年-挂账付款'!$AX40-SUM('2024年-挂账付款'!P40:$AH40),0))</f>
        <v>0</v>
      </c>
      <c r="S40" s="128">
        <f>IF('2024年-挂账付款'!$AX40&gt;=SUM('2024年-挂账付款'!P40:$AH40),'2024年-挂账付款'!P40,IF('2024年-挂账付款'!$AX40-SUM('2024年-挂账付款'!Q40:$AH40)&gt;0,'2024年-挂账付款'!$AX40-SUM('2024年-挂账付款'!Q40:$AH40),0))</f>
        <v>0</v>
      </c>
      <c r="T40" s="128">
        <f>IF('2024年-挂账付款'!$AX40&gt;=SUM('2024年-挂账付款'!Q40:$AH40),'2024年-挂账付款'!Q40,IF('2024年-挂账付款'!$AX40-SUM('2024年-挂账付款'!R40:$AH40)&gt;0,'2024年-挂账付款'!$AX40-SUM('2024年-挂账付款'!R40:$AH40),0))</f>
        <v>0</v>
      </c>
      <c r="U40" s="128">
        <f>IF('2024年-挂账付款'!$AX40&gt;=SUM('2024年-挂账付款'!R40:$AH40),'2024年-挂账付款'!R40,IF('2024年-挂账付款'!$AX40-SUM('2024年-挂账付款'!S40:$AH40)&gt;0,'2024年-挂账付款'!$AX40-SUM('2024年-挂账付款'!S40:$AH40),0))</f>
        <v>0</v>
      </c>
      <c r="V40" s="128">
        <f>IF('2024年-挂账付款'!$AX40&gt;=SUM('2024年-挂账付款'!S40:$AH40),'2024年-挂账付款'!S40,IF('2024年-挂账付款'!$AX40-SUM('2024年-挂账付款'!T40:$AH40)&gt;0,'2024年-挂账付款'!$AX40-SUM('2024年-挂账付款'!T40:$AH40),0))</f>
        <v>0</v>
      </c>
      <c r="W40" s="128">
        <f>IF('2024年-挂账付款'!$AX40&gt;=SUM('2024年-挂账付款'!T40:$AH40),'2024年-挂账付款'!T40,IF('2024年-挂账付款'!$AX40-SUM('2024年-挂账付款'!U40:$AH40)&gt;0,'2024年-挂账付款'!$AX40-SUM('2024年-挂账付款'!U40:$AH40),0))</f>
        <v>0</v>
      </c>
      <c r="X40" s="128">
        <f>IF('2024年-挂账付款'!$AX40&gt;=SUM('2024年-挂账付款'!U40:$AH40),'2024年-挂账付款'!U40,IF('2024年-挂账付款'!$AX40-SUM('2024年-挂账付款'!V40:$AH40)&gt;0,'2024年-挂账付款'!$AX40-SUM('2024年-挂账付款'!V40:$AH40),0))</f>
        <v>0</v>
      </c>
      <c r="Y40" s="128">
        <f>IF('2024年-挂账付款'!$AX40&gt;=SUM('2024年-挂账付款'!V40:$AH40),'2024年-挂账付款'!V40,IF('2024年-挂账付款'!$AX40-SUM('2024年-挂账付款'!W40:$AH40)&gt;0,'2024年-挂账付款'!$AX40-SUM('2024年-挂账付款'!W40:$AH40),0))</f>
        <v>0</v>
      </c>
      <c r="Z40" s="128">
        <f>IF('2024年-挂账付款'!$AX40&gt;=SUM('2024年-挂账付款'!W40:$AH40),'2024年-挂账付款'!W40,IF('2024年-挂账付款'!$AX40-SUM('2024年-挂账付款'!X40:$AH40)&gt;0,'2024年-挂账付款'!$AX40-SUM('2024年-挂账付款'!X40:$AH40),0))</f>
        <v>0</v>
      </c>
      <c r="AA40" s="167">
        <f>IF('2024年-挂账付款'!$AX40&gt;=SUM('2024年-挂账付款'!X40:$AH40),'2024年-挂账付款'!X40,IF('2024年-挂账付款'!$AX40-SUM('2024年-挂账付款'!Y40:$AH40)&gt;0,'2024年-挂账付款'!$AX40-SUM('2024年-挂账付款'!Y40:$AH40),0))</f>
        <v>0</v>
      </c>
      <c r="AB40" s="128">
        <f>IF('2024年-挂账付款'!$AX40&gt;=SUM('2024年-挂账付款'!Y40:$AH40),'2024年-挂账付款'!Y40,IF('2024年-挂账付款'!$AX40-SUM('2024年-挂账付款'!Z40:$AH40)&gt;0,'2024年-挂账付款'!$AX40-SUM('2024年-挂账付款'!Z40:$AH40),0))</f>
        <v>0</v>
      </c>
      <c r="AC40" s="128">
        <f>IF('2024年-挂账付款'!$AX40&gt;=SUM('2024年-挂账付款'!Z40:$AH40),'2024年-挂账付款'!Z40,IF('2024年-挂账付款'!$AX40-SUM('2024年-挂账付款'!AA40:$AH40)&gt;0,'2024年-挂账付款'!$AX40-SUM('2024年-挂账付款'!AA40:$AH40),0))</f>
        <v>0</v>
      </c>
      <c r="AD40" s="128">
        <f>IF('2024年-挂账付款'!$AX40&gt;=SUM('2024年-挂账付款'!AA40:$AH40),'2024年-挂账付款'!AA40,IF('2024年-挂账付款'!$AX40-SUM('2024年-挂账付款'!AB40:$AH40)&gt;0,'2024年-挂账付款'!$AX40-SUM('2024年-挂账付款'!AB40:$AH40),0))</f>
        <v>0</v>
      </c>
      <c r="AE40" s="128">
        <f>IF('2024年-挂账付款'!$AX40&gt;=SUM('2024年-挂账付款'!AB40:$AH40),'2024年-挂账付款'!AB40,IF('2024年-挂账付款'!$AX40-SUM('2024年-挂账付款'!AC40:$AH40)&gt;0,'2024年-挂账付款'!$AX40-SUM('2024年-挂账付款'!AC40:$AH40),0))</f>
        <v>0</v>
      </c>
      <c r="AF40" s="128">
        <f>IF('2024年-挂账付款'!$AX40&gt;=SUM('2024年-挂账付款'!AC40:$AH40),'2024年-挂账付款'!AC40,IF('2024年-挂账付款'!$AX40-SUM('2024年-挂账付款'!AD40:$AH40)&gt;0,'2024年-挂账付款'!$AX40-SUM('2024年-挂账付款'!AD40:$AH40),0))</f>
        <v>0</v>
      </c>
      <c r="AG40" s="128">
        <f>IF('2024年-挂账付款'!$AX40&gt;=SUM('2024年-挂账付款'!AD40:$AH40),'2024年-挂账付款'!AD40,IF('2024年-挂账付款'!$AX40-SUM('2024年-挂账付款'!AE40:$AH40)&gt;0,'2024年-挂账付款'!$AX40-SUM('2024年-挂账付款'!AE40:$AH40),0))</f>
        <v>0</v>
      </c>
      <c r="AH40" s="128">
        <f>IF('2024年-挂账付款'!$AX40&gt;=SUM('2024年-挂账付款'!AE40:$AH40),'2024年-挂账付款'!AE40,IF('2024年-挂账付款'!$AX40-SUM('2024年-挂账付款'!AF40:$AH40)&gt;0,'2024年-挂账付款'!$AX40-SUM('2024年-挂账付款'!AF40:$AH40),0))</f>
        <v>0</v>
      </c>
      <c r="AI40" s="128">
        <f>IF('2024年-挂账付款'!$AX40&gt;=SUM('2024年-挂账付款'!AF40:$AH40),'2024年-挂账付款'!AF40,IF('2024年-挂账付款'!$AX40-SUM('2024年-挂账付款'!AG40:$AH40)&gt;0,'2024年-挂账付款'!$AX40-SUM('2024年-挂账付款'!AG40:$AH40),0))</f>
        <v>0</v>
      </c>
      <c r="AJ40" s="128">
        <f>IF('2024年-挂账付款'!$AX40&gt;=SUM('2024年-挂账付款'!AG40:$AH40),'2024年-挂账付款'!AG40,IF('2024年-挂账付款'!$AX40-SUM('2024年-挂账付款'!AH40:$AH40)&gt;0,'2024年-挂账付款'!$AX40-SUM('2024年-挂账付款'!AH40:$AH40),0))</f>
        <v>0</v>
      </c>
      <c r="AK40" s="128">
        <f>IF('2024年-挂账付款'!$AX40&gt;=SUM('2024年-挂账付款'!AH40:$AH40),'2024年-挂账付款'!AH40,IF('2024年-挂账付款'!$AX40-SUM('2024年-挂账付款'!$AH40:AI40)&gt;0,'2024年-挂账付款'!$AX40-SUM('2024年-挂账付款'!$AH40:AI40),0))</f>
        <v>0</v>
      </c>
      <c r="AL40" s="182" t="s">
        <v>428</v>
      </c>
      <c r="AM40" s="183"/>
      <c r="AN40" s="176">
        <f t="shared" si="5"/>
        <v>0</v>
      </c>
      <c r="AO40" s="203"/>
      <c r="AP40" s="204"/>
      <c r="AQ40" s="205"/>
      <c r="AR40" s="206"/>
    </row>
    <row r="41" s="107" customFormat="1" ht="18" customHeight="1" spans="1:44">
      <c r="A41" s="122"/>
      <c r="B41" s="129" t="s">
        <v>81</v>
      </c>
      <c r="C41" s="130" t="s">
        <v>322</v>
      </c>
      <c r="D41" s="130" t="s">
        <v>323</v>
      </c>
      <c r="E41" s="125">
        <v>90</v>
      </c>
      <c r="F41" s="126">
        <f t="shared" si="3"/>
        <v>364195.92</v>
      </c>
      <c r="G41" s="127">
        <f t="shared" si="4"/>
        <v>516575.06</v>
      </c>
      <c r="H41" s="128">
        <f>IF('2024年-挂账付款'!$AX41&gt;=SUM('2024年-挂账付款'!E41:$AH41),'2024年-挂账付款'!E41,IF('2024年-挂账付款'!$AX41-SUM('2024年-挂账付款'!F41:$AH41)&gt;0,'2024年-挂账付款'!$AX41-SUM('2024年-挂账付款'!F41:$AH41),0))</f>
        <v>0</v>
      </c>
      <c r="I41" s="128">
        <f>IF('2024年-挂账付款'!$AX41&gt;=SUM('2024年-挂账付款'!F41:$AH41),'2024年-挂账付款'!F41,IF('2024年-挂账付款'!$AX41-SUM('2024年-挂账付款'!G41:$AH41)&gt;0,'2024年-挂账付款'!$AX41-SUM('2024年-挂账付款'!G41:$AH41),0))</f>
        <v>0</v>
      </c>
      <c r="J41" s="128">
        <f>IF('2024年-挂账付款'!$AX41&gt;=SUM('2024年-挂账付款'!G41:$AH41),'2024年-挂账付款'!G41,IF('2024年-挂账付款'!$AX41-SUM('2024年-挂账付款'!H41:$AH41)&gt;0,'2024年-挂账付款'!$AX41-SUM('2024年-挂账付款'!H41:$AH41),0))</f>
        <v>0</v>
      </c>
      <c r="K41" s="128">
        <f>IF('2024年-挂账付款'!$AX41&gt;=SUM('2024年-挂账付款'!H41:$AH41),'2024年-挂账付款'!H41,IF('2024年-挂账付款'!$AX41-SUM('2024年-挂账付款'!I41:$AH41)&gt;0,'2024年-挂账付款'!$AX41-SUM('2024年-挂账付款'!I41:$AH41),0))</f>
        <v>0</v>
      </c>
      <c r="L41" s="128">
        <f>IF('2024年-挂账付款'!$AX41&gt;=SUM('2024年-挂账付款'!I41:$AH41),'2024年-挂账付款'!I41,IF('2024年-挂账付款'!$AX41-SUM('2024年-挂账付款'!J41:$AH41)&gt;0,'2024年-挂账付款'!$AX41-SUM('2024年-挂账付款'!J41:$AH41),0))</f>
        <v>0</v>
      </c>
      <c r="M41" s="128">
        <f>IF('2024年-挂账付款'!$AX41&gt;=SUM('2024年-挂账付款'!J41:$AH41),'2024年-挂账付款'!J41,IF('2024年-挂账付款'!$AX41-SUM('2024年-挂账付款'!K41:$AH41)&gt;0,'2024年-挂账付款'!$AX41-SUM('2024年-挂账付款'!K41:$AH41),0))</f>
        <v>0</v>
      </c>
      <c r="N41" s="128">
        <f>IF('2024年-挂账付款'!$AX41&gt;=SUM('2024年-挂账付款'!K41:$AH41),'2024年-挂账付款'!K41,IF('2024年-挂账付款'!$AX41-SUM('2024年-挂账付款'!L41:$AH41)&gt;0,'2024年-挂账付款'!$AX41-SUM('2024年-挂账付款'!L41:$AH41),0))</f>
        <v>0</v>
      </c>
      <c r="O41" s="128">
        <f>IF('2024年-挂账付款'!$AX41&gt;=SUM('2024年-挂账付款'!L41:$AH41),'2024年-挂账付款'!L41,IF('2024年-挂账付款'!$AX41-SUM('2024年-挂账付款'!M41:$AH41)&gt;0,'2024年-挂账付款'!$AX41-SUM('2024年-挂账付款'!M41:$AH41),0))</f>
        <v>0</v>
      </c>
      <c r="P41" s="128">
        <f>IF('2024年-挂账付款'!$AX41&gt;=SUM('2024年-挂账付款'!M41:$AH41),'2024年-挂账付款'!M41,IF('2024年-挂账付款'!$AX41-SUM('2024年-挂账付款'!N41:$AH41)&gt;0,'2024年-挂账付款'!$AX41-SUM('2024年-挂账付款'!N41:$AH41),0))</f>
        <v>0</v>
      </c>
      <c r="Q41" s="128">
        <f>IF('2024年-挂账付款'!$AX41&gt;=SUM('2024年-挂账付款'!N41:$AH41),'2024年-挂账付款'!N41,IF('2024年-挂账付款'!$AX41-SUM('2024年-挂账付款'!O41:$AH41)&gt;0,'2024年-挂账付款'!$AX41-SUM('2024年-挂账付款'!O41:$AH41),0))</f>
        <v>22369.7899999999</v>
      </c>
      <c r="R41" s="128">
        <f>IF('2024年-挂账付款'!$AX41&gt;=SUM('2024年-挂账付款'!O41:$AH41),'2024年-挂账付款'!O41,IF('2024年-挂账付款'!$AX41-SUM('2024年-挂账付款'!P41:$AH41)&gt;0,'2024年-挂账付款'!$AX41-SUM('2024年-挂账付款'!P41:$AH41),0))</f>
        <v>0</v>
      </c>
      <c r="S41" s="128">
        <f>IF('2024年-挂账付款'!$AX41&gt;=SUM('2024年-挂账付款'!P41:$AH41),'2024年-挂账付款'!P41,IF('2024年-挂账付款'!$AX41-SUM('2024年-挂账付款'!Q41:$AH41)&gt;0,'2024年-挂账付款'!$AX41-SUM('2024年-挂账付款'!Q41:$AH41),0))</f>
        <v>148115.88</v>
      </c>
      <c r="T41" s="128">
        <f>IF('2024年-挂账付款'!$AX41&gt;=SUM('2024年-挂账付款'!Q41:$AH41),'2024年-挂账付款'!Q41,IF('2024年-挂账付款'!$AX41-SUM('2024年-挂账付款'!R41:$AH41)&gt;0,'2024年-挂账付款'!$AX41-SUM('2024年-挂账付款'!R41:$AH41),0))</f>
        <v>0</v>
      </c>
      <c r="U41" s="128">
        <f>IF('2024年-挂账付款'!$AX41&gt;=SUM('2024年-挂账付款'!R41:$AH41),'2024年-挂账付款'!R41,IF('2024年-挂账付款'!$AX41-SUM('2024年-挂账付款'!S41:$AH41)&gt;0,'2024年-挂账付款'!$AX41-SUM('2024年-挂账付款'!S41:$AH41),0))</f>
        <v>0</v>
      </c>
      <c r="V41" s="128">
        <f>IF('2024年-挂账付款'!$AX41&gt;=SUM('2024年-挂账付款'!S41:$AH41),'2024年-挂账付款'!S41,IF('2024年-挂账付款'!$AX41-SUM('2024年-挂账付款'!T41:$AH41)&gt;0,'2024年-挂账付款'!$AX41-SUM('2024年-挂账付款'!T41:$AH41),0))</f>
        <v>0</v>
      </c>
      <c r="W41" s="128">
        <f>IF('2024年-挂账付款'!$AX41&gt;=SUM('2024年-挂账付款'!T41:$AH41),'2024年-挂账付款'!T41,IF('2024年-挂账付款'!$AX41-SUM('2024年-挂账付款'!U41:$AH41)&gt;0,'2024年-挂账付款'!$AX41-SUM('2024年-挂账付款'!U41:$AH41),0))</f>
        <v>0</v>
      </c>
      <c r="X41" s="128">
        <f>IF('2024年-挂账付款'!$AX41&gt;=SUM('2024年-挂账付款'!U41:$AH41),'2024年-挂账付款'!U41,IF('2024年-挂账付款'!$AX41-SUM('2024年-挂账付款'!V41:$AH41)&gt;0,'2024年-挂账付款'!$AX41-SUM('2024年-挂账付款'!V41:$AH41),0))</f>
        <v>0</v>
      </c>
      <c r="Y41" s="128">
        <f>IF('2024年-挂账付款'!$AX41&gt;=SUM('2024年-挂账付款'!V41:$AH41),'2024年-挂账付款'!V41,IF('2024年-挂账付款'!$AX41-SUM('2024年-挂账付款'!W41:$AH41)&gt;0,'2024年-挂账付款'!$AX41-SUM('2024年-挂账付款'!W41:$AH41),0))</f>
        <v>193710.25</v>
      </c>
      <c r="Z41" s="128">
        <f>IF('2024年-挂账付款'!$AX41&gt;=SUM('2024年-挂账付款'!W41:$AH41),'2024年-挂账付款'!W41,IF('2024年-挂账付款'!$AX41-SUM('2024年-挂账付款'!X41:$AH41)&gt;0,'2024年-挂账付款'!$AX41-SUM('2024年-挂账付款'!X41:$AH41),0))</f>
        <v>104496.52</v>
      </c>
      <c r="AA41" s="167">
        <f>IF('2024年-挂账付款'!$AX41&gt;=SUM('2024年-挂账付款'!X41:$AH41),'2024年-挂账付款'!X41,IF('2024年-挂账付款'!$AX41-SUM('2024年-挂账付款'!Y41:$AH41)&gt;0,'2024年-挂账付款'!$AX41-SUM('2024年-挂账付款'!Y41:$AH41),0))</f>
        <v>0</v>
      </c>
      <c r="AB41" s="128">
        <f>IF('2024年-挂账付款'!$AX41&gt;=SUM('2024年-挂账付款'!Y41:$AH41),'2024年-挂账付款'!Y41,IF('2024年-挂账付款'!$AX41-SUM('2024年-挂账付款'!Z41:$AH41)&gt;0,'2024年-挂账付款'!$AX41-SUM('2024年-挂账付款'!Z41:$AH41),0))</f>
        <v>47882.62</v>
      </c>
      <c r="AC41" s="128">
        <f>IF('2024年-挂账付款'!$AX41&gt;=SUM('2024年-挂账付款'!Z41:$AH41),'2024年-挂账付款'!Z41,IF('2024年-挂账付款'!$AX41-SUM('2024年-挂账付款'!AA41:$AH41)&gt;0,'2024年-挂账付款'!$AX41-SUM('2024年-挂账付款'!AA41:$AH41),0))</f>
        <v>0</v>
      </c>
      <c r="AD41" s="128">
        <f>IF('2024年-挂账付款'!$AX41&gt;=SUM('2024年-挂账付款'!AA41:$AH41),'2024年-挂账付款'!AA41,IF('2024年-挂账付款'!$AX41-SUM('2024年-挂账付款'!AB41:$AH41)&gt;0,'2024年-挂账付款'!$AX41-SUM('2024年-挂账付款'!AB41:$AH41),0))</f>
        <v>0</v>
      </c>
      <c r="AE41" s="128">
        <f>IF('2024年-挂账付款'!$AX41&gt;=SUM('2024年-挂账付款'!AB41:$AH41),'2024年-挂账付款'!AB41,IF('2024年-挂账付款'!$AX41-SUM('2024年-挂账付款'!AC41:$AH41)&gt;0,'2024年-挂账付款'!$AX41-SUM('2024年-挂账付款'!AC41:$AH41),0))</f>
        <v>0</v>
      </c>
      <c r="AF41" s="128">
        <f>IF('2024年-挂账付款'!$AX41&gt;=SUM('2024年-挂账付款'!AC41:$AH41),'2024年-挂账付款'!AC41,IF('2024年-挂账付款'!$AX41-SUM('2024年-挂账付款'!AD41:$AH41)&gt;0,'2024年-挂账付款'!$AX41-SUM('2024年-挂账付款'!AD41:$AH41),0))</f>
        <v>0</v>
      </c>
      <c r="AG41" s="128">
        <f>IF('2024年-挂账付款'!$AX41&gt;=SUM('2024年-挂账付款'!AD41:$AH41),'2024年-挂账付款'!AD41,IF('2024年-挂账付款'!$AX41-SUM('2024年-挂账付款'!AE41:$AH41)&gt;0,'2024年-挂账付款'!$AX41-SUM('2024年-挂账付款'!AE41:$AH41),0))</f>
        <v>0</v>
      </c>
      <c r="AH41" s="128">
        <f>IF('2024年-挂账付款'!$AX41&gt;=SUM('2024年-挂账付款'!AE41:$AH41),'2024年-挂账付款'!AE41,IF('2024年-挂账付款'!$AX41-SUM('2024年-挂账付款'!AF41:$AH41)&gt;0,'2024年-挂账付款'!$AX41-SUM('2024年-挂账付款'!AF41:$AH41),0))</f>
        <v>0</v>
      </c>
      <c r="AI41" s="128">
        <f>IF('2024年-挂账付款'!$AX41&gt;=SUM('2024年-挂账付款'!AF41:$AH41),'2024年-挂账付款'!AF41,IF('2024年-挂账付款'!$AX41-SUM('2024年-挂账付款'!AG41:$AH41)&gt;0,'2024年-挂账付款'!$AX41-SUM('2024年-挂账付款'!AG41:$AH41),0))</f>
        <v>0</v>
      </c>
      <c r="AJ41" s="128">
        <f>IF('2024年-挂账付款'!$AX41&gt;=SUM('2024年-挂账付款'!AG41:$AH41),'2024年-挂账付款'!AG41,IF('2024年-挂账付款'!$AX41-SUM('2024年-挂账付款'!AH41:$AH41)&gt;0,'2024年-挂账付款'!$AX41-SUM('2024年-挂账付款'!AH41:$AH41),0))</f>
        <v>0</v>
      </c>
      <c r="AK41" s="128">
        <f>IF('2024年-挂账付款'!$AX41&gt;=SUM('2024年-挂账付款'!AH41:$AH41),'2024年-挂账付款'!AH41,IF('2024年-挂账付款'!$AX41-SUM('2024年-挂账付款'!$AH41:AI41)&gt;0,'2024年-挂账付款'!$AX41-SUM('2024年-挂账付款'!$AH41:AI41),0))</f>
        <v>0</v>
      </c>
      <c r="AL41" s="182" t="s">
        <v>428</v>
      </c>
      <c r="AM41" s="184"/>
      <c r="AN41" s="176">
        <f t="shared" si="5"/>
        <v>39760.9026666667</v>
      </c>
      <c r="AO41" s="203">
        <v>40000</v>
      </c>
      <c r="AP41" s="204"/>
      <c r="AQ41" s="205"/>
      <c r="AR41" s="206">
        <v>40000</v>
      </c>
    </row>
    <row r="42" s="107" customFormat="1" ht="18" customHeight="1" spans="1:44">
      <c r="A42" s="122"/>
      <c r="B42" s="129" t="s">
        <v>81</v>
      </c>
      <c r="C42" s="130" t="s">
        <v>324</v>
      </c>
      <c r="D42" s="130" t="s">
        <v>325</v>
      </c>
      <c r="E42" s="125">
        <v>90</v>
      </c>
      <c r="F42" s="126">
        <f t="shared" si="3"/>
        <v>31415</v>
      </c>
      <c r="G42" s="127">
        <f t="shared" si="4"/>
        <v>46105</v>
      </c>
      <c r="H42" s="128">
        <f>IF('2024年-挂账付款'!$AX42&gt;=SUM('2024年-挂账付款'!E42:$AH42),'2024年-挂账付款'!E42,IF('2024年-挂账付款'!$AX42-SUM('2024年-挂账付款'!F42:$AH42)&gt;0,'2024年-挂账付款'!$AX42-SUM('2024年-挂账付款'!F42:$AH42),0))</f>
        <v>0</v>
      </c>
      <c r="I42" s="128">
        <f>IF('2024年-挂账付款'!$AX42&gt;=SUM('2024年-挂账付款'!F42:$AH42),'2024年-挂账付款'!F42,IF('2024年-挂账付款'!$AX42-SUM('2024年-挂账付款'!G42:$AH42)&gt;0,'2024年-挂账付款'!$AX42-SUM('2024年-挂账付款'!G42:$AH42),0))</f>
        <v>0</v>
      </c>
      <c r="J42" s="128">
        <f>IF('2024年-挂账付款'!$AX42&gt;=SUM('2024年-挂账付款'!G42:$AH42),'2024年-挂账付款'!G42,IF('2024年-挂账付款'!$AX42-SUM('2024年-挂账付款'!H42:$AH42)&gt;0,'2024年-挂账付款'!$AX42-SUM('2024年-挂账付款'!H42:$AH42),0))</f>
        <v>0</v>
      </c>
      <c r="K42" s="128">
        <f>IF('2024年-挂账付款'!$AX42&gt;=SUM('2024年-挂账付款'!H42:$AH42),'2024年-挂账付款'!H42,IF('2024年-挂账付款'!$AX42-SUM('2024年-挂账付款'!I42:$AH42)&gt;0,'2024年-挂账付款'!$AX42-SUM('2024年-挂账付款'!I42:$AH42),0))</f>
        <v>0</v>
      </c>
      <c r="L42" s="128">
        <f>IF('2024年-挂账付款'!$AX42&gt;=SUM('2024年-挂账付款'!I42:$AH42),'2024年-挂账付款'!I42,IF('2024年-挂账付款'!$AX42-SUM('2024年-挂账付款'!J42:$AH42)&gt;0,'2024年-挂账付款'!$AX42-SUM('2024年-挂账付款'!J42:$AH42),0))</f>
        <v>0</v>
      </c>
      <c r="M42" s="128" t="str">
        <f>IF('2024年-挂账付款'!$AX42&gt;=SUM('2024年-挂账付款'!J42:$AH42),'2024年-挂账付款'!J42,IF('2024年-挂账付款'!$AX42-SUM('2024年-挂账付款'!K42:$AH42)&gt;0,'2024年-挂账付款'!$AX42-SUM('2024年-挂账付款'!K42:$AH42),0))</f>
        <v/>
      </c>
      <c r="N42" s="128">
        <f>IF('2024年-挂账付款'!$AX42&gt;=SUM('2024年-挂账付款'!K42:$AH42),'2024年-挂账付款'!K42,IF('2024年-挂账付款'!$AX42-SUM('2024年-挂账付款'!L42:$AH42)&gt;0,'2024年-挂账付款'!$AX42-SUM('2024年-挂账付款'!L42:$AH42),0))</f>
        <v>0</v>
      </c>
      <c r="O42" s="128">
        <f>IF('2024年-挂账付款'!$AX42&gt;=SUM('2024年-挂账付款'!L42:$AH42),'2024年-挂账付款'!L42,IF('2024年-挂账付款'!$AX42-SUM('2024年-挂账付款'!M42:$AH42)&gt;0,'2024年-挂账付款'!$AX42-SUM('2024年-挂账付款'!M42:$AH42),0))</f>
        <v>0</v>
      </c>
      <c r="P42" s="128">
        <f>IF('2024年-挂账付款'!$AX42&gt;=SUM('2024年-挂账付款'!M42:$AH42),'2024年-挂账付款'!M42,IF('2024年-挂账付款'!$AX42-SUM('2024年-挂账付款'!N42:$AH42)&gt;0,'2024年-挂账付款'!$AX42-SUM('2024年-挂账付款'!N42:$AH42),0))</f>
        <v>566</v>
      </c>
      <c r="Q42" s="128">
        <f>IF('2024年-挂账付款'!$AX42&gt;=SUM('2024年-挂账付款'!N42:$AH42),'2024年-挂账付款'!N42,IF('2024年-挂账付款'!$AX42-SUM('2024年-挂账付款'!O42:$AH42)&gt;0,'2024年-挂账付款'!$AX42-SUM('2024年-挂账付款'!O42:$AH42),0))</f>
        <v>0</v>
      </c>
      <c r="R42" s="128">
        <f>IF('2024年-挂账付款'!$AX42&gt;=SUM('2024年-挂账付款'!O42:$AH42),'2024年-挂账付款'!O42,IF('2024年-挂账付款'!$AX42-SUM('2024年-挂账付款'!P42:$AH42)&gt;0,'2024年-挂账付款'!$AX42-SUM('2024年-挂账付款'!P42:$AH42),0))</f>
        <v>0</v>
      </c>
      <c r="S42" s="128">
        <f>IF('2024年-挂账付款'!$AX42&gt;=SUM('2024年-挂账付款'!P42:$AH42),'2024年-挂账付款'!P42,IF('2024年-挂账付款'!$AX42-SUM('2024年-挂账付款'!Q42:$AH42)&gt;0,'2024年-挂账付款'!$AX42-SUM('2024年-挂账付款'!Q42:$AH42),0))</f>
        <v>0</v>
      </c>
      <c r="T42" s="128">
        <f>IF('2024年-挂账付款'!$AX42&gt;=SUM('2024年-挂账付款'!Q42:$AH42),'2024年-挂账付款'!Q42,IF('2024年-挂账付款'!$AX42-SUM('2024年-挂账付款'!R42:$AH42)&gt;0,'2024年-挂账付款'!$AX42-SUM('2024年-挂账付款'!R42:$AH42),0))</f>
        <v>16159</v>
      </c>
      <c r="U42" s="128">
        <f>IF('2024年-挂账付款'!$AX42&gt;=SUM('2024年-挂账付款'!R42:$AH42),'2024年-挂账付款'!R42,IF('2024年-挂账付款'!$AX42-SUM('2024年-挂账付款'!S42:$AH42)&gt;0,'2024年-挂账付款'!$AX42-SUM('2024年-挂账付款'!S42:$AH42),0))</f>
        <v>0</v>
      </c>
      <c r="V42" s="128">
        <f>IF('2024年-挂账付款'!$AX42&gt;=SUM('2024年-挂账付款'!S42:$AH42),'2024年-挂账付款'!S42,IF('2024年-挂账付款'!$AX42-SUM('2024年-挂账付款'!T42:$AH42)&gt;0,'2024年-挂账付款'!$AX42-SUM('2024年-挂账付款'!T42:$AH42),0))</f>
        <v>0</v>
      </c>
      <c r="W42" s="128">
        <f>IF('2024年-挂账付款'!$AX42&gt;=SUM('2024年-挂账付款'!T42:$AH42),'2024年-挂账付款'!T42,IF('2024年-挂账付款'!$AX42-SUM('2024年-挂账付款'!U42:$AH42)&gt;0,'2024年-挂账付款'!$AX42-SUM('2024年-挂账付款'!U42:$AH42),0))</f>
        <v>14690</v>
      </c>
      <c r="X42" s="128">
        <f>IF('2024年-挂账付款'!$AX42&gt;=SUM('2024年-挂账付款'!U42:$AH42),'2024年-挂账付款'!U42,IF('2024年-挂账付款'!$AX42-SUM('2024年-挂账付款'!V42:$AH42)&gt;0,'2024年-挂账付款'!$AX42-SUM('2024年-挂账付款'!V42:$AH42),0))</f>
        <v>0</v>
      </c>
      <c r="Y42" s="128">
        <f>IF('2024年-挂账付款'!$AX42&gt;=SUM('2024年-挂账付款'!V42:$AH42),'2024年-挂账付款'!V42,IF('2024年-挂账付款'!$AX42-SUM('2024年-挂账付款'!W42:$AH42)&gt;0,'2024年-挂账付款'!$AX42-SUM('2024年-挂账付款'!W42:$AH42),0))</f>
        <v>0</v>
      </c>
      <c r="Z42" s="128">
        <f>IF('2024年-挂账付款'!$AX42&gt;=SUM('2024年-挂账付款'!W42:$AH42),'2024年-挂账付款'!W42,IF('2024年-挂账付款'!$AX42-SUM('2024年-挂账付款'!X42:$AH42)&gt;0,'2024年-挂账付款'!$AX42-SUM('2024年-挂账付款'!X42:$AH42),0))</f>
        <v>14690</v>
      </c>
      <c r="AA42" s="167">
        <f>IF('2024年-挂账付款'!$AX42&gt;=SUM('2024年-挂账付款'!X42:$AH42),'2024年-挂账付款'!X42,IF('2024年-挂账付款'!$AX42-SUM('2024年-挂账付款'!Y42:$AH42)&gt;0,'2024年-挂账付款'!$AX42-SUM('2024年-挂账付款'!Y42:$AH42),0))</f>
        <v>0</v>
      </c>
      <c r="AB42" s="128">
        <f>IF('2024年-挂账付款'!$AX42&gt;=SUM('2024年-挂账付款'!Y42:$AH42),'2024年-挂账付款'!Y42,IF('2024年-挂账付款'!$AX42-SUM('2024年-挂账付款'!Z42:$AH42)&gt;0,'2024年-挂账付款'!$AX42-SUM('2024年-挂账付款'!Z42:$AH42),0))</f>
        <v>0</v>
      </c>
      <c r="AC42" s="128">
        <f>IF('2024年-挂账付款'!$AX42&gt;=SUM('2024年-挂账付款'!Z42:$AH42),'2024年-挂账付款'!Z42,IF('2024年-挂账付款'!$AX42-SUM('2024年-挂账付款'!AA42:$AH42)&gt;0,'2024年-挂账付款'!$AX42-SUM('2024年-挂账付款'!AA42:$AH42),0))</f>
        <v>0</v>
      </c>
      <c r="AD42" s="128">
        <f>IF('2024年-挂账付款'!$AX42&gt;=SUM('2024年-挂账付款'!AA42:$AH42),'2024年-挂账付款'!AA42,IF('2024年-挂账付款'!$AX42-SUM('2024年-挂账付款'!AB42:$AH42)&gt;0,'2024年-挂账付款'!$AX42-SUM('2024年-挂账付款'!AB42:$AH42),0))</f>
        <v>0</v>
      </c>
      <c r="AE42" s="128">
        <f>IF('2024年-挂账付款'!$AX42&gt;=SUM('2024年-挂账付款'!AB42:$AH42),'2024年-挂账付款'!AB42,IF('2024年-挂账付款'!$AX42-SUM('2024年-挂账付款'!AC42:$AH42)&gt;0,'2024年-挂账付款'!$AX42-SUM('2024年-挂账付款'!AC42:$AH42),0))</f>
        <v>0</v>
      </c>
      <c r="AF42" s="128">
        <f>IF('2024年-挂账付款'!$AX42&gt;=SUM('2024年-挂账付款'!AC42:$AH42),'2024年-挂账付款'!AC42,IF('2024年-挂账付款'!$AX42-SUM('2024年-挂账付款'!AD42:$AH42)&gt;0,'2024年-挂账付款'!$AX42-SUM('2024年-挂账付款'!AD42:$AH42),0))</f>
        <v>0</v>
      </c>
      <c r="AG42" s="128">
        <f>IF('2024年-挂账付款'!$AX42&gt;=SUM('2024年-挂账付款'!AD42:$AH42),'2024年-挂账付款'!AD42,IF('2024年-挂账付款'!$AX42-SUM('2024年-挂账付款'!AE42:$AH42)&gt;0,'2024年-挂账付款'!$AX42-SUM('2024年-挂账付款'!AE42:$AH42),0))</f>
        <v>0</v>
      </c>
      <c r="AH42" s="128">
        <f>IF('2024年-挂账付款'!$AX42&gt;=SUM('2024年-挂账付款'!AE42:$AH42),'2024年-挂账付款'!AE42,IF('2024年-挂账付款'!$AX42-SUM('2024年-挂账付款'!AF42:$AH42)&gt;0,'2024年-挂账付款'!$AX42-SUM('2024年-挂账付款'!AF42:$AH42),0))</f>
        <v>0</v>
      </c>
      <c r="AI42" s="128">
        <f>IF('2024年-挂账付款'!$AX42&gt;=SUM('2024年-挂账付款'!AF42:$AH42),'2024年-挂账付款'!AF42,IF('2024年-挂账付款'!$AX42-SUM('2024年-挂账付款'!AG42:$AH42)&gt;0,'2024年-挂账付款'!$AX42-SUM('2024年-挂账付款'!AG42:$AH42),0))</f>
        <v>0</v>
      </c>
      <c r="AJ42" s="128">
        <f>IF('2024年-挂账付款'!$AX42&gt;=SUM('2024年-挂账付款'!AG42:$AH42),'2024年-挂账付款'!AG42,IF('2024年-挂账付款'!$AX42-SUM('2024年-挂账付款'!AH42:$AH42)&gt;0,'2024年-挂账付款'!$AX42-SUM('2024年-挂账付款'!AH42:$AH42),0))</f>
        <v>0</v>
      </c>
      <c r="AK42" s="128">
        <f>IF('2024年-挂账付款'!$AX42&gt;=SUM('2024年-挂账付款'!AH42:$AH42),'2024年-挂账付款'!AH42,IF('2024年-挂账付款'!$AX42-SUM('2024年-挂账付款'!$AH42:AI42)&gt;0,'2024年-挂账付款'!$AX42-SUM('2024年-挂账付款'!$AH42:AI42),0))</f>
        <v>0</v>
      </c>
      <c r="AL42" s="182" t="s">
        <v>428</v>
      </c>
      <c r="AM42" s="183"/>
      <c r="AN42" s="176">
        <f t="shared" si="5"/>
        <v>3917.33333333333</v>
      </c>
      <c r="AO42" s="203">
        <v>10000</v>
      </c>
      <c r="AP42" s="204"/>
      <c r="AQ42" s="205"/>
      <c r="AR42" s="206">
        <v>20000</v>
      </c>
    </row>
    <row r="43" s="107" customFormat="1" ht="18" customHeight="1" spans="1:44">
      <c r="A43" s="143"/>
      <c r="B43" s="144" t="s">
        <v>81</v>
      </c>
      <c r="C43" s="145" t="s">
        <v>326</v>
      </c>
      <c r="D43" s="145" t="s">
        <v>327</v>
      </c>
      <c r="E43" s="146">
        <v>90</v>
      </c>
      <c r="F43" s="126">
        <f t="shared" si="3"/>
        <v>137012.09</v>
      </c>
      <c r="G43" s="127">
        <f t="shared" si="4"/>
        <v>137012.09</v>
      </c>
      <c r="H43" s="128">
        <f>IF('2024年-挂账付款'!$AX43&gt;=SUM('2024年-挂账付款'!E43:$AH43),'2024年-挂账付款'!E43,IF('2024年-挂账付款'!$AX43-SUM('2024年-挂账付款'!F43:$AH43)&gt;0,'2024年-挂账付款'!$AX43-SUM('2024年-挂账付款'!F43:$AH43),0))</f>
        <v>0</v>
      </c>
      <c r="I43" s="128">
        <f>IF('2024年-挂账付款'!$AX43&gt;=SUM('2024年-挂账付款'!F43:$AH43),'2024年-挂账付款'!F43,IF('2024年-挂账付款'!$AX43-SUM('2024年-挂账付款'!G43:$AH43)&gt;0,'2024年-挂账付款'!$AX43-SUM('2024年-挂账付款'!G43:$AH43),0))</f>
        <v>0</v>
      </c>
      <c r="J43" s="128">
        <f>IF('2024年-挂账付款'!$AX43&gt;=SUM('2024年-挂账付款'!G43:$AH43),'2024年-挂账付款'!G43,IF('2024年-挂账付款'!$AX43-SUM('2024年-挂账付款'!H43:$AH43)&gt;0,'2024年-挂账付款'!$AX43-SUM('2024年-挂账付款'!H43:$AH43),0))</f>
        <v>0</v>
      </c>
      <c r="K43" s="128">
        <f>IF('2024年-挂账付款'!$AX43&gt;=SUM('2024年-挂账付款'!H43:$AH43),'2024年-挂账付款'!H43,IF('2024年-挂账付款'!$AX43-SUM('2024年-挂账付款'!I43:$AH43)&gt;0,'2024年-挂账付款'!$AX43-SUM('2024年-挂账付款'!I43:$AH43),0))</f>
        <v>0</v>
      </c>
      <c r="L43" s="128">
        <f>IF('2024年-挂账付款'!$AX43&gt;=SUM('2024年-挂账付款'!I43:$AH43),'2024年-挂账付款'!I43,IF('2024年-挂账付款'!$AX43-SUM('2024年-挂账付款'!J43:$AH43)&gt;0,'2024年-挂账付款'!$AX43-SUM('2024年-挂账付款'!J43:$AH43),0))</f>
        <v>0</v>
      </c>
      <c r="M43" s="128" t="str">
        <f>IF('2024年-挂账付款'!$AX43&gt;=SUM('2024年-挂账付款'!J43:$AH43),'2024年-挂账付款'!J43,IF('2024年-挂账付款'!$AX43-SUM('2024年-挂账付款'!K43:$AH43)&gt;0,'2024年-挂账付款'!$AX43-SUM('2024年-挂账付款'!K43:$AH43),0))</f>
        <v/>
      </c>
      <c r="N43" s="128">
        <f>IF('2024年-挂账付款'!$AX43&gt;=SUM('2024年-挂账付款'!K43:$AH43),'2024年-挂账付款'!K43,IF('2024年-挂账付款'!$AX43-SUM('2024年-挂账付款'!L43:$AH43)&gt;0,'2024年-挂账付款'!$AX43-SUM('2024年-挂账付款'!L43:$AH43),0))</f>
        <v>0</v>
      </c>
      <c r="O43" s="128">
        <f>IF('2024年-挂账付款'!$AX43&gt;=SUM('2024年-挂账付款'!L43:$AH43),'2024年-挂账付款'!L43,IF('2024年-挂账付款'!$AX43-SUM('2024年-挂账付款'!M43:$AH43)&gt;0,'2024年-挂账付款'!$AX43-SUM('2024年-挂账付款'!M43:$AH43),0))</f>
        <v>0</v>
      </c>
      <c r="P43" s="128">
        <f>IF('2024年-挂账付款'!$AX43&gt;=SUM('2024年-挂账付款'!M43:$AH43),'2024年-挂账付款'!M43,IF('2024年-挂账付款'!$AX43-SUM('2024年-挂账付款'!N43:$AH43)&gt;0,'2024年-挂账付款'!$AX43-SUM('2024年-挂账付款'!N43:$AH43),0))</f>
        <v>55514.15</v>
      </c>
      <c r="Q43" s="128">
        <f>IF('2024年-挂账付款'!$AX43&gt;=SUM('2024年-挂账付款'!N43:$AH43),'2024年-挂账付款'!N43,IF('2024年-挂账付款'!$AX43-SUM('2024年-挂账付款'!O43:$AH43)&gt;0,'2024年-挂账付款'!$AX43-SUM('2024年-挂账付款'!O43:$AH43),0))</f>
        <v>0</v>
      </c>
      <c r="R43" s="128">
        <f>IF('2024年-挂账付款'!$AX43&gt;=SUM('2024年-挂账付款'!O43:$AH43),'2024年-挂账付款'!O43,IF('2024年-挂账付款'!$AX43-SUM('2024年-挂账付款'!P43:$AH43)&gt;0,'2024年-挂账付款'!$AX43-SUM('2024年-挂账付款'!P43:$AH43),0))</f>
        <v>0</v>
      </c>
      <c r="S43" s="128">
        <f>IF('2024年-挂账付款'!$AX43&gt;=SUM('2024年-挂账付款'!P43:$AH43),'2024年-挂账付款'!P43,IF('2024年-挂账付款'!$AX43-SUM('2024年-挂账付款'!Q43:$AH43)&gt;0,'2024年-挂账付款'!$AX43-SUM('2024年-挂账付款'!Q43:$AH43),0))</f>
        <v>0</v>
      </c>
      <c r="T43" s="128">
        <f>IF('2024年-挂账付款'!$AX43&gt;=SUM('2024年-挂账付款'!Q43:$AH43),'2024年-挂账付款'!Q43,IF('2024年-挂账付款'!$AX43-SUM('2024年-挂账付款'!R43:$AH43)&gt;0,'2024年-挂账付款'!$AX43-SUM('2024年-挂账付款'!R43:$AH43),0))</f>
        <v>0</v>
      </c>
      <c r="U43" s="128">
        <f>IF('2024年-挂账付款'!$AX43&gt;=SUM('2024年-挂账付款'!R43:$AH43),'2024年-挂账付款'!R43,IF('2024年-挂账付款'!$AX43-SUM('2024年-挂账付款'!S43:$AH43)&gt;0,'2024年-挂账付款'!$AX43-SUM('2024年-挂账付款'!S43:$AH43),0))</f>
        <v>11277.08</v>
      </c>
      <c r="V43" s="128">
        <f>IF('2024年-挂账付款'!$AX43&gt;=SUM('2024年-挂账付款'!S43:$AH43),'2024年-挂账付款'!S43,IF('2024年-挂账付款'!$AX43-SUM('2024年-挂账付款'!T43:$AH43)&gt;0,'2024年-挂账付款'!$AX43-SUM('2024年-挂账付款'!T43:$AH43),0))</f>
        <v>39678.9</v>
      </c>
      <c r="W43" s="128">
        <f>IF('2024年-挂账付款'!$AX43&gt;=SUM('2024年-挂账付款'!T43:$AH43),'2024年-挂账付款'!T43,IF('2024年-挂账付款'!$AX43-SUM('2024年-挂账付款'!U43:$AH43)&gt;0,'2024年-挂账付款'!$AX43-SUM('2024年-挂账付款'!U43:$AH43),0))</f>
        <v>16353.01</v>
      </c>
      <c r="X43" s="128">
        <f>IF('2024年-挂账付款'!$AX43&gt;=SUM('2024年-挂账付款'!U43:$AH43),'2024年-挂账付款'!U43,IF('2024年-挂账付款'!$AX43-SUM('2024年-挂账付款'!V43:$AH43)&gt;0,'2024年-挂账付款'!$AX43-SUM('2024年-挂账付款'!V43:$AH43),0))</f>
        <v>6402.02</v>
      </c>
      <c r="Y43" s="128">
        <f>IF('2024年-挂账付款'!$AX43&gt;=SUM('2024年-挂账付款'!V43:$AH43),'2024年-挂账付款'!V43,IF('2024年-挂账付款'!$AX43-SUM('2024年-挂账付款'!W43:$AH43)&gt;0,'2024年-挂账付款'!$AX43-SUM('2024年-挂账付款'!W43:$AH43),0))</f>
        <v>7786.93</v>
      </c>
      <c r="Z43" s="128">
        <f>IF('2024年-挂账付款'!$AX43&gt;=SUM('2024年-挂账付款'!W43:$AH43),'2024年-挂账付款'!W43,IF('2024年-挂账付款'!$AX43-SUM('2024年-挂账付款'!X43:$AH43)&gt;0,'2024年-挂账付款'!$AX43-SUM('2024年-挂账付款'!X43:$AH43),0))</f>
        <v>0</v>
      </c>
      <c r="AA43" s="167">
        <f>IF('2024年-挂账付款'!$AX43&gt;=SUM('2024年-挂账付款'!X43:$AH43),'2024年-挂账付款'!X43,IF('2024年-挂账付款'!$AX43-SUM('2024年-挂账付款'!Y43:$AH43)&gt;0,'2024年-挂账付款'!$AX43-SUM('2024年-挂账付款'!Y43:$AH43),0))</f>
        <v>0</v>
      </c>
      <c r="AB43" s="128">
        <f>IF('2024年-挂账付款'!$AX43&gt;=SUM('2024年-挂账付款'!Y43:$AH43),'2024年-挂账付款'!Y43,IF('2024年-挂账付款'!$AX43-SUM('2024年-挂账付款'!Z43:$AH43)&gt;0,'2024年-挂账付款'!$AX43-SUM('2024年-挂账付款'!Z43:$AH43),0))</f>
        <v>0</v>
      </c>
      <c r="AC43" s="128">
        <f>IF('2024年-挂账付款'!$AX43&gt;=SUM('2024年-挂账付款'!Z43:$AH43),'2024年-挂账付款'!Z43,IF('2024年-挂账付款'!$AX43-SUM('2024年-挂账付款'!AA43:$AH43)&gt;0,'2024年-挂账付款'!$AX43-SUM('2024年-挂账付款'!AA43:$AH43),0))</f>
        <v>0</v>
      </c>
      <c r="AD43" s="128">
        <f>IF('2024年-挂账付款'!$AX43&gt;=SUM('2024年-挂账付款'!AA43:$AH43),'2024年-挂账付款'!AA43,IF('2024年-挂账付款'!$AX43-SUM('2024年-挂账付款'!AB43:$AH43)&gt;0,'2024年-挂账付款'!$AX43-SUM('2024年-挂账付款'!AB43:$AH43),0))</f>
        <v>0</v>
      </c>
      <c r="AE43" s="128">
        <f>IF('2024年-挂账付款'!$AX43&gt;=SUM('2024年-挂账付款'!AB43:$AH43),'2024年-挂账付款'!AB43,IF('2024年-挂账付款'!$AX43-SUM('2024年-挂账付款'!AC43:$AH43)&gt;0,'2024年-挂账付款'!$AX43-SUM('2024年-挂账付款'!AC43:$AH43),0))</f>
        <v>0</v>
      </c>
      <c r="AF43" s="128">
        <f>IF('2024年-挂账付款'!$AX43&gt;=SUM('2024年-挂账付款'!AC43:$AH43),'2024年-挂账付款'!AC43,IF('2024年-挂账付款'!$AX43-SUM('2024年-挂账付款'!AD43:$AH43)&gt;0,'2024年-挂账付款'!$AX43-SUM('2024年-挂账付款'!AD43:$AH43),0))</f>
        <v>0</v>
      </c>
      <c r="AG43" s="128">
        <f>IF('2024年-挂账付款'!$AX43&gt;=SUM('2024年-挂账付款'!AD43:$AH43),'2024年-挂账付款'!AD43,IF('2024年-挂账付款'!$AX43-SUM('2024年-挂账付款'!AE43:$AH43)&gt;0,'2024年-挂账付款'!$AX43-SUM('2024年-挂账付款'!AE43:$AH43),0))</f>
        <v>0</v>
      </c>
      <c r="AH43" s="128">
        <f>IF('2024年-挂账付款'!$AX43&gt;=SUM('2024年-挂账付款'!AE43:$AH43),'2024年-挂账付款'!AE43,IF('2024年-挂账付款'!$AX43-SUM('2024年-挂账付款'!AF43:$AH43)&gt;0,'2024年-挂账付款'!$AX43-SUM('2024年-挂账付款'!AF43:$AH43),0))</f>
        <v>0</v>
      </c>
      <c r="AI43" s="128">
        <f>IF('2024年-挂账付款'!$AX43&gt;=SUM('2024年-挂账付款'!AF43:$AH43),'2024年-挂账付款'!AF43,IF('2024年-挂账付款'!$AX43-SUM('2024年-挂账付款'!AG43:$AH43)&gt;0,'2024年-挂账付款'!$AX43-SUM('2024年-挂账付款'!AG43:$AH43),0))</f>
        <v>0</v>
      </c>
      <c r="AJ43" s="128">
        <f>IF('2024年-挂账付款'!$AX43&gt;=SUM('2024年-挂账付款'!AG43:$AH43),'2024年-挂账付款'!AG43,IF('2024年-挂账付款'!$AX43-SUM('2024年-挂账付款'!AH43:$AH43)&gt;0,'2024年-挂账付款'!$AX43-SUM('2024年-挂账付款'!AH43:$AH43),0))</f>
        <v>0</v>
      </c>
      <c r="AK43" s="128">
        <f>IF('2024年-挂账付款'!$AX43&gt;=SUM('2024年-挂账付款'!AH43:$AH43),'2024年-挂账付款'!AH43,IF('2024年-挂账付款'!$AX43-SUM('2024年-挂账付款'!$AH43:AI43)&gt;0,'2024年-挂账付款'!$AX43-SUM('2024年-挂账付款'!$AH43:AI43),0))</f>
        <v>0</v>
      </c>
      <c r="AL43" s="187" t="s">
        <v>428</v>
      </c>
      <c r="AM43" s="188"/>
      <c r="AN43" s="176">
        <f t="shared" si="5"/>
        <v>10866.392</v>
      </c>
      <c r="AO43" s="209"/>
      <c r="AP43" s="204"/>
      <c r="AQ43" s="205"/>
      <c r="AR43" s="206"/>
    </row>
    <row r="44" s="107" customFormat="1" ht="18" customHeight="1" spans="1:44">
      <c r="A44" s="122"/>
      <c r="B44" s="129" t="s">
        <v>81</v>
      </c>
      <c r="C44" s="130" t="s">
        <v>438</v>
      </c>
      <c r="D44" s="130" t="s">
        <v>331</v>
      </c>
      <c r="E44" s="125">
        <v>90</v>
      </c>
      <c r="F44" s="126">
        <f t="shared" si="3"/>
        <v>1500.64</v>
      </c>
      <c r="G44" s="127">
        <f t="shared" si="4"/>
        <v>1500.64</v>
      </c>
      <c r="H44" s="128">
        <f>IF('2024年-挂账付款'!$AX44&gt;=SUM('2024年-挂账付款'!E44:$AH44),'2024年-挂账付款'!E44,IF('2024年-挂账付款'!$AX44-SUM('2024年-挂账付款'!F44:$AH44)&gt;0,'2024年-挂账付款'!$AX44-SUM('2024年-挂账付款'!F44:$AH44),0))</f>
        <v>0</v>
      </c>
      <c r="I44" s="128">
        <f>IF('2024年-挂账付款'!$AX44&gt;=SUM('2024年-挂账付款'!F44:$AH44),'2024年-挂账付款'!F44,IF('2024年-挂账付款'!$AX44-SUM('2024年-挂账付款'!G44:$AH44)&gt;0,'2024年-挂账付款'!$AX44-SUM('2024年-挂账付款'!G44:$AH44),0))</f>
        <v>0</v>
      </c>
      <c r="J44" s="128">
        <f>IF('2024年-挂账付款'!$AX44&gt;=SUM('2024年-挂账付款'!G44:$AH44),'2024年-挂账付款'!G44,IF('2024年-挂账付款'!$AX44-SUM('2024年-挂账付款'!H44:$AH44)&gt;0,'2024年-挂账付款'!$AX44-SUM('2024年-挂账付款'!H44:$AH44),0))</f>
        <v>0</v>
      </c>
      <c r="K44" s="128">
        <f>IF('2024年-挂账付款'!$AX44&gt;=SUM('2024年-挂账付款'!H44:$AH44),'2024年-挂账付款'!H44,IF('2024年-挂账付款'!$AX44-SUM('2024年-挂账付款'!I44:$AH44)&gt;0,'2024年-挂账付款'!$AX44-SUM('2024年-挂账付款'!I44:$AH44),0))</f>
        <v>0</v>
      </c>
      <c r="L44" s="128">
        <f>IF('2024年-挂账付款'!$AX44&gt;=SUM('2024年-挂账付款'!I44:$AH44),'2024年-挂账付款'!I44,IF('2024年-挂账付款'!$AX44-SUM('2024年-挂账付款'!J44:$AH44)&gt;0,'2024年-挂账付款'!$AX44-SUM('2024年-挂账付款'!J44:$AH44),0))</f>
        <v>0</v>
      </c>
      <c r="M44" s="128" t="str">
        <f>IF('2024年-挂账付款'!$AX44&gt;=SUM('2024年-挂账付款'!J44:$AH44),'2024年-挂账付款'!J44,IF('2024年-挂账付款'!$AX44-SUM('2024年-挂账付款'!K44:$AH44)&gt;0,'2024年-挂账付款'!$AX44-SUM('2024年-挂账付款'!K44:$AH44),0))</f>
        <v/>
      </c>
      <c r="N44" s="128">
        <f>IF('2024年-挂账付款'!$AX44&gt;=SUM('2024年-挂账付款'!K44:$AH44),'2024年-挂账付款'!K44,IF('2024年-挂账付款'!$AX44-SUM('2024年-挂账付款'!L44:$AH44)&gt;0,'2024年-挂账付款'!$AX44-SUM('2024年-挂账付款'!L44:$AH44),0))</f>
        <v>0</v>
      </c>
      <c r="O44" s="128">
        <f>IF('2024年-挂账付款'!$AX44&gt;=SUM('2024年-挂账付款'!L44:$AH44),'2024年-挂账付款'!L44,IF('2024年-挂账付款'!$AX44-SUM('2024年-挂账付款'!M44:$AH44)&gt;0,'2024年-挂账付款'!$AX44-SUM('2024年-挂账付款'!M44:$AH44),0))</f>
        <v>0</v>
      </c>
      <c r="P44" s="128">
        <f>IF('2024年-挂账付款'!$AX44&gt;=SUM('2024年-挂账付款'!M44:$AH44),'2024年-挂账付款'!M44,IF('2024年-挂账付款'!$AX44-SUM('2024年-挂账付款'!N44:$AH44)&gt;0,'2024年-挂账付款'!$AX44-SUM('2024年-挂账付款'!N44:$AH44),0))</f>
        <v>0</v>
      </c>
      <c r="Q44" s="128">
        <f>IF('2024年-挂账付款'!$AX44&gt;=SUM('2024年-挂账付款'!N44:$AH44),'2024年-挂账付款'!N44,IF('2024年-挂账付款'!$AX44-SUM('2024年-挂账付款'!O44:$AH44)&gt;0,'2024年-挂账付款'!$AX44-SUM('2024年-挂账付款'!O44:$AH44),0))</f>
        <v>0</v>
      </c>
      <c r="R44" s="128">
        <f>IF('2024年-挂账付款'!$AX44&gt;=SUM('2024年-挂账付款'!O44:$AH44),'2024年-挂账付款'!O44,IF('2024年-挂账付款'!$AX44-SUM('2024年-挂账付款'!P44:$AH44)&gt;0,'2024年-挂账付款'!$AX44-SUM('2024年-挂账付款'!P44:$AH44),0))</f>
        <v>0</v>
      </c>
      <c r="S44" s="128">
        <f>IF('2024年-挂账付款'!$AX44&gt;=SUM('2024年-挂账付款'!P44:$AH44),'2024年-挂账付款'!P44,IF('2024年-挂账付款'!$AX44-SUM('2024年-挂账付款'!Q44:$AH44)&gt;0,'2024年-挂账付款'!$AX44-SUM('2024年-挂账付款'!Q44:$AH44),0))</f>
        <v>0</v>
      </c>
      <c r="T44" s="128">
        <f>IF('2024年-挂账付款'!$AX44&gt;=SUM('2024年-挂账付款'!Q44:$AH44),'2024年-挂账付款'!Q44,IF('2024年-挂账付款'!$AX44-SUM('2024年-挂账付款'!R44:$AH44)&gt;0,'2024年-挂账付款'!$AX44-SUM('2024年-挂账付款'!R44:$AH44),0))</f>
        <v>0</v>
      </c>
      <c r="U44" s="128">
        <f>IF('2024年-挂账付款'!$AX44&gt;=SUM('2024年-挂账付款'!R44:$AH44),'2024年-挂账付款'!R44,IF('2024年-挂账付款'!$AX44-SUM('2024年-挂账付款'!S44:$AH44)&gt;0,'2024年-挂账付款'!$AX44-SUM('2024年-挂账付款'!S44:$AH44),0))</f>
        <v>0</v>
      </c>
      <c r="V44" s="128">
        <f>IF('2024年-挂账付款'!$AX44&gt;=SUM('2024年-挂账付款'!S44:$AH44),'2024年-挂账付款'!S44,IF('2024年-挂账付款'!$AX44-SUM('2024年-挂账付款'!T44:$AH44)&gt;0,'2024年-挂账付款'!$AX44-SUM('2024年-挂账付款'!T44:$AH44),0))</f>
        <v>1500.64</v>
      </c>
      <c r="W44" s="128">
        <f>IF('2024年-挂账付款'!$AX44&gt;=SUM('2024年-挂账付款'!T44:$AH44),'2024年-挂账付款'!T44,IF('2024年-挂账付款'!$AX44-SUM('2024年-挂账付款'!U44:$AH44)&gt;0,'2024年-挂账付款'!$AX44-SUM('2024年-挂账付款'!U44:$AH44),0))</f>
        <v>0</v>
      </c>
      <c r="X44" s="128">
        <f>IF('2024年-挂账付款'!$AX44&gt;=SUM('2024年-挂账付款'!U44:$AH44),'2024年-挂账付款'!U44,IF('2024年-挂账付款'!$AX44-SUM('2024年-挂账付款'!V44:$AH44)&gt;0,'2024年-挂账付款'!$AX44-SUM('2024年-挂账付款'!V44:$AH44),0))</f>
        <v>0</v>
      </c>
      <c r="Y44" s="128">
        <f>IF('2024年-挂账付款'!$AX44&gt;=SUM('2024年-挂账付款'!V44:$AH44),'2024年-挂账付款'!V44,IF('2024年-挂账付款'!$AX44-SUM('2024年-挂账付款'!W44:$AH44)&gt;0,'2024年-挂账付款'!$AX44-SUM('2024年-挂账付款'!W44:$AH44),0))</f>
        <v>0</v>
      </c>
      <c r="Z44" s="128">
        <f>IF('2024年-挂账付款'!$AX44&gt;=SUM('2024年-挂账付款'!W44:$AH44),'2024年-挂账付款'!W44,IF('2024年-挂账付款'!$AX44-SUM('2024年-挂账付款'!X44:$AH44)&gt;0,'2024年-挂账付款'!$AX44-SUM('2024年-挂账付款'!X44:$AH44),0))</f>
        <v>0</v>
      </c>
      <c r="AA44" s="167">
        <f>IF('2024年-挂账付款'!$AX44&gt;=SUM('2024年-挂账付款'!X44:$AH44),'2024年-挂账付款'!X44,IF('2024年-挂账付款'!$AX44-SUM('2024年-挂账付款'!Y44:$AH44)&gt;0,'2024年-挂账付款'!$AX44-SUM('2024年-挂账付款'!Y44:$AH44),0))</f>
        <v>0</v>
      </c>
      <c r="AB44" s="128">
        <f>IF('2024年-挂账付款'!$AX44&gt;=SUM('2024年-挂账付款'!Y44:$AH44),'2024年-挂账付款'!Y44,IF('2024年-挂账付款'!$AX44-SUM('2024年-挂账付款'!Z44:$AH44)&gt;0,'2024年-挂账付款'!$AX44-SUM('2024年-挂账付款'!Z44:$AH44),0))</f>
        <v>0</v>
      </c>
      <c r="AC44" s="128">
        <f>IF('2024年-挂账付款'!$AX44&gt;=SUM('2024年-挂账付款'!Z44:$AH44),'2024年-挂账付款'!Z44,IF('2024年-挂账付款'!$AX44-SUM('2024年-挂账付款'!AA44:$AH44)&gt;0,'2024年-挂账付款'!$AX44-SUM('2024年-挂账付款'!AA44:$AH44),0))</f>
        <v>0</v>
      </c>
      <c r="AD44" s="128">
        <f>IF('2024年-挂账付款'!$AX44&gt;=SUM('2024年-挂账付款'!AA44:$AH44),'2024年-挂账付款'!AA44,IF('2024年-挂账付款'!$AX44-SUM('2024年-挂账付款'!AB44:$AH44)&gt;0,'2024年-挂账付款'!$AX44-SUM('2024年-挂账付款'!AB44:$AH44),0))</f>
        <v>0</v>
      </c>
      <c r="AE44" s="128">
        <f>IF('2024年-挂账付款'!$AX44&gt;=SUM('2024年-挂账付款'!AB44:$AH44),'2024年-挂账付款'!AB44,IF('2024年-挂账付款'!$AX44-SUM('2024年-挂账付款'!AC44:$AH44)&gt;0,'2024年-挂账付款'!$AX44-SUM('2024年-挂账付款'!AC44:$AH44),0))</f>
        <v>0</v>
      </c>
      <c r="AF44" s="128">
        <f>IF('2024年-挂账付款'!$AX44&gt;=SUM('2024年-挂账付款'!AC44:$AH44),'2024年-挂账付款'!AC44,IF('2024年-挂账付款'!$AX44-SUM('2024年-挂账付款'!AD44:$AH44)&gt;0,'2024年-挂账付款'!$AX44-SUM('2024年-挂账付款'!AD44:$AH44),0))</f>
        <v>0</v>
      </c>
      <c r="AG44" s="128">
        <f>IF('2024年-挂账付款'!$AX44&gt;=SUM('2024年-挂账付款'!AD44:$AH44),'2024年-挂账付款'!AD44,IF('2024年-挂账付款'!$AX44-SUM('2024年-挂账付款'!AE44:$AH44)&gt;0,'2024年-挂账付款'!$AX44-SUM('2024年-挂账付款'!AE44:$AH44),0))</f>
        <v>0</v>
      </c>
      <c r="AH44" s="128">
        <f>IF('2024年-挂账付款'!$AX44&gt;=SUM('2024年-挂账付款'!AE44:$AH44),'2024年-挂账付款'!AE44,IF('2024年-挂账付款'!$AX44-SUM('2024年-挂账付款'!AF44:$AH44)&gt;0,'2024年-挂账付款'!$AX44-SUM('2024年-挂账付款'!AF44:$AH44),0))</f>
        <v>0</v>
      </c>
      <c r="AI44" s="128">
        <f>IF('2024年-挂账付款'!$AX44&gt;=SUM('2024年-挂账付款'!AF44:$AH44),'2024年-挂账付款'!AF44,IF('2024年-挂账付款'!$AX44-SUM('2024年-挂账付款'!AG44:$AH44)&gt;0,'2024年-挂账付款'!$AX44-SUM('2024年-挂账付款'!AG44:$AH44),0))</f>
        <v>0</v>
      </c>
      <c r="AJ44" s="128">
        <f>IF('2024年-挂账付款'!$AX44&gt;=SUM('2024年-挂账付款'!AG44:$AH44),'2024年-挂账付款'!AG44,IF('2024年-挂账付款'!$AX44-SUM('2024年-挂账付款'!AH44:$AH44)&gt;0,'2024年-挂账付款'!$AX44-SUM('2024年-挂账付款'!AH44:$AH44),0))</f>
        <v>0</v>
      </c>
      <c r="AK44" s="128">
        <f>IF('2024年-挂账付款'!$AX44&gt;=SUM('2024年-挂账付款'!AH44:$AH44),'2024年-挂账付款'!AH44,IF('2024年-挂账付款'!$AX44-SUM('2024年-挂账付款'!$AH44:AI44)&gt;0,'2024年-挂账付款'!$AX44-SUM('2024年-挂账付款'!$AH44:AI44),0))</f>
        <v>0</v>
      </c>
      <c r="AL44" s="182" t="s">
        <v>428</v>
      </c>
      <c r="AM44" s="183"/>
      <c r="AN44" s="176">
        <f t="shared" si="5"/>
        <v>200.085333333333</v>
      </c>
      <c r="AO44" s="203">
        <f>F44</f>
        <v>1500.64</v>
      </c>
      <c r="AP44" s="204"/>
      <c r="AQ44" s="205"/>
      <c r="AR44" s="206">
        <v>1500.64</v>
      </c>
    </row>
    <row r="45" s="107" customFormat="1" ht="18" customHeight="1" spans="1:44">
      <c r="A45" s="122"/>
      <c r="B45" s="129" t="s">
        <v>81</v>
      </c>
      <c r="C45" s="130" t="s">
        <v>124</v>
      </c>
      <c r="D45" s="130" t="s">
        <v>125</v>
      </c>
      <c r="E45" s="125">
        <v>90</v>
      </c>
      <c r="F45" s="126">
        <f t="shared" si="3"/>
        <v>43378.44</v>
      </c>
      <c r="G45" s="127">
        <f t="shared" si="4"/>
        <v>43378.44</v>
      </c>
      <c r="H45" s="128">
        <f>IF('2024年-挂账付款'!$AX45&gt;=SUM('2024年-挂账付款'!E45:$AH45),'2024年-挂账付款'!E45,IF('2024年-挂账付款'!$AX45-SUM('2024年-挂账付款'!F45:$AH45)&gt;0,'2024年-挂账付款'!$AX45-SUM('2024年-挂账付款'!F45:$AH45),0))</f>
        <v>33981.36</v>
      </c>
      <c r="I45" s="128">
        <f>IF('2024年-挂账付款'!$AX45&gt;=SUM('2024年-挂账付款'!F45:$AH45),'2024年-挂账付款'!F45,IF('2024年-挂账付款'!$AX45-SUM('2024年-挂账付款'!G45:$AH45)&gt;0,'2024年-挂账付款'!$AX45-SUM('2024年-挂账付款'!G45:$AH45),0))</f>
        <v>5410.44</v>
      </c>
      <c r="J45" s="128">
        <f>IF('2024年-挂账付款'!$AX45&gt;=SUM('2024年-挂账付款'!G45:$AH45),'2024年-挂账付款'!G45,IF('2024年-挂账付款'!$AX45-SUM('2024年-挂账付款'!H45:$AH45)&gt;0,'2024年-挂账付款'!$AX45-SUM('2024年-挂账付款'!H45:$AH45),0))</f>
        <v>3986.64</v>
      </c>
      <c r="K45" s="128">
        <f>IF('2024年-挂账付款'!$AX45&gt;=SUM('2024年-挂账付款'!H45:$AH45),'2024年-挂账付款'!H45,IF('2024年-挂账付款'!$AX45-SUM('2024年-挂账付款'!I45:$AH45)&gt;0,'2024年-挂账付款'!$AX45-SUM('2024年-挂账付款'!I45:$AH45),0))</f>
        <v>0</v>
      </c>
      <c r="L45" s="128">
        <f>IF('2024年-挂账付款'!$AX45&gt;=SUM('2024年-挂账付款'!I45:$AH45),'2024年-挂账付款'!I45,IF('2024年-挂账付款'!$AX45-SUM('2024年-挂账付款'!J45:$AH45)&gt;0,'2024年-挂账付款'!$AX45-SUM('2024年-挂账付款'!J45:$AH45),0))</f>
        <v>0</v>
      </c>
      <c r="M45" s="128">
        <f>IF('2024年-挂账付款'!$AX45&gt;=SUM('2024年-挂账付款'!J45:$AH45),'2024年-挂账付款'!J45,IF('2024年-挂账付款'!$AX45-SUM('2024年-挂账付款'!K45:$AH45)&gt;0,'2024年-挂账付款'!$AX45-SUM('2024年-挂账付款'!K45:$AH45),0))</f>
        <v>0</v>
      </c>
      <c r="N45" s="128">
        <f>IF('2024年-挂账付款'!$AX45&gt;=SUM('2024年-挂账付款'!K45:$AH45),'2024年-挂账付款'!K45,IF('2024年-挂账付款'!$AX45-SUM('2024年-挂账付款'!L45:$AH45)&gt;0,'2024年-挂账付款'!$AX45-SUM('2024年-挂账付款'!L45:$AH45),0))</f>
        <v>0</v>
      </c>
      <c r="O45" s="128">
        <f>IF('2024年-挂账付款'!$AX45&gt;=SUM('2024年-挂账付款'!L45:$AH45),'2024年-挂账付款'!L45,IF('2024年-挂账付款'!$AX45-SUM('2024年-挂账付款'!M45:$AH45)&gt;0,'2024年-挂账付款'!$AX45-SUM('2024年-挂账付款'!M45:$AH45),0))</f>
        <v>0</v>
      </c>
      <c r="P45" s="128">
        <f>IF('2024年-挂账付款'!$AX45&gt;=SUM('2024年-挂账付款'!M45:$AH45),'2024年-挂账付款'!M45,IF('2024年-挂账付款'!$AX45-SUM('2024年-挂账付款'!N45:$AH45)&gt;0,'2024年-挂账付款'!$AX45-SUM('2024年-挂账付款'!N45:$AH45),0))</f>
        <v>0</v>
      </c>
      <c r="Q45" s="128">
        <f>IF('2024年-挂账付款'!$AX45&gt;=SUM('2024年-挂账付款'!N45:$AH45),'2024年-挂账付款'!N45,IF('2024年-挂账付款'!$AX45-SUM('2024年-挂账付款'!O45:$AH45)&gt;0,'2024年-挂账付款'!$AX45-SUM('2024年-挂账付款'!O45:$AH45),0))</f>
        <v>0</v>
      </c>
      <c r="R45" s="128">
        <f>IF('2024年-挂账付款'!$AX45&gt;=SUM('2024年-挂账付款'!O45:$AH45),'2024年-挂账付款'!O45,IF('2024年-挂账付款'!$AX45-SUM('2024年-挂账付款'!P45:$AH45)&gt;0,'2024年-挂账付款'!$AX45-SUM('2024年-挂账付款'!P45:$AH45),0))</f>
        <v>0</v>
      </c>
      <c r="S45" s="128">
        <f>IF('2024年-挂账付款'!$AX45&gt;=SUM('2024年-挂账付款'!P45:$AH45),'2024年-挂账付款'!P45,IF('2024年-挂账付款'!$AX45-SUM('2024年-挂账付款'!Q45:$AH45)&gt;0,'2024年-挂账付款'!$AX45-SUM('2024年-挂账付款'!Q45:$AH45),0))</f>
        <v>0</v>
      </c>
      <c r="T45" s="128">
        <f>IF('2024年-挂账付款'!$AX45&gt;=SUM('2024年-挂账付款'!Q45:$AH45),'2024年-挂账付款'!Q45,IF('2024年-挂账付款'!$AX45-SUM('2024年-挂账付款'!R45:$AH45)&gt;0,'2024年-挂账付款'!$AX45-SUM('2024年-挂账付款'!R45:$AH45),0))</f>
        <v>0</v>
      </c>
      <c r="U45" s="128">
        <f>IF('2024年-挂账付款'!$AX45&gt;=SUM('2024年-挂账付款'!R45:$AH45),'2024年-挂账付款'!R45,IF('2024年-挂账付款'!$AX45-SUM('2024年-挂账付款'!S45:$AH45)&gt;0,'2024年-挂账付款'!$AX45-SUM('2024年-挂账付款'!S45:$AH45),0))</f>
        <v>0</v>
      </c>
      <c r="V45" s="128">
        <f>IF('2024年-挂账付款'!$AX45&gt;=SUM('2024年-挂账付款'!S45:$AH45),'2024年-挂账付款'!S45,IF('2024年-挂账付款'!$AX45-SUM('2024年-挂账付款'!T45:$AH45)&gt;0,'2024年-挂账付款'!$AX45-SUM('2024年-挂账付款'!T45:$AH45),0))</f>
        <v>0</v>
      </c>
      <c r="W45" s="128">
        <f>IF('2024年-挂账付款'!$AX45&gt;=SUM('2024年-挂账付款'!T45:$AH45),'2024年-挂账付款'!T45,IF('2024年-挂账付款'!$AX45-SUM('2024年-挂账付款'!U45:$AH45)&gt;0,'2024年-挂账付款'!$AX45-SUM('2024年-挂账付款'!U45:$AH45),0))</f>
        <v>0</v>
      </c>
      <c r="X45" s="128">
        <f>IF('2024年-挂账付款'!$AX45&gt;=SUM('2024年-挂账付款'!U45:$AH45),'2024年-挂账付款'!U45,IF('2024年-挂账付款'!$AX45-SUM('2024年-挂账付款'!V45:$AH45)&gt;0,'2024年-挂账付款'!$AX45-SUM('2024年-挂账付款'!V45:$AH45),0))</f>
        <v>0</v>
      </c>
      <c r="Y45" s="128">
        <f>IF('2024年-挂账付款'!$AX45&gt;=SUM('2024年-挂账付款'!V45:$AH45),'2024年-挂账付款'!V45,IF('2024年-挂账付款'!$AX45-SUM('2024年-挂账付款'!W45:$AH45)&gt;0,'2024年-挂账付款'!$AX45-SUM('2024年-挂账付款'!W45:$AH45),0))</f>
        <v>0</v>
      </c>
      <c r="Z45" s="128">
        <f>IF('2024年-挂账付款'!$AX45&gt;=SUM('2024年-挂账付款'!W45:$AH45),'2024年-挂账付款'!W45,IF('2024年-挂账付款'!$AX45-SUM('2024年-挂账付款'!X45:$AH45)&gt;0,'2024年-挂账付款'!$AX45-SUM('2024年-挂账付款'!X45:$AH45),0))</f>
        <v>0</v>
      </c>
      <c r="AA45" s="167">
        <f>IF('2024年-挂账付款'!$AX45&gt;=SUM('2024年-挂账付款'!X45:$AH45),'2024年-挂账付款'!X45,IF('2024年-挂账付款'!$AX45-SUM('2024年-挂账付款'!Y45:$AH45)&gt;0,'2024年-挂账付款'!$AX45-SUM('2024年-挂账付款'!Y45:$AH45),0))</f>
        <v>0</v>
      </c>
      <c r="AB45" s="128">
        <f>IF('2024年-挂账付款'!$AX45&gt;=SUM('2024年-挂账付款'!Y45:$AH45),'2024年-挂账付款'!Y45,IF('2024年-挂账付款'!$AX45-SUM('2024年-挂账付款'!Z45:$AH45)&gt;0,'2024年-挂账付款'!$AX45-SUM('2024年-挂账付款'!Z45:$AH45),0))</f>
        <v>0</v>
      </c>
      <c r="AC45" s="128">
        <f>IF('2024年-挂账付款'!$AX45&gt;=SUM('2024年-挂账付款'!Z45:$AH45),'2024年-挂账付款'!Z45,IF('2024年-挂账付款'!$AX45-SUM('2024年-挂账付款'!AA45:$AH45)&gt;0,'2024年-挂账付款'!$AX45-SUM('2024年-挂账付款'!AA45:$AH45),0))</f>
        <v>0</v>
      </c>
      <c r="AD45" s="128">
        <f>IF('2024年-挂账付款'!$AX45&gt;=SUM('2024年-挂账付款'!AA45:$AH45),'2024年-挂账付款'!AA45,IF('2024年-挂账付款'!$AX45-SUM('2024年-挂账付款'!AB45:$AH45)&gt;0,'2024年-挂账付款'!$AX45-SUM('2024年-挂账付款'!AB45:$AH45),0))</f>
        <v>0</v>
      </c>
      <c r="AE45" s="128">
        <f>IF('2024年-挂账付款'!$AX45&gt;=SUM('2024年-挂账付款'!AB45:$AH45),'2024年-挂账付款'!AB45,IF('2024年-挂账付款'!$AX45-SUM('2024年-挂账付款'!AC45:$AH45)&gt;0,'2024年-挂账付款'!$AX45-SUM('2024年-挂账付款'!AC45:$AH45),0))</f>
        <v>0</v>
      </c>
      <c r="AF45" s="128">
        <f>IF('2024年-挂账付款'!$AX45&gt;=SUM('2024年-挂账付款'!AC45:$AH45),'2024年-挂账付款'!AC45,IF('2024年-挂账付款'!$AX45-SUM('2024年-挂账付款'!AD45:$AH45)&gt;0,'2024年-挂账付款'!$AX45-SUM('2024年-挂账付款'!AD45:$AH45),0))</f>
        <v>0</v>
      </c>
      <c r="AG45" s="128">
        <f>IF('2024年-挂账付款'!$AX45&gt;=SUM('2024年-挂账付款'!AD45:$AH45),'2024年-挂账付款'!AD45,IF('2024年-挂账付款'!$AX45-SUM('2024年-挂账付款'!AE45:$AH45)&gt;0,'2024年-挂账付款'!$AX45-SUM('2024年-挂账付款'!AE45:$AH45),0))</f>
        <v>0</v>
      </c>
      <c r="AH45" s="128">
        <f>IF('2024年-挂账付款'!$AX45&gt;=SUM('2024年-挂账付款'!AE45:$AH45),'2024年-挂账付款'!AE45,IF('2024年-挂账付款'!$AX45-SUM('2024年-挂账付款'!AF45:$AH45)&gt;0,'2024年-挂账付款'!$AX45-SUM('2024年-挂账付款'!AF45:$AH45),0))</f>
        <v>0</v>
      </c>
      <c r="AI45" s="128">
        <f>IF('2024年-挂账付款'!$AX45&gt;=SUM('2024年-挂账付款'!AF45:$AH45),'2024年-挂账付款'!AF45,IF('2024年-挂账付款'!$AX45-SUM('2024年-挂账付款'!AG45:$AH45)&gt;0,'2024年-挂账付款'!$AX45-SUM('2024年-挂账付款'!AG45:$AH45),0))</f>
        <v>0</v>
      </c>
      <c r="AJ45" s="128">
        <f>IF('2024年-挂账付款'!$AX45&gt;=SUM('2024年-挂账付款'!AG45:$AH45),'2024年-挂账付款'!AG45,IF('2024年-挂账付款'!$AX45-SUM('2024年-挂账付款'!AH45:$AH45)&gt;0,'2024年-挂账付款'!$AX45-SUM('2024年-挂账付款'!AH45:$AH45),0))</f>
        <v>0</v>
      </c>
      <c r="AK45" s="128">
        <f>IF('2024年-挂账付款'!$AX45&gt;=SUM('2024年-挂账付款'!AH45:$AH45),'2024年-挂账付款'!AH45,IF('2024年-挂账付款'!$AX45-SUM('2024年-挂账付款'!$AH45:AI45)&gt;0,'2024年-挂账付款'!$AX45-SUM('2024年-挂账付款'!$AH45:AI45),0))</f>
        <v>0</v>
      </c>
      <c r="AL45" s="182"/>
      <c r="AM45" s="183" t="s">
        <v>380</v>
      </c>
      <c r="AN45" s="176">
        <f t="shared" si="5"/>
        <v>0</v>
      </c>
      <c r="AO45" s="203"/>
      <c r="AP45" s="204"/>
      <c r="AQ45" s="205"/>
      <c r="AR45" s="206"/>
    </row>
    <row r="46" s="107" customFormat="1" ht="18" customHeight="1" spans="1:44">
      <c r="A46" s="122"/>
      <c r="B46" s="129" t="s">
        <v>81</v>
      </c>
      <c r="C46" s="130" t="s">
        <v>439</v>
      </c>
      <c r="D46" s="130" t="s">
        <v>334</v>
      </c>
      <c r="E46" s="125">
        <v>90</v>
      </c>
      <c r="F46" s="126">
        <f t="shared" si="3"/>
        <v>28982.13</v>
      </c>
      <c r="G46" s="127">
        <f t="shared" si="4"/>
        <v>28982.13</v>
      </c>
      <c r="H46" s="128">
        <f>IF('2024年-挂账付款'!$AX46&gt;=SUM('2024年-挂账付款'!E46:$AH46),'2024年-挂账付款'!E46,IF('2024年-挂账付款'!$AX46-SUM('2024年-挂账付款'!F46:$AH46)&gt;0,'2024年-挂账付款'!$AX46-SUM('2024年-挂账付款'!F46:$AH46),0))</f>
        <v>0</v>
      </c>
      <c r="I46" s="128">
        <f>IF('2024年-挂账付款'!$AX46&gt;=SUM('2024年-挂账付款'!F46:$AH46),'2024年-挂账付款'!F46,IF('2024年-挂账付款'!$AX46-SUM('2024年-挂账付款'!G46:$AH46)&gt;0,'2024年-挂账付款'!$AX46-SUM('2024年-挂账付款'!G46:$AH46),0))</f>
        <v>0</v>
      </c>
      <c r="J46" s="128">
        <f>IF('2024年-挂账付款'!$AX46&gt;=SUM('2024年-挂账付款'!G46:$AH46),'2024年-挂账付款'!G46,IF('2024年-挂账付款'!$AX46-SUM('2024年-挂账付款'!H46:$AH46)&gt;0,'2024年-挂账付款'!$AX46-SUM('2024年-挂账付款'!H46:$AH46),0))</f>
        <v>0</v>
      </c>
      <c r="K46" s="128">
        <f>IF('2024年-挂账付款'!$AX46&gt;=SUM('2024年-挂账付款'!H46:$AH46),'2024年-挂账付款'!H46,IF('2024年-挂账付款'!$AX46-SUM('2024年-挂账付款'!I46:$AH46)&gt;0,'2024年-挂账付款'!$AX46-SUM('2024年-挂账付款'!I46:$AH46),0))</f>
        <v>0</v>
      </c>
      <c r="L46" s="128">
        <f>IF('2024年-挂账付款'!$AX46&gt;=SUM('2024年-挂账付款'!I46:$AH46),'2024年-挂账付款'!I46,IF('2024年-挂账付款'!$AX46-SUM('2024年-挂账付款'!J46:$AH46)&gt;0,'2024年-挂账付款'!$AX46-SUM('2024年-挂账付款'!J46:$AH46),0))</f>
        <v>0</v>
      </c>
      <c r="M46" s="128" t="str">
        <f>IF('2024年-挂账付款'!$AX46&gt;=SUM('2024年-挂账付款'!J46:$AH46),'2024年-挂账付款'!J46,IF('2024年-挂账付款'!$AX46-SUM('2024年-挂账付款'!K46:$AH46)&gt;0,'2024年-挂账付款'!$AX46-SUM('2024年-挂账付款'!K46:$AH46),0))</f>
        <v/>
      </c>
      <c r="N46" s="128">
        <f>IF('2024年-挂账付款'!$AX46&gt;=SUM('2024年-挂账付款'!K46:$AH46),'2024年-挂账付款'!K46,IF('2024年-挂账付款'!$AX46-SUM('2024年-挂账付款'!L46:$AH46)&gt;0,'2024年-挂账付款'!$AX46-SUM('2024年-挂账付款'!L46:$AH46),0))</f>
        <v>0</v>
      </c>
      <c r="O46" s="128">
        <f>IF('2024年-挂账付款'!$AX46&gt;=SUM('2024年-挂账付款'!L46:$AH46),'2024年-挂账付款'!L46,IF('2024年-挂账付款'!$AX46-SUM('2024年-挂账付款'!M46:$AH46)&gt;0,'2024年-挂账付款'!$AX46-SUM('2024年-挂账付款'!M46:$AH46),0))</f>
        <v>0</v>
      </c>
      <c r="P46" s="128">
        <f>IF('2024年-挂账付款'!$AX46&gt;=SUM('2024年-挂账付款'!M46:$AH46),'2024年-挂账付款'!M46,IF('2024年-挂账付款'!$AX46-SUM('2024年-挂账付款'!N46:$AH46)&gt;0,'2024年-挂账付款'!$AX46-SUM('2024年-挂账付款'!N46:$AH46),0))</f>
        <v>0</v>
      </c>
      <c r="Q46" s="128">
        <f>IF('2024年-挂账付款'!$AX46&gt;=SUM('2024年-挂账付款'!N46:$AH46),'2024年-挂账付款'!N46,IF('2024年-挂账付款'!$AX46-SUM('2024年-挂账付款'!O46:$AH46)&gt;0,'2024年-挂账付款'!$AX46-SUM('2024年-挂账付款'!O46:$AH46),0))</f>
        <v>0</v>
      </c>
      <c r="R46" s="128">
        <f>IF('2024年-挂账付款'!$AX46&gt;=SUM('2024年-挂账付款'!O46:$AH46),'2024年-挂账付款'!O46,IF('2024年-挂账付款'!$AX46-SUM('2024年-挂账付款'!P46:$AH46)&gt;0,'2024年-挂账付款'!$AX46-SUM('2024年-挂账付款'!P46:$AH46),0))</f>
        <v>0</v>
      </c>
      <c r="S46" s="128">
        <f>IF('2024年-挂账付款'!$AX46&gt;=SUM('2024年-挂账付款'!P46:$AH46),'2024年-挂账付款'!P46,IF('2024年-挂账付款'!$AX46-SUM('2024年-挂账付款'!Q46:$AH46)&gt;0,'2024年-挂账付款'!$AX46-SUM('2024年-挂账付款'!Q46:$AH46),0))</f>
        <v>0</v>
      </c>
      <c r="T46" s="128">
        <f>IF('2024年-挂账付款'!$AX46&gt;=SUM('2024年-挂账付款'!Q46:$AH46),'2024年-挂账付款'!Q46,IF('2024年-挂账付款'!$AX46-SUM('2024年-挂账付款'!R46:$AH46)&gt;0,'2024年-挂账付款'!$AX46-SUM('2024年-挂账付款'!R46:$AH46),0))</f>
        <v>0</v>
      </c>
      <c r="U46" s="128">
        <f>IF('2024年-挂账付款'!$AX46&gt;=SUM('2024年-挂账付款'!R46:$AH46),'2024年-挂账付款'!R46,IF('2024年-挂账付款'!$AX46-SUM('2024年-挂账付款'!S46:$AH46)&gt;0,'2024年-挂账付款'!$AX46-SUM('2024年-挂账付款'!S46:$AH46),0))</f>
        <v>0</v>
      </c>
      <c r="V46" s="128">
        <f>IF('2024年-挂账付款'!$AX46&gt;=SUM('2024年-挂账付款'!S46:$AH46),'2024年-挂账付款'!S46,IF('2024年-挂账付款'!$AX46-SUM('2024年-挂账付款'!T46:$AH46)&gt;0,'2024年-挂账付款'!$AX46-SUM('2024年-挂账付款'!T46:$AH46),0))</f>
        <v>28982.13</v>
      </c>
      <c r="W46" s="128">
        <f>IF('2024年-挂账付款'!$AX46&gt;=SUM('2024年-挂账付款'!T46:$AH46),'2024年-挂账付款'!T46,IF('2024年-挂账付款'!$AX46-SUM('2024年-挂账付款'!U46:$AH46)&gt;0,'2024年-挂账付款'!$AX46-SUM('2024年-挂账付款'!U46:$AH46),0))</f>
        <v>0</v>
      </c>
      <c r="X46" s="128">
        <f>IF('2024年-挂账付款'!$AX46&gt;=SUM('2024年-挂账付款'!U46:$AH46),'2024年-挂账付款'!U46,IF('2024年-挂账付款'!$AX46-SUM('2024年-挂账付款'!V46:$AH46)&gt;0,'2024年-挂账付款'!$AX46-SUM('2024年-挂账付款'!V46:$AH46),0))</f>
        <v>0</v>
      </c>
      <c r="Y46" s="128">
        <f>IF('2024年-挂账付款'!$AX46&gt;=SUM('2024年-挂账付款'!V46:$AH46),'2024年-挂账付款'!V46,IF('2024年-挂账付款'!$AX46-SUM('2024年-挂账付款'!W46:$AH46)&gt;0,'2024年-挂账付款'!$AX46-SUM('2024年-挂账付款'!W46:$AH46),0))</f>
        <v>0</v>
      </c>
      <c r="Z46" s="128">
        <f>IF('2024年-挂账付款'!$AX46&gt;=SUM('2024年-挂账付款'!W46:$AH46),'2024年-挂账付款'!W46,IF('2024年-挂账付款'!$AX46-SUM('2024年-挂账付款'!X46:$AH46)&gt;0,'2024年-挂账付款'!$AX46-SUM('2024年-挂账付款'!X46:$AH46),0))</f>
        <v>0</v>
      </c>
      <c r="AA46" s="167">
        <f>IF('2024年-挂账付款'!$AX46&gt;=SUM('2024年-挂账付款'!X46:$AH46),'2024年-挂账付款'!X46,IF('2024年-挂账付款'!$AX46-SUM('2024年-挂账付款'!Y46:$AH46)&gt;0,'2024年-挂账付款'!$AX46-SUM('2024年-挂账付款'!Y46:$AH46),0))</f>
        <v>0</v>
      </c>
      <c r="AB46" s="128">
        <f>IF('2024年-挂账付款'!$AX46&gt;=SUM('2024年-挂账付款'!Y46:$AH46),'2024年-挂账付款'!Y46,IF('2024年-挂账付款'!$AX46-SUM('2024年-挂账付款'!Z46:$AH46)&gt;0,'2024年-挂账付款'!$AX46-SUM('2024年-挂账付款'!Z46:$AH46),0))</f>
        <v>0</v>
      </c>
      <c r="AC46" s="128">
        <f>IF('2024年-挂账付款'!$AX46&gt;=SUM('2024年-挂账付款'!Z46:$AH46),'2024年-挂账付款'!Z46,IF('2024年-挂账付款'!$AX46-SUM('2024年-挂账付款'!AA46:$AH46)&gt;0,'2024年-挂账付款'!$AX46-SUM('2024年-挂账付款'!AA46:$AH46),0))</f>
        <v>0</v>
      </c>
      <c r="AD46" s="128">
        <f>IF('2024年-挂账付款'!$AX46&gt;=SUM('2024年-挂账付款'!AA46:$AH46),'2024年-挂账付款'!AA46,IF('2024年-挂账付款'!$AX46-SUM('2024年-挂账付款'!AB46:$AH46)&gt;0,'2024年-挂账付款'!$AX46-SUM('2024年-挂账付款'!AB46:$AH46),0))</f>
        <v>0</v>
      </c>
      <c r="AE46" s="128">
        <f>IF('2024年-挂账付款'!$AX46&gt;=SUM('2024年-挂账付款'!AB46:$AH46),'2024年-挂账付款'!AB46,IF('2024年-挂账付款'!$AX46-SUM('2024年-挂账付款'!AC46:$AH46)&gt;0,'2024年-挂账付款'!$AX46-SUM('2024年-挂账付款'!AC46:$AH46),0))</f>
        <v>0</v>
      </c>
      <c r="AF46" s="128">
        <f>IF('2024年-挂账付款'!$AX46&gt;=SUM('2024年-挂账付款'!AC46:$AH46),'2024年-挂账付款'!AC46,IF('2024年-挂账付款'!$AX46-SUM('2024年-挂账付款'!AD46:$AH46)&gt;0,'2024年-挂账付款'!$AX46-SUM('2024年-挂账付款'!AD46:$AH46),0))</f>
        <v>0</v>
      </c>
      <c r="AG46" s="128">
        <f>IF('2024年-挂账付款'!$AX46&gt;=SUM('2024年-挂账付款'!AD46:$AH46),'2024年-挂账付款'!AD46,IF('2024年-挂账付款'!$AX46-SUM('2024年-挂账付款'!AE46:$AH46)&gt;0,'2024年-挂账付款'!$AX46-SUM('2024年-挂账付款'!AE46:$AH46),0))</f>
        <v>0</v>
      </c>
      <c r="AH46" s="128">
        <f>IF('2024年-挂账付款'!$AX46&gt;=SUM('2024年-挂账付款'!AE46:$AH46),'2024年-挂账付款'!AE46,IF('2024年-挂账付款'!$AX46-SUM('2024年-挂账付款'!AF46:$AH46)&gt;0,'2024年-挂账付款'!$AX46-SUM('2024年-挂账付款'!AF46:$AH46),0))</f>
        <v>0</v>
      </c>
      <c r="AI46" s="128">
        <f>IF('2024年-挂账付款'!$AX46&gt;=SUM('2024年-挂账付款'!AF46:$AH46),'2024年-挂账付款'!AF46,IF('2024年-挂账付款'!$AX46-SUM('2024年-挂账付款'!AG46:$AH46)&gt;0,'2024年-挂账付款'!$AX46-SUM('2024年-挂账付款'!AG46:$AH46),0))</f>
        <v>0</v>
      </c>
      <c r="AJ46" s="128">
        <f>IF('2024年-挂账付款'!$AX46&gt;=SUM('2024年-挂账付款'!AG46:$AH46),'2024年-挂账付款'!AG46,IF('2024年-挂账付款'!$AX46-SUM('2024年-挂账付款'!AH46:$AH46)&gt;0,'2024年-挂账付款'!$AX46-SUM('2024年-挂账付款'!AH46:$AH46),0))</f>
        <v>0</v>
      </c>
      <c r="AK46" s="128">
        <f>IF('2024年-挂账付款'!$AX46&gt;=SUM('2024年-挂账付款'!AH46:$AH46),'2024年-挂账付款'!AH46,IF('2024年-挂账付款'!$AX46-SUM('2024年-挂账付款'!$AH46:AI46)&gt;0,'2024年-挂账付款'!$AX46-SUM('2024年-挂账付款'!$AH46:AI46),0))</f>
        <v>0</v>
      </c>
      <c r="AL46" s="182"/>
      <c r="AM46" s="184"/>
      <c r="AN46" s="176">
        <f t="shared" si="5"/>
        <v>3864.284</v>
      </c>
      <c r="AO46" s="203">
        <f>AN46</f>
        <v>3864.284</v>
      </c>
      <c r="AP46" s="204"/>
      <c r="AQ46" s="205"/>
      <c r="AR46" s="206">
        <v>3864.28</v>
      </c>
    </row>
    <row r="47" s="107" customFormat="1" ht="18" customHeight="1" spans="1:44">
      <c r="A47" s="122"/>
      <c r="B47" s="129" t="s">
        <v>81</v>
      </c>
      <c r="C47" s="130" t="s">
        <v>440</v>
      </c>
      <c r="D47" s="130" t="s">
        <v>335</v>
      </c>
      <c r="E47" s="125">
        <v>90</v>
      </c>
      <c r="F47" s="126">
        <f t="shared" si="3"/>
        <v>60504.28</v>
      </c>
      <c r="G47" s="127">
        <f t="shared" si="4"/>
        <v>81492.9</v>
      </c>
      <c r="H47" s="128">
        <f>IF('2024年-挂账付款'!$AX47&gt;=SUM('2024年-挂账付款'!E47:$AH47),'2024年-挂账付款'!E47,IF('2024年-挂账付款'!$AX47-SUM('2024年-挂账付款'!F47:$AH47)&gt;0,'2024年-挂账付款'!$AX47-SUM('2024年-挂账付款'!F47:$AH47),0))</f>
        <v>0</v>
      </c>
      <c r="I47" s="128">
        <f>IF('2024年-挂账付款'!$AX47&gt;=SUM('2024年-挂账付款'!F47:$AH47),'2024年-挂账付款'!F47,IF('2024年-挂账付款'!$AX47-SUM('2024年-挂账付款'!G47:$AH47)&gt;0,'2024年-挂账付款'!$AX47-SUM('2024年-挂账付款'!G47:$AH47),0))</f>
        <v>0</v>
      </c>
      <c r="J47" s="128">
        <f>IF('2024年-挂账付款'!$AX47&gt;=SUM('2024年-挂账付款'!G47:$AH47),'2024年-挂账付款'!G47,IF('2024年-挂账付款'!$AX47-SUM('2024年-挂账付款'!H47:$AH47)&gt;0,'2024年-挂账付款'!$AX47-SUM('2024年-挂账付款'!H47:$AH47),0))</f>
        <v>0</v>
      </c>
      <c r="K47" s="128">
        <f>IF('2024年-挂账付款'!$AX47&gt;=SUM('2024年-挂账付款'!H47:$AH47),'2024年-挂账付款'!H47,IF('2024年-挂账付款'!$AX47-SUM('2024年-挂账付款'!I47:$AH47)&gt;0,'2024年-挂账付款'!$AX47-SUM('2024年-挂账付款'!I47:$AH47),0))</f>
        <v>0</v>
      </c>
      <c r="L47" s="128">
        <f>IF('2024年-挂账付款'!$AX47&gt;=SUM('2024年-挂账付款'!I47:$AH47),'2024年-挂账付款'!I47,IF('2024年-挂账付款'!$AX47-SUM('2024年-挂账付款'!J47:$AH47)&gt;0,'2024年-挂账付款'!$AX47-SUM('2024年-挂账付款'!J47:$AH47),0))</f>
        <v>0</v>
      </c>
      <c r="M47" s="128">
        <f>IF('2024年-挂账付款'!$AX47&gt;=SUM('2024年-挂账付款'!J47:$AH47),'2024年-挂账付款'!J47,IF('2024年-挂账付款'!$AX47-SUM('2024年-挂账付款'!K47:$AH47)&gt;0,'2024年-挂账付款'!$AX47-SUM('2024年-挂账付款'!K47:$AH47),0))</f>
        <v>0</v>
      </c>
      <c r="N47" s="128">
        <f>IF('2024年-挂账付款'!$AX47&gt;=SUM('2024年-挂账付款'!K47:$AH47),'2024年-挂账付款'!K47,IF('2024年-挂账付款'!$AX47-SUM('2024年-挂账付款'!L47:$AH47)&gt;0,'2024年-挂账付款'!$AX47-SUM('2024年-挂账付款'!L47:$AH47),0))</f>
        <v>0</v>
      </c>
      <c r="O47" s="128">
        <f>IF('2024年-挂账付款'!$AX47&gt;=SUM('2024年-挂账付款'!L47:$AH47),'2024年-挂账付款'!L47,IF('2024年-挂账付款'!$AX47-SUM('2024年-挂账付款'!M47:$AH47)&gt;0,'2024年-挂账付款'!$AX47-SUM('2024年-挂账付款'!M47:$AH47),0))</f>
        <v>0</v>
      </c>
      <c r="P47" s="128">
        <f>IF('2024年-挂账付款'!$AX47&gt;=SUM('2024年-挂账付款'!M47:$AH47),'2024年-挂账付款'!M47,IF('2024年-挂账付款'!$AX47-SUM('2024年-挂账付款'!N47:$AH47)&gt;0,'2024年-挂账付款'!$AX47-SUM('2024年-挂账付款'!N47:$AH47),0))</f>
        <v>0</v>
      </c>
      <c r="Q47" s="128">
        <f>IF('2024年-挂账付款'!$AX47&gt;=SUM('2024年-挂账付款'!N47:$AH47),'2024年-挂账付款'!N47,IF('2024年-挂账付款'!$AX47-SUM('2024年-挂账付款'!O47:$AH47)&gt;0,'2024年-挂账付款'!$AX47-SUM('2024年-挂账付款'!O47:$AH47),0))</f>
        <v>0</v>
      </c>
      <c r="R47" s="128">
        <f>IF('2024年-挂账付款'!$AX47&gt;=SUM('2024年-挂账付款'!O47:$AH47),'2024年-挂账付款'!O47,IF('2024年-挂账付款'!$AX47-SUM('2024年-挂账付款'!P47:$AH47)&gt;0,'2024年-挂账付款'!$AX47-SUM('2024年-挂账付款'!P47:$AH47),0))</f>
        <v>0</v>
      </c>
      <c r="S47" s="128">
        <f>IF('2024年-挂账付款'!$AX47&gt;=SUM('2024年-挂账付款'!P47:$AH47),'2024年-挂账付款'!P47,IF('2024年-挂账付款'!$AX47-SUM('2024年-挂账付款'!Q47:$AH47)&gt;0,'2024年-挂账付款'!$AX47-SUM('2024年-挂账付款'!Q47:$AH47),0))</f>
        <v>0</v>
      </c>
      <c r="T47" s="128">
        <f>IF('2024年-挂账付款'!$AX47&gt;=SUM('2024年-挂账付款'!Q47:$AH47),'2024年-挂账付款'!Q47,IF('2024年-挂账付款'!$AX47-SUM('2024年-挂账付款'!R47:$AH47)&gt;0,'2024年-挂账付款'!$AX47-SUM('2024年-挂账付款'!R47:$AH47),0))</f>
        <v>0</v>
      </c>
      <c r="U47" s="128">
        <f>IF('2024年-挂账付款'!$AX47&gt;=SUM('2024年-挂账付款'!R47:$AH47),'2024年-挂账付款'!R47,IF('2024年-挂账付款'!$AX47-SUM('2024年-挂账付款'!S47:$AH47)&gt;0,'2024年-挂账付款'!$AX47-SUM('2024年-挂账付款'!S47:$AH47),0))</f>
        <v>0</v>
      </c>
      <c r="V47" s="128">
        <f>IF('2024年-挂账付款'!$AX47&gt;=SUM('2024年-挂账付款'!S47:$AH47),'2024年-挂账付款'!S47,IF('2024年-挂账付款'!$AX47-SUM('2024年-挂账付款'!T47:$AH47)&gt;0,'2024年-挂账付款'!$AX47-SUM('2024年-挂账付款'!T47:$AH47),0))</f>
        <v>0</v>
      </c>
      <c r="W47" s="128">
        <f>IF('2024年-挂账付款'!$AX47&gt;=SUM('2024年-挂账付款'!T47:$AH47),'2024年-挂账付款'!T47,IF('2024年-挂账付款'!$AX47-SUM('2024年-挂账付款'!U47:$AH47)&gt;0,'2024年-挂账付款'!$AX47-SUM('2024年-挂账付款'!U47:$AH47),0))</f>
        <v>0</v>
      </c>
      <c r="X47" s="128">
        <f>IF('2024年-挂账付款'!$AX47&gt;=SUM('2024年-挂账付款'!U47:$AH47),'2024年-挂账付款'!U47,IF('2024年-挂账付款'!$AX47-SUM('2024年-挂账付款'!V47:$AH47)&gt;0,'2024年-挂账付款'!$AX47-SUM('2024年-挂账付款'!V47:$AH47),0))</f>
        <v>60504.28</v>
      </c>
      <c r="Y47" s="128">
        <f>IF('2024年-挂账付款'!$AX47&gt;=SUM('2024年-挂账付款'!V47:$AH47),'2024年-挂账付款'!V47,IF('2024年-挂账付款'!$AX47-SUM('2024年-挂账付款'!W47:$AH47)&gt;0,'2024年-挂账付款'!$AX47-SUM('2024年-挂账付款'!W47:$AH47),0))</f>
        <v>0</v>
      </c>
      <c r="Z47" s="128">
        <f>IF('2024年-挂账付款'!$AX47&gt;=SUM('2024年-挂账付款'!W47:$AH47),'2024年-挂账付款'!W47,IF('2024年-挂账付款'!$AX47-SUM('2024年-挂账付款'!X47:$AH47)&gt;0,'2024年-挂账付款'!$AX47-SUM('2024年-挂账付款'!X47:$AH47),0))</f>
        <v>20988.62</v>
      </c>
      <c r="AA47" s="167">
        <f>IF('2024年-挂账付款'!$AX47&gt;=SUM('2024年-挂账付款'!X47:$AH47),'2024年-挂账付款'!X47,IF('2024年-挂账付款'!$AX47-SUM('2024年-挂账付款'!Y47:$AH47)&gt;0,'2024年-挂账付款'!$AX47-SUM('2024年-挂账付款'!Y47:$AH47),0))</f>
        <v>0</v>
      </c>
      <c r="AB47" s="128">
        <f>IF('2024年-挂账付款'!$AX47&gt;=SUM('2024年-挂账付款'!Y47:$AH47),'2024年-挂账付款'!Y47,IF('2024年-挂账付款'!$AX47-SUM('2024年-挂账付款'!Z47:$AH47)&gt;0,'2024年-挂账付款'!$AX47-SUM('2024年-挂账付款'!Z47:$AH47),0))</f>
        <v>0</v>
      </c>
      <c r="AC47" s="128">
        <f>IF('2024年-挂账付款'!$AX47&gt;=SUM('2024年-挂账付款'!Z47:$AH47),'2024年-挂账付款'!Z47,IF('2024年-挂账付款'!$AX47-SUM('2024年-挂账付款'!AA47:$AH47)&gt;0,'2024年-挂账付款'!$AX47-SUM('2024年-挂账付款'!AA47:$AH47),0))</f>
        <v>0</v>
      </c>
      <c r="AD47" s="128">
        <f>IF('2024年-挂账付款'!$AX47&gt;=SUM('2024年-挂账付款'!AA47:$AH47),'2024年-挂账付款'!AA47,IF('2024年-挂账付款'!$AX47-SUM('2024年-挂账付款'!AB47:$AH47)&gt;0,'2024年-挂账付款'!$AX47-SUM('2024年-挂账付款'!AB47:$AH47),0))</f>
        <v>0</v>
      </c>
      <c r="AE47" s="128">
        <f>IF('2024年-挂账付款'!$AX47&gt;=SUM('2024年-挂账付款'!AB47:$AH47),'2024年-挂账付款'!AB47,IF('2024年-挂账付款'!$AX47-SUM('2024年-挂账付款'!AC47:$AH47)&gt;0,'2024年-挂账付款'!$AX47-SUM('2024年-挂账付款'!AC47:$AH47),0))</f>
        <v>0</v>
      </c>
      <c r="AF47" s="128">
        <f>IF('2024年-挂账付款'!$AX47&gt;=SUM('2024年-挂账付款'!AC47:$AH47),'2024年-挂账付款'!AC47,IF('2024年-挂账付款'!$AX47-SUM('2024年-挂账付款'!AD47:$AH47)&gt;0,'2024年-挂账付款'!$AX47-SUM('2024年-挂账付款'!AD47:$AH47),0))</f>
        <v>0</v>
      </c>
      <c r="AG47" s="128">
        <f>IF('2024年-挂账付款'!$AX47&gt;=SUM('2024年-挂账付款'!AD47:$AH47),'2024年-挂账付款'!AD47,IF('2024年-挂账付款'!$AX47-SUM('2024年-挂账付款'!AE47:$AH47)&gt;0,'2024年-挂账付款'!$AX47-SUM('2024年-挂账付款'!AE47:$AH47),0))</f>
        <v>0</v>
      </c>
      <c r="AH47" s="128">
        <f>IF('2024年-挂账付款'!$AX47&gt;=SUM('2024年-挂账付款'!AE47:$AH47),'2024年-挂账付款'!AE47,IF('2024年-挂账付款'!$AX47-SUM('2024年-挂账付款'!AF47:$AH47)&gt;0,'2024年-挂账付款'!$AX47-SUM('2024年-挂账付款'!AF47:$AH47),0))</f>
        <v>0</v>
      </c>
      <c r="AI47" s="128">
        <f>IF('2024年-挂账付款'!$AX47&gt;=SUM('2024年-挂账付款'!AF47:$AH47),'2024年-挂账付款'!AF47,IF('2024年-挂账付款'!$AX47-SUM('2024年-挂账付款'!AG47:$AH47)&gt;0,'2024年-挂账付款'!$AX47-SUM('2024年-挂账付款'!AG47:$AH47),0))</f>
        <v>0</v>
      </c>
      <c r="AJ47" s="128">
        <f>IF('2024年-挂账付款'!$AX47&gt;=SUM('2024年-挂账付款'!AG47:$AH47),'2024年-挂账付款'!AG47,IF('2024年-挂账付款'!$AX47-SUM('2024年-挂账付款'!AH47:$AH47)&gt;0,'2024年-挂账付款'!$AX47-SUM('2024年-挂账付款'!AH47:$AH47),0))</f>
        <v>0</v>
      </c>
      <c r="AK47" s="128">
        <f>IF('2024年-挂账付款'!$AX47&gt;=SUM('2024年-挂账付款'!AH47:$AH47),'2024年-挂账付款'!AH47,IF('2024年-挂账付款'!$AX47-SUM('2024年-挂账付款'!$AH47:AI47)&gt;0,'2024年-挂账付款'!$AX47-SUM('2024年-挂账付款'!$AH47:AI47),0))</f>
        <v>0</v>
      </c>
      <c r="AL47" s="182"/>
      <c r="AM47" s="183"/>
      <c r="AN47" s="176">
        <f t="shared" si="5"/>
        <v>10865.72</v>
      </c>
      <c r="AO47" s="203">
        <f>AN47</f>
        <v>10865.72</v>
      </c>
      <c r="AP47" s="204"/>
      <c r="AQ47" s="205"/>
      <c r="AR47" s="206">
        <v>10000</v>
      </c>
    </row>
    <row r="48" s="107" customFormat="1" ht="18" customHeight="1" spans="1:44">
      <c r="A48" s="122"/>
      <c r="B48" s="129" t="s">
        <v>81</v>
      </c>
      <c r="C48" s="130" t="s">
        <v>441</v>
      </c>
      <c r="D48" s="130" t="s">
        <v>336</v>
      </c>
      <c r="E48" s="125">
        <v>90</v>
      </c>
      <c r="F48" s="126">
        <f t="shared" si="3"/>
        <v>5237.55</v>
      </c>
      <c r="G48" s="127">
        <f t="shared" si="4"/>
        <v>5237.55</v>
      </c>
      <c r="H48" s="128">
        <f>IF('2024年-挂账付款'!$AX48&gt;=SUM('2024年-挂账付款'!E48:$AH48),'2024年-挂账付款'!E48,IF('2024年-挂账付款'!$AX48-SUM('2024年-挂账付款'!F48:$AH48)&gt;0,'2024年-挂账付款'!$AX48-SUM('2024年-挂账付款'!F48:$AH48),0))</f>
        <v>0</v>
      </c>
      <c r="I48" s="128">
        <f>IF('2024年-挂账付款'!$AX48&gt;=SUM('2024年-挂账付款'!F48:$AH48),'2024年-挂账付款'!F48,IF('2024年-挂账付款'!$AX48-SUM('2024年-挂账付款'!G48:$AH48)&gt;0,'2024年-挂账付款'!$AX48-SUM('2024年-挂账付款'!G48:$AH48),0))</f>
        <v>0</v>
      </c>
      <c r="J48" s="128">
        <f>IF('2024年-挂账付款'!$AX48&gt;=SUM('2024年-挂账付款'!G48:$AH48),'2024年-挂账付款'!G48,IF('2024年-挂账付款'!$AX48-SUM('2024年-挂账付款'!H48:$AH48)&gt;0,'2024年-挂账付款'!$AX48-SUM('2024年-挂账付款'!H48:$AH48),0))</f>
        <v>0</v>
      </c>
      <c r="K48" s="128">
        <f>IF('2024年-挂账付款'!$AX48&gt;=SUM('2024年-挂账付款'!H48:$AH48),'2024年-挂账付款'!H48,IF('2024年-挂账付款'!$AX48-SUM('2024年-挂账付款'!I48:$AH48)&gt;0,'2024年-挂账付款'!$AX48-SUM('2024年-挂账付款'!I48:$AH48),0))</f>
        <v>0</v>
      </c>
      <c r="L48" s="128">
        <f>IF('2024年-挂账付款'!$AX48&gt;=SUM('2024年-挂账付款'!I48:$AH48),'2024年-挂账付款'!I48,IF('2024年-挂账付款'!$AX48-SUM('2024年-挂账付款'!J48:$AH48)&gt;0,'2024年-挂账付款'!$AX48-SUM('2024年-挂账付款'!J48:$AH48),0))</f>
        <v>0</v>
      </c>
      <c r="M48" s="128">
        <f>IF('2024年-挂账付款'!$AX48&gt;=SUM('2024年-挂账付款'!J48:$AH48),'2024年-挂账付款'!J48,IF('2024年-挂账付款'!$AX48-SUM('2024年-挂账付款'!K48:$AH48)&gt;0,'2024年-挂账付款'!$AX48-SUM('2024年-挂账付款'!K48:$AH48),0))</f>
        <v>0</v>
      </c>
      <c r="N48" s="128">
        <f>IF('2024年-挂账付款'!$AX48&gt;=SUM('2024年-挂账付款'!K48:$AH48),'2024年-挂账付款'!K48,IF('2024年-挂账付款'!$AX48-SUM('2024年-挂账付款'!L48:$AH48)&gt;0,'2024年-挂账付款'!$AX48-SUM('2024年-挂账付款'!L48:$AH48),0))</f>
        <v>0</v>
      </c>
      <c r="O48" s="128">
        <f>IF('2024年-挂账付款'!$AX48&gt;=SUM('2024年-挂账付款'!L48:$AH48),'2024年-挂账付款'!L48,IF('2024年-挂账付款'!$AX48-SUM('2024年-挂账付款'!M48:$AH48)&gt;0,'2024年-挂账付款'!$AX48-SUM('2024年-挂账付款'!M48:$AH48),0))</f>
        <v>0</v>
      </c>
      <c r="P48" s="128">
        <f>IF('2024年-挂账付款'!$AX48&gt;=SUM('2024年-挂账付款'!M48:$AH48),'2024年-挂账付款'!M48,IF('2024年-挂账付款'!$AX48-SUM('2024年-挂账付款'!N48:$AH48)&gt;0,'2024年-挂账付款'!$AX48-SUM('2024年-挂账付款'!N48:$AH48),0))</f>
        <v>0</v>
      </c>
      <c r="Q48" s="128">
        <f>IF('2024年-挂账付款'!$AX48&gt;=SUM('2024年-挂账付款'!N48:$AH48),'2024年-挂账付款'!N48,IF('2024年-挂账付款'!$AX48-SUM('2024年-挂账付款'!O48:$AH48)&gt;0,'2024年-挂账付款'!$AX48-SUM('2024年-挂账付款'!O48:$AH48),0))</f>
        <v>0</v>
      </c>
      <c r="R48" s="128">
        <f>IF('2024年-挂账付款'!$AX48&gt;=SUM('2024年-挂账付款'!O48:$AH48),'2024年-挂账付款'!O48,IF('2024年-挂账付款'!$AX48-SUM('2024年-挂账付款'!P48:$AH48)&gt;0,'2024年-挂账付款'!$AX48-SUM('2024年-挂账付款'!P48:$AH48),0))</f>
        <v>0</v>
      </c>
      <c r="S48" s="128">
        <f>IF('2024年-挂账付款'!$AX48&gt;=SUM('2024年-挂账付款'!P48:$AH48),'2024年-挂账付款'!P48,IF('2024年-挂账付款'!$AX48-SUM('2024年-挂账付款'!Q48:$AH48)&gt;0,'2024年-挂账付款'!$AX48-SUM('2024年-挂账付款'!Q48:$AH48),0))</f>
        <v>0</v>
      </c>
      <c r="T48" s="128">
        <f>IF('2024年-挂账付款'!$AX48&gt;=SUM('2024年-挂账付款'!Q48:$AH48),'2024年-挂账付款'!Q48,IF('2024年-挂账付款'!$AX48-SUM('2024年-挂账付款'!R48:$AH48)&gt;0,'2024年-挂账付款'!$AX48-SUM('2024年-挂账付款'!R48:$AH48),0))</f>
        <v>0</v>
      </c>
      <c r="U48" s="128">
        <f>IF('2024年-挂账付款'!$AX48&gt;=SUM('2024年-挂账付款'!R48:$AH48),'2024年-挂账付款'!R48,IF('2024年-挂账付款'!$AX48-SUM('2024年-挂账付款'!S48:$AH48)&gt;0,'2024年-挂账付款'!$AX48-SUM('2024年-挂账付款'!S48:$AH48),0))</f>
        <v>0</v>
      </c>
      <c r="V48" s="128">
        <f>IF('2024年-挂账付款'!$AX48&gt;=SUM('2024年-挂账付款'!S48:$AH48),'2024年-挂账付款'!S48,IF('2024年-挂账付款'!$AX48-SUM('2024年-挂账付款'!T48:$AH48)&gt;0,'2024年-挂账付款'!$AX48-SUM('2024年-挂账付款'!T48:$AH48),0))</f>
        <v>0</v>
      </c>
      <c r="W48" s="128">
        <f>IF('2024年-挂账付款'!$AX48&gt;=SUM('2024年-挂账付款'!T48:$AH48),'2024年-挂账付款'!T48,IF('2024年-挂账付款'!$AX48-SUM('2024年-挂账付款'!U48:$AH48)&gt;0,'2024年-挂账付款'!$AX48-SUM('2024年-挂账付款'!U48:$AH48),0))</f>
        <v>0</v>
      </c>
      <c r="X48" s="128">
        <f>IF('2024年-挂账付款'!$AX48&gt;=SUM('2024年-挂账付款'!U48:$AH48),'2024年-挂账付款'!U48,IF('2024年-挂账付款'!$AX48-SUM('2024年-挂账付款'!V48:$AH48)&gt;0,'2024年-挂账付款'!$AX48-SUM('2024年-挂账付款'!V48:$AH48),0))</f>
        <v>5237.55</v>
      </c>
      <c r="Y48" s="128">
        <f>IF('2024年-挂账付款'!$AX48&gt;=SUM('2024年-挂账付款'!V48:$AH48),'2024年-挂账付款'!V48,IF('2024年-挂账付款'!$AX48-SUM('2024年-挂账付款'!W48:$AH48)&gt;0,'2024年-挂账付款'!$AX48-SUM('2024年-挂账付款'!W48:$AH48),0))</f>
        <v>0</v>
      </c>
      <c r="Z48" s="128">
        <f>IF('2024年-挂账付款'!$AX48&gt;=SUM('2024年-挂账付款'!W48:$AH48),'2024年-挂账付款'!W48,IF('2024年-挂账付款'!$AX48-SUM('2024年-挂账付款'!X48:$AH48)&gt;0,'2024年-挂账付款'!$AX48-SUM('2024年-挂账付款'!X48:$AH48),0))</f>
        <v>0</v>
      </c>
      <c r="AA48" s="167">
        <f>IF('2024年-挂账付款'!$AX48&gt;=SUM('2024年-挂账付款'!X48:$AH48),'2024年-挂账付款'!X48,IF('2024年-挂账付款'!$AX48-SUM('2024年-挂账付款'!Y48:$AH48)&gt;0,'2024年-挂账付款'!$AX48-SUM('2024年-挂账付款'!Y48:$AH48),0))</f>
        <v>0</v>
      </c>
      <c r="AB48" s="128">
        <f>IF('2024年-挂账付款'!$AX48&gt;=SUM('2024年-挂账付款'!Y48:$AH48),'2024年-挂账付款'!Y48,IF('2024年-挂账付款'!$AX48-SUM('2024年-挂账付款'!Z48:$AH48)&gt;0,'2024年-挂账付款'!$AX48-SUM('2024年-挂账付款'!Z48:$AH48),0))</f>
        <v>0</v>
      </c>
      <c r="AC48" s="128">
        <f>IF('2024年-挂账付款'!$AX48&gt;=SUM('2024年-挂账付款'!Z48:$AH48),'2024年-挂账付款'!Z48,IF('2024年-挂账付款'!$AX48-SUM('2024年-挂账付款'!AA48:$AH48)&gt;0,'2024年-挂账付款'!$AX48-SUM('2024年-挂账付款'!AA48:$AH48),0))</f>
        <v>0</v>
      </c>
      <c r="AD48" s="128">
        <f>IF('2024年-挂账付款'!$AX48&gt;=SUM('2024年-挂账付款'!AA48:$AH48),'2024年-挂账付款'!AA48,IF('2024年-挂账付款'!$AX48-SUM('2024年-挂账付款'!AB48:$AH48)&gt;0,'2024年-挂账付款'!$AX48-SUM('2024年-挂账付款'!AB48:$AH48),0))</f>
        <v>0</v>
      </c>
      <c r="AE48" s="128">
        <f>IF('2024年-挂账付款'!$AX48&gt;=SUM('2024年-挂账付款'!AB48:$AH48),'2024年-挂账付款'!AB48,IF('2024年-挂账付款'!$AX48-SUM('2024年-挂账付款'!AC48:$AH48)&gt;0,'2024年-挂账付款'!$AX48-SUM('2024年-挂账付款'!AC48:$AH48),0))</f>
        <v>0</v>
      </c>
      <c r="AF48" s="128">
        <f>IF('2024年-挂账付款'!$AX48&gt;=SUM('2024年-挂账付款'!AC48:$AH48),'2024年-挂账付款'!AC48,IF('2024年-挂账付款'!$AX48-SUM('2024年-挂账付款'!AD48:$AH48)&gt;0,'2024年-挂账付款'!$AX48-SUM('2024年-挂账付款'!AD48:$AH48),0))</f>
        <v>0</v>
      </c>
      <c r="AG48" s="128">
        <f>IF('2024年-挂账付款'!$AX48&gt;=SUM('2024年-挂账付款'!AD48:$AH48),'2024年-挂账付款'!AD48,IF('2024年-挂账付款'!$AX48-SUM('2024年-挂账付款'!AE48:$AH48)&gt;0,'2024年-挂账付款'!$AX48-SUM('2024年-挂账付款'!AE48:$AH48),0))</f>
        <v>0</v>
      </c>
      <c r="AH48" s="128">
        <f>IF('2024年-挂账付款'!$AX48&gt;=SUM('2024年-挂账付款'!AE48:$AH48),'2024年-挂账付款'!AE48,IF('2024年-挂账付款'!$AX48-SUM('2024年-挂账付款'!AF48:$AH48)&gt;0,'2024年-挂账付款'!$AX48-SUM('2024年-挂账付款'!AF48:$AH48),0))</f>
        <v>0</v>
      </c>
      <c r="AI48" s="128">
        <f>IF('2024年-挂账付款'!$AX48&gt;=SUM('2024年-挂账付款'!AF48:$AH48),'2024年-挂账付款'!AF48,IF('2024年-挂账付款'!$AX48-SUM('2024年-挂账付款'!AG48:$AH48)&gt;0,'2024年-挂账付款'!$AX48-SUM('2024年-挂账付款'!AG48:$AH48),0))</f>
        <v>0</v>
      </c>
      <c r="AJ48" s="128">
        <f>IF('2024年-挂账付款'!$AX48&gt;=SUM('2024年-挂账付款'!AG48:$AH48),'2024年-挂账付款'!AG48,IF('2024年-挂账付款'!$AX48-SUM('2024年-挂账付款'!AH48:$AH48)&gt;0,'2024年-挂账付款'!$AX48-SUM('2024年-挂账付款'!AH48:$AH48),0))</f>
        <v>0</v>
      </c>
      <c r="AK48" s="128">
        <f>IF('2024年-挂账付款'!$AX48&gt;=SUM('2024年-挂账付款'!AH48:$AH48),'2024年-挂账付款'!AH48,IF('2024年-挂账付款'!$AX48-SUM('2024年-挂账付款'!$AH48:AI48)&gt;0,'2024年-挂账付款'!$AX48-SUM('2024年-挂账付款'!$AH48:AI48),0))</f>
        <v>0</v>
      </c>
      <c r="AL48" s="182"/>
      <c r="AM48" s="183"/>
      <c r="AN48" s="176">
        <f t="shared" si="5"/>
        <v>698.34</v>
      </c>
      <c r="AO48" s="203">
        <f>F48</f>
        <v>5237.55</v>
      </c>
      <c r="AP48" s="204"/>
      <c r="AQ48" s="205"/>
      <c r="AR48" s="206">
        <f>AO48</f>
        <v>5237.55</v>
      </c>
    </row>
    <row r="49" s="107" customFormat="1" ht="18" customHeight="1" spans="1:44">
      <c r="A49" s="122"/>
      <c r="B49" s="139" t="s">
        <v>81</v>
      </c>
      <c r="C49" s="130" t="s">
        <v>442</v>
      </c>
      <c r="D49" s="130" t="s">
        <v>337</v>
      </c>
      <c r="E49" s="125">
        <v>90</v>
      </c>
      <c r="F49" s="126">
        <f t="shared" si="3"/>
        <v>41188.95</v>
      </c>
      <c r="G49" s="127">
        <f t="shared" si="4"/>
        <v>41188.95</v>
      </c>
      <c r="H49" s="128">
        <f>IF('2024年-挂账付款'!$AX49&gt;=SUM('2024年-挂账付款'!E49:$AH49),'2024年-挂账付款'!E49,IF('2024年-挂账付款'!$AX49-SUM('2024年-挂账付款'!F49:$AH49)&gt;0,'2024年-挂账付款'!$AX49-SUM('2024年-挂账付款'!F49:$AH49),0))</f>
        <v>0</v>
      </c>
      <c r="I49" s="128">
        <f>IF('2024年-挂账付款'!$AX49&gt;=SUM('2024年-挂账付款'!F49:$AH49),'2024年-挂账付款'!F49,IF('2024年-挂账付款'!$AX49-SUM('2024年-挂账付款'!G49:$AH49)&gt;0,'2024年-挂账付款'!$AX49-SUM('2024年-挂账付款'!G49:$AH49),0))</f>
        <v>0</v>
      </c>
      <c r="J49" s="128">
        <f>IF('2024年-挂账付款'!$AX49&gt;=SUM('2024年-挂账付款'!G49:$AH49),'2024年-挂账付款'!G49,IF('2024年-挂账付款'!$AX49-SUM('2024年-挂账付款'!H49:$AH49)&gt;0,'2024年-挂账付款'!$AX49-SUM('2024年-挂账付款'!H49:$AH49),0))</f>
        <v>0</v>
      </c>
      <c r="K49" s="128">
        <f>IF('2024年-挂账付款'!$AX49&gt;=SUM('2024年-挂账付款'!H49:$AH49),'2024年-挂账付款'!H49,IF('2024年-挂账付款'!$AX49-SUM('2024年-挂账付款'!I49:$AH49)&gt;0,'2024年-挂账付款'!$AX49-SUM('2024年-挂账付款'!I49:$AH49),0))</f>
        <v>0</v>
      </c>
      <c r="L49" s="128">
        <f>IF('2024年-挂账付款'!$AX49&gt;=SUM('2024年-挂账付款'!I49:$AH49),'2024年-挂账付款'!I49,IF('2024年-挂账付款'!$AX49-SUM('2024年-挂账付款'!J49:$AH49)&gt;0,'2024年-挂账付款'!$AX49-SUM('2024年-挂账付款'!J49:$AH49),0))</f>
        <v>0</v>
      </c>
      <c r="M49" s="128">
        <f>IF('2024年-挂账付款'!$AX49&gt;=SUM('2024年-挂账付款'!J49:$AH49),'2024年-挂账付款'!J49,IF('2024年-挂账付款'!$AX49-SUM('2024年-挂账付款'!K49:$AH49)&gt;0,'2024年-挂账付款'!$AX49-SUM('2024年-挂账付款'!K49:$AH49),0))</f>
        <v>0</v>
      </c>
      <c r="N49" s="128">
        <f>IF('2024年-挂账付款'!$AX49&gt;=SUM('2024年-挂账付款'!K49:$AH49),'2024年-挂账付款'!K49,IF('2024年-挂账付款'!$AX49-SUM('2024年-挂账付款'!L49:$AH49)&gt;0,'2024年-挂账付款'!$AX49-SUM('2024年-挂账付款'!L49:$AH49),0))</f>
        <v>0</v>
      </c>
      <c r="O49" s="128">
        <f>IF('2024年-挂账付款'!$AX49&gt;=SUM('2024年-挂账付款'!L49:$AH49),'2024年-挂账付款'!L49,IF('2024年-挂账付款'!$AX49-SUM('2024年-挂账付款'!M49:$AH49)&gt;0,'2024年-挂账付款'!$AX49-SUM('2024年-挂账付款'!M49:$AH49),0))</f>
        <v>0</v>
      </c>
      <c r="P49" s="128">
        <f>IF('2024年-挂账付款'!$AX49&gt;=SUM('2024年-挂账付款'!M49:$AH49),'2024年-挂账付款'!M49,IF('2024年-挂账付款'!$AX49-SUM('2024年-挂账付款'!N49:$AH49)&gt;0,'2024年-挂账付款'!$AX49-SUM('2024年-挂账付款'!N49:$AH49),0))</f>
        <v>0</v>
      </c>
      <c r="Q49" s="128">
        <f>IF('2024年-挂账付款'!$AX49&gt;=SUM('2024年-挂账付款'!N49:$AH49),'2024年-挂账付款'!N49,IF('2024年-挂账付款'!$AX49-SUM('2024年-挂账付款'!O49:$AH49)&gt;0,'2024年-挂账付款'!$AX49-SUM('2024年-挂账付款'!O49:$AH49),0))</f>
        <v>0</v>
      </c>
      <c r="R49" s="128">
        <f>IF('2024年-挂账付款'!$AX49&gt;=SUM('2024年-挂账付款'!O49:$AH49),'2024年-挂账付款'!O49,IF('2024年-挂账付款'!$AX49-SUM('2024年-挂账付款'!P49:$AH49)&gt;0,'2024年-挂账付款'!$AX49-SUM('2024年-挂账付款'!P49:$AH49),0))</f>
        <v>0</v>
      </c>
      <c r="S49" s="128">
        <f>IF('2024年-挂账付款'!$AX49&gt;=SUM('2024年-挂账付款'!P49:$AH49),'2024年-挂账付款'!P49,IF('2024年-挂账付款'!$AX49-SUM('2024年-挂账付款'!Q49:$AH49)&gt;0,'2024年-挂账付款'!$AX49-SUM('2024年-挂账付款'!Q49:$AH49),0))</f>
        <v>0</v>
      </c>
      <c r="T49" s="128">
        <f>IF('2024年-挂账付款'!$AX49&gt;=SUM('2024年-挂账付款'!Q49:$AH49),'2024年-挂账付款'!Q49,IF('2024年-挂账付款'!$AX49-SUM('2024年-挂账付款'!R49:$AH49)&gt;0,'2024年-挂账付款'!$AX49-SUM('2024年-挂账付款'!R49:$AH49),0))</f>
        <v>0</v>
      </c>
      <c r="U49" s="128">
        <f>IF('2024年-挂账付款'!$AX49&gt;=SUM('2024年-挂账付款'!R49:$AH49),'2024年-挂账付款'!R49,IF('2024年-挂账付款'!$AX49-SUM('2024年-挂账付款'!S49:$AH49)&gt;0,'2024年-挂账付款'!$AX49-SUM('2024年-挂账付款'!S49:$AH49),0))</f>
        <v>0</v>
      </c>
      <c r="V49" s="128">
        <f>IF('2024年-挂账付款'!$AX49&gt;=SUM('2024年-挂账付款'!S49:$AH49),'2024年-挂账付款'!S49,IF('2024年-挂账付款'!$AX49-SUM('2024年-挂账付款'!T49:$AH49)&gt;0,'2024年-挂账付款'!$AX49-SUM('2024年-挂账付款'!T49:$AH49),0))</f>
        <v>0</v>
      </c>
      <c r="W49" s="128">
        <f>IF('2024年-挂账付款'!$AX49&gt;=SUM('2024年-挂账付款'!T49:$AH49),'2024年-挂账付款'!T49,IF('2024年-挂账付款'!$AX49-SUM('2024年-挂账付款'!U49:$AH49)&gt;0,'2024年-挂账付款'!$AX49-SUM('2024年-挂账付款'!U49:$AH49),0))</f>
        <v>0</v>
      </c>
      <c r="X49" s="128">
        <f>IF('2024年-挂账付款'!$AX49&gt;=SUM('2024年-挂账付款'!U49:$AH49),'2024年-挂账付款'!U49,IF('2024年-挂账付款'!$AX49-SUM('2024年-挂账付款'!V49:$AH49)&gt;0,'2024年-挂账付款'!$AX49-SUM('2024年-挂账付款'!V49:$AH49),0))</f>
        <v>41188.95</v>
      </c>
      <c r="Y49" s="128">
        <f>IF('2024年-挂账付款'!$AX49&gt;=SUM('2024年-挂账付款'!V49:$AH49),'2024年-挂账付款'!V49,IF('2024年-挂账付款'!$AX49-SUM('2024年-挂账付款'!W49:$AH49)&gt;0,'2024年-挂账付款'!$AX49-SUM('2024年-挂账付款'!W49:$AH49),0))</f>
        <v>0</v>
      </c>
      <c r="Z49" s="128">
        <f>IF('2024年-挂账付款'!$AX49&gt;=SUM('2024年-挂账付款'!W49:$AH49),'2024年-挂账付款'!W49,IF('2024年-挂账付款'!$AX49-SUM('2024年-挂账付款'!X49:$AH49)&gt;0,'2024年-挂账付款'!$AX49-SUM('2024年-挂账付款'!X49:$AH49),0))</f>
        <v>0</v>
      </c>
      <c r="AA49" s="167">
        <f>IF('2024年-挂账付款'!$AX49&gt;=SUM('2024年-挂账付款'!X49:$AH49),'2024年-挂账付款'!X49,IF('2024年-挂账付款'!$AX49-SUM('2024年-挂账付款'!Y49:$AH49)&gt;0,'2024年-挂账付款'!$AX49-SUM('2024年-挂账付款'!Y49:$AH49),0))</f>
        <v>0</v>
      </c>
      <c r="AB49" s="128">
        <f>IF('2024年-挂账付款'!$AX49&gt;=SUM('2024年-挂账付款'!Y49:$AH49),'2024年-挂账付款'!Y49,IF('2024年-挂账付款'!$AX49-SUM('2024年-挂账付款'!Z49:$AH49)&gt;0,'2024年-挂账付款'!$AX49-SUM('2024年-挂账付款'!Z49:$AH49),0))</f>
        <v>0</v>
      </c>
      <c r="AC49" s="128">
        <f>IF('2024年-挂账付款'!$AX49&gt;=SUM('2024年-挂账付款'!Z49:$AH49),'2024年-挂账付款'!Z49,IF('2024年-挂账付款'!$AX49-SUM('2024年-挂账付款'!AA49:$AH49)&gt;0,'2024年-挂账付款'!$AX49-SUM('2024年-挂账付款'!AA49:$AH49),0))</f>
        <v>0</v>
      </c>
      <c r="AD49" s="128">
        <f>IF('2024年-挂账付款'!$AX49&gt;=SUM('2024年-挂账付款'!AA49:$AH49),'2024年-挂账付款'!AA49,IF('2024年-挂账付款'!$AX49-SUM('2024年-挂账付款'!AB49:$AH49)&gt;0,'2024年-挂账付款'!$AX49-SUM('2024年-挂账付款'!AB49:$AH49),0))</f>
        <v>0</v>
      </c>
      <c r="AE49" s="128">
        <f>IF('2024年-挂账付款'!$AX49&gt;=SUM('2024年-挂账付款'!AB49:$AH49),'2024年-挂账付款'!AB49,IF('2024年-挂账付款'!$AX49-SUM('2024年-挂账付款'!AC49:$AH49)&gt;0,'2024年-挂账付款'!$AX49-SUM('2024年-挂账付款'!AC49:$AH49),0))</f>
        <v>0</v>
      </c>
      <c r="AF49" s="128">
        <f>IF('2024年-挂账付款'!$AX49&gt;=SUM('2024年-挂账付款'!AC49:$AH49),'2024年-挂账付款'!AC49,IF('2024年-挂账付款'!$AX49-SUM('2024年-挂账付款'!AD49:$AH49)&gt;0,'2024年-挂账付款'!$AX49-SUM('2024年-挂账付款'!AD49:$AH49),0))</f>
        <v>0</v>
      </c>
      <c r="AG49" s="128">
        <f>IF('2024年-挂账付款'!$AX49&gt;=SUM('2024年-挂账付款'!AD49:$AH49),'2024年-挂账付款'!AD49,IF('2024年-挂账付款'!$AX49-SUM('2024年-挂账付款'!AE49:$AH49)&gt;0,'2024年-挂账付款'!$AX49-SUM('2024年-挂账付款'!AE49:$AH49),0))</f>
        <v>0</v>
      </c>
      <c r="AH49" s="128">
        <f>IF('2024年-挂账付款'!$AX49&gt;=SUM('2024年-挂账付款'!AE49:$AH49),'2024年-挂账付款'!AE49,IF('2024年-挂账付款'!$AX49-SUM('2024年-挂账付款'!AF49:$AH49)&gt;0,'2024年-挂账付款'!$AX49-SUM('2024年-挂账付款'!AF49:$AH49),0))</f>
        <v>0</v>
      </c>
      <c r="AI49" s="128">
        <f>IF('2024年-挂账付款'!$AX49&gt;=SUM('2024年-挂账付款'!AF49:$AH49),'2024年-挂账付款'!AF49,IF('2024年-挂账付款'!$AX49-SUM('2024年-挂账付款'!AG49:$AH49)&gt;0,'2024年-挂账付款'!$AX49-SUM('2024年-挂账付款'!AG49:$AH49),0))</f>
        <v>0</v>
      </c>
      <c r="AJ49" s="128">
        <f>IF('2024年-挂账付款'!$AX49&gt;=SUM('2024年-挂账付款'!AG49:$AH49),'2024年-挂账付款'!AG49,IF('2024年-挂账付款'!$AX49-SUM('2024年-挂账付款'!AH49:$AH49)&gt;0,'2024年-挂账付款'!$AX49-SUM('2024年-挂账付款'!AH49:$AH49),0))</f>
        <v>0</v>
      </c>
      <c r="AK49" s="128">
        <f>IF('2024年-挂账付款'!$AX49&gt;=SUM('2024年-挂账付款'!AH49:$AH49),'2024年-挂账付款'!AH49,IF('2024年-挂账付款'!$AX49-SUM('2024年-挂账付款'!$AH49:AI49)&gt;0,'2024年-挂账付款'!$AX49-SUM('2024年-挂账付款'!$AH49:AI49),0))</f>
        <v>0</v>
      </c>
      <c r="AL49" s="182"/>
      <c r="AM49" s="183"/>
      <c r="AN49" s="176">
        <f t="shared" si="5"/>
        <v>5491.86</v>
      </c>
      <c r="AO49" s="203">
        <f>AN49</f>
        <v>5491.86</v>
      </c>
      <c r="AP49" s="204"/>
      <c r="AQ49" s="205"/>
      <c r="AR49" s="206">
        <v>10000</v>
      </c>
    </row>
    <row r="50" s="107" customFormat="1" ht="18" customHeight="1" spans="1:44">
      <c r="A50" s="122"/>
      <c r="B50" s="139" t="s">
        <v>81</v>
      </c>
      <c r="C50" s="130" t="s">
        <v>297</v>
      </c>
      <c r="D50" s="130" t="s">
        <v>298</v>
      </c>
      <c r="E50" s="125">
        <v>90</v>
      </c>
      <c r="F50" s="126">
        <f t="shared" si="3"/>
        <v>0</v>
      </c>
      <c r="G50" s="127" t="str">
        <f t="shared" si="4"/>
        <v>0</v>
      </c>
      <c r="H50" s="128" t="str">
        <f>IF('2024年-挂账付款'!$AX50&gt;=SUM('2024年-挂账付款'!E50:$AH50),'2024年-挂账付款'!E50,IF('2024年-挂账付款'!$AX50-SUM('2024年-挂账付款'!F50:$AH50)&gt;0,'2024年-挂账付款'!$AX50-SUM('2024年-挂账付款'!F50:$AH50),0))</f>
        <v/>
      </c>
      <c r="I50" s="128" t="str">
        <f>IF('2024年-挂账付款'!$AX50&gt;=SUM('2024年-挂账付款'!F50:$AH50),'2024年-挂账付款'!F50,IF('2024年-挂账付款'!$AX50-SUM('2024年-挂账付款'!G50:$AH50)&gt;0,'2024年-挂账付款'!$AX50-SUM('2024年-挂账付款'!G50:$AH50),0))</f>
        <v/>
      </c>
      <c r="J50" s="128" t="str">
        <f>IF('2024年-挂账付款'!$AX50&gt;=SUM('2024年-挂账付款'!G50:$AH50),'2024年-挂账付款'!G50,IF('2024年-挂账付款'!$AX50-SUM('2024年-挂账付款'!H50:$AH50)&gt;0,'2024年-挂账付款'!$AX50-SUM('2024年-挂账付款'!H50:$AH50),0))</f>
        <v/>
      </c>
      <c r="K50" s="128">
        <f>IF('2024年-挂账付款'!$AX50&gt;=SUM('2024年-挂账付款'!H50:$AH50),'2024年-挂账付款'!H50,IF('2024年-挂账付款'!$AX50-SUM('2024年-挂账付款'!I50:$AH50)&gt;0,'2024年-挂账付款'!$AX50-SUM('2024年-挂账付款'!I50:$AH50),0))</f>
        <v>0</v>
      </c>
      <c r="L50" s="128">
        <f>IF('2024年-挂账付款'!$AX50&gt;=SUM('2024年-挂账付款'!I50:$AH50),'2024年-挂账付款'!I50,IF('2024年-挂账付款'!$AX50-SUM('2024年-挂账付款'!J50:$AH50)&gt;0,'2024年-挂账付款'!$AX50-SUM('2024年-挂账付款'!J50:$AH50),0))</f>
        <v>0</v>
      </c>
      <c r="M50" s="128" t="str">
        <f>IF('2024年-挂账付款'!$AX50&gt;=SUM('2024年-挂账付款'!J50:$AH50),'2024年-挂账付款'!J50,IF('2024年-挂账付款'!$AX50-SUM('2024年-挂账付款'!K50:$AH50)&gt;0,'2024年-挂账付款'!$AX50-SUM('2024年-挂账付款'!K50:$AH50),0))</f>
        <v/>
      </c>
      <c r="N50" s="128">
        <f>IF('2024年-挂账付款'!$AX50&gt;=SUM('2024年-挂账付款'!K50:$AH50),'2024年-挂账付款'!K50,IF('2024年-挂账付款'!$AX50-SUM('2024年-挂账付款'!L50:$AH50)&gt;0,'2024年-挂账付款'!$AX50-SUM('2024年-挂账付款'!L50:$AH50),0))</f>
        <v>0</v>
      </c>
      <c r="O50" s="128">
        <f>IF('2024年-挂账付款'!$AX50&gt;=SUM('2024年-挂账付款'!L50:$AH50),'2024年-挂账付款'!L50,IF('2024年-挂账付款'!$AX50-SUM('2024年-挂账付款'!M50:$AH50)&gt;0,'2024年-挂账付款'!$AX50-SUM('2024年-挂账付款'!M50:$AH50),0))</f>
        <v>0</v>
      </c>
      <c r="P50" s="128">
        <f>IF('2024年-挂账付款'!$AX50&gt;=SUM('2024年-挂账付款'!M50:$AH50),'2024年-挂账付款'!M50,IF('2024年-挂账付款'!$AX50-SUM('2024年-挂账付款'!N50:$AH50)&gt;0,'2024年-挂账付款'!$AX50-SUM('2024年-挂账付款'!N50:$AH50),0))</f>
        <v>0</v>
      </c>
      <c r="Q50" s="128">
        <f>IF('2024年-挂账付款'!$AX50&gt;=SUM('2024年-挂账付款'!N50:$AH50),'2024年-挂账付款'!N50,IF('2024年-挂账付款'!$AX50-SUM('2024年-挂账付款'!O50:$AH50)&gt;0,'2024年-挂账付款'!$AX50-SUM('2024年-挂账付款'!O50:$AH50),0))</f>
        <v>0</v>
      </c>
      <c r="R50" s="128">
        <f>IF('2024年-挂账付款'!$AX50&gt;=SUM('2024年-挂账付款'!O50:$AH50),'2024年-挂账付款'!O50,IF('2024年-挂账付款'!$AX50-SUM('2024年-挂账付款'!P50:$AH50)&gt;0,'2024年-挂账付款'!$AX50-SUM('2024年-挂账付款'!P50:$AH50),0))</f>
        <v>0</v>
      </c>
      <c r="S50" s="128">
        <f>IF('2024年-挂账付款'!$AX50&gt;=SUM('2024年-挂账付款'!P50:$AH50),'2024年-挂账付款'!P50,IF('2024年-挂账付款'!$AX50-SUM('2024年-挂账付款'!Q50:$AH50)&gt;0,'2024年-挂账付款'!$AX50-SUM('2024年-挂账付款'!Q50:$AH50),0))</f>
        <v>0</v>
      </c>
      <c r="T50" s="128">
        <f>IF('2024年-挂账付款'!$AX50&gt;=SUM('2024年-挂账付款'!Q50:$AH50),'2024年-挂账付款'!Q50,IF('2024年-挂账付款'!$AX50-SUM('2024年-挂账付款'!R50:$AH50)&gt;0,'2024年-挂账付款'!$AX50-SUM('2024年-挂账付款'!R50:$AH50),0))</f>
        <v>0</v>
      </c>
      <c r="U50" s="128">
        <f>IF('2024年-挂账付款'!$AX50&gt;=SUM('2024年-挂账付款'!R50:$AH50),'2024年-挂账付款'!R50,IF('2024年-挂账付款'!$AX50-SUM('2024年-挂账付款'!S50:$AH50)&gt;0,'2024年-挂账付款'!$AX50-SUM('2024年-挂账付款'!S50:$AH50),0))</f>
        <v>0</v>
      </c>
      <c r="V50" s="128">
        <f>IF('2024年-挂账付款'!$AX50&gt;=SUM('2024年-挂账付款'!S50:$AH50),'2024年-挂账付款'!S50,IF('2024年-挂账付款'!$AX50-SUM('2024年-挂账付款'!T50:$AH50)&gt;0,'2024年-挂账付款'!$AX50-SUM('2024年-挂账付款'!T50:$AH50),0))</f>
        <v>0</v>
      </c>
      <c r="W50" s="128">
        <f>IF('2024年-挂账付款'!$AX50&gt;=SUM('2024年-挂账付款'!T50:$AH50),'2024年-挂账付款'!T50,IF('2024年-挂账付款'!$AX50-SUM('2024年-挂账付款'!U50:$AH50)&gt;0,'2024年-挂账付款'!$AX50-SUM('2024年-挂账付款'!U50:$AH50),0))</f>
        <v>0</v>
      </c>
      <c r="X50" s="128">
        <f>IF('2024年-挂账付款'!$AX50&gt;=SUM('2024年-挂账付款'!U50:$AH50),'2024年-挂账付款'!U50,IF('2024年-挂账付款'!$AX50-SUM('2024年-挂账付款'!V50:$AH50)&gt;0,'2024年-挂账付款'!$AX50-SUM('2024年-挂账付款'!V50:$AH50),0))</f>
        <v>0</v>
      </c>
      <c r="Y50" s="128">
        <f>IF('2024年-挂账付款'!$AX50&gt;=SUM('2024年-挂账付款'!V50:$AH50),'2024年-挂账付款'!V50,IF('2024年-挂账付款'!$AX50-SUM('2024年-挂账付款'!W50:$AH50)&gt;0,'2024年-挂账付款'!$AX50-SUM('2024年-挂账付款'!W50:$AH50),0))</f>
        <v>0</v>
      </c>
      <c r="Z50" s="128">
        <f>IF('2024年-挂账付款'!$AX50&gt;=SUM('2024年-挂账付款'!W50:$AH50),'2024年-挂账付款'!W50,IF('2024年-挂账付款'!$AX50-SUM('2024年-挂账付款'!X50:$AH50)&gt;0,'2024年-挂账付款'!$AX50-SUM('2024年-挂账付款'!X50:$AH50),0))</f>
        <v>0</v>
      </c>
      <c r="AA50" s="167">
        <f>IF('2024年-挂账付款'!$AX50&gt;=SUM('2024年-挂账付款'!X50:$AH50),'2024年-挂账付款'!X50,IF('2024年-挂账付款'!$AX50-SUM('2024年-挂账付款'!Y50:$AH50)&gt;0,'2024年-挂账付款'!$AX50-SUM('2024年-挂账付款'!Y50:$AH50),0))</f>
        <v>0</v>
      </c>
      <c r="AB50" s="128">
        <f>IF('2024年-挂账付款'!$AX50&gt;=SUM('2024年-挂账付款'!Y50:$AH50),'2024年-挂账付款'!Y50,IF('2024年-挂账付款'!$AX50-SUM('2024年-挂账付款'!Z50:$AH50)&gt;0,'2024年-挂账付款'!$AX50-SUM('2024年-挂账付款'!Z50:$AH50),0))</f>
        <v>0</v>
      </c>
      <c r="AC50" s="128">
        <f>IF('2024年-挂账付款'!$AX50&gt;=SUM('2024年-挂账付款'!Z50:$AH50),'2024年-挂账付款'!Z50,IF('2024年-挂账付款'!$AX50-SUM('2024年-挂账付款'!AA50:$AH50)&gt;0,'2024年-挂账付款'!$AX50-SUM('2024年-挂账付款'!AA50:$AH50),0))</f>
        <v>0</v>
      </c>
      <c r="AD50" s="128">
        <f>IF('2024年-挂账付款'!$AX50&gt;=SUM('2024年-挂账付款'!AA50:$AH50),'2024年-挂账付款'!AA50,IF('2024年-挂账付款'!$AX50-SUM('2024年-挂账付款'!AB50:$AH50)&gt;0,'2024年-挂账付款'!$AX50-SUM('2024年-挂账付款'!AB50:$AH50),0))</f>
        <v>0</v>
      </c>
      <c r="AE50" s="128">
        <f>IF('2024年-挂账付款'!$AX50&gt;=SUM('2024年-挂账付款'!AB50:$AH50),'2024年-挂账付款'!AB50,IF('2024年-挂账付款'!$AX50-SUM('2024年-挂账付款'!AC50:$AH50)&gt;0,'2024年-挂账付款'!$AX50-SUM('2024年-挂账付款'!AC50:$AH50),0))</f>
        <v>0</v>
      </c>
      <c r="AF50" s="128">
        <f>IF('2024年-挂账付款'!$AX50&gt;=SUM('2024年-挂账付款'!AC50:$AH50),'2024年-挂账付款'!AC50,IF('2024年-挂账付款'!$AX50-SUM('2024年-挂账付款'!AD50:$AH50)&gt;0,'2024年-挂账付款'!$AX50-SUM('2024年-挂账付款'!AD50:$AH50),0))</f>
        <v>0</v>
      </c>
      <c r="AG50" s="128">
        <f>IF('2024年-挂账付款'!$AX50&gt;=SUM('2024年-挂账付款'!AD50:$AH50),'2024年-挂账付款'!AD50,IF('2024年-挂账付款'!$AX50-SUM('2024年-挂账付款'!AE50:$AH50)&gt;0,'2024年-挂账付款'!$AX50-SUM('2024年-挂账付款'!AE50:$AH50),0))</f>
        <v>0</v>
      </c>
      <c r="AH50" s="128">
        <f>IF('2024年-挂账付款'!$AX50&gt;=SUM('2024年-挂账付款'!AE50:$AH50),'2024年-挂账付款'!AE50,IF('2024年-挂账付款'!$AX50-SUM('2024年-挂账付款'!AF50:$AH50)&gt;0,'2024年-挂账付款'!$AX50-SUM('2024年-挂账付款'!AF50:$AH50),0))</f>
        <v>0</v>
      </c>
      <c r="AI50" s="128">
        <f>IF('2024年-挂账付款'!$AX50&gt;=SUM('2024年-挂账付款'!AF50:$AH50),'2024年-挂账付款'!AF50,IF('2024年-挂账付款'!$AX50-SUM('2024年-挂账付款'!AG50:$AH50)&gt;0,'2024年-挂账付款'!$AX50-SUM('2024年-挂账付款'!AG50:$AH50),0))</f>
        <v>0</v>
      </c>
      <c r="AJ50" s="128">
        <f>IF('2024年-挂账付款'!$AX50&gt;=SUM('2024年-挂账付款'!AG50:$AH50),'2024年-挂账付款'!AG50,IF('2024年-挂账付款'!$AX50-SUM('2024年-挂账付款'!AH50:$AH50)&gt;0,'2024年-挂账付款'!$AX50-SUM('2024年-挂账付款'!AH50:$AH50),0))</f>
        <v>0</v>
      </c>
      <c r="AK50" s="128">
        <f>IF('2024年-挂账付款'!$AX50&gt;=SUM('2024年-挂账付款'!AH50:$AH50),'2024年-挂账付款'!AH50,IF('2024年-挂账付款'!$AX50-SUM('2024年-挂账付款'!$AH50:AI50)&gt;0,'2024年-挂账付款'!$AX50-SUM('2024年-挂账付款'!$AH50:AI50),0))</f>
        <v>0</v>
      </c>
      <c r="AL50" s="182"/>
      <c r="AM50" s="183"/>
      <c r="AN50" s="176">
        <f t="shared" si="5"/>
        <v>0</v>
      </c>
      <c r="AO50" s="203"/>
      <c r="AP50" s="204"/>
      <c r="AQ50" s="205"/>
      <c r="AR50" s="206"/>
    </row>
    <row r="51" s="107" customFormat="1" ht="18" customHeight="1" spans="1:44">
      <c r="A51" s="122"/>
      <c r="B51" s="139" t="s">
        <v>81</v>
      </c>
      <c r="C51" s="130" t="s">
        <v>299</v>
      </c>
      <c r="D51" s="130" t="s">
        <v>300</v>
      </c>
      <c r="E51" s="125">
        <v>90</v>
      </c>
      <c r="F51" s="126">
        <f t="shared" si="3"/>
        <v>0</v>
      </c>
      <c r="G51" s="127" t="str">
        <f t="shared" si="4"/>
        <v>0</v>
      </c>
      <c r="H51" s="128" t="str">
        <f>IF('2024年-挂账付款'!$AX51&gt;=SUM('2024年-挂账付款'!E51:$AH51),'2024年-挂账付款'!E51,IF('2024年-挂账付款'!$AX51-SUM('2024年-挂账付款'!F51:$AH51)&gt;0,'2024年-挂账付款'!$AX51-SUM('2024年-挂账付款'!F51:$AH51),0))</f>
        <v/>
      </c>
      <c r="I51" s="128" t="str">
        <f>IF('2024年-挂账付款'!$AX51&gt;=SUM('2024年-挂账付款'!F51:$AH51),'2024年-挂账付款'!F51,IF('2024年-挂账付款'!$AX51-SUM('2024年-挂账付款'!G51:$AH51)&gt;0,'2024年-挂账付款'!$AX51-SUM('2024年-挂账付款'!G51:$AH51),0))</f>
        <v/>
      </c>
      <c r="J51" s="128" t="str">
        <f>IF('2024年-挂账付款'!$AX51&gt;=SUM('2024年-挂账付款'!G51:$AH51),'2024年-挂账付款'!G51,IF('2024年-挂账付款'!$AX51-SUM('2024年-挂账付款'!H51:$AH51)&gt;0,'2024年-挂账付款'!$AX51-SUM('2024年-挂账付款'!H51:$AH51),0))</f>
        <v/>
      </c>
      <c r="K51" s="128">
        <f>IF('2024年-挂账付款'!$AX51&gt;=SUM('2024年-挂账付款'!H51:$AH51),'2024年-挂账付款'!H51,IF('2024年-挂账付款'!$AX51-SUM('2024年-挂账付款'!I51:$AH51)&gt;0,'2024年-挂账付款'!$AX51-SUM('2024年-挂账付款'!I51:$AH51),0))</f>
        <v>0</v>
      </c>
      <c r="L51" s="128">
        <f>IF('2024年-挂账付款'!$AX51&gt;=SUM('2024年-挂账付款'!I51:$AH51),'2024年-挂账付款'!I51,IF('2024年-挂账付款'!$AX51-SUM('2024年-挂账付款'!J51:$AH51)&gt;0,'2024年-挂账付款'!$AX51-SUM('2024年-挂账付款'!J51:$AH51),0))</f>
        <v>0</v>
      </c>
      <c r="M51" s="128" t="str">
        <f>IF('2024年-挂账付款'!$AX51&gt;=SUM('2024年-挂账付款'!J51:$AH51),'2024年-挂账付款'!J51,IF('2024年-挂账付款'!$AX51-SUM('2024年-挂账付款'!K51:$AH51)&gt;0,'2024年-挂账付款'!$AX51-SUM('2024年-挂账付款'!K51:$AH51),0))</f>
        <v/>
      </c>
      <c r="N51" s="128">
        <f>IF('2024年-挂账付款'!$AX51&gt;=SUM('2024年-挂账付款'!K51:$AH51),'2024年-挂账付款'!K51,IF('2024年-挂账付款'!$AX51-SUM('2024年-挂账付款'!L51:$AH51)&gt;0,'2024年-挂账付款'!$AX51-SUM('2024年-挂账付款'!L51:$AH51),0))</f>
        <v>0</v>
      </c>
      <c r="O51" s="128">
        <f>IF('2024年-挂账付款'!$AX51&gt;=SUM('2024年-挂账付款'!L51:$AH51),'2024年-挂账付款'!L51,IF('2024年-挂账付款'!$AX51-SUM('2024年-挂账付款'!M51:$AH51)&gt;0,'2024年-挂账付款'!$AX51-SUM('2024年-挂账付款'!M51:$AH51),0))</f>
        <v>0</v>
      </c>
      <c r="P51" s="128">
        <f>IF('2024年-挂账付款'!$AX51&gt;=SUM('2024年-挂账付款'!M51:$AH51),'2024年-挂账付款'!M51,IF('2024年-挂账付款'!$AX51-SUM('2024年-挂账付款'!N51:$AH51)&gt;0,'2024年-挂账付款'!$AX51-SUM('2024年-挂账付款'!N51:$AH51),0))</f>
        <v>0</v>
      </c>
      <c r="Q51" s="128">
        <f>IF('2024年-挂账付款'!$AX51&gt;=SUM('2024年-挂账付款'!N51:$AH51),'2024年-挂账付款'!N51,IF('2024年-挂账付款'!$AX51-SUM('2024年-挂账付款'!O51:$AH51)&gt;0,'2024年-挂账付款'!$AX51-SUM('2024年-挂账付款'!O51:$AH51),0))</f>
        <v>0</v>
      </c>
      <c r="R51" s="128">
        <f>IF('2024年-挂账付款'!$AX51&gt;=SUM('2024年-挂账付款'!O51:$AH51),'2024年-挂账付款'!O51,IF('2024年-挂账付款'!$AX51-SUM('2024年-挂账付款'!P51:$AH51)&gt;0,'2024年-挂账付款'!$AX51-SUM('2024年-挂账付款'!P51:$AH51),0))</f>
        <v>0</v>
      </c>
      <c r="S51" s="128">
        <f>IF('2024年-挂账付款'!$AX51&gt;=SUM('2024年-挂账付款'!P51:$AH51),'2024年-挂账付款'!P51,IF('2024年-挂账付款'!$AX51-SUM('2024年-挂账付款'!Q51:$AH51)&gt;0,'2024年-挂账付款'!$AX51-SUM('2024年-挂账付款'!Q51:$AH51),0))</f>
        <v>0</v>
      </c>
      <c r="T51" s="128">
        <f>IF('2024年-挂账付款'!$AX51&gt;=SUM('2024年-挂账付款'!Q51:$AH51),'2024年-挂账付款'!Q51,IF('2024年-挂账付款'!$AX51-SUM('2024年-挂账付款'!R51:$AH51)&gt;0,'2024年-挂账付款'!$AX51-SUM('2024年-挂账付款'!R51:$AH51),0))</f>
        <v>0</v>
      </c>
      <c r="U51" s="128">
        <f>IF('2024年-挂账付款'!$AX51&gt;=SUM('2024年-挂账付款'!R51:$AH51),'2024年-挂账付款'!R51,IF('2024年-挂账付款'!$AX51-SUM('2024年-挂账付款'!S51:$AH51)&gt;0,'2024年-挂账付款'!$AX51-SUM('2024年-挂账付款'!S51:$AH51),0))</f>
        <v>0</v>
      </c>
      <c r="V51" s="128">
        <f>IF('2024年-挂账付款'!$AX51&gt;=SUM('2024年-挂账付款'!S51:$AH51),'2024年-挂账付款'!S51,IF('2024年-挂账付款'!$AX51-SUM('2024年-挂账付款'!T51:$AH51)&gt;0,'2024年-挂账付款'!$AX51-SUM('2024年-挂账付款'!T51:$AH51),0))</f>
        <v>0</v>
      </c>
      <c r="W51" s="128">
        <f>IF('2024年-挂账付款'!$AX51&gt;=SUM('2024年-挂账付款'!T51:$AH51),'2024年-挂账付款'!T51,IF('2024年-挂账付款'!$AX51-SUM('2024年-挂账付款'!U51:$AH51)&gt;0,'2024年-挂账付款'!$AX51-SUM('2024年-挂账付款'!U51:$AH51),0))</f>
        <v>0</v>
      </c>
      <c r="X51" s="128">
        <f>IF('2024年-挂账付款'!$AX51&gt;=SUM('2024年-挂账付款'!U51:$AH51),'2024年-挂账付款'!U51,IF('2024年-挂账付款'!$AX51-SUM('2024年-挂账付款'!V51:$AH51)&gt;0,'2024年-挂账付款'!$AX51-SUM('2024年-挂账付款'!V51:$AH51),0))</f>
        <v>0</v>
      </c>
      <c r="Y51" s="128">
        <f>IF('2024年-挂账付款'!$AX51&gt;=SUM('2024年-挂账付款'!V51:$AH51),'2024年-挂账付款'!V51,IF('2024年-挂账付款'!$AX51-SUM('2024年-挂账付款'!W51:$AH51)&gt;0,'2024年-挂账付款'!$AX51-SUM('2024年-挂账付款'!W51:$AH51),0))</f>
        <v>0</v>
      </c>
      <c r="Z51" s="128">
        <f>IF('2024年-挂账付款'!$AX51&gt;=SUM('2024年-挂账付款'!W51:$AH51),'2024年-挂账付款'!W51,IF('2024年-挂账付款'!$AX51-SUM('2024年-挂账付款'!X51:$AH51)&gt;0,'2024年-挂账付款'!$AX51-SUM('2024年-挂账付款'!X51:$AH51),0))</f>
        <v>0</v>
      </c>
      <c r="AA51" s="167">
        <f>IF('2024年-挂账付款'!$AX51&gt;=SUM('2024年-挂账付款'!X51:$AH51),'2024年-挂账付款'!X51,IF('2024年-挂账付款'!$AX51-SUM('2024年-挂账付款'!Y51:$AH51)&gt;0,'2024年-挂账付款'!$AX51-SUM('2024年-挂账付款'!Y51:$AH51),0))</f>
        <v>0</v>
      </c>
      <c r="AB51" s="128">
        <f>IF('2024年-挂账付款'!$AX51&gt;=SUM('2024年-挂账付款'!Y51:$AH51),'2024年-挂账付款'!Y51,IF('2024年-挂账付款'!$AX51-SUM('2024年-挂账付款'!Z51:$AH51)&gt;0,'2024年-挂账付款'!$AX51-SUM('2024年-挂账付款'!Z51:$AH51),0))</f>
        <v>0</v>
      </c>
      <c r="AC51" s="128">
        <f>IF('2024年-挂账付款'!$AX51&gt;=SUM('2024年-挂账付款'!Z51:$AH51),'2024年-挂账付款'!Z51,IF('2024年-挂账付款'!$AX51-SUM('2024年-挂账付款'!AA51:$AH51)&gt;0,'2024年-挂账付款'!$AX51-SUM('2024年-挂账付款'!AA51:$AH51),0))</f>
        <v>0</v>
      </c>
      <c r="AD51" s="128">
        <f>IF('2024年-挂账付款'!$AX51&gt;=SUM('2024年-挂账付款'!AA51:$AH51),'2024年-挂账付款'!AA51,IF('2024年-挂账付款'!$AX51-SUM('2024年-挂账付款'!AB51:$AH51)&gt;0,'2024年-挂账付款'!$AX51-SUM('2024年-挂账付款'!AB51:$AH51),0))</f>
        <v>0</v>
      </c>
      <c r="AE51" s="128">
        <f>IF('2024年-挂账付款'!$AX51&gt;=SUM('2024年-挂账付款'!AB51:$AH51),'2024年-挂账付款'!AB51,IF('2024年-挂账付款'!$AX51-SUM('2024年-挂账付款'!AC51:$AH51)&gt;0,'2024年-挂账付款'!$AX51-SUM('2024年-挂账付款'!AC51:$AH51),0))</f>
        <v>0</v>
      </c>
      <c r="AF51" s="128">
        <f>IF('2024年-挂账付款'!$AX51&gt;=SUM('2024年-挂账付款'!AC51:$AH51),'2024年-挂账付款'!AC51,IF('2024年-挂账付款'!$AX51-SUM('2024年-挂账付款'!AD51:$AH51)&gt;0,'2024年-挂账付款'!$AX51-SUM('2024年-挂账付款'!AD51:$AH51),0))</f>
        <v>0</v>
      </c>
      <c r="AG51" s="128">
        <f>IF('2024年-挂账付款'!$AX51&gt;=SUM('2024年-挂账付款'!AD51:$AH51),'2024年-挂账付款'!AD51,IF('2024年-挂账付款'!$AX51-SUM('2024年-挂账付款'!AE51:$AH51)&gt;0,'2024年-挂账付款'!$AX51-SUM('2024年-挂账付款'!AE51:$AH51),0))</f>
        <v>0</v>
      </c>
      <c r="AH51" s="128">
        <f>IF('2024年-挂账付款'!$AX51&gt;=SUM('2024年-挂账付款'!AE51:$AH51),'2024年-挂账付款'!AE51,IF('2024年-挂账付款'!$AX51-SUM('2024年-挂账付款'!AF51:$AH51)&gt;0,'2024年-挂账付款'!$AX51-SUM('2024年-挂账付款'!AF51:$AH51),0))</f>
        <v>0</v>
      </c>
      <c r="AI51" s="128">
        <f>IF('2024年-挂账付款'!$AX51&gt;=SUM('2024年-挂账付款'!AF51:$AH51),'2024年-挂账付款'!AF51,IF('2024年-挂账付款'!$AX51-SUM('2024年-挂账付款'!AG51:$AH51)&gt;0,'2024年-挂账付款'!$AX51-SUM('2024年-挂账付款'!AG51:$AH51),0))</f>
        <v>0</v>
      </c>
      <c r="AJ51" s="128">
        <f>IF('2024年-挂账付款'!$AX51&gt;=SUM('2024年-挂账付款'!AG51:$AH51),'2024年-挂账付款'!AG51,IF('2024年-挂账付款'!$AX51-SUM('2024年-挂账付款'!AH51:$AH51)&gt;0,'2024年-挂账付款'!$AX51-SUM('2024年-挂账付款'!AH51:$AH51),0))</f>
        <v>0</v>
      </c>
      <c r="AK51" s="128">
        <f>IF('2024年-挂账付款'!$AX51&gt;=SUM('2024年-挂账付款'!AH51:$AH51),'2024年-挂账付款'!AH51,IF('2024年-挂账付款'!$AX51-SUM('2024年-挂账付款'!$AH51:AI51)&gt;0,'2024年-挂账付款'!$AX51-SUM('2024年-挂账付款'!$AH51:AI51),0))</f>
        <v>0</v>
      </c>
      <c r="AL51" s="182"/>
      <c r="AM51" s="184"/>
      <c r="AN51" s="176">
        <f t="shared" si="5"/>
        <v>0</v>
      </c>
      <c r="AO51" s="203"/>
      <c r="AP51" s="204"/>
      <c r="AQ51" s="205"/>
      <c r="AR51" s="206"/>
    </row>
    <row r="52" s="107" customFormat="1" ht="18" customHeight="1" spans="1:44">
      <c r="A52" s="122"/>
      <c r="B52" s="139" t="s">
        <v>81</v>
      </c>
      <c r="C52" s="130" t="s">
        <v>301</v>
      </c>
      <c r="D52" s="130" t="s">
        <v>302</v>
      </c>
      <c r="E52" s="125">
        <v>90</v>
      </c>
      <c r="F52" s="126">
        <f t="shared" si="3"/>
        <v>0</v>
      </c>
      <c r="G52" s="127" t="str">
        <f t="shared" si="4"/>
        <v>0</v>
      </c>
      <c r="H52" s="128" t="str">
        <f>IF('2024年-挂账付款'!$AX52&gt;=SUM('2024年-挂账付款'!E52:$AH52),'2024年-挂账付款'!E52,IF('2024年-挂账付款'!$AX52-SUM('2024年-挂账付款'!F52:$AH52)&gt;0,'2024年-挂账付款'!$AX52-SUM('2024年-挂账付款'!F52:$AH52),0))</f>
        <v/>
      </c>
      <c r="I52" s="128" t="str">
        <f>IF('2024年-挂账付款'!$AX52&gt;=SUM('2024年-挂账付款'!F52:$AH52),'2024年-挂账付款'!F52,IF('2024年-挂账付款'!$AX52-SUM('2024年-挂账付款'!G52:$AH52)&gt;0,'2024年-挂账付款'!$AX52-SUM('2024年-挂账付款'!G52:$AH52),0))</f>
        <v/>
      </c>
      <c r="J52" s="128" t="str">
        <f>IF('2024年-挂账付款'!$AX52&gt;=SUM('2024年-挂账付款'!G52:$AH52),'2024年-挂账付款'!G52,IF('2024年-挂账付款'!$AX52-SUM('2024年-挂账付款'!H52:$AH52)&gt;0,'2024年-挂账付款'!$AX52-SUM('2024年-挂账付款'!H52:$AH52),0))</f>
        <v/>
      </c>
      <c r="K52" s="128">
        <f>IF('2024年-挂账付款'!$AX52&gt;=SUM('2024年-挂账付款'!H52:$AH52),'2024年-挂账付款'!H52,IF('2024年-挂账付款'!$AX52-SUM('2024年-挂账付款'!I52:$AH52)&gt;0,'2024年-挂账付款'!$AX52-SUM('2024年-挂账付款'!I52:$AH52),0))</f>
        <v>0</v>
      </c>
      <c r="L52" s="128">
        <f>IF('2024年-挂账付款'!$AX52&gt;=SUM('2024年-挂账付款'!I52:$AH52),'2024年-挂账付款'!I52,IF('2024年-挂账付款'!$AX52-SUM('2024年-挂账付款'!J52:$AH52)&gt;0,'2024年-挂账付款'!$AX52-SUM('2024年-挂账付款'!J52:$AH52),0))</f>
        <v>0</v>
      </c>
      <c r="M52" s="128" t="str">
        <f>IF('2024年-挂账付款'!$AX52&gt;=SUM('2024年-挂账付款'!J52:$AH52),'2024年-挂账付款'!J52,IF('2024年-挂账付款'!$AX52-SUM('2024年-挂账付款'!K52:$AH52)&gt;0,'2024年-挂账付款'!$AX52-SUM('2024年-挂账付款'!K52:$AH52),0))</f>
        <v/>
      </c>
      <c r="N52" s="128">
        <f>IF('2024年-挂账付款'!$AX52&gt;=SUM('2024年-挂账付款'!K52:$AH52),'2024年-挂账付款'!K52,IF('2024年-挂账付款'!$AX52-SUM('2024年-挂账付款'!L52:$AH52)&gt;0,'2024年-挂账付款'!$AX52-SUM('2024年-挂账付款'!L52:$AH52),0))</f>
        <v>0</v>
      </c>
      <c r="O52" s="128">
        <f>IF('2024年-挂账付款'!$AX52&gt;=SUM('2024年-挂账付款'!L52:$AH52),'2024年-挂账付款'!L52,IF('2024年-挂账付款'!$AX52-SUM('2024年-挂账付款'!M52:$AH52)&gt;0,'2024年-挂账付款'!$AX52-SUM('2024年-挂账付款'!M52:$AH52),0))</f>
        <v>0</v>
      </c>
      <c r="P52" s="128">
        <f>IF('2024年-挂账付款'!$AX52&gt;=SUM('2024年-挂账付款'!M52:$AH52),'2024年-挂账付款'!M52,IF('2024年-挂账付款'!$AX52-SUM('2024年-挂账付款'!N52:$AH52)&gt;0,'2024年-挂账付款'!$AX52-SUM('2024年-挂账付款'!N52:$AH52),0))</f>
        <v>0</v>
      </c>
      <c r="Q52" s="128">
        <f>IF('2024年-挂账付款'!$AX52&gt;=SUM('2024年-挂账付款'!N52:$AH52),'2024年-挂账付款'!N52,IF('2024年-挂账付款'!$AX52-SUM('2024年-挂账付款'!O52:$AH52)&gt;0,'2024年-挂账付款'!$AX52-SUM('2024年-挂账付款'!O52:$AH52),0))</f>
        <v>0</v>
      </c>
      <c r="R52" s="128">
        <f>IF('2024年-挂账付款'!$AX52&gt;=SUM('2024年-挂账付款'!O52:$AH52),'2024年-挂账付款'!O52,IF('2024年-挂账付款'!$AX52-SUM('2024年-挂账付款'!P52:$AH52)&gt;0,'2024年-挂账付款'!$AX52-SUM('2024年-挂账付款'!P52:$AH52),0))</f>
        <v>0</v>
      </c>
      <c r="S52" s="128">
        <f>IF('2024年-挂账付款'!$AX52&gt;=SUM('2024年-挂账付款'!P52:$AH52),'2024年-挂账付款'!P52,IF('2024年-挂账付款'!$AX52-SUM('2024年-挂账付款'!Q52:$AH52)&gt;0,'2024年-挂账付款'!$AX52-SUM('2024年-挂账付款'!Q52:$AH52),0))</f>
        <v>0</v>
      </c>
      <c r="T52" s="128">
        <f>IF('2024年-挂账付款'!$AX52&gt;=SUM('2024年-挂账付款'!Q52:$AH52),'2024年-挂账付款'!Q52,IF('2024年-挂账付款'!$AX52-SUM('2024年-挂账付款'!R52:$AH52)&gt;0,'2024年-挂账付款'!$AX52-SUM('2024年-挂账付款'!R52:$AH52),0))</f>
        <v>0</v>
      </c>
      <c r="U52" s="128">
        <f>IF('2024年-挂账付款'!$AX52&gt;=SUM('2024年-挂账付款'!R52:$AH52),'2024年-挂账付款'!R52,IF('2024年-挂账付款'!$AX52-SUM('2024年-挂账付款'!S52:$AH52)&gt;0,'2024年-挂账付款'!$AX52-SUM('2024年-挂账付款'!S52:$AH52),0))</f>
        <v>0</v>
      </c>
      <c r="V52" s="128">
        <f>IF('2024年-挂账付款'!$AX52&gt;=SUM('2024年-挂账付款'!S52:$AH52),'2024年-挂账付款'!S52,IF('2024年-挂账付款'!$AX52-SUM('2024年-挂账付款'!T52:$AH52)&gt;0,'2024年-挂账付款'!$AX52-SUM('2024年-挂账付款'!T52:$AH52),0))</f>
        <v>0</v>
      </c>
      <c r="W52" s="128">
        <f>IF('2024年-挂账付款'!$AX52&gt;=SUM('2024年-挂账付款'!T52:$AH52),'2024年-挂账付款'!T52,IF('2024年-挂账付款'!$AX52-SUM('2024年-挂账付款'!U52:$AH52)&gt;0,'2024年-挂账付款'!$AX52-SUM('2024年-挂账付款'!U52:$AH52),0))</f>
        <v>0</v>
      </c>
      <c r="X52" s="128">
        <f>IF('2024年-挂账付款'!$AX52&gt;=SUM('2024年-挂账付款'!U52:$AH52),'2024年-挂账付款'!U52,IF('2024年-挂账付款'!$AX52-SUM('2024年-挂账付款'!V52:$AH52)&gt;0,'2024年-挂账付款'!$AX52-SUM('2024年-挂账付款'!V52:$AH52),0))</f>
        <v>0</v>
      </c>
      <c r="Y52" s="128">
        <f>IF('2024年-挂账付款'!$AX52&gt;=SUM('2024年-挂账付款'!V52:$AH52),'2024年-挂账付款'!V52,IF('2024年-挂账付款'!$AX52-SUM('2024年-挂账付款'!W52:$AH52)&gt;0,'2024年-挂账付款'!$AX52-SUM('2024年-挂账付款'!W52:$AH52),0))</f>
        <v>0</v>
      </c>
      <c r="Z52" s="128">
        <f>IF('2024年-挂账付款'!$AX52&gt;=SUM('2024年-挂账付款'!W52:$AH52),'2024年-挂账付款'!W52,IF('2024年-挂账付款'!$AX52-SUM('2024年-挂账付款'!X52:$AH52)&gt;0,'2024年-挂账付款'!$AX52-SUM('2024年-挂账付款'!X52:$AH52),0))</f>
        <v>0</v>
      </c>
      <c r="AA52" s="167">
        <f>IF('2024年-挂账付款'!$AX52&gt;=SUM('2024年-挂账付款'!X52:$AH52),'2024年-挂账付款'!X52,IF('2024年-挂账付款'!$AX52-SUM('2024年-挂账付款'!Y52:$AH52)&gt;0,'2024年-挂账付款'!$AX52-SUM('2024年-挂账付款'!Y52:$AH52),0))</f>
        <v>0</v>
      </c>
      <c r="AB52" s="128">
        <f>IF('2024年-挂账付款'!$AX52&gt;=SUM('2024年-挂账付款'!Y52:$AH52),'2024年-挂账付款'!Y52,IF('2024年-挂账付款'!$AX52-SUM('2024年-挂账付款'!Z52:$AH52)&gt;0,'2024年-挂账付款'!$AX52-SUM('2024年-挂账付款'!Z52:$AH52),0))</f>
        <v>0</v>
      </c>
      <c r="AC52" s="128">
        <f>IF('2024年-挂账付款'!$AX52&gt;=SUM('2024年-挂账付款'!Z52:$AH52),'2024年-挂账付款'!Z52,IF('2024年-挂账付款'!$AX52-SUM('2024年-挂账付款'!AA52:$AH52)&gt;0,'2024年-挂账付款'!$AX52-SUM('2024年-挂账付款'!AA52:$AH52),0))</f>
        <v>0</v>
      </c>
      <c r="AD52" s="128">
        <f>IF('2024年-挂账付款'!$AX52&gt;=SUM('2024年-挂账付款'!AA52:$AH52),'2024年-挂账付款'!AA52,IF('2024年-挂账付款'!$AX52-SUM('2024年-挂账付款'!AB52:$AH52)&gt;0,'2024年-挂账付款'!$AX52-SUM('2024年-挂账付款'!AB52:$AH52),0))</f>
        <v>0</v>
      </c>
      <c r="AE52" s="128">
        <f>IF('2024年-挂账付款'!$AX52&gt;=SUM('2024年-挂账付款'!AB52:$AH52),'2024年-挂账付款'!AB52,IF('2024年-挂账付款'!$AX52-SUM('2024年-挂账付款'!AC52:$AH52)&gt;0,'2024年-挂账付款'!$AX52-SUM('2024年-挂账付款'!AC52:$AH52),0))</f>
        <v>0</v>
      </c>
      <c r="AF52" s="128">
        <f>IF('2024年-挂账付款'!$AX52&gt;=SUM('2024年-挂账付款'!AC52:$AH52),'2024年-挂账付款'!AC52,IF('2024年-挂账付款'!$AX52-SUM('2024年-挂账付款'!AD52:$AH52)&gt;0,'2024年-挂账付款'!$AX52-SUM('2024年-挂账付款'!AD52:$AH52),0))</f>
        <v>0</v>
      </c>
      <c r="AG52" s="128">
        <f>IF('2024年-挂账付款'!$AX52&gt;=SUM('2024年-挂账付款'!AD52:$AH52),'2024年-挂账付款'!AD52,IF('2024年-挂账付款'!$AX52-SUM('2024年-挂账付款'!AE52:$AH52)&gt;0,'2024年-挂账付款'!$AX52-SUM('2024年-挂账付款'!AE52:$AH52),0))</f>
        <v>0</v>
      </c>
      <c r="AH52" s="128">
        <f>IF('2024年-挂账付款'!$AX52&gt;=SUM('2024年-挂账付款'!AE52:$AH52),'2024年-挂账付款'!AE52,IF('2024年-挂账付款'!$AX52-SUM('2024年-挂账付款'!AF52:$AH52)&gt;0,'2024年-挂账付款'!$AX52-SUM('2024年-挂账付款'!AF52:$AH52),0))</f>
        <v>0</v>
      </c>
      <c r="AI52" s="128">
        <f>IF('2024年-挂账付款'!$AX52&gt;=SUM('2024年-挂账付款'!AF52:$AH52),'2024年-挂账付款'!AF52,IF('2024年-挂账付款'!$AX52-SUM('2024年-挂账付款'!AG52:$AH52)&gt;0,'2024年-挂账付款'!$AX52-SUM('2024年-挂账付款'!AG52:$AH52),0))</f>
        <v>0</v>
      </c>
      <c r="AJ52" s="128">
        <f>IF('2024年-挂账付款'!$AX52&gt;=SUM('2024年-挂账付款'!AG52:$AH52),'2024年-挂账付款'!AG52,IF('2024年-挂账付款'!$AX52-SUM('2024年-挂账付款'!AH52:$AH52)&gt;0,'2024年-挂账付款'!$AX52-SUM('2024年-挂账付款'!AH52:$AH52),0))</f>
        <v>0</v>
      </c>
      <c r="AK52" s="128">
        <f>IF('2024年-挂账付款'!$AX52&gt;=SUM('2024年-挂账付款'!AH52:$AH52),'2024年-挂账付款'!AH52,IF('2024年-挂账付款'!$AX52-SUM('2024年-挂账付款'!$AH52:AI52)&gt;0,'2024年-挂账付款'!$AX52-SUM('2024年-挂账付款'!$AH52:AI52),0))</f>
        <v>0</v>
      </c>
      <c r="AL52" s="182"/>
      <c r="AM52" s="183"/>
      <c r="AN52" s="176">
        <f t="shared" si="5"/>
        <v>0</v>
      </c>
      <c r="AO52" s="203"/>
      <c r="AP52" s="204"/>
      <c r="AQ52" s="205"/>
      <c r="AR52" s="206"/>
    </row>
    <row r="53" s="107" customFormat="1" ht="18" customHeight="1" spans="1:44">
      <c r="A53" s="122"/>
      <c r="B53" s="139" t="s">
        <v>81</v>
      </c>
      <c r="C53" s="130" t="s">
        <v>443</v>
      </c>
      <c r="D53" s="130" t="s">
        <v>444</v>
      </c>
      <c r="E53" s="125">
        <v>90</v>
      </c>
      <c r="F53" s="126">
        <f t="shared" si="3"/>
        <v>0</v>
      </c>
      <c r="G53" s="127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67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82"/>
      <c r="AM53" s="183"/>
      <c r="AN53" s="176"/>
      <c r="AO53" s="203"/>
      <c r="AP53" s="204"/>
      <c r="AQ53" s="205"/>
      <c r="AR53" s="206"/>
    </row>
    <row r="54" s="107" customFormat="1" ht="18" customHeight="1" spans="1:44">
      <c r="A54" s="122"/>
      <c r="B54" s="139" t="s">
        <v>81</v>
      </c>
      <c r="C54" s="130" t="s">
        <v>310</v>
      </c>
      <c r="D54" s="130" t="s">
        <v>311</v>
      </c>
      <c r="E54" s="125">
        <v>90</v>
      </c>
      <c r="F54" s="126">
        <f t="shared" si="3"/>
        <v>0</v>
      </c>
      <c r="G54" s="127" t="str">
        <f t="shared" ref="G54:G62" si="6">IF(SUM(H54:AK54)&gt;0,SUM(H54:AK54),"0")</f>
        <v>0</v>
      </c>
      <c r="H54" s="128" t="str">
        <f>IF('2024年-挂账付款'!$AX54&gt;=SUM('2024年-挂账付款'!E54:$AH54),'2024年-挂账付款'!E54,IF('2024年-挂账付款'!$AX54-SUM('2024年-挂账付款'!F54:$AH54)&gt;0,'2024年-挂账付款'!$AX54-SUM('2024年-挂账付款'!F54:$AH54),0))</f>
        <v/>
      </c>
      <c r="I54" s="128" t="str">
        <f>IF('2024年-挂账付款'!$AX54&gt;=SUM('2024年-挂账付款'!F54:$AH54),'2024年-挂账付款'!F54,IF('2024年-挂账付款'!$AX54-SUM('2024年-挂账付款'!G54:$AH54)&gt;0,'2024年-挂账付款'!$AX54-SUM('2024年-挂账付款'!G54:$AH54),0))</f>
        <v/>
      </c>
      <c r="J54" s="128" t="str">
        <f>IF('2024年-挂账付款'!$AX54&gt;=SUM('2024年-挂账付款'!G54:$AH54),'2024年-挂账付款'!G54,IF('2024年-挂账付款'!$AX54-SUM('2024年-挂账付款'!H54:$AH54)&gt;0,'2024年-挂账付款'!$AX54-SUM('2024年-挂账付款'!H54:$AH54),0))</f>
        <v/>
      </c>
      <c r="K54" s="128">
        <f>IF('2024年-挂账付款'!$AX54&gt;=SUM('2024年-挂账付款'!H54:$AH54),'2024年-挂账付款'!H54,IF('2024年-挂账付款'!$AX54-SUM('2024年-挂账付款'!I54:$AH54)&gt;0,'2024年-挂账付款'!$AX54-SUM('2024年-挂账付款'!I54:$AH54),0))</f>
        <v>0</v>
      </c>
      <c r="L54" s="128">
        <f>IF('2024年-挂账付款'!$AX54&gt;=SUM('2024年-挂账付款'!I54:$AH54),'2024年-挂账付款'!I54,IF('2024年-挂账付款'!$AX54-SUM('2024年-挂账付款'!J54:$AH54)&gt;0,'2024年-挂账付款'!$AX54-SUM('2024年-挂账付款'!J54:$AH54),0))</f>
        <v>0</v>
      </c>
      <c r="M54" s="128" t="str">
        <f>IF('2024年-挂账付款'!$AX54&gt;=SUM('2024年-挂账付款'!J54:$AH54),'2024年-挂账付款'!J54,IF('2024年-挂账付款'!$AX54-SUM('2024年-挂账付款'!K54:$AH54)&gt;0,'2024年-挂账付款'!$AX54-SUM('2024年-挂账付款'!K54:$AH54),0))</f>
        <v/>
      </c>
      <c r="N54" s="128">
        <f>IF('2024年-挂账付款'!$AX54&gt;=SUM('2024年-挂账付款'!K54:$AH54),'2024年-挂账付款'!K54,IF('2024年-挂账付款'!$AX54-SUM('2024年-挂账付款'!L54:$AH54)&gt;0,'2024年-挂账付款'!$AX54-SUM('2024年-挂账付款'!L54:$AH54),0))</f>
        <v>0</v>
      </c>
      <c r="O54" s="128">
        <f>IF('2024年-挂账付款'!$AX54&gt;=SUM('2024年-挂账付款'!L54:$AH54),'2024年-挂账付款'!L54,IF('2024年-挂账付款'!$AX54-SUM('2024年-挂账付款'!M54:$AH54)&gt;0,'2024年-挂账付款'!$AX54-SUM('2024年-挂账付款'!M54:$AH54),0))</f>
        <v>0</v>
      </c>
      <c r="P54" s="128">
        <f>IF('2024年-挂账付款'!$AX54&gt;=SUM('2024年-挂账付款'!M54:$AH54),'2024年-挂账付款'!M54,IF('2024年-挂账付款'!$AX54-SUM('2024年-挂账付款'!N54:$AH54)&gt;0,'2024年-挂账付款'!$AX54-SUM('2024年-挂账付款'!N54:$AH54),0))</f>
        <v>0</v>
      </c>
      <c r="Q54" s="128">
        <f>IF('2024年-挂账付款'!$AX54&gt;=SUM('2024年-挂账付款'!N54:$AH54),'2024年-挂账付款'!N54,IF('2024年-挂账付款'!$AX54-SUM('2024年-挂账付款'!O54:$AH54)&gt;0,'2024年-挂账付款'!$AX54-SUM('2024年-挂账付款'!O54:$AH54),0))</f>
        <v>0</v>
      </c>
      <c r="R54" s="128">
        <f>IF('2024年-挂账付款'!$AX54&gt;=SUM('2024年-挂账付款'!O54:$AH54),'2024年-挂账付款'!O54,IF('2024年-挂账付款'!$AX54-SUM('2024年-挂账付款'!P54:$AH54)&gt;0,'2024年-挂账付款'!$AX54-SUM('2024年-挂账付款'!P54:$AH54),0))</f>
        <v>0</v>
      </c>
      <c r="S54" s="128">
        <f>IF('2024年-挂账付款'!$AX54&gt;=SUM('2024年-挂账付款'!P54:$AH54),'2024年-挂账付款'!P54,IF('2024年-挂账付款'!$AX54-SUM('2024年-挂账付款'!Q54:$AH54)&gt;0,'2024年-挂账付款'!$AX54-SUM('2024年-挂账付款'!Q54:$AH54),0))</f>
        <v>0</v>
      </c>
      <c r="T54" s="128">
        <f>IF('2024年-挂账付款'!$AX54&gt;=SUM('2024年-挂账付款'!Q54:$AH54),'2024年-挂账付款'!Q54,IF('2024年-挂账付款'!$AX54-SUM('2024年-挂账付款'!R54:$AH54)&gt;0,'2024年-挂账付款'!$AX54-SUM('2024年-挂账付款'!R54:$AH54),0))</f>
        <v>0</v>
      </c>
      <c r="U54" s="128">
        <f>IF('2024年-挂账付款'!$AX54&gt;=SUM('2024年-挂账付款'!R54:$AH54),'2024年-挂账付款'!R54,IF('2024年-挂账付款'!$AX54-SUM('2024年-挂账付款'!S54:$AH54)&gt;0,'2024年-挂账付款'!$AX54-SUM('2024年-挂账付款'!S54:$AH54),0))</f>
        <v>0</v>
      </c>
      <c r="V54" s="128">
        <f>IF('2024年-挂账付款'!$AX54&gt;=SUM('2024年-挂账付款'!S54:$AH54),'2024年-挂账付款'!S54,IF('2024年-挂账付款'!$AX54-SUM('2024年-挂账付款'!T54:$AH54)&gt;0,'2024年-挂账付款'!$AX54-SUM('2024年-挂账付款'!T54:$AH54),0))</f>
        <v>0</v>
      </c>
      <c r="W54" s="128">
        <f>IF('2024年-挂账付款'!$AX54&gt;=SUM('2024年-挂账付款'!T54:$AH54),'2024年-挂账付款'!T54,IF('2024年-挂账付款'!$AX54-SUM('2024年-挂账付款'!U54:$AH54)&gt;0,'2024年-挂账付款'!$AX54-SUM('2024年-挂账付款'!U54:$AH54),0))</f>
        <v>0</v>
      </c>
      <c r="X54" s="128">
        <f>IF('2024年-挂账付款'!$AX54&gt;=SUM('2024年-挂账付款'!U54:$AH54),'2024年-挂账付款'!U54,IF('2024年-挂账付款'!$AX54-SUM('2024年-挂账付款'!V54:$AH54)&gt;0,'2024年-挂账付款'!$AX54-SUM('2024年-挂账付款'!V54:$AH54),0))</f>
        <v>0</v>
      </c>
      <c r="Y54" s="128">
        <f>IF('2024年-挂账付款'!$AX54&gt;=SUM('2024年-挂账付款'!V54:$AH54),'2024年-挂账付款'!V54,IF('2024年-挂账付款'!$AX54-SUM('2024年-挂账付款'!W54:$AH54)&gt;0,'2024年-挂账付款'!$AX54-SUM('2024年-挂账付款'!W54:$AH54),0))</f>
        <v>0</v>
      </c>
      <c r="Z54" s="128">
        <f>IF('2024年-挂账付款'!$AX54&gt;=SUM('2024年-挂账付款'!W54:$AH54),'2024年-挂账付款'!W54,IF('2024年-挂账付款'!$AX54-SUM('2024年-挂账付款'!X54:$AH54)&gt;0,'2024年-挂账付款'!$AX54-SUM('2024年-挂账付款'!X54:$AH54),0))</f>
        <v>0</v>
      </c>
      <c r="AA54" s="167">
        <f>IF('2024年-挂账付款'!$AX54&gt;=SUM('2024年-挂账付款'!X54:$AH54),'2024年-挂账付款'!X54,IF('2024年-挂账付款'!$AX54-SUM('2024年-挂账付款'!Y54:$AH54)&gt;0,'2024年-挂账付款'!$AX54-SUM('2024年-挂账付款'!Y54:$AH54),0))</f>
        <v>0</v>
      </c>
      <c r="AB54" s="128">
        <f>IF('2024年-挂账付款'!$AX54&gt;=SUM('2024年-挂账付款'!Y54:$AH54),'2024年-挂账付款'!Y54,IF('2024年-挂账付款'!$AX54-SUM('2024年-挂账付款'!Z54:$AH54)&gt;0,'2024年-挂账付款'!$AX54-SUM('2024年-挂账付款'!Z54:$AH54),0))</f>
        <v>0</v>
      </c>
      <c r="AC54" s="128">
        <f>IF('2024年-挂账付款'!$AX54&gt;=SUM('2024年-挂账付款'!Z54:$AH54),'2024年-挂账付款'!Z54,IF('2024年-挂账付款'!$AX54-SUM('2024年-挂账付款'!AA54:$AH54)&gt;0,'2024年-挂账付款'!$AX54-SUM('2024年-挂账付款'!AA54:$AH54),0))</f>
        <v>0</v>
      </c>
      <c r="AD54" s="128">
        <f>IF('2024年-挂账付款'!$AX54&gt;=SUM('2024年-挂账付款'!AA54:$AH54),'2024年-挂账付款'!AA54,IF('2024年-挂账付款'!$AX54-SUM('2024年-挂账付款'!AB54:$AH54)&gt;0,'2024年-挂账付款'!$AX54-SUM('2024年-挂账付款'!AB54:$AH54),0))</f>
        <v>0</v>
      </c>
      <c r="AE54" s="128">
        <f>IF('2024年-挂账付款'!$AX54&gt;=SUM('2024年-挂账付款'!AB54:$AH54),'2024年-挂账付款'!AB54,IF('2024年-挂账付款'!$AX54-SUM('2024年-挂账付款'!AC54:$AH54)&gt;0,'2024年-挂账付款'!$AX54-SUM('2024年-挂账付款'!AC54:$AH54),0))</f>
        <v>0</v>
      </c>
      <c r="AF54" s="128">
        <f>IF('2024年-挂账付款'!$AX54&gt;=SUM('2024年-挂账付款'!AC54:$AH54),'2024年-挂账付款'!AC54,IF('2024年-挂账付款'!$AX54-SUM('2024年-挂账付款'!AD54:$AH54)&gt;0,'2024年-挂账付款'!$AX54-SUM('2024年-挂账付款'!AD54:$AH54),0))</f>
        <v>0</v>
      </c>
      <c r="AG54" s="128">
        <f>IF('2024年-挂账付款'!$AX54&gt;=SUM('2024年-挂账付款'!AD54:$AH54),'2024年-挂账付款'!AD54,IF('2024年-挂账付款'!$AX54-SUM('2024年-挂账付款'!AE54:$AH54)&gt;0,'2024年-挂账付款'!$AX54-SUM('2024年-挂账付款'!AE54:$AH54),0))</f>
        <v>0</v>
      </c>
      <c r="AH54" s="128">
        <f>IF('2024年-挂账付款'!$AX54&gt;=SUM('2024年-挂账付款'!AE54:$AH54),'2024年-挂账付款'!AE54,IF('2024年-挂账付款'!$AX54-SUM('2024年-挂账付款'!AF54:$AH54)&gt;0,'2024年-挂账付款'!$AX54-SUM('2024年-挂账付款'!AF54:$AH54),0))</f>
        <v>0</v>
      </c>
      <c r="AI54" s="128">
        <f>IF('2024年-挂账付款'!$AX54&gt;=SUM('2024年-挂账付款'!AF54:$AH54),'2024年-挂账付款'!AF54,IF('2024年-挂账付款'!$AX54-SUM('2024年-挂账付款'!AG54:$AH54)&gt;0,'2024年-挂账付款'!$AX54-SUM('2024年-挂账付款'!AG54:$AH54),0))</f>
        <v>0</v>
      </c>
      <c r="AJ54" s="128">
        <f>IF('2024年-挂账付款'!$AX54&gt;=SUM('2024年-挂账付款'!AG54:$AH54),'2024年-挂账付款'!AG54,IF('2024年-挂账付款'!$AX54-SUM('2024年-挂账付款'!AH54:$AH54)&gt;0,'2024年-挂账付款'!$AX54-SUM('2024年-挂账付款'!AH54:$AH54),0))</f>
        <v>0</v>
      </c>
      <c r="AK54" s="128">
        <f>IF('2024年-挂账付款'!$AX54&gt;=SUM('2024年-挂账付款'!AH54:$AH54),'2024年-挂账付款'!AH54,IF('2024年-挂账付款'!$AX54-SUM('2024年-挂账付款'!$AH54:AI54)&gt;0,'2024年-挂账付款'!$AX54-SUM('2024年-挂账付款'!$AH54:AI54),0))</f>
        <v>0</v>
      </c>
      <c r="AL54" s="182"/>
      <c r="AM54" s="183"/>
      <c r="AN54" s="176">
        <f t="shared" ref="AN54:AN60" si="7">SUM(U54:Z54)/6*0.8</f>
        <v>0</v>
      </c>
      <c r="AO54" s="203"/>
      <c r="AP54" s="204"/>
      <c r="AQ54" s="205"/>
      <c r="AR54" s="206"/>
    </row>
    <row r="55" s="107" customFormat="1" ht="18" customHeight="1" spans="1:44">
      <c r="A55" s="122"/>
      <c r="B55" s="139" t="s">
        <v>81</v>
      </c>
      <c r="C55" s="130" t="s">
        <v>445</v>
      </c>
      <c r="D55" s="130" t="s">
        <v>446</v>
      </c>
      <c r="E55" s="125">
        <v>90</v>
      </c>
      <c r="F55" s="126">
        <f t="shared" si="3"/>
        <v>0</v>
      </c>
      <c r="G55" s="127" t="str">
        <f t="shared" si="6"/>
        <v>0</v>
      </c>
      <c r="H55" s="128"/>
      <c r="I55" s="128"/>
      <c r="J55" s="128"/>
      <c r="K55" s="128">
        <f>IF('2024年-挂账付款'!$AX55&gt;=SUM('2024年-挂账付款'!H55:$AH55),'2024年-挂账付款'!H55,IF('2024年-挂账付款'!$AX55-SUM('2024年-挂账付款'!I55:$AH55)&gt;0,'2024年-挂账付款'!$AX55-SUM('2024年-挂账付款'!I55:$AH55),0))</f>
        <v>0</v>
      </c>
      <c r="L55" s="128">
        <f>IF('2024年-挂账付款'!$AX55&gt;=SUM('2024年-挂账付款'!I55:$AH55),'2024年-挂账付款'!I55,IF('2024年-挂账付款'!$AX55-SUM('2024年-挂账付款'!J55:$AH55)&gt;0,'2024年-挂账付款'!$AX55-SUM('2024年-挂账付款'!J55:$AH55),0))</f>
        <v>0</v>
      </c>
      <c r="M55" s="128" t="str">
        <f>IF('2024年-挂账付款'!$AX55&gt;=SUM('2024年-挂账付款'!J55:$AH55),'2024年-挂账付款'!J55,IF('2024年-挂账付款'!$AX55-SUM('2024年-挂账付款'!K55:$AH55)&gt;0,'2024年-挂账付款'!$AX55-SUM('2024年-挂账付款'!K55:$AH55),0))</f>
        <v/>
      </c>
      <c r="N55" s="128">
        <f>IF('2024年-挂账付款'!$AX55&gt;=SUM('2024年-挂账付款'!K55:$AH55),'2024年-挂账付款'!K55,IF('2024年-挂账付款'!$AX55-SUM('2024年-挂账付款'!L55:$AH55)&gt;0,'2024年-挂账付款'!$AX55-SUM('2024年-挂账付款'!L55:$AH55),0))</f>
        <v>0</v>
      </c>
      <c r="O55" s="128">
        <f>IF('2024年-挂账付款'!$AX55&gt;=SUM('2024年-挂账付款'!L55:$AH55),'2024年-挂账付款'!L55,IF('2024年-挂账付款'!$AX55-SUM('2024年-挂账付款'!M55:$AH55)&gt;0,'2024年-挂账付款'!$AX55-SUM('2024年-挂账付款'!M55:$AH55),0))</f>
        <v>0</v>
      </c>
      <c r="P55" s="128">
        <f>IF('2024年-挂账付款'!$AX55&gt;=SUM('2024年-挂账付款'!M55:$AH55),'2024年-挂账付款'!M55,IF('2024年-挂账付款'!$AX55-SUM('2024年-挂账付款'!N55:$AH55)&gt;0,'2024年-挂账付款'!$AX55-SUM('2024年-挂账付款'!N55:$AH55),0))</f>
        <v>0</v>
      </c>
      <c r="Q55" s="128">
        <f>IF('2024年-挂账付款'!$AX55&gt;=SUM('2024年-挂账付款'!N55:$AH55),'2024年-挂账付款'!N55,IF('2024年-挂账付款'!$AX55-SUM('2024年-挂账付款'!O55:$AH55)&gt;0,'2024年-挂账付款'!$AX55-SUM('2024年-挂账付款'!O55:$AH55),0))</f>
        <v>0</v>
      </c>
      <c r="R55" s="128">
        <f>IF('2024年-挂账付款'!$AX55&gt;=SUM('2024年-挂账付款'!O55:$AH55),'2024年-挂账付款'!O55,IF('2024年-挂账付款'!$AX55-SUM('2024年-挂账付款'!P55:$AH55)&gt;0,'2024年-挂账付款'!$AX55-SUM('2024年-挂账付款'!P55:$AH55),0))</f>
        <v>0</v>
      </c>
      <c r="S55" s="128">
        <f>IF('2024年-挂账付款'!$AX55&gt;=SUM('2024年-挂账付款'!P55:$AH55),'2024年-挂账付款'!P55,IF('2024年-挂账付款'!$AX55-SUM('2024年-挂账付款'!Q55:$AH55)&gt;0,'2024年-挂账付款'!$AX55-SUM('2024年-挂账付款'!Q55:$AH55),0))</f>
        <v>0</v>
      </c>
      <c r="T55" s="128">
        <f>IF('2024年-挂账付款'!$AX55&gt;=SUM('2024年-挂账付款'!Q55:$AH55),'2024年-挂账付款'!Q55,IF('2024年-挂账付款'!$AX55-SUM('2024年-挂账付款'!R55:$AH55)&gt;0,'2024年-挂账付款'!$AX55-SUM('2024年-挂账付款'!R55:$AH55),0))</f>
        <v>0</v>
      </c>
      <c r="U55" s="128">
        <f>IF('2024年-挂账付款'!$AX55&gt;=SUM('2024年-挂账付款'!R55:$AH55),'2024年-挂账付款'!R55,IF('2024年-挂账付款'!$AX55-SUM('2024年-挂账付款'!S55:$AH55)&gt;0,'2024年-挂账付款'!$AX55-SUM('2024年-挂账付款'!S55:$AH55),0))</f>
        <v>0</v>
      </c>
      <c r="V55" s="128">
        <f>IF('2024年-挂账付款'!$AX55&gt;=SUM('2024年-挂账付款'!S55:$AH55),'2024年-挂账付款'!S55,IF('2024年-挂账付款'!$AX55-SUM('2024年-挂账付款'!T55:$AH55)&gt;0,'2024年-挂账付款'!$AX55-SUM('2024年-挂账付款'!T55:$AH55),0))</f>
        <v>0</v>
      </c>
      <c r="W55" s="128">
        <f>IF('2024年-挂账付款'!$AX55&gt;=SUM('2024年-挂账付款'!T55:$AH55),'2024年-挂账付款'!T55,IF('2024年-挂账付款'!$AX55-SUM('2024年-挂账付款'!U55:$AH55)&gt;0,'2024年-挂账付款'!$AX55-SUM('2024年-挂账付款'!U55:$AH55),0))</f>
        <v>0</v>
      </c>
      <c r="X55" s="128">
        <f>IF('2024年-挂账付款'!$AX55&gt;=SUM('2024年-挂账付款'!U55:$AH55),'2024年-挂账付款'!U55,IF('2024年-挂账付款'!$AX55-SUM('2024年-挂账付款'!V55:$AH55)&gt;0,'2024年-挂账付款'!$AX55-SUM('2024年-挂账付款'!V55:$AH55),0))</f>
        <v>0</v>
      </c>
      <c r="Y55" s="128">
        <f>IF('2024年-挂账付款'!$AX55&gt;=SUM('2024年-挂账付款'!V55:$AH55),'2024年-挂账付款'!V55,IF('2024年-挂账付款'!$AX55-SUM('2024年-挂账付款'!W55:$AH55)&gt;0,'2024年-挂账付款'!$AX55-SUM('2024年-挂账付款'!W55:$AH55),0))</f>
        <v>0</v>
      </c>
      <c r="Z55" s="128">
        <f>IF('2024年-挂账付款'!$AX55&gt;=SUM('2024年-挂账付款'!W55:$AH55),'2024年-挂账付款'!W55,IF('2024年-挂账付款'!$AX55-SUM('2024年-挂账付款'!X55:$AH55)&gt;0,'2024年-挂账付款'!$AX55-SUM('2024年-挂账付款'!X55:$AH55),0))</f>
        <v>0</v>
      </c>
      <c r="AA55" s="167">
        <f>IF('2024年-挂账付款'!$AX55&gt;=SUM('2024年-挂账付款'!X55:$AH55),'2024年-挂账付款'!X55,IF('2024年-挂账付款'!$AX55-SUM('2024年-挂账付款'!Y55:$AH55)&gt;0,'2024年-挂账付款'!$AX55-SUM('2024年-挂账付款'!Y55:$AH55),0))</f>
        <v>0</v>
      </c>
      <c r="AB55" s="128">
        <f>IF('2024年-挂账付款'!$AX55&gt;=SUM('2024年-挂账付款'!Y55:$AH55),'2024年-挂账付款'!Y55,IF('2024年-挂账付款'!$AX55-SUM('2024年-挂账付款'!Z55:$AH55)&gt;0,'2024年-挂账付款'!$AX55-SUM('2024年-挂账付款'!Z55:$AH55),0))</f>
        <v>0</v>
      </c>
      <c r="AC55" s="128">
        <f>IF('2024年-挂账付款'!$AX55&gt;=SUM('2024年-挂账付款'!Z55:$AH55),'2024年-挂账付款'!Z55,IF('2024年-挂账付款'!$AX55-SUM('2024年-挂账付款'!AA55:$AH55)&gt;0,'2024年-挂账付款'!$AX55-SUM('2024年-挂账付款'!AA55:$AH55),0))</f>
        <v>0</v>
      </c>
      <c r="AD55" s="128">
        <f>IF('2024年-挂账付款'!$AX55&gt;=SUM('2024年-挂账付款'!AA55:$AH55),'2024年-挂账付款'!AA55,IF('2024年-挂账付款'!$AX55-SUM('2024年-挂账付款'!AB55:$AH55)&gt;0,'2024年-挂账付款'!$AX55-SUM('2024年-挂账付款'!AB55:$AH55),0))</f>
        <v>0</v>
      </c>
      <c r="AE55" s="128">
        <f>IF('2024年-挂账付款'!$AX55&gt;=SUM('2024年-挂账付款'!AB55:$AH55),'2024年-挂账付款'!AB55,IF('2024年-挂账付款'!$AX55-SUM('2024年-挂账付款'!AC55:$AH55)&gt;0,'2024年-挂账付款'!$AX55-SUM('2024年-挂账付款'!AC55:$AH55),0))</f>
        <v>0</v>
      </c>
      <c r="AF55" s="128">
        <f>IF('2024年-挂账付款'!$AX55&gt;=SUM('2024年-挂账付款'!AC55:$AH55),'2024年-挂账付款'!AC55,IF('2024年-挂账付款'!$AX55-SUM('2024年-挂账付款'!AD55:$AH55)&gt;0,'2024年-挂账付款'!$AX55-SUM('2024年-挂账付款'!AD55:$AH55),0))</f>
        <v>0</v>
      </c>
      <c r="AG55" s="128">
        <f>IF('2024年-挂账付款'!$AX55&gt;=SUM('2024年-挂账付款'!AD55:$AH55),'2024年-挂账付款'!AD55,IF('2024年-挂账付款'!$AX55-SUM('2024年-挂账付款'!AE55:$AH55)&gt;0,'2024年-挂账付款'!$AX55-SUM('2024年-挂账付款'!AE55:$AH55),0))</f>
        <v>0</v>
      </c>
      <c r="AH55" s="128">
        <f>IF('2024年-挂账付款'!$AX55&gt;=SUM('2024年-挂账付款'!AE55:$AH55),'2024年-挂账付款'!AE55,IF('2024年-挂账付款'!$AX55-SUM('2024年-挂账付款'!AF55:$AH55)&gt;0,'2024年-挂账付款'!$AX55-SUM('2024年-挂账付款'!AF55:$AH55),0))</f>
        <v>0</v>
      </c>
      <c r="AI55" s="128">
        <f>IF('2024年-挂账付款'!$AX55&gt;=SUM('2024年-挂账付款'!AF55:$AH55),'2024年-挂账付款'!AF55,IF('2024年-挂账付款'!$AX55-SUM('2024年-挂账付款'!AG55:$AH55)&gt;0,'2024年-挂账付款'!$AX55-SUM('2024年-挂账付款'!AG55:$AH55),0))</f>
        <v>0</v>
      </c>
      <c r="AJ55" s="128">
        <f>IF('2024年-挂账付款'!$AX55&gt;=SUM('2024年-挂账付款'!AG55:$AH55),'2024年-挂账付款'!AG55,IF('2024年-挂账付款'!$AX55-SUM('2024年-挂账付款'!AH55:$AH55)&gt;0,'2024年-挂账付款'!$AX55-SUM('2024年-挂账付款'!AH55:$AH55),0))</f>
        <v>0</v>
      </c>
      <c r="AK55" s="128">
        <f>IF('2024年-挂账付款'!$AX55&gt;=SUM('2024年-挂账付款'!AH55:$AH55),'2024年-挂账付款'!AH55,IF('2024年-挂账付款'!$AX55-SUM('2024年-挂账付款'!$AH55:AI55)&gt;0,'2024年-挂账付款'!$AX55-SUM('2024年-挂账付款'!$AH55:AI55),0))</f>
        <v>0</v>
      </c>
      <c r="AL55" s="182"/>
      <c r="AM55" s="183"/>
      <c r="AN55" s="176">
        <f t="shared" si="7"/>
        <v>0</v>
      </c>
      <c r="AO55" s="210"/>
      <c r="AP55" s="204"/>
      <c r="AQ55" s="205"/>
      <c r="AR55" s="206"/>
    </row>
    <row r="56" s="107" customFormat="1" ht="18" customHeight="1" spans="1:44">
      <c r="A56" s="122"/>
      <c r="B56" s="139" t="s">
        <v>81</v>
      </c>
      <c r="C56" s="147" t="s">
        <v>109</v>
      </c>
      <c r="D56" s="130" t="s">
        <v>204</v>
      </c>
      <c r="E56" s="125" t="s">
        <v>111</v>
      </c>
      <c r="F56" s="126">
        <f t="shared" si="3"/>
        <v>0</v>
      </c>
      <c r="G56" s="127" t="str">
        <f t="shared" si="6"/>
        <v>0</v>
      </c>
      <c r="H56" s="128">
        <f>IF('2024年-挂账付款'!$AX56&gt;=SUM('2024年-挂账付款'!E56:$AH56),'2024年-挂账付款'!E56,IF('2024年-挂账付款'!$AX56-SUM('2024年-挂账付款'!F56:$AH56)&gt;0,'2024年-挂账付款'!$AX56-SUM('2024年-挂账付款'!F56:$AH56),0))</f>
        <v>0</v>
      </c>
      <c r="I56" s="128">
        <f>IF('2024年-挂账付款'!$AX56&gt;=SUM('2024年-挂账付款'!F56:$AH56),'2024年-挂账付款'!F56,IF('2024年-挂账付款'!$AX56-SUM('2024年-挂账付款'!G56:$AH56)&gt;0,'2024年-挂账付款'!$AX56-SUM('2024年-挂账付款'!G56:$AH56),0))</f>
        <v>0</v>
      </c>
      <c r="J56" s="128">
        <f>IF('2024年-挂账付款'!$AX56&gt;=SUM('2024年-挂账付款'!G56:$AH56),'2024年-挂账付款'!G56,IF('2024年-挂账付款'!$AX56-SUM('2024年-挂账付款'!H56:$AH56)&gt;0,'2024年-挂账付款'!$AX56-SUM('2024年-挂账付款'!H56:$AH56),0))</f>
        <v>0</v>
      </c>
      <c r="K56" s="128">
        <f>IF('2024年-挂账付款'!$AX56&gt;=SUM('2024年-挂账付款'!H56:$AH56),'2024年-挂账付款'!H56,IF('2024年-挂账付款'!$AX56-SUM('2024年-挂账付款'!I56:$AH56)&gt;0,'2024年-挂账付款'!$AX56-SUM('2024年-挂账付款'!I56:$AH56),0))</f>
        <v>0</v>
      </c>
      <c r="L56" s="128">
        <f>IF('2024年-挂账付款'!$AX56&gt;=SUM('2024年-挂账付款'!I56:$AH56),'2024年-挂账付款'!I56,IF('2024年-挂账付款'!$AX56-SUM('2024年-挂账付款'!J56:$AH56)&gt;0,'2024年-挂账付款'!$AX56-SUM('2024年-挂账付款'!J56:$AH56),0))</f>
        <v>0</v>
      </c>
      <c r="M56" s="128" t="str">
        <f>IF('2024年-挂账付款'!$AX56&gt;=SUM('2024年-挂账付款'!J56:$AH56),'2024年-挂账付款'!J56,IF('2024年-挂账付款'!$AX56-SUM('2024年-挂账付款'!K56:$AH56)&gt;0,'2024年-挂账付款'!$AX56-SUM('2024年-挂账付款'!K56:$AH56),0))</f>
        <v/>
      </c>
      <c r="N56" s="128">
        <f>IF('2024年-挂账付款'!$AX56&gt;=SUM('2024年-挂账付款'!K56:$AH56),'2024年-挂账付款'!K56,IF('2024年-挂账付款'!$AX56-SUM('2024年-挂账付款'!L56:$AH56)&gt;0,'2024年-挂账付款'!$AX56-SUM('2024年-挂账付款'!L56:$AH56),0))</f>
        <v>0</v>
      </c>
      <c r="O56" s="128">
        <f>IF('2024年-挂账付款'!$AX56&gt;=SUM('2024年-挂账付款'!L56:$AH56),'2024年-挂账付款'!L56,IF('2024年-挂账付款'!$AX56-SUM('2024年-挂账付款'!M56:$AH56)&gt;0,'2024年-挂账付款'!$AX56-SUM('2024年-挂账付款'!M56:$AH56),0))</f>
        <v>0</v>
      </c>
      <c r="P56" s="128">
        <f>IF('2024年-挂账付款'!$AX56&gt;=SUM('2024年-挂账付款'!M56:$AH56),'2024年-挂账付款'!M56,IF('2024年-挂账付款'!$AX56-SUM('2024年-挂账付款'!N56:$AH56)&gt;0,'2024年-挂账付款'!$AX56-SUM('2024年-挂账付款'!N56:$AH56),0))</f>
        <v>0</v>
      </c>
      <c r="Q56" s="128">
        <f>IF('2024年-挂账付款'!$AX56&gt;=SUM('2024年-挂账付款'!N56:$AH56),'2024年-挂账付款'!N56,IF('2024年-挂账付款'!$AX56-SUM('2024年-挂账付款'!O56:$AH56)&gt;0,'2024年-挂账付款'!$AX56-SUM('2024年-挂账付款'!O56:$AH56),0))</f>
        <v>0</v>
      </c>
      <c r="R56" s="128">
        <f>IF('2024年-挂账付款'!$AX56&gt;=SUM('2024年-挂账付款'!O56:$AH56),'2024年-挂账付款'!O56,IF('2024年-挂账付款'!$AX56-SUM('2024年-挂账付款'!P56:$AH56)&gt;0,'2024年-挂账付款'!$AX56-SUM('2024年-挂账付款'!P56:$AH56),0))</f>
        <v>0</v>
      </c>
      <c r="S56" s="128">
        <f>IF('2024年-挂账付款'!$AX56&gt;=SUM('2024年-挂账付款'!P56:$AH56),'2024年-挂账付款'!P56,IF('2024年-挂账付款'!$AX56-SUM('2024年-挂账付款'!Q56:$AH56)&gt;0,'2024年-挂账付款'!$AX56-SUM('2024年-挂账付款'!Q56:$AH56),0))</f>
        <v>0</v>
      </c>
      <c r="T56" s="128">
        <f>IF('2024年-挂账付款'!$AX56&gt;=SUM('2024年-挂账付款'!Q56:$AH56),'2024年-挂账付款'!Q56,IF('2024年-挂账付款'!$AX56-SUM('2024年-挂账付款'!R56:$AH56)&gt;0,'2024年-挂账付款'!$AX56-SUM('2024年-挂账付款'!R56:$AH56),0))</f>
        <v>0</v>
      </c>
      <c r="U56" s="128">
        <f>IF('2024年-挂账付款'!$AX56&gt;=SUM('2024年-挂账付款'!R56:$AH56),'2024年-挂账付款'!R56,IF('2024年-挂账付款'!$AX56-SUM('2024年-挂账付款'!S56:$AH56)&gt;0,'2024年-挂账付款'!$AX56-SUM('2024年-挂账付款'!S56:$AH56),0))</f>
        <v>0</v>
      </c>
      <c r="V56" s="128">
        <f>IF('2024年-挂账付款'!$AX56&gt;=SUM('2024年-挂账付款'!S56:$AH56),'2024年-挂账付款'!S56,IF('2024年-挂账付款'!$AX56-SUM('2024年-挂账付款'!T56:$AH56)&gt;0,'2024年-挂账付款'!$AX56-SUM('2024年-挂账付款'!T56:$AH56),0))</f>
        <v>0</v>
      </c>
      <c r="W56" s="128">
        <f>IF('2024年-挂账付款'!$AX56&gt;=SUM('2024年-挂账付款'!T56:$AH56),'2024年-挂账付款'!T56,IF('2024年-挂账付款'!$AX56-SUM('2024年-挂账付款'!U56:$AH56)&gt;0,'2024年-挂账付款'!$AX56-SUM('2024年-挂账付款'!U56:$AH56),0))</f>
        <v>0</v>
      </c>
      <c r="X56" s="128">
        <f>IF('2024年-挂账付款'!$AX56&gt;=SUM('2024年-挂账付款'!U56:$AH56),'2024年-挂账付款'!U56,IF('2024年-挂账付款'!$AX56-SUM('2024年-挂账付款'!V56:$AH56)&gt;0,'2024年-挂账付款'!$AX56-SUM('2024年-挂账付款'!V56:$AH56),0))</f>
        <v>0</v>
      </c>
      <c r="Y56" s="128">
        <f>IF('2024年-挂账付款'!$AX56&gt;=SUM('2024年-挂账付款'!V56:$AH56),'2024年-挂账付款'!V56,IF('2024年-挂账付款'!$AX56-SUM('2024年-挂账付款'!W56:$AH56)&gt;0,'2024年-挂账付款'!$AX56-SUM('2024年-挂账付款'!W56:$AH56),0))</f>
        <v>0</v>
      </c>
      <c r="Z56" s="128">
        <f>IF('2024年-挂账付款'!$AX56&gt;=SUM('2024年-挂账付款'!W56:$AH56),'2024年-挂账付款'!W56,IF('2024年-挂账付款'!$AX56-SUM('2024年-挂账付款'!X56:$AH56)&gt;0,'2024年-挂账付款'!$AX56-SUM('2024年-挂账付款'!X56:$AH56),0))</f>
        <v>0</v>
      </c>
      <c r="AA56" s="167">
        <f>IF('2024年-挂账付款'!$AX56&gt;=SUM('2024年-挂账付款'!X56:$AH56),'2024年-挂账付款'!X56,IF('2024年-挂账付款'!$AX56-SUM('2024年-挂账付款'!Y56:$AH56)&gt;0,'2024年-挂账付款'!$AX56-SUM('2024年-挂账付款'!Y56:$AH56),0))</f>
        <v>0</v>
      </c>
      <c r="AB56" s="128">
        <f>IF('2024年-挂账付款'!$AX56&gt;=SUM('2024年-挂账付款'!Y56:$AH56),'2024年-挂账付款'!Y56,IF('2024年-挂账付款'!$AX56-SUM('2024年-挂账付款'!Z56:$AH56)&gt;0,'2024年-挂账付款'!$AX56-SUM('2024年-挂账付款'!Z56:$AH56),0))</f>
        <v>0</v>
      </c>
      <c r="AC56" s="128">
        <f>IF('2024年-挂账付款'!$AX56&gt;=SUM('2024年-挂账付款'!Z56:$AH56),'2024年-挂账付款'!Z56,IF('2024年-挂账付款'!$AX56-SUM('2024年-挂账付款'!AA56:$AH56)&gt;0,'2024年-挂账付款'!$AX56-SUM('2024年-挂账付款'!AA56:$AH56),0))</f>
        <v>0</v>
      </c>
      <c r="AD56" s="128">
        <f>IF('2024年-挂账付款'!$AX56&gt;=SUM('2024年-挂账付款'!AA56:$AH56),'2024年-挂账付款'!AA56,IF('2024年-挂账付款'!$AX56-SUM('2024年-挂账付款'!AB56:$AH56)&gt;0,'2024年-挂账付款'!$AX56-SUM('2024年-挂账付款'!AB56:$AH56),0))</f>
        <v>0</v>
      </c>
      <c r="AE56" s="128">
        <f>IF('2024年-挂账付款'!$AX56&gt;=SUM('2024年-挂账付款'!AB56:$AH56),'2024年-挂账付款'!AB56,IF('2024年-挂账付款'!$AX56-SUM('2024年-挂账付款'!AC56:$AH56)&gt;0,'2024年-挂账付款'!$AX56-SUM('2024年-挂账付款'!AC56:$AH56),0))</f>
        <v>0</v>
      </c>
      <c r="AF56" s="128">
        <f>IF('2024年-挂账付款'!$AX56&gt;=SUM('2024年-挂账付款'!AC56:$AH56),'2024年-挂账付款'!AC56,IF('2024年-挂账付款'!$AX56-SUM('2024年-挂账付款'!AD56:$AH56)&gt;0,'2024年-挂账付款'!$AX56-SUM('2024年-挂账付款'!AD56:$AH56),0))</f>
        <v>0</v>
      </c>
      <c r="AG56" s="128">
        <f>IF('2024年-挂账付款'!$AX56&gt;=SUM('2024年-挂账付款'!AD56:$AH56),'2024年-挂账付款'!AD56,IF('2024年-挂账付款'!$AX56-SUM('2024年-挂账付款'!AE56:$AH56)&gt;0,'2024年-挂账付款'!$AX56-SUM('2024年-挂账付款'!AE56:$AH56),0))</f>
        <v>0</v>
      </c>
      <c r="AH56" s="128">
        <f>IF('2024年-挂账付款'!$AX56&gt;=SUM('2024年-挂账付款'!AE56:$AH56),'2024年-挂账付款'!AE56,IF('2024年-挂账付款'!$AX56-SUM('2024年-挂账付款'!AF56:$AH56)&gt;0,'2024年-挂账付款'!$AX56-SUM('2024年-挂账付款'!AF56:$AH56),0))</f>
        <v>0</v>
      </c>
      <c r="AI56" s="128">
        <f>IF('2024年-挂账付款'!$AX56&gt;=SUM('2024年-挂账付款'!AF56:$AH56),'2024年-挂账付款'!AF56,IF('2024年-挂账付款'!$AX56-SUM('2024年-挂账付款'!AG56:$AH56)&gt;0,'2024年-挂账付款'!$AX56-SUM('2024年-挂账付款'!AG56:$AH56),0))</f>
        <v>0</v>
      </c>
      <c r="AJ56" s="128">
        <f>IF('2024年-挂账付款'!$AX56&gt;=SUM('2024年-挂账付款'!AG56:$AH56),'2024年-挂账付款'!AG56,IF('2024年-挂账付款'!$AX56-SUM('2024年-挂账付款'!AH56:$AH56)&gt;0,'2024年-挂账付款'!$AX56-SUM('2024年-挂账付款'!AH56:$AH56),0))</f>
        <v>0</v>
      </c>
      <c r="AK56" s="128">
        <f>IF('2024年-挂账付款'!$AX56&gt;=SUM('2024年-挂账付款'!AH56:$AH56),'2024年-挂账付款'!AH56,IF('2024年-挂账付款'!$AX56-SUM('2024年-挂账付款'!$AH56:AI56)&gt;0,'2024年-挂账付款'!$AX56-SUM('2024年-挂账付款'!$AH56:AI56),0))</f>
        <v>0</v>
      </c>
      <c r="AL56" s="182"/>
      <c r="AM56" s="183"/>
      <c r="AN56" s="176">
        <f t="shared" si="7"/>
        <v>0</v>
      </c>
      <c r="AO56" s="210"/>
      <c r="AP56" s="204"/>
      <c r="AQ56" s="205"/>
      <c r="AR56" s="206"/>
    </row>
    <row r="57" s="107" customFormat="1" ht="18" customHeight="1" spans="1:44">
      <c r="A57" s="122"/>
      <c r="B57" s="139" t="s">
        <v>81</v>
      </c>
      <c r="C57" s="147" t="s">
        <v>181</v>
      </c>
      <c r="D57" s="130" t="s">
        <v>182</v>
      </c>
      <c r="E57" s="148" t="s">
        <v>96</v>
      </c>
      <c r="F57" s="126">
        <f t="shared" si="3"/>
        <v>0</v>
      </c>
      <c r="G57" s="127" t="str">
        <f t="shared" si="6"/>
        <v>0</v>
      </c>
      <c r="H57" s="128" t="str">
        <f>IF('2024年-挂账付款'!$AX57&gt;=SUM('2024年-挂账付款'!E57:$AH57),'2024年-挂账付款'!E57,IF('2024年-挂账付款'!$AX57-SUM('2024年-挂账付款'!F57:$AH57)&gt;0,'2024年-挂账付款'!$AX57-SUM('2024年-挂账付款'!F57:$AH57),0))</f>
        <v/>
      </c>
      <c r="I57" s="128" t="str">
        <f>IF('2024年-挂账付款'!$AX57&gt;=SUM('2024年-挂账付款'!F57:$AH57),'2024年-挂账付款'!F57,IF('2024年-挂账付款'!$AX57-SUM('2024年-挂账付款'!G57:$AH57)&gt;0,'2024年-挂账付款'!$AX57-SUM('2024年-挂账付款'!G57:$AH57),0))</f>
        <v/>
      </c>
      <c r="J57" s="128" t="str">
        <f>IF('2024年-挂账付款'!$AX57&gt;=SUM('2024年-挂账付款'!G57:$AH57),'2024年-挂账付款'!G57,IF('2024年-挂账付款'!$AX57-SUM('2024年-挂账付款'!H57:$AH57)&gt;0,'2024年-挂账付款'!$AX57-SUM('2024年-挂账付款'!H57:$AH57),0))</f>
        <v/>
      </c>
      <c r="K57" s="128">
        <f>IF('2024年-挂账付款'!$AX57&gt;=SUM('2024年-挂账付款'!H57:$AH57),'2024年-挂账付款'!H57,IF('2024年-挂账付款'!$AX57-SUM('2024年-挂账付款'!I57:$AH57)&gt;0,'2024年-挂账付款'!$AX57-SUM('2024年-挂账付款'!I57:$AH57),0))</f>
        <v>0</v>
      </c>
      <c r="L57" s="128">
        <f>IF('2024年-挂账付款'!$AX57&gt;=SUM('2024年-挂账付款'!I57:$AH57),'2024年-挂账付款'!I57,IF('2024年-挂账付款'!$AX57-SUM('2024年-挂账付款'!J57:$AH57)&gt;0,'2024年-挂账付款'!$AX57-SUM('2024年-挂账付款'!J57:$AH57),0))</f>
        <v>0</v>
      </c>
      <c r="M57" s="128" t="str">
        <f>IF('2024年-挂账付款'!$AX57&gt;=SUM('2024年-挂账付款'!J57:$AH57),'2024年-挂账付款'!J57,IF('2024年-挂账付款'!$AX57-SUM('2024年-挂账付款'!K57:$AH57)&gt;0,'2024年-挂账付款'!$AX57-SUM('2024年-挂账付款'!K57:$AH57),0))</f>
        <v/>
      </c>
      <c r="N57" s="128">
        <f>IF('2024年-挂账付款'!$AX57&gt;=SUM('2024年-挂账付款'!K57:$AH57),'2024年-挂账付款'!K57,IF('2024年-挂账付款'!$AX57-SUM('2024年-挂账付款'!L57:$AH57)&gt;0,'2024年-挂账付款'!$AX57-SUM('2024年-挂账付款'!L57:$AH57),0))</f>
        <v>0</v>
      </c>
      <c r="O57" s="128">
        <f>IF('2024年-挂账付款'!$AX57&gt;=SUM('2024年-挂账付款'!L57:$AH57),'2024年-挂账付款'!L57,IF('2024年-挂账付款'!$AX57-SUM('2024年-挂账付款'!M57:$AH57)&gt;0,'2024年-挂账付款'!$AX57-SUM('2024年-挂账付款'!M57:$AH57),0))</f>
        <v>0</v>
      </c>
      <c r="P57" s="128">
        <f>IF('2024年-挂账付款'!$AX57&gt;=SUM('2024年-挂账付款'!M57:$AH57),'2024年-挂账付款'!M57,IF('2024年-挂账付款'!$AX57-SUM('2024年-挂账付款'!N57:$AH57)&gt;0,'2024年-挂账付款'!$AX57-SUM('2024年-挂账付款'!N57:$AH57),0))</f>
        <v>0</v>
      </c>
      <c r="Q57" s="128">
        <f>IF('2024年-挂账付款'!$AX57&gt;=SUM('2024年-挂账付款'!N57:$AH57),'2024年-挂账付款'!N57,IF('2024年-挂账付款'!$AX57-SUM('2024年-挂账付款'!O57:$AH57)&gt;0,'2024年-挂账付款'!$AX57-SUM('2024年-挂账付款'!O57:$AH57),0))</f>
        <v>0</v>
      </c>
      <c r="R57" s="128">
        <f>IF('2024年-挂账付款'!$AX57&gt;=SUM('2024年-挂账付款'!O57:$AH57),'2024年-挂账付款'!O57,IF('2024年-挂账付款'!$AX57-SUM('2024年-挂账付款'!P57:$AH57)&gt;0,'2024年-挂账付款'!$AX57-SUM('2024年-挂账付款'!P57:$AH57),0))</f>
        <v>0</v>
      </c>
      <c r="S57" s="128">
        <f>IF('2024年-挂账付款'!$AX57&gt;=SUM('2024年-挂账付款'!P57:$AH57),'2024年-挂账付款'!P57,IF('2024年-挂账付款'!$AX57-SUM('2024年-挂账付款'!Q57:$AH57)&gt;0,'2024年-挂账付款'!$AX57-SUM('2024年-挂账付款'!Q57:$AH57),0))</f>
        <v>0</v>
      </c>
      <c r="T57" s="128">
        <f>IF('2024年-挂账付款'!$AX57&gt;=SUM('2024年-挂账付款'!Q57:$AH57),'2024年-挂账付款'!Q57,IF('2024年-挂账付款'!$AX57-SUM('2024年-挂账付款'!R57:$AH57)&gt;0,'2024年-挂账付款'!$AX57-SUM('2024年-挂账付款'!R57:$AH57),0))</f>
        <v>0</v>
      </c>
      <c r="U57" s="128">
        <f>IF('2024年-挂账付款'!$AX57&gt;=SUM('2024年-挂账付款'!R57:$AH57),'2024年-挂账付款'!R57,IF('2024年-挂账付款'!$AX57-SUM('2024年-挂账付款'!S57:$AH57)&gt;0,'2024年-挂账付款'!$AX57-SUM('2024年-挂账付款'!S57:$AH57),0))</f>
        <v>0</v>
      </c>
      <c r="V57" s="128">
        <f>IF('2024年-挂账付款'!$AX57&gt;=SUM('2024年-挂账付款'!S57:$AH57),'2024年-挂账付款'!S57,IF('2024年-挂账付款'!$AX57-SUM('2024年-挂账付款'!T57:$AH57)&gt;0,'2024年-挂账付款'!$AX57-SUM('2024年-挂账付款'!T57:$AH57),0))</f>
        <v>0</v>
      </c>
      <c r="W57" s="128">
        <f>IF('2024年-挂账付款'!$AX57&gt;=SUM('2024年-挂账付款'!T57:$AH57),'2024年-挂账付款'!T57,IF('2024年-挂账付款'!$AX57-SUM('2024年-挂账付款'!U57:$AH57)&gt;0,'2024年-挂账付款'!$AX57-SUM('2024年-挂账付款'!U57:$AH57),0))</f>
        <v>0</v>
      </c>
      <c r="X57" s="128">
        <f>IF('2024年-挂账付款'!$AX57&gt;=SUM('2024年-挂账付款'!U57:$AH57),'2024年-挂账付款'!U57,IF('2024年-挂账付款'!$AX57-SUM('2024年-挂账付款'!V57:$AH57)&gt;0,'2024年-挂账付款'!$AX57-SUM('2024年-挂账付款'!V57:$AH57),0))</f>
        <v>0</v>
      </c>
      <c r="Y57" s="128">
        <f>IF('2024年-挂账付款'!$AX57&gt;=SUM('2024年-挂账付款'!V57:$AH57),'2024年-挂账付款'!V57,IF('2024年-挂账付款'!$AX57-SUM('2024年-挂账付款'!W57:$AH57)&gt;0,'2024年-挂账付款'!$AX57-SUM('2024年-挂账付款'!W57:$AH57),0))</f>
        <v>0</v>
      </c>
      <c r="Z57" s="128">
        <f>IF('2024年-挂账付款'!$AX57&gt;=SUM('2024年-挂账付款'!W57:$AH57),'2024年-挂账付款'!W57,IF('2024年-挂账付款'!$AX57-SUM('2024年-挂账付款'!X57:$AH57)&gt;0,'2024年-挂账付款'!$AX57-SUM('2024年-挂账付款'!X57:$AH57),0))</f>
        <v>0</v>
      </c>
      <c r="AA57" s="167">
        <f>IF('2024年-挂账付款'!$AX57&gt;=SUM('2024年-挂账付款'!X57:$AH57),'2024年-挂账付款'!X57,IF('2024年-挂账付款'!$AX57-SUM('2024年-挂账付款'!Y57:$AH57)&gt;0,'2024年-挂账付款'!$AX57-SUM('2024年-挂账付款'!Y57:$AH57),0))</f>
        <v>0</v>
      </c>
      <c r="AB57" s="128">
        <f>IF('2024年-挂账付款'!$AX57&gt;=SUM('2024年-挂账付款'!Y57:$AH57),'2024年-挂账付款'!Y57,IF('2024年-挂账付款'!$AX57-SUM('2024年-挂账付款'!Z57:$AH57)&gt;0,'2024年-挂账付款'!$AX57-SUM('2024年-挂账付款'!Z57:$AH57),0))</f>
        <v>0</v>
      </c>
      <c r="AC57" s="128">
        <f>IF('2024年-挂账付款'!$AX57&gt;=SUM('2024年-挂账付款'!Z57:$AH57),'2024年-挂账付款'!Z57,IF('2024年-挂账付款'!$AX57-SUM('2024年-挂账付款'!AA57:$AH57)&gt;0,'2024年-挂账付款'!$AX57-SUM('2024年-挂账付款'!AA57:$AH57),0))</f>
        <v>0</v>
      </c>
      <c r="AD57" s="128">
        <f>IF('2024年-挂账付款'!$AX57&gt;=SUM('2024年-挂账付款'!AA57:$AH57),'2024年-挂账付款'!AA57,IF('2024年-挂账付款'!$AX57-SUM('2024年-挂账付款'!AB57:$AH57)&gt;0,'2024年-挂账付款'!$AX57-SUM('2024年-挂账付款'!AB57:$AH57),0))</f>
        <v>0</v>
      </c>
      <c r="AE57" s="128">
        <f>IF('2024年-挂账付款'!$AX57&gt;=SUM('2024年-挂账付款'!AB57:$AH57),'2024年-挂账付款'!AB57,IF('2024年-挂账付款'!$AX57-SUM('2024年-挂账付款'!AC57:$AH57)&gt;0,'2024年-挂账付款'!$AX57-SUM('2024年-挂账付款'!AC57:$AH57),0))</f>
        <v>0</v>
      </c>
      <c r="AF57" s="128">
        <f>IF('2024年-挂账付款'!$AX57&gt;=SUM('2024年-挂账付款'!AC57:$AH57),'2024年-挂账付款'!AC57,IF('2024年-挂账付款'!$AX57-SUM('2024年-挂账付款'!AD57:$AH57)&gt;0,'2024年-挂账付款'!$AX57-SUM('2024年-挂账付款'!AD57:$AH57),0))</f>
        <v>0</v>
      </c>
      <c r="AG57" s="128">
        <f>IF('2024年-挂账付款'!$AX57&gt;=SUM('2024年-挂账付款'!AD57:$AH57),'2024年-挂账付款'!AD57,IF('2024年-挂账付款'!$AX57-SUM('2024年-挂账付款'!AE57:$AH57)&gt;0,'2024年-挂账付款'!$AX57-SUM('2024年-挂账付款'!AE57:$AH57),0))</f>
        <v>0</v>
      </c>
      <c r="AH57" s="128">
        <f>IF('2024年-挂账付款'!$AX57&gt;=SUM('2024年-挂账付款'!AE57:$AH57),'2024年-挂账付款'!AE57,IF('2024年-挂账付款'!$AX57-SUM('2024年-挂账付款'!AF57:$AH57)&gt;0,'2024年-挂账付款'!$AX57-SUM('2024年-挂账付款'!AF57:$AH57),0))</f>
        <v>0</v>
      </c>
      <c r="AI57" s="128">
        <f>IF('2024年-挂账付款'!$AX57&gt;=SUM('2024年-挂账付款'!AF57:$AH57),'2024年-挂账付款'!AF57,IF('2024年-挂账付款'!$AX57-SUM('2024年-挂账付款'!AG57:$AH57)&gt;0,'2024年-挂账付款'!$AX57-SUM('2024年-挂账付款'!AG57:$AH57),0))</f>
        <v>0</v>
      </c>
      <c r="AJ57" s="128">
        <f>IF('2024年-挂账付款'!$AX57&gt;=SUM('2024年-挂账付款'!AG57:$AH57),'2024年-挂账付款'!AG57,IF('2024年-挂账付款'!$AX57-SUM('2024年-挂账付款'!AH57:$AH57)&gt;0,'2024年-挂账付款'!$AX57-SUM('2024年-挂账付款'!AH57:$AH57),0))</f>
        <v>0</v>
      </c>
      <c r="AK57" s="128">
        <f>IF('2024年-挂账付款'!$AX57&gt;=SUM('2024年-挂账付款'!AH57:$AH57),'2024年-挂账付款'!AH57,IF('2024年-挂账付款'!$AX57-SUM('2024年-挂账付款'!$AH57:AI57)&gt;0,'2024年-挂账付款'!$AX57-SUM('2024年-挂账付款'!$AH57:AI57),0))</f>
        <v>0</v>
      </c>
      <c r="AL57" s="182"/>
      <c r="AM57" s="183"/>
      <c r="AN57" s="176">
        <f t="shared" si="7"/>
        <v>0</v>
      </c>
      <c r="AO57" s="210"/>
      <c r="AP57" s="204"/>
      <c r="AQ57" s="205"/>
      <c r="AR57" s="206"/>
    </row>
    <row r="58" s="107" customFormat="1" ht="18" customHeight="1" spans="1:44">
      <c r="A58" s="122"/>
      <c r="B58" s="139" t="s">
        <v>81</v>
      </c>
      <c r="C58" s="147" t="s">
        <v>320</v>
      </c>
      <c r="D58" s="130" t="s">
        <v>321</v>
      </c>
      <c r="E58" s="125">
        <v>90</v>
      </c>
      <c r="F58" s="126">
        <f t="shared" si="3"/>
        <v>0</v>
      </c>
      <c r="G58" s="127" t="str">
        <f t="shared" si="6"/>
        <v>0</v>
      </c>
      <c r="H58" s="128" t="str">
        <f>IF('2024年-挂账付款'!$AX58&gt;=SUM('2024年-挂账付款'!E58:$AH58),'2024年-挂账付款'!E58,IF('2024年-挂账付款'!$AX58-SUM('2024年-挂账付款'!F58:$AH58)&gt;0,'2024年-挂账付款'!$AX58-SUM('2024年-挂账付款'!F58:$AH58),0))</f>
        <v/>
      </c>
      <c r="I58" s="128" t="str">
        <f>IF('2024年-挂账付款'!$AX58&gt;=SUM('2024年-挂账付款'!F58:$AH58),'2024年-挂账付款'!F58,IF('2024年-挂账付款'!$AX58-SUM('2024年-挂账付款'!G58:$AH58)&gt;0,'2024年-挂账付款'!$AX58-SUM('2024年-挂账付款'!G58:$AH58),0))</f>
        <v/>
      </c>
      <c r="J58" s="128" t="str">
        <f>IF('2024年-挂账付款'!$AX58&gt;=SUM('2024年-挂账付款'!G58:$AH58),'2024年-挂账付款'!G58,IF('2024年-挂账付款'!$AX58-SUM('2024年-挂账付款'!H58:$AH58)&gt;0,'2024年-挂账付款'!$AX58-SUM('2024年-挂账付款'!H58:$AH58),0))</f>
        <v/>
      </c>
      <c r="K58" s="128">
        <f>IF('2024年-挂账付款'!$AX58&gt;=SUM('2024年-挂账付款'!H58:$AH58),'2024年-挂账付款'!H58,IF('2024年-挂账付款'!$AX58-SUM('2024年-挂账付款'!I58:$AH58)&gt;0,'2024年-挂账付款'!$AX58-SUM('2024年-挂账付款'!I58:$AH58),0))</f>
        <v>0</v>
      </c>
      <c r="L58" s="128">
        <f>IF('2024年-挂账付款'!$AX58&gt;=SUM('2024年-挂账付款'!I58:$AH58),'2024年-挂账付款'!I58,IF('2024年-挂账付款'!$AX58-SUM('2024年-挂账付款'!J58:$AH58)&gt;0,'2024年-挂账付款'!$AX58-SUM('2024年-挂账付款'!J58:$AH58),0))</f>
        <v>0</v>
      </c>
      <c r="M58" s="128" t="str">
        <f>IF('2024年-挂账付款'!$AX58&gt;=SUM('2024年-挂账付款'!J58:$AH58),'2024年-挂账付款'!J58,IF('2024年-挂账付款'!$AX58-SUM('2024年-挂账付款'!K58:$AH58)&gt;0,'2024年-挂账付款'!$AX58-SUM('2024年-挂账付款'!K58:$AH58),0))</f>
        <v/>
      </c>
      <c r="N58" s="128">
        <f>IF('2024年-挂账付款'!$AX58&gt;=SUM('2024年-挂账付款'!K58:$AH58),'2024年-挂账付款'!K58,IF('2024年-挂账付款'!$AX58-SUM('2024年-挂账付款'!L58:$AH58)&gt;0,'2024年-挂账付款'!$AX58-SUM('2024年-挂账付款'!L58:$AH58),0))</f>
        <v>0</v>
      </c>
      <c r="O58" s="128">
        <f>IF('2024年-挂账付款'!$AX58&gt;=SUM('2024年-挂账付款'!L58:$AH58),'2024年-挂账付款'!L58,IF('2024年-挂账付款'!$AX58-SUM('2024年-挂账付款'!M58:$AH58)&gt;0,'2024年-挂账付款'!$AX58-SUM('2024年-挂账付款'!M58:$AH58),0))</f>
        <v>0</v>
      </c>
      <c r="P58" s="128">
        <f>IF('2024年-挂账付款'!$AX58&gt;=SUM('2024年-挂账付款'!M58:$AH58),'2024年-挂账付款'!M58,IF('2024年-挂账付款'!$AX58-SUM('2024年-挂账付款'!N58:$AH58)&gt;0,'2024年-挂账付款'!$AX58-SUM('2024年-挂账付款'!N58:$AH58),0))</f>
        <v>0</v>
      </c>
      <c r="Q58" s="128">
        <f>IF('2024年-挂账付款'!$AX58&gt;=SUM('2024年-挂账付款'!N58:$AH58),'2024年-挂账付款'!N58,IF('2024年-挂账付款'!$AX58-SUM('2024年-挂账付款'!O58:$AH58)&gt;0,'2024年-挂账付款'!$AX58-SUM('2024年-挂账付款'!O58:$AH58),0))</f>
        <v>0</v>
      </c>
      <c r="R58" s="128">
        <f>IF('2024年-挂账付款'!$AX58&gt;=SUM('2024年-挂账付款'!O58:$AH58),'2024年-挂账付款'!O58,IF('2024年-挂账付款'!$AX58-SUM('2024年-挂账付款'!P58:$AH58)&gt;0,'2024年-挂账付款'!$AX58-SUM('2024年-挂账付款'!P58:$AH58),0))</f>
        <v>0</v>
      </c>
      <c r="S58" s="128">
        <f>IF('2024年-挂账付款'!$AX58&gt;=SUM('2024年-挂账付款'!P58:$AH58),'2024年-挂账付款'!P58,IF('2024年-挂账付款'!$AX58-SUM('2024年-挂账付款'!Q58:$AH58)&gt;0,'2024年-挂账付款'!$AX58-SUM('2024年-挂账付款'!Q58:$AH58),0))</f>
        <v>0</v>
      </c>
      <c r="T58" s="128">
        <f>IF('2024年-挂账付款'!$AX58&gt;=SUM('2024年-挂账付款'!Q58:$AH58),'2024年-挂账付款'!Q58,IF('2024年-挂账付款'!$AX58-SUM('2024年-挂账付款'!R58:$AH58)&gt;0,'2024年-挂账付款'!$AX58-SUM('2024年-挂账付款'!R58:$AH58),0))</f>
        <v>0</v>
      </c>
      <c r="U58" s="128">
        <f>IF('2024年-挂账付款'!$AX58&gt;=SUM('2024年-挂账付款'!R58:$AH58),'2024年-挂账付款'!R58,IF('2024年-挂账付款'!$AX58-SUM('2024年-挂账付款'!S58:$AH58)&gt;0,'2024年-挂账付款'!$AX58-SUM('2024年-挂账付款'!S58:$AH58),0))</f>
        <v>0</v>
      </c>
      <c r="V58" s="128">
        <f>IF('2024年-挂账付款'!$AX58&gt;=SUM('2024年-挂账付款'!S58:$AH58),'2024年-挂账付款'!S58,IF('2024年-挂账付款'!$AX58-SUM('2024年-挂账付款'!T58:$AH58)&gt;0,'2024年-挂账付款'!$AX58-SUM('2024年-挂账付款'!T58:$AH58),0))</f>
        <v>0</v>
      </c>
      <c r="W58" s="128">
        <f>IF('2024年-挂账付款'!$AX58&gt;=SUM('2024年-挂账付款'!T58:$AH58),'2024年-挂账付款'!T58,IF('2024年-挂账付款'!$AX58-SUM('2024年-挂账付款'!U58:$AH58)&gt;0,'2024年-挂账付款'!$AX58-SUM('2024年-挂账付款'!U58:$AH58),0))</f>
        <v>0</v>
      </c>
      <c r="X58" s="128">
        <f>IF('2024年-挂账付款'!$AX58&gt;=SUM('2024年-挂账付款'!U58:$AH58),'2024年-挂账付款'!U58,IF('2024年-挂账付款'!$AX58-SUM('2024年-挂账付款'!V58:$AH58)&gt;0,'2024年-挂账付款'!$AX58-SUM('2024年-挂账付款'!V58:$AH58),0))</f>
        <v>0</v>
      </c>
      <c r="Y58" s="128">
        <f>IF('2024年-挂账付款'!$AX58&gt;=SUM('2024年-挂账付款'!V58:$AH58),'2024年-挂账付款'!V58,IF('2024年-挂账付款'!$AX58-SUM('2024年-挂账付款'!W58:$AH58)&gt;0,'2024年-挂账付款'!$AX58-SUM('2024年-挂账付款'!W58:$AH58),0))</f>
        <v>0</v>
      </c>
      <c r="Z58" s="128">
        <f>IF('2024年-挂账付款'!$AX58&gt;=SUM('2024年-挂账付款'!W58:$AH58),'2024年-挂账付款'!W58,IF('2024年-挂账付款'!$AX58-SUM('2024年-挂账付款'!X58:$AH58)&gt;0,'2024年-挂账付款'!$AX58-SUM('2024年-挂账付款'!X58:$AH58),0))</f>
        <v>0</v>
      </c>
      <c r="AA58" s="167">
        <f>IF('2024年-挂账付款'!$AX58&gt;=SUM('2024年-挂账付款'!X58:$AH58),'2024年-挂账付款'!X58,IF('2024年-挂账付款'!$AX58-SUM('2024年-挂账付款'!Y58:$AH58)&gt;0,'2024年-挂账付款'!$AX58-SUM('2024年-挂账付款'!Y58:$AH58),0))</f>
        <v>0</v>
      </c>
      <c r="AB58" s="128">
        <f>IF('2024年-挂账付款'!$AX58&gt;=SUM('2024年-挂账付款'!Y58:$AH58),'2024年-挂账付款'!Y58,IF('2024年-挂账付款'!$AX58-SUM('2024年-挂账付款'!Z58:$AH58)&gt;0,'2024年-挂账付款'!$AX58-SUM('2024年-挂账付款'!Z58:$AH58),0))</f>
        <v>0</v>
      </c>
      <c r="AC58" s="128">
        <f>IF('2024年-挂账付款'!$AX58&gt;=SUM('2024年-挂账付款'!Z58:$AH58),'2024年-挂账付款'!Z58,IF('2024年-挂账付款'!$AX58-SUM('2024年-挂账付款'!AA58:$AH58)&gt;0,'2024年-挂账付款'!$AX58-SUM('2024年-挂账付款'!AA58:$AH58),0))</f>
        <v>0</v>
      </c>
      <c r="AD58" s="128">
        <f>IF('2024年-挂账付款'!$AX58&gt;=SUM('2024年-挂账付款'!AA58:$AH58),'2024年-挂账付款'!AA58,IF('2024年-挂账付款'!$AX58-SUM('2024年-挂账付款'!AB58:$AH58)&gt;0,'2024年-挂账付款'!$AX58-SUM('2024年-挂账付款'!AB58:$AH58),0))</f>
        <v>0</v>
      </c>
      <c r="AE58" s="128">
        <f>IF('2024年-挂账付款'!$AX58&gt;=SUM('2024年-挂账付款'!AB58:$AH58),'2024年-挂账付款'!AB58,IF('2024年-挂账付款'!$AX58-SUM('2024年-挂账付款'!AC58:$AH58)&gt;0,'2024年-挂账付款'!$AX58-SUM('2024年-挂账付款'!AC58:$AH58),0))</f>
        <v>0</v>
      </c>
      <c r="AF58" s="128">
        <f>IF('2024年-挂账付款'!$AX58&gt;=SUM('2024年-挂账付款'!AC58:$AH58),'2024年-挂账付款'!AC58,IF('2024年-挂账付款'!$AX58-SUM('2024年-挂账付款'!AD58:$AH58)&gt;0,'2024年-挂账付款'!$AX58-SUM('2024年-挂账付款'!AD58:$AH58),0))</f>
        <v>0</v>
      </c>
      <c r="AG58" s="128">
        <f>IF('2024年-挂账付款'!$AX58&gt;=SUM('2024年-挂账付款'!AD58:$AH58),'2024年-挂账付款'!AD58,IF('2024年-挂账付款'!$AX58-SUM('2024年-挂账付款'!AE58:$AH58)&gt;0,'2024年-挂账付款'!$AX58-SUM('2024年-挂账付款'!AE58:$AH58),0))</f>
        <v>0</v>
      </c>
      <c r="AH58" s="128">
        <f>IF('2024年-挂账付款'!$AX58&gt;=SUM('2024年-挂账付款'!AE58:$AH58),'2024年-挂账付款'!AE58,IF('2024年-挂账付款'!$AX58-SUM('2024年-挂账付款'!AF58:$AH58)&gt;0,'2024年-挂账付款'!$AX58-SUM('2024年-挂账付款'!AF58:$AH58),0))</f>
        <v>0</v>
      </c>
      <c r="AI58" s="128">
        <f>IF('2024年-挂账付款'!$AX58&gt;=SUM('2024年-挂账付款'!AF58:$AH58),'2024年-挂账付款'!AF58,IF('2024年-挂账付款'!$AX58-SUM('2024年-挂账付款'!AG58:$AH58)&gt;0,'2024年-挂账付款'!$AX58-SUM('2024年-挂账付款'!AG58:$AH58),0))</f>
        <v>0</v>
      </c>
      <c r="AJ58" s="128">
        <f>IF('2024年-挂账付款'!$AX58&gt;=SUM('2024年-挂账付款'!AG58:$AH58),'2024年-挂账付款'!AG58,IF('2024年-挂账付款'!$AX58-SUM('2024年-挂账付款'!AH58:$AH58)&gt;0,'2024年-挂账付款'!$AX58-SUM('2024年-挂账付款'!AH58:$AH58),0))</f>
        <v>0</v>
      </c>
      <c r="AK58" s="128">
        <f>IF('2024年-挂账付款'!$AX58&gt;=SUM('2024年-挂账付款'!AH58:$AH58),'2024年-挂账付款'!AH58,IF('2024年-挂账付款'!$AX58-SUM('2024年-挂账付款'!$AH58:AI58)&gt;0,'2024年-挂账付款'!$AX58-SUM('2024年-挂账付款'!$AH58:AI58),0))</f>
        <v>0</v>
      </c>
      <c r="AL58" s="190"/>
      <c r="AM58" s="183"/>
      <c r="AN58" s="176">
        <f t="shared" si="7"/>
        <v>0</v>
      </c>
      <c r="AO58" s="210"/>
      <c r="AP58" s="204"/>
      <c r="AQ58" s="205"/>
      <c r="AR58" s="206"/>
    </row>
    <row r="59" s="107" customFormat="1" ht="18" customHeight="1" spans="1:44">
      <c r="A59" s="122"/>
      <c r="B59" s="139" t="s">
        <v>81</v>
      </c>
      <c r="C59" s="147" t="s">
        <v>447</v>
      </c>
      <c r="D59" s="149" t="s">
        <v>448</v>
      </c>
      <c r="E59" s="125">
        <v>90</v>
      </c>
      <c r="F59" s="126">
        <f t="shared" si="3"/>
        <v>15767.46</v>
      </c>
      <c r="G59" s="127">
        <f t="shared" si="6"/>
        <v>15767.46</v>
      </c>
      <c r="H59" s="128">
        <f>IF('2024年-挂账付款'!$AX59&gt;=SUM('2024年-挂账付款'!E59:$AH59),'2024年-挂账付款'!E59,IF('2024年-挂账付款'!$AX59-SUM('2024年-挂账付款'!F59:$AH59)&gt;0,'2024年-挂账付款'!$AX59-SUM('2024年-挂账付款'!F59:$AH59),0))</f>
        <v>0</v>
      </c>
      <c r="I59" s="128">
        <f>IF('2024年-挂账付款'!$AX59&gt;=SUM('2024年-挂账付款'!F59:$AH59),'2024年-挂账付款'!F59,IF('2024年-挂账付款'!$AX59-SUM('2024年-挂账付款'!G59:$AH59)&gt;0,'2024年-挂账付款'!$AX59-SUM('2024年-挂账付款'!G59:$AH59),0))</f>
        <v>0</v>
      </c>
      <c r="J59" s="128">
        <f>IF('2024年-挂账付款'!$AX59&gt;=SUM('2024年-挂账付款'!G59:$AH59),'2024年-挂账付款'!G59,IF('2024年-挂账付款'!$AX59-SUM('2024年-挂账付款'!H59:$AH59)&gt;0,'2024年-挂账付款'!$AX59-SUM('2024年-挂账付款'!H59:$AH59),0))</f>
        <v>0</v>
      </c>
      <c r="K59" s="128">
        <f>IF('2024年-挂账付款'!$AX59&gt;=SUM('2024年-挂账付款'!H59:$AH59),'2024年-挂账付款'!H59,IF('2024年-挂账付款'!$AX59-SUM('2024年-挂账付款'!I59:$AH59)&gt;0,'2024年-挂账付款'!$AX59-SUM('2024年-挂账付款'!I59:$AH59),0))</f>
        <v>0</v>
      </c>
      <c r="L59" s="128">
        <f>IF('2024年-挂账付款'!$AX59&gt;=SUM('2024年-挂账付款'!I59:$AH59),'2024年-挂账付款'!I59,IF('2024年-挂账付款'!$AX59-SUM('2024年-挂账付款'!J59:$AH59)&gt;0,'2024年-挂账付款'!$AX59-SUM('2024年-挂账付款'!J59:$AH59),0))</f>
        <v>0</v>
      </c>
      <c r="M59" s="128">
        <f>IF('2024年-挂账付款'!$AX59&gt;=SUM('2024年-挂账付款'!J59:$AH59),'2024年-挂账付款'!J59,IF('2024年-挂账付款'!$AX59-SUM('2024年-挂账付款'!K59:$AH59)&gt;0,'2024年-挂账付款'!$AX59-SUM('2024年-挂账付款'!K59:$AH59),0))</f>
        <v>0</v>
      </c>
      <c r="N59" s="128">
        <f>IF('2024年-挂账付款'!$AX59&gt;=SUM('2024年-挂账付款'!K59:$AH59),'2024年-挂账付款'!K59,IF('2024年-挂账付款'!$AX59-SUM('2024年-挂账付款'!L59:$AH59)&gt;0,'2024年-挂账付款'!$AX59-SUM('2024年-挂账付款'!L59:$AH59),0))</f>
        <v>0</v>
      </c>
      <c r="O59" s="128">
        <f>IF('2024年-挂账付款'!$AX59&gt;=SUM('2024年-挂账付款'!L59:$AH59),'2024年-挂账付款'!L59,IF('2024年-挂账付款'!$AX59-SUM('2024年-挂账付款'!M59:$AH59)&gt;0,'2024年-挂账付款'!$AX59-SUM('2024年-挂账付款'!M59:$AH59),0))</f>
        <v>0</v>
      </c>
      <c r="P59" s="128">
        <f>IF('2024年-挂账付款'!$AX59&gt;=SUM('2024年-挂账付款'!M59:$AH59),'2024年-挂账付款'!M59,IF('2024年-挂账付款'!$AX59-SUM('2024年-挂账付款'!N59:$AH59)&gt;0,'2024年-挂账付款'!$AX59-SUM('2024年-挂账付款'!N59:$AH59),0))</f>
        <v>6915.5</v>
      </c>
      <c r="Q59" s="128">
        <f>IF('2024年-挂账付款'!$AX59&gt;=SUM('2024年-挂账付款'!N59:$AH59),'2024年-挂账付款'!N59,IF('2024年-挂账付款'!$AX59-SUM('2024年-挂账付款'!O59:$AH59)&gt;0,'2024年-挂账付款'!$AX59-SUM('2024年-挂账付款'!O59:$AH59),0))</f>
        <v>0</v>
      </c>
      <c r="R59" s="128">
        <f>IF('2024年-挂账付款'!$AX59&gt;=SUM('2024年-挂账付款'!O59:$AH59),'2024年-挂账付款'!O59,IF('2024年-挂账付款'!$AX59-SUM('2024年-挂账付款'!P59:$AH59)&gt;0,'2024年-挂账付款'!$AX59-SUM('2024年-挂账付款'!P59:$AH59),0))</f>
        <v>0</v>
      </c>
      <c r="S59" s="128">
        <f>IF('2024年-挂账付款'!$AX59&gt;=SUM('2024年-挂账付款'!P59:$AH59),'2024年-挂账付款'!P59,IF('2024年-挂账付款'!$AX59-SUM('2024年-挂账付款'!Q59:$AH59)&gt;0,'2024年-挂账付款'!$AX59-SUM('2024年-挂账付款'!Q59:$AH59),0))</f>
        <v>0</v>
      </c>
      <c r="T59" s="128">
        <f>IF('2024年-挂账付款'!$AX59&gt;=SUM('2024年-挂账付款'!Q59:$AH59),'2024年-挂账付款'!Q59,IF('2024年-挂账付款'!$AX59-SUM('2024年-挂账付款'!R59:$AH59)&gt;0,'2024年-挂账付款'!$AX59-SUM('2024年-挂账付款'!R59:$AH59),0))</f>
        <v>0</v>
      </c>
      <c r="U59" s="128">
        <f>IF('2024年-挂账付款'!$AX59&gt;=SUM('2024年-挂账付款'!R59:$AH59),'2024年-挂账付款'!R59,IF('2024年-挂账付款'!$AX59-SUM('2024年-挂账付款'!S59:$AH59)&gt;0,'2024年-挂账付款'!$AX59-SUM('2024年-挂账付款'!S59:$AH59),0))</f>
        <v>0</v>
      </c>
      <c r="V59" s="128">
        <f>IF('2024年-挂账付款'!$AX59&gt;=SUM('2024年-挂账付款'!S59:$AH59),'2024年-挂账付款'!S59,IF('2024年-挂账付款'!$AX59-SUM('2024年-挂账付款'!T59:$AH59)&gt;0,'2024年-挂账付款'!$AX59-SUM('2024年-挂账付款'!T59:$AH59),0))</f>
        <v>0</v>
      </c>
      <c r="W59" s="128">
        <f>IF('2024年-挂账付款'!$AX59&gt;=SUM('2024年-挂账付款'!T59:$AH59),'2024年-挂账付款'!T59,IF('2024年-挂账付款'!$AX59-SUM('2024年-挂账付款'!U59:$AH59)&gt;0,'2024年-挂账付款'!$AX59-SUM('2024年-挂账付款'!U59:$AH59),0))</f>
        <v>0</v>
      </c>
      <c r="X59" s="128">
        <f>IF('2024年-挂账付款'!$AX59&gt;=SUM('2024年-挂账付款'!U59:$AH59),'2024年-挂账付款'!U59,IF('2024年-挂账付款'!$AX59-SUM('2024年-挂账付款'!V59:$AH59)&gt;0,'2024年-挂账付款'!$AX59-SUM('2024年-挂账付款'!V59:$AH59),0))</f>
        <v>8851.96</v>
      </c>
      <c r="Y59" s="128">
        <f>IF('2024年-挂账付款'!$AX59&gt;=SUM('2024年-挂账付款'!V59:$AH59),'2024年-挂账付款'!V59,IF('2024年-挂账付款'!$AX59-SUM('2024年-挂账付款'!W59:$AH59)&gt;0,'2024年-挂账付款'!$AX59-SUM('2024年-挂账付款'!W59:$AH59),0))</f>
        <v>0</v>
      </c>
      <c r="Z59" s="128">
        <f>IF('2024年-挂账付款'!$AX59&gt;=SUM('2024年-挂账付款'!W59:$AH59),'2024年-挂账付款'!W59,IF('2024年-挂账付款'!$AX59-SUM('2024年-挂账付款'!X59:$AH59)&gt;0,'2024年-挂账付款'!$AX59-SUM('2024年-挂账付款'!X59:$AH59),0))</f>
        <v>0</v>
      </c>
      <c r="AA59" s="167">
        <f>IF('2024年-挂账付款'!$AX59&gt;=SUM('2024年-挂账付款'!X59:$AH59),'2024年-挂账付款'!X59,IF('2024年-挂账付款'!$AX59-SUM('2024年-挂账付款'!Y59:$AH59)&gt;0,'2024年-挂账付款'!$AX59-SUM('2024年-挂账付款'!Y59:$AH59),0))</f>
        <v>0</v>
      </c>
      <c r="AB59" s="128">
        <f>IF('2024年-挂账付款'!$AX59&gt;=SUM('2024年-挂账付款'!Y59:$AH59),'2024年-挂账付款'!Y59,IF('2024年-挂账付款'!$AX59-SUM('2024年-挂账付款'!Z59:$AH59)&gt;0,'2024年-挂账付款'!$AX59-SUM('2024年-挂账付款'!Z59:$AH59),0))</f>
        <v>0</v>
      </c>
      <c r="AC59" s="128">
        <f>IF('2024年-挂账付款'!$AX59&gt;=SUM('2024年-挂账付款'!Z59:$AH59),'2024年-挂账付款'!Z59,IF('2024年-挂账付款'!$AX59-SUM('2024年-挂账付款'!AA59:$AH59)&gt;0,'2024年-挂账付款'!$AX59-SUM('2024年-挂账付款'!AA59:$AH59),0))</f>
        <v>0</v>
      </c>
      <c r="AD59" s="128">
        <f>IF('2024年-挂账付款'!$AX59&gt;=SUM('2024年-挂账付款'!AA59:$AH59),'2024年-挂账付款'!AA59,IF('2024年-挂账付款'!$AX59-SUM('2024年-挂账付款'!AB59:$AH59)&gt;0,'2024年-挂账付款'!$AX59-SUM('2024年-挂账付款'!AB59:$AH59),0))</f>
        <v>0</v>
      </c>
      <c r="AE59" s="128">
        <f>IF('2024年-挂账付款'!$AX59&gt;=SUM('2024年-挂账付款'!AB59:$AH59),'2024年-挂账付款'!AB59,IF('2024年-挂账付款'!$AX59-SUM('2024年-挂账付款'!AC59:$AH59)&gt;0,'2024年-挂账付款'!$AX59-SUM('2024年-挂账付款'!AC59:$AH59),0))</f>
        <v>0</v>
      </c>
      <c r="AF59" s="128">
        <f>IF('2024年-挂账付款'!$AX59&gt;=SUM('2024年-挂账付款'!AC59:$AH59),'2024年-挂账付款'!AC59,IF('2024年-挂账付款'!$AX59-SUM('2024年-挂账付款'!AD59:$AH59)&gt;0,'2024年-挂账付款'!$AX59-SUM('2024年-挂账付款'!AD59:$AH59),0))</f>
        <v>0</v>
      </c>
      <c r="AG59" s="128">
        <f>IF('2024年-挂账付款'!$AX59&gt;=SUM('2024年-挂账付款'!AD59:$AH59),'2024年-挂账付款'!AD59,IF('2024年-挂账付款'!$AX59-SUM('2024年-挂账付款'!AE59:$AH59)&gt;0,'2024年-挂账付款'!$AX59-SUM('2024年-挂账付款'!AE59:$AH59),0))</f>
        <v>0</v>
      </c>
      <c r="AH59" s="128">
        <f>IF('2024年-挂账付款'!$AX59&gt;=SUM('2024年-挂账付款'!AE59:$AH59),'2024年-挂账付款'!AE59,IF('2024年-挂账付款'!$AX59-SUM('2024年-挂账付款'!AF59:$AH59)&gt;0,'2024年-挂账付款'!$AX59-SUM('2024年-挂账付款'!AF59:$AH59),0))</f>
        <v>0</v>
      </c>
      <c r="AI59" s="128">
        <f>IF('2024年-挂账付款'!$AX59&gt;=SUM('2024年-挂账付款'!AF59:$AH59),'2024年-挂账付款'!AF59,IF('2024年-挂账付款'!$AX59-SUM('2024年-挂账付款'!AG59:$AH59)&gt;0,'2024年-挂账付款'!$AX59-SUM('2024年-挂账付款'!AG59:$AH59),0))</f>
        <v>0</v>
      </c>
      <c r="AJ59" s="128">
        <f>IF('2024年-挂账付款'!$AX59&gt;=SUM('2024年-挂账付款'!AG59:$AH59),'2024年-挂账付款'!AG59,IF('2024年-挂账付款'!$AX59-SUM('2024年-挂账付款'!AH59:$AH59)&gt;0,'2024年-挂账付款'!$AX59-SUM('2024年-挂账付款'!AH59:$AH59),0))</f>
        <v>0</v>
      </c>
      <c r="AK59" s="128">
        <f>IF('2024年-挂账付款'!$AX59&gt;=SUM('2024年-挂账付款'!AH59:$AH59),'2024年-挂账付款'!AH59,IF('2024年-挂账付款'!$AX59-SUM('2024年-挂账付款'!$AH59:AI59)&gt;0,'2024年-挂账付款'!$AX59-SUM('2024年-挂账付款'!$AH59:AI59),0))</f>
        <v>0</v>
      </c>
      <c r="AL59" s="190"/>
      <c r="AM59" s="183"/>
      <c r="AN59" s="176">
        <f t="shared" si="7"/>
        <v>1180.26133333333</v>
      </c>
      <c r="AO59" s="210">
        <f>F59</f>
        <v>15767.46</v>
      </c>
      <c r="AP59" s="204" t="s">
        <v>481</v>
      </c>
      <c r="AQ59" s="205"/>
      <c r="AR59" s="206"/>
    </row>
    <row r="60" s="107" customFormat="1" ht="18" customHeight="1" spans="1:44">
      <c r="A60" s="122"/>
      <c r="B60" s="139" t="s">
        <v>81</v>
      </c>
      <c r="C60" s="147" t="s">
        <v>449</v>
      </c>
      <c r="D60" s="149" t="s">
        <v>450</v>
      </c>
      <c r="E60" s="125">
        <v>90</v>
      </c>
      <c r="F60" s="126">
        <f t="shared" si="3"/>
        <v>0</v>
      </c>
      <c r="G60" s="127" t="str">
        <f t="shared" si="6"/>
        <v>0</v>
      </c>
      <c r="H60" s="128">
        <f>IF('2024年-挂账付款'!$AX60&gt;=SUM('2024年-挂账付款'!E60:$AH60),'2024年-挂账付款'!E60,IF('2024年-挂账付款'!$AX60-SUM('2024年-挂账付款'!F60:$AH60)&gt;0,'2024年-挂账付款'!$AX60-SUM('2024年-挂账付款'!F60:$AH60),0))</f>
        <v>0</v>
      </c>
      <c r="I60" s="128">
        <f>IF('2024年-挂账付款'!$AX60&gt;=SUM('2024年-挂账付款'!F60:$AH60),'2024年-挂账付款'!F60,IF('2024年-挂账付款'!$AX60-SUM('2024年-挂账付款'!G60:$AH60)&gt;0,'2024年-挂账付款'!$AX60-SUM('2024年-挂账付款'!G60:$AH60),0))</f>
        <v>0</v>
      </c>
      <c r="J60" s="128">
        <f>IF('2024年-挂账付款'!$AX60&gt;=SUM('2024年-挂账付款'!G60:$AH60),'2024年-挂账付款'!G60,IF('2024年-挂账付款'!$AX60-SUM('2024年-挂账付款'!H60:$AH60)&gt;0,'2024年-挂账付款'!$AX60-SUM('2024年-挂账付款'!H60:$AH60),0))</f>
        <v>0</v>
      </c>
      <c r="K60" s="128">
        <f>IF('2024年-挂账付款'!$AX60&gt;=SUM('2024年-挂账付款'!H60:$AH60),'2024年-挂账付款'!H60,IF('2024年-挂账付款'!$AX60-SUM('2024年-挂账付款'!I60:$AH60)&gt;0,'2024年-挂账付款'!$AX60-SUM('2024年-挂账付款'!I60:$AH60),0))</f>
        <v>0</v>
      </c>
      <c r="L60" s="128">
        <f>IF('2024年-挂账付款'!$AX60&gt;=SUM('2024年-挂账付款'!I60:$AH60),'2024年-挂账付款'!I60,IF('2024年-挂账付款'!$AX60-SUM('2024年-挂账付款'!J60:$AH60)&gt;0,'2024年-挂账付款'!$AX60-SUM('2024年-挂账付款'!J60:$AH60),0))</f>
        <v>0</v>
      </c>
      <c r="M60" s="128">
        <f>IF('2024年-挂账付款'!$AX60&gt;=SUM('2024年-挂账付款'!J60:$AH60),'2024年-挂账付款'!J60,IF('2024年-挂账付款'!$AX60-SUM('2024年-挂账付款'!K60:$AH60)&gt;0,'2024年-挂账付款'!$AX60-SUM('2024年-挂账付款'!K60:$AH60),0))</f>
        <v>0</v>
      </c>
      <c r="N60" s="128">
        <f>IF('2024年-挂账付款'!$AX60&gt;=SUM('2024年-挂账付款'!K60:$AH60),'2024年-挂账付款'!K60,IF('2024年-挂账付款'!$AX60-SUM('2024年-挂账付款'!L60:$AH60)&gt;0,'2024年-挂账付款'!$AX60-SUM('2024年-挂账付款'!L60:$AH60),0))</f>
        <v>0</v>
      </c>
      <c r="O60" s="128">
        <f>IF('2024年-挂账付款'!$AX60&gt;=SUM('2024年-挂账付款'!L60:$AH60),'2024年-挂账付款'!L60,IF('2024年-挂账付款'!$AX60-SUM('2024年-挂账付款'!M60:$AH60)&gt;0,'2024年-挂账付款'!$AX60-SUM('2024年-挂账付款'!M60:$AH60),0))</f>
        <v>0</v>
      </c>
      <c r="P60" s="128">
        <f>IF('2024年-挂账付款'!$AX60&gt;=SUM('2024年-挂账付款'!M60:$AH60),'2024年-挂账付款'!M60,IF('2024年-挂账付款'!$AX60-SUM('2024年-挂账付款'!N60:$AH60)&gt;0,'2024年-挂账付款'!$AX60-SUM('2024年-挂账付款'!N60:$AH60),0))</f>
        <v>0</v>
      </c>
      <c r="Q60" s="128">
        <f>IF('2024年-挂账付款'!$AX60&gt;=SUM('2024年-挂账付款'!N60:$AH60),'2024年-挂账付款'!N60,IF('2024年-挂账付款'!$AX60-SUM('2024年-挂账付款'!O60:$AH60)&gt;0,'2024年-挂账付款'!$AX60-SUM('2024年-挂账付款'!O60:$AH60),0))</f>
        <v>0</v>
      </c>
      <c r="R60" s="128">
        <f>IF('2024年-挂账付款'!$AX60&gt;=SUM('2024年-挂账付款'!O60:$AH60),'2024年-挂账付款'!O60,IF('2024年-挂账付款'!$AX60-SUM('2024年-挂账付款'!P60:$AH60)&gt;0,'2024年-挂账付款'!$AX60-SUM('2024年-挂账付款'!P60:$AH60),0))</f>
        <v>0</v>
      </c>
      <c r="S60" s="128">
        <f>IF('2024年-挂账付款'!$AX60&gt;=SUM('2024年-挂账付款'!P60:$AH60),'2024年-挂账付款'!P60,IF('2024年-挂账付款'!$AX60-SUM('2024年-挂账付款'!Q60:$AH60)&gt;0,'2024年-挂账付款'!$AX60-SUM('2024年-挂账付款'!Q60:$AH60),0))</f>
        <v>0</v>
      </c>
      <c r="T60" s="128">
        <f>IF('2024年-挂账付款'!$AX60&gt;=SUM('2024年-挂账付款'!Q60:$AH60),'2024年-挂账付款'!Q60,IF('2024年-挂账付款'!$AX60-SUM('2024年-挂账付款'!R60:$AH60)&gt;0,'2024年-挂账付款'!$AX60-SUM('2024年-挂账付款'!R60:$AH60),0))</f>
        <v>0</v>
      </c>
      <c r="U60" s="128">
        <f>IF('2024年-挂账付款'!$AX60&gt;=SUM('2024年-挂账付款'!R60:$AH60),'2024年-挂账付款'!R60,IF('2024年-挂账付款'!$AX60-SUM('2024年-挂账付款'!S60:$AH60)&gt;0,'2024年-挂账付款'!$AX60-SUM('2024年-挂账付款'!S60:$AH60),0))</f>
        <v>0</v>
      </c>
      <c r="V60" s="128">
        <f>IF('2024年-挂账付款'!$AX60&gt;=SUM('2024年-挂账付款'!S60:$AH60),'2024年-挂账付款'!S60,IF('2024年-挂账付款'!$AX60-SUM('2024年-挂账付款'!T60:$AH60)&gt;0,'2024年-挂账付款'!$AX60-SUM('2024年-挂账付款'!T60:$AH60),0))</f>
        <v>0</v>
      </c>
      <c r="W60" s="128">
        <f>IF('2024年-挂账付款'!$AX60&gt;=SUM('2024年-挂账付款'!T60:$AH60),'2024年-挂账付款'!T60,IF('2024年-挂账付款'!$AX60-SUM('2024年-挂账付款'!U60:$AH60)&gt;0,'2024年-挂账付款'!$AX60-SUM('2024年-挂账付款'!U60:$AH60),0))</f>
        <v>0</v>
      </c>
      <c r="X60" s="128">
        <f>IF('2024年-挂账付款'!$AX60&gt;=SUM('2024年-挂账付款'!U60:$AH60),'2024年-挂账付款'!U60,IF('2024年-挂账付款'!$AX60-SUM('2024年-挂账付款'!V60:$AH60)&gt;0,'2024年-挂账付款'!$AX60-SUM('2024年-挂账付款'!V60:$AH60),0))</f>
        <v>0</v>
      </c>
      <c r="Y60" s="128">
        <f>IF('2024年-挂账付款'!$AX60&gt;=SUM('2024年-挂账付款'!V60:$AH60),'2024年-挂账付款'!V60,IF('2024年-挂账付款'!$AX60-SUM('2024年-挂账付款'!W60:$AH60)&gt;0,'2024年-挂账付款'!$AX60-SUM('2024年-挂账付款'!W60:$AH60),0))</f>
        <v>0</v>
      </c>
      <c r="Z60" s="128">
        <f>IF('2024年-挂账付款'!$AX60&gt;=SUM('2024年-挂账付款'!W60:$AH60),'2024年-挂账付款'!W60,IF('2024年-挂账付款'!$AX60-SUM('2024年-挂账付款'!X60:$AH60)&gt;0,'2024年-挂账付款'!$AX60-SUM('2024年-挂账付款'!X60:$AH60),0))</f>
        <v>0</v>
      </c>
      <c r="AA60" s="167">
        <f>IF('2024年-挂账付款'!$AX60&gt;=SUM('2024年-挂账付款'!X60:$AH60),'2024年-挂账付款'!X60,IF('2024年-挂账付款'!$AX60-SUM('2024年-挂账付款'!Y60:$AH60)&gt;0,'2024年-挂账付款'!$AX60-SUM('2024年-挂账付款'!Y60:$AH60),0))</f>
        <v>0</v>
      </c>
      <c r="AB60" s="128">
        <f>IF('2024年-挂账付款'!$AX60&gt;=SUM('2024年-挂账付款'!Y60:$AH60),'2024年-挂账付款'!Y60,IF('2024年-挂账付款'!$AX60-SUM('2024年-挂账付款'!Z60:$AH60)&gt;0,'2024年-挂账付款'!$AX60-SUM('2024年-挂账付款'!Z60:$AH60),0))</f>
        <v>0</v>
      </c>
      <c r="AC60" s="128">
        <f>IF('2024年-挂账付款'!$AX60&gt;=SUM('2024年-挂账付款'!Z60:$AH60),'2024年-挂账付款'!Z60,IF('2024年-挂账付款'!$AX60-SUM('2024年-挂账付款'!AA60:$AH60)&gt;0,'2024年-挂账付款'!$AX60-SUM('2024年-挂账付款'!AA60:$AH60),0))</f>
        <v>0</v>
      </c>
      <c r="AD60" s="128">
        <f>IF('2024年-挂账付款'!$AX60&gt;=SUM('2024年-挂账付款'!AA60:$AH60),'2024年-挂账付款'!AA60,IF('2024年-挂账付款'!$AX60-SUM('2024年-挂账付款'!AB60:$AH60)&gt;0,'2024年-挂账付款'!$AX60-SUM('2024年-挂账付款'!AB60:$AH60),0))</f>
        <v>0</v>
      </c>
      <c r="AE60" s="128">
        <f>IF('2024年-挂账付款'!$AX60&gt;=SUM('2024年-挂账付款'!AB60:$AH60),'2024年-挂账付款'!AB60,IF('2024年-挂账付款'!$AX60-SUM('2024年-挂账付款'!AC60:$AH60)&gt;0,'2024年-挂账付款'!$AX60-SUM('2024年-挂账付款'!AC60:$AH60),0))</f>
        <v>0</v>
      </c>
      <c r="AF60" s="128">
        <f>IF('2024年-挂账付款'!$AX60&gt;=SUM('2024年-挂账付款'!AC60:$AH60),'2024年-挂账付款'!AC60,IF('2024年-挂账付款'!$AX60-SUM('2024年-挂账付款'!AD60:$AH60)&gt;0,'2024年-挂账付款'!$AX60-SUM('2024年-挂账付款'!AD60:$AH60),0))</f>
        <v>0</v>
      </c>
      <c r="AG60" s="128">
        <f>IF('2024年-挂账付款'!$AX60&gt;=SUM('2024年-挂账付款'!AD60:$AH60),'2024年-挂账付款'!AD60,IF('2024年-挂账付款'!$AX60-SUM('2024年-挂账付款'!AE60:$AH60)&gt;0,'2024年-挂账付款'!$AX60-SUM('2024年-挂账付款'!AE60:$AH60),0))</f>
        <v>0</v>
      </c>
      <c r="AH60" s="128">
        <f>IF('2024年-挂账付款'!$AX60&gt;=SUM('2024年-挂账付款'!AE60:$AH60),'2024年-挂账付款'!AE60,IF('2024年-挂账付款'!$AX60-SUM('2024年-挂账付款'!AF60:$AH60)&gt;0,'2024年-挂账付款'!$AX60-SUM('2024年-挂账付款'!AF60:$AH60),0))</f>
        <v>0</v>
      </c>
      <c r="AI60" s="128">
        <f>IF('2024年-挂账付款'!$AX60&gt;=SUM('2024年-挂账付款'!AF60:$AH60),'2024年-挂账付款'!AF60,IF('2024年-挂账付款'!$AX60-SUM('2024年-挂账付款'!AG60:$AH60)&gt;0,'2024年-挂账付款'!$AX60-SUM('2024年-挂账付款'!AG60:$AH60),0))</f>
        <v>0</v>
      </c>
      <c r="AJ60" s="128">
        <f>IF('2024年-挂账付款'!$AX60&gt;=SUM('2024年-挂账付款'!AG60:$AH60),'2024年-挂账付款'!AG60,IF('2024年-挂账付款'!$AX60-SUM('2024年-挂账付款'!AH60:$AH60)&gt;0,'2024年-挂账付款'!$AX60-SUM('2024年-挂账付款'!AH60:$AH60),0))</f>
        <v>0</v>
      </c>
      <c r="AK60" s="128">
        <f>IF('2024年-挂账付款'!$AX60&gt;=SUM('2024年-挂账付款'!AH60:$AH60),'2024年-挂账付款'!AH60,IF('2024年-挂账付款'!$AX60-SUM('2024年-挂账付款'!$AH60:AI60)&gt;0,'2024年-挂账付款'!$AX60-SUM('2024年-挂账付款'!$AH60:AI60),0))</f>
        <v>0</v>
      </c>
      <c r="AL60" s="190"/>
      <c r="AM60" s="183"/>
      <c r="AN60" s="176">
        <f t="shared" si="7"/>
        <v>0</v>
      </c>
      <c r="AO60" s="210"/>
      <c r="AP60" s="204"/>
      <c r="AQ60" s="205"/>
      <c r="AR60" s="206"/>
    </row>
    <row r="61" s="107" customFormat="1" ht="18" customHeight="1" spans="1:44">
      <c r="A61" s="122"/>
      <c r="B61" s="150"/>
      <c r="C61" s="147"/>
      <c r="D61" s="149" t="s">
        <v>451</v>
      </c>
      <c r="E61" s="151"/>
      <c r="F61" s="126">
        <f t="shared" si="3"/>
        <v>0</v>
      </c>
      <c r="G61" s="127">
        <f t="shared" si="6"/>
        <v>27752.79</v>
      </c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28">
        <f>IF('2024年-挂账付款'!$AX61&gt;=SUM('2024年-挂账付款'!R61:$AH61),'2024年-挂账付款'!R61,IF('2024年-挂账付款'!$AX61-SUM('2024年-挂账付款'!S61:$AH61)&gt;0,'2024年-挂账付款'!$AX61-SUM('2024年-挂账付款'!S61:$AH61),0))</f>
        <v>0</v>
      </c>
      <c r="V61" s="128">
        <f>IF('2024年-挂账付款'!$AX61&gt;=SUM('2024年-挂账付款'!S61:$AH61),'2024年-挂账付款'!S61,IF('2024年-挂账付款'!$AX61-SUM('2024年-挂账付款'!T61:$AH61)&gt;0,'2024年-挂账付款'!$AX61-SUM('2024年-挂账付款'!T61:$AH61),0))</f>
        <v>0</v>
      </c>
      <c r="W61" s="128">
        <f>IF('2024年-挂账付款'!$AX61&gt;=SUM('2024年-挂账付款'!T61:$AH61),'2024年-挂账付款'!T61,IF('2024年-挂账付款'!$AX61-SUM('2024年-挂账付款'!U61:$AH61)&gt;0,'2024年-挂账付款'!$AX61-SUM('2024年-挂账付款'!U61:$AH61),0))</f>
        <v>0</v>
      </c>
      <c r="X61" s="128">
        <f>IF('2024年-挂账付款'!$AX61&gt;=SUM('2024年-挂账付款'!U61:$AH61),'2024年-挂账付款'!U61,IF('2024年-挂账付款'!$AX61-SUM('2024年-挂账付款'!V61:$AH61)&gt;0,'2024年-挂账付款'!$AX61-SUM('2024年-挂账付款'!V61:$AH61),0))</f>
        <v>0</v>
      </c>
      <c r="Y61" s="128">
        <f>IF('2024年-挂账付款'!$AX61&gt;=SUM('2024年-挂账付款'!V61:$AH61),'2024年-挂账付款'!V61,IF('2024年-挂账付款'!$AX61-SUM('2024年-挂账付款'!W61:$AH61)&gt;0,'2024年-挂账付款'!$AX61-SUM('2024年-挂账付款'!W61:$AH61),0))</f>
        <v>0</v>
      </c>
      <c r="Z61" s="128">
        <f>IF('2024年-挂账付款'!$AX61&gt;=SUM('2024年-挂账付款'!W61:$AH61),'2024年-挂账付款'!W61,IF('2024年-挂账付款'!$AX61-SUM('2024年-挂账付款'!X61:$AH61)&gt;0,'2024年-挂账付款'!$AX61-SUM('2024年-挂账付款'!X61:$AH61),0))</f>
        <v>27752.79</v>
      </c>
      <c r="AA61" s="167">
        <f>IF('2024年-挂账付款'!$AX61&gt;=SUM('2024年-挂账付款'!X61:$AH61),'2024年-挂账付款'!X61,IF('2024年-挂账付款'!$AX61-SUM('2024年-挂账付款'!Y61:$AH61)&gt;0,'2024年-挂账付款'!$AX61-SUM('2024年-挂账付款'!Y61:$AH61),0))</f>
        <v>0</v>
      </c>
      <c r="AB61" s="128">
        <f>IF('2024年-挂账付款'!$AX61&gt;=SUM('2024年-挂账付款'!Y61:$AH61),'2024年-挂账付款'!Y61,IF('2024年-挂账付款'!$AX61-SUM('2024年-挂账付款'!Z61:$AH61)&gt;0,'2024年-挂账付款'!$AX61-SUM('2024年-挂账付款'!Z61:$AH61),0))</f>
        <v>0</v>
      </c>
      <c r="AC61" s="152"/>
      <c r="AD61" s="152"/>
      <c r="AE61" s="152"/>
      <c r="AF61" s="152"/>
      <c r="AG61" s="152"/>
      <c r="AH61" s="152"/>
      <c r="AI61" s="152"/>
      <c r="AJ61" s="152"/>
      <c r="AK61" s="152"/>
      <c r="AL61" s="190"/>
      <c r="AM61" s="191"/>
      <c r="AN61" s="192"/>
      <c r="AO61" s="210"/>
      <c r="AP61" s="204"/>
      <c r="AQ61" s="205"/>
      <c r="AR61" s="206"/>
    </row>
    <row r="62" s="107" customFormat="1" ht="18" customHeight="1" spans="1:44">
      <c r="A62" s="122"/>
      <c r="B62" s="150"/>
      <c r="C62" s="147"/>
      <c r="D62" s="149" t="s">
        <v>452</v>
      </c>
      <c r="E62" s="151"/>
      <c r="F62" s="126">
        <f t="shared" si="3"/>
        <v>42973.3</v>
      </c>
      <c r="G62" s="127">
        <f t="shared" si="6"/>
        <v>42973.3</v>
      </c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28">
        <f>IF('2024年-挂账付款'!$AX62&gt;=SUM('2024年-挂账付款'!R62:$AH62),'2024年-挂账付款'!R62,IF('2024年-挂账付款'!$AX62-SUM('2024年-挂账付款'!S62:$AH62)&gt;0,'2024年-挂账付款'!$AX62-SUM('2024年-挂账付款'!S62:$AH62),0))</f>
        <v>0</v>
      </c>
      <c r="V62" s="128">
        <f>IF('2024年-挂账付款'!$AX62&gt;=SUM('2024年-挂账付款'!S62:$AH62),'2024年-挂账付款'!S62,IF('2024年-挂账付款'!$AX62-SUM('2024年-挂账付款'!T62:$AH62)&gt;0,'2024年-挂账付款'!$AX62-SUM('2024年-挂账付款'!T62:$AH62),0))</f>
        <v>0</v>
      </c>
      <c r="W62" s="128">
        <f>IF('2024年-挂账付款'!$AX62&gt;=SUM('2024年-挂账付款'!T62:$AH62),'2024年-挂账付款'!T62,IF('2024年-挂账付款'!$AX62-SUM('2024年-挂账付款'!U62:$AH62)&gt;0,'2024年-挂账付款'!$AX62-SUM('2024年-挂账付款'!U62:$AH62),0))</f>
        <v>0</v>
      </c>
      <c r="X62" s="128">
        <f>IF('2024年-挂账付款'!$AX62&gt;=SUM('2024年-挂账付款'!U62:$AH62),'2024年-挂账付款'!U62,IF('2024年-挂账付款'!$AX62-SUM('2024年-挂账付款'!V62:$AH62)&gt;0,'2024年-挂账付款'!$AX62-SUM('2024年-挂账付款'!V62:$AH62),0))</f>
        <v>0</v>
      </c>
      <c r="Y62" s="128">
        <f>IF('2024年-挂账付款'!$AX62&gt;=SUM('2024年-挂账付款'!V62:$AH62),'2024年-挂账付款'!V62,IF('2024年-挂账付款'!$AX62-SUM('2024年-挂账付款'!W62:$AH62)&gt;0,'2024年-挂账付款'!$AX62-SUM('2024年-挂账付款'!W62:$AH62),0))</f>
        <v>42973.3</v>
      </c>
      <c r="Z62" s="128">
        <f>IF('2024年-挂账付款'!$AX62&gt;=SUM('2024年-挂账付款'!W62:$AH62),'2024年-挂账付款'!W62,IF('2024年-挂账付款'!$AX62-SUM('2024年-挂账付款'!X62:$AH62)&gt;0,'2024年-挂账付款'!$AX62-SUM('2024年-挂账付款'!X62:$AH62),0))</f>
        <v>0</v>
      </c>
      <c r="AA62" s="167">
        <f>IF('2024年-挂账付款'!$AX62&gt;=SUM('2024年-挂账付款'!X62:$AH62),'2024年-挂账付款'!X62,IF('2024年-挂账付款'!$AX62-SUM('2024年-挂账付款'!Y62:$AH62)&gt;0,'2024年-挂账付款'!$AX62-SUM('2024年-挂账付款'!Y62:$AH62),0))</f>
        <v>0</v>
      </c>
      <c r="AB62" s="128">
        <f>IF('2024年-挂账付款'!$AX62&gt;=SUM('2024年-挂账付款'!Y62:$AH62),'2024年-挂账付款'!Y62,IF('2024年-挂账付款'!$AX62-SUM('2024年-挂账付款'!Z62:$AH62)&gt;0,'2024年-挂账付款'!$AX62-SUM('2024年-挂账付款'!Z62:$AH62),0))</f>
        <v>0</v>
      </c>
      <c r="AC62" s="152"/>
      <c r="AD62" s="152"/>
      <c r="AE62" s="152"/>
      <c r="AF62" s="152"/>
      <c r="AG62" s="152"/>
      <c r="AH62" s="152"/>
      <c r="AI62" s="152"/>
      <c r="AJ62" s="152"/>
      <c r="AK62" s="152"/>
      <c r="AL62" s="190"/>
      <c r="AM62" s="191"/>
      <c r="AN62" s="192"/>
      <c r="AO62" s="210">
        <f>G62</f>
        <v>42973.3</v>
      </c>
      <c r="AP62" s="204"/>
      <c r="AQ62" s="205"/>
      <c r="AR62" s="206">
        <f>AO62</f>
        <v>42973.3</v>
      </c>
    </row>
    <row r="63" s="107" customFormat="1" ht="18" customHeight="1" spans="1:44">
      <c r="A63" s="153"/>
      <c r="B63" s="154"/>
      <c r="C63" s="155"/>
      <c r="D63" s="156" t="s">
        <v>142</v>
      </c>
      <c r="E63" s="157"/>
      <c r="F63" s="157">
        <f>SUM(F5:F55)</f>
        <v>6769607.77</v>
      </c>
      <c r="G63" s="157">
        <f>SUM(G5:G55)</f>
        <v>11177403.47</v>
      </c>
      <c r="H63" s="157">
        <f t="shared" ref="H63:AA63" si="8">SUM(H5:H60)</f>
        <v>33981.36</v>
      </c>
      <c r="I63" s="157">
        <f t="shared" si="8"/>
        <v>5410.44</v>
      </c>
      <c r="J63" s="157">
        <f t="shared" si="8"/>
        <v>3986.64</v>
      </c>
      <c r="K63" s="157">
        <f t="shared" si="8"/>
        <v>8535.99999999997</v>
      </c>
      <c r="L63" s="157">
        <f t="shared" si="8"/>
        <v>19097</v>
      </c>
      <c r="M63" s="157">
        <f t="shared" si="8"/>
        <v>0</v>
      </c>
      <c r="N63" s="157">
        <f t="shared" si="8"/>
        <v>49042</v>
      </c>
      <c r="O63" s="157">
        <f t="shared" si="8"/>
        <v>160687.8</v>
      </c>
      <c r="P63" s="157">
        <f t="shared" si="8"/>
        <v>229311.24</v>
      </c>
      <c r="Q63" s="157">
        <f t="shared" si="8"/>
        <v>105772.49</v>
      </c>
      <c r="R63" s="157">
        <f t="shared" si="8"/>
        <v>323619.38</v>
      </c>
      <c r="S63" s="157">
        <f t="shared" si="8"/>
        <v>354863.9</v>
      </c>
      <c r="T63" s="157">
        <f t="shared" si="8"/>
        <v>720710.86</v>
      </c>
      <c r="U63" s="157">
        <f t="shared" si="8"/>
        <v>66604.41</v>
      </c>
      <c r="V63" s="157">
        <f t="shared" si="8"/>
        <v>357635.82</v>
      </c>
      <c r="W63" s="157">
        <f t="shared" si="8"/>
        <v>701482.77</v>
      </c>
      <c r="X63" s="157">
        <f t="shared" si="8"/>
        <v>655656.28</v>
      </c>
      <c r="Y63" s="157">
        <f t="shared" si="8"/>
        <v>1517714.67</v>
      </c>
      <c r="Z63" s="157">
        <f t="shared" si="8"/>
        <v>3394697.96</v>
      </c>
      <c r="AA63" s="169">
        <f t="shared" si="8"/>
        <v>2413967.46</v>
      </c>
      <c r="AB63" s="169">
        <f t="shared" ref="AB63:AL63" si="9">SUM(AB5:AB60)</f>
        <v>70392.45</v>
      </c>
      <c r="AC63" s="169">
        <f t="shared" si="9"/>
        <v>0</v>
      </c>
      <c r="AD63" s="169">
        <f t="shared" si="9"/>
        <v>0</v>
      </c>
      <c r="AE63" s="169">
        <f t="shared" si="9"/>
        <v>0</v>
      </c>
      <c r="AF63" s="169">
        <f t="shared" si="9"/>
        <v>0</v>
      </c>
      <c r="AG63" s="169">
        <f t="shared" si="9"/>
        <v>0</v>
      </c>
      <c r="AH63" s="169">
        <f t="shared" si="9"/>
        <v>0</v>
      </c>
      <c r="AI63" s="169">
        <f t="shared" si="9"/>
        <v>0</v>
      </c>
      <c r="AJ63" s="169">
        <f t="shared" si="9"/>
        <v>0</v>
      </c>
      <c r="AK63" s="169">
        <f t="shared" si="9"/>
        <v>0</v>
      </c>
      <c r="AL63" s="169">
        <f t="shared" si="9"/>
        <v>0</v>
      </c>
      <c r="AM63" s="193">
        <f>SUM(AM5:AM54)</f>
        <v>0</v>
      </c>
      <c r="AN63" s="194">
        <f>SUM(AN5:AN55)</f>
        <v>891325.326666667</v>
      </c>
      <c r="AO63" s="211">
        <f>SUM(AO5:AO62)</f>
        <v>2724047.14866667</v>
      </c>
      <c r="AP63" s="204"/>
      <c r="AQ63" s="205">
        <f>SUM(AQ5:AQ62)</f>
        <v>452053.23</v>
      </c>
      <c r="AR63" s="206">
        <f>SUM(AR5:AR62)</f>
        <v>1194970.92</v>
      </c>
    </row>
    <row r="64" s="107" customFormat="1" ht="14.25" spans="1:44">
      <c r="A64" s="112"/>
      <c r="B64" s="158"/>
      <c r="C64" s="112"/>
      <c r="D64" s="159"/>
      <c r="E64" s="160"/>
      <c r="F64" s="161"/>
      <c r="G64" s="162"/>
      <c r="H64" s="161">
        <v>5410.44</v>
      </c>
      <c r="I64" s="161"/>
      <c r="J64" s="161">
        <v>3986.64</v>
      </c>
      <c r="K64" s="164">
        <v>28536</v>
      </c>
      <c r="L64" s="164">
        <v>19097</v>
      </c>
      <c r="M64" s="161">
        <v>85469.6600000002</v>
      </c>
      <c r="N64" s="165">
        <v>95085.28</v>
      </c>
      <c r="O64" s="165">
        <v>280687.8</v>
      </c>
      <c r="P64" s="161">
        <v>239537.65</v>
      </c>
      <c r="Q64" s="161">
        <v>241217.8</v>
      </c>
      <c r="R64" s="161">
        <v>367869.92</v>
      </c>
      <c r="S64" s="161">
        <v>1251642.94</v>
      </c>
      <c r="T64" s="161">
        <v>1405482.02</v>
      </c>
      <c r="U64" s="161">
        <v>409325.68</v>
      </c>
      <c r="V64" s="161">
        <v>754050.2</v>
      </c>
      <c r="W64" s="161">
        <v>844022.87</v>
      </c>
      <c r="X64" s="161">
        <v>1058534.89</v>
      </c>
      <c r="Y64" s="161">
        <v>2085247.94</v>
      </c>
      <c r="Z64" s="170"/>
      <c r="AA64" s="170"/>
      <c r="AB64" s="170"/>
      <c r="AC64" s="170"/>
      <c r="AD64" s="170"/>
      <c r="AE64" s="170"/>
      <c r="AF64" s="170"/>
      <c r="AG64" s="170"/>
      <c r="AH64" s="170"/>
      <c r="AI64" s="170"/>
      <c r="AJ64" s="170"/>
      <c r="AK64" s="170"/>
      <c r="AL64" s="170"/>
      <c r="AM64" s="195"/>
      <c r="AN64" s="112"/>
      <c r="AO64" s="112"/>
      <c r="AP64" s="212"/>
      <c r="AQ64" s="110"/>
      <c r="AR64" s="111"/>
    </row>
    <row r="65" s="107" customFormat="1" ht="14.25" spans="1:44">
      <c r="A65" s="112"/>
      <c r="B65" s="158"/>
      <c r="C65" s="112"/>
      <c r="D65" s="159"/>
      <c r="E65" s="213"/>
      <c r="F65" s="112"/>
      <c r="G65" s="214"/>
      <c r="H65" s="112">
        <f t="shared" ref="H65:Y65" si="10">H63-H64</f>
        <v>28570.92</v>
      </c>
      <c r="I65" s="112"/>
      <c r="J65" s="112">
        <f t="shared" si="10"/>
        <v>0</v>
      </c>
      <c r="K65" s="112">
        <f t="shared" si="10"/>
        <v>-20000</v>
      </c>
      <c r="L65" s="112">
        <f t="shared" si="10"/>
        <v>0</v>
      </c>
      <c r="M65" s="112">
        <f t="shared" si="10"/>
        <v>-85469.6600000002</v>
      </c>
      <c r="N65" s="112">
        <f t="shared" si="10"/>
        <v>-46043.28</v>
      </c>
      <c r="O65" s="112">
        <f t="shared" si="10"/>
        <v>-120000</v>
      </c>
      <c r="P65" s="112">
        <f t="shared" si="10"/>
        <v>-10226.41</v>
      </c>
      <c r="Q65" s="112">
        <f t="shared" si="10"/>
        <v>-135445.31</v>
      </c>
      <c r="R65" s="112">
        <f t="shared" si="10"/>
        <v>-44250.5399999999</v>
      </c>
      <c r="S65" s="112">
        <f t="shared" si="10"/>
        <v>-896779.04</v>
      </c>
      <c r="T65" s="112">
        <f t="shared" si="10"/>
        <v>-684771.16</v>
      </c>
      <c r="U65" s="112">
        <f t="shared" si="10"/>
        <v>-342721.27</v>
      </c>
      <c r="V65" s="112">
        <f t="shared" si="10"/>
        <v>-396414.38</v>
      </c>
      <c r="W65" s="112">
        <f t="shared" si="10"/>
        <v>-142540.1</v>
      </c>
      <c r="X65" s="112">
        <f t="shared" si="10"/>
        <v>-402878.61</v>
      </c>
      <c r="Y65" s="112">
        <f t="shared" si="10"/>
        <v>-567533.27</v>
      </c>
      <c r="Z65" s="159"/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9"/>
      <c r="AL65" s="112"/>
      <c r="AM65" s="195"/>
      <c r="AN65" s="112"/>
      <c r="AO65" s="112"/>
      <c r="AP65" s="212"/>
      <c r="AQ65" s="110"/>
      <c r="AR65" s="111"/>
    </row>
    <row r="66" s="107" customFormat="1" ht="14.25" spans="1:44">
      <c r="A66" s="112"/>
      <c r="B66" s="158"/>
      <c r="C66" s="112"/>
      <c r="D66" s="159" t="s">
        <v>143</v>
      </c>
      <c r="E66" s="213"/>
      <c r="F66" s="112"/>
      <c r="G66" s="214"/>
      <c r="H66" s="112"/>
      <c r="I66" s="112"/>
      <c r="J66" s="112"/>
      <c r="K66" s="161"/>
      <c r="L66" s="161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  <c r="AA66" s="159"/>
      <c r="AB66" s="159"/>
      <c r="AC66" s="159"/>
      <c r="AD66" s="159"/>
      <c r="AE66" s="159"/>
      <c r="AF66" s="159"/>
      <c r="AG66" s="159"/>
      <c r="AH66" s="159"/>
      <c r="AI66" s="159"/>
      <c r="AJ66" s="159"/>
      <c r="AK66" s="159"/>
      <c r="AL66" s="112"/>
      <c r="AM66" s="195"/>
      <c r="AN66" s="112"/>
      <c r="AO66" s="112"/>
      <c r="AP66" s="212"/>
      <c r="AQ66" s="110"/>
      <c r="AR66" s="111"/>
    </row>
    <row r="67" spans="15:37"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</row>
    <row r="68" spans="8:39">
      <c r="H68" s="18"/>
      <c r="I68" s="18"/>
      <c r="J68" s="18"/>
      <c r="K68" s="18"/>
      <c r="L68" s="106"/>
      <c r="M68" s="106"/>
      <c r="N68" s="106"/>
      <c r="O68" s="106"/>
      <c r="P68" s="106"/>
      <c r="Q68" s="106"/>
      <c r="R68" s="106"/>
      <c r="S68" s="106"/>
      <c r="T68" s="106"/>
      <c r="AK68" s="13"/>
      <c r="AL68" s="18"/>
      <c r="AM68" s="13"/>
    </row>
    <row r="69" spans="8:21">
      <c r="H69" s="18"/>
      <c r="I69" s="18"/>
      <c r="J69" s="18"/>
      <c r="K69" s="18"/>
      <c r="L69" s="18"/>
      <c r="M69" s="106"/>
      <c r="N69" s="106"/>
      <c r="O69" s="106"/>
      <c r="P69" s="106"/>
      <c r="Q69" s="106"/>
      <c r="R69" s="106"/>
      <c r="S69" s="106"/>
      <c r="T69" s="106"/>
      <c r="U69" s="106"/>
    </row>
    <row r="77" spans="2:37">
      <c r="B77" s="13"/>
      <c r="D77" s="13"/>
      <c r="E77" s="104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</row>
    <row r="80" spans="2:37">
      <c r="B80" s="13"/>
      <c r="D80" s="13"/>
      <c r="E80" s="104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</row>
  </sheetData>
  <autoFilter ref="A4:AS66">
    <extLst/>
  </autoFilter>
  <mergeCells count="46">
    <mergeCell ref="B1:E1"/>
    <mergeCell ref="AQ1:AR1"/>
    <mergeCell ref="M2: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2:AL4"/>
    <mergeCell ref="AM2:AM4"/>
    <mergeCell ref="AN2:AN4"/>
    <mergeCell ref="AO2:AO4"/>
    <mergeCell ref="AP2:AP4"/>
    <mergeCell ref="AQ2:AQ4"/>
    <mergeCell ref="AR2:AR4"/>
  </mergeCells>
  <conditionalFormatting sqref="C27:C62">
    <cfRule type="duplicateValues" dxfId="0" priority="1"/>
    <cfRule type="duplicateValues" dxfId="0" priority="2"/>
  </conditionalFormatting>
  <conditionalFormatting sqref="D5:D122">
    <cfRule type="duplicateValues" dxfId="1" priority="6"/>
  </conditionalFormatting>
  <conditionalFormatting sqref="D1:D4 C5:C26 D123:D1048576">
    <cfRule type="duplicateValues" dxfId="0" priority="3"/>
    <cfRule type="duplicateValues" dxfId="0" priority="5"/>
  </conditionalFormatting>
  <conditionalFormatting sqref="M1:AK1 L68:AJ68 Z65:AK65 M66:AK67 M69:AK1048576">
    <cfRule type="duplicateValues" dxfId="0" priority="4"/>
  </conditionalFormatting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Q78"/>
  <sheetViews>
    <sheetView zoomScale="85" zoomScaleNormal="85" workbookViewId="0">
      <pane xSplit="7" ySplit="4" topLeftCell="H50" activePane="bottomRight" state="frozen"/>
      <selection/>
      <selection pane="topRight"/>
      <selection pane="bottomLeft"/>
      <selection pane="bottomRight" activeCell="N70" sqref="N70"/>
    </sheetView>
  </sheetViews>
  <sheetFormatPr defaultColWidth="8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7" customWidth="1"/>
    <col min="8" max="12" width="10.4" style="13" customWidth="1"/>
    <col min="13" max="15" width="14.5" style="15" customWidth="1"/>
    <col min="16" max="24" width="17.2" style="15" customWidth="1"/>
    <col min="25" max="37" width="13.6" style="15" customWidth="1"/>
    <col min="38" max="38" width="10.6" style="13" customWidth="1"/>
    <col min="39" max="39" width="8.2" style="18" customWidth="1"/>
    <col min="40" max="41" width="13.1" style="13" customWidth="1"/>
    <col min="42" max="42" width="12.6" style="13" customWidth="1"/>
    <col min="43" max="43" width="14" style="19" customWidth="1"/>
    <col min="44" max="2355" width="8" style="13"/>
    <col min="2356" max="16377" width="8" style="13" hidden="1" customWidth="1"/>
    <col min="16378" max="16384" width="8" style="13"/>
  </cols>
  <sheetData>
    <row r="1" ht="20.95" customHeight="1" spans="2:39">
      <c r="B1" s="20" t="s">
        <v>422</v>
      </c>
      <c r="C1" s="21"/>
      <c r="D1" s="21"/>
      <c r="E1" s="22"/>
      <c r="F1" s="21"/>
      <c r="G1" s="23"/>
      <c r="H1" s="21"/>
      <c r="I1" s="21"/>
      <c r="J1" s="21"/>
      <c r="K1" s="21"/>
      <c r="L1" s="21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21"/>
      <c r="AM1" s="77"/>
    </row>
    <row r="2" ht="18" customHeight="1" spans="2:41">
      <c r="B2" s="24" t="s">
        <v>1</v>
      </c>
      <c r="C2" s="25" t="s">
        <v>2</v>
      </c>
      <c r="D2" s="26" t="s">
        <v>3</v>
      </c>
      <c r="E2" s="27"/>
      <c r="F2" s="28"/>
      <c r="G2" s="29"/>
      <c r="H2" s="28"/>
      <c r="I2" s="28"/>
      <c r="J2" s="28"/>
      <c r="K2" s="28"/>
      <c r="L2" s="28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8" t="s">
        <v>423</v>
      </c>
      <c r="AM2" s="79" t="s">
        <v>36</v>
      </c>
      <c r="AN2" s="80" t="s">
        <v>424</v>
      </c>
      <c r="AO2" s="80" t="s">
        <v>234</v>
      </c>
    </row>
    <row r="3" ht="31.6" customHeight="1" spans="2:41">
      <c r="B3" s="30"/>
      <c r="C3" s="31"/>
      <c r="D3" s="32"/>
      <c r="E3" s="33" t="s">
        <v>203</v>
      </c>
      <c r="F3" s="34" t="s">
        <v>425</v>
      </c>
      <c r="G3" s="35" t="s">
        <v>342</v>
      </c>
      <c r="H3" s="36" t="s">
        <v>435</v>
      </c>
      <c r="I3" s="36" t="s">
        <v>345</v>
      </c>
      <c r="J3" s="36" t="s">
        <v>346</v>
      </c>
      <c r="K3" s="36" t="s">
        <v>352</v>
      </c>
      <c r="L3" s="36" t="s">
        <v>353</v>
      </c>
      <c r="M3" s="36" t="s">
        <v>354</v>
      </c>
      <c r="N3" s="71" t="s">
        <v>355</v>
      </c>
      <c r="O3" s="71" t="s">
        <v>356</v>
      </c>
      <c r="P3" s="36" t="s">
        <v>357</v>
      </c>
      <c r="Q3" s="36" t="s">
        <v>358</v>
      </c>
      <c r="R3" s="36" t="s">
        <v>359</v>
      </c>
      <c r="S3" s="36" t="s">
        <v>360</v>
      </c>
      <c r="T3" s="36" t="s">
        <v>361</v>
      </c>
      <c r="U3" s="36" t="s">
        <v>362</v>
      </c>
      <c r="V3" s="36" t="s">
        <v>363</v>
      </c>
      <c r="W3" s="36" t="s">
        <v>364</v>
      </c>
      <c r="X3" s="36" t="s">
        <v>365</v>
      </c>
      <c r="Y3" s="36" t="s">
        <v>366</v>
      </c>
      <c r="Z3" s="75" t="s">
        <v>458</v>
      </c>
      <c r="AA3" s="75" t="s">
        <v>459</v>
      </c>
      <c r="AB3" s="75" t="s">
        <v>460</v>
      </c>
      <c r="AC3" s="75" t="s">
        <v>461</v>
      </c>
      <c r="AD3" s="75" t="s">
        <v>462</v>
      </c>
      <c r="AE3" s="75" t="s">
        <v>463</v>
      </c>
      <c r="AF3" s="75" t="s">
        <v>464</v>
      </c>
      <c r="AG3" s="75" t="s">
        <v>465</v>
      </c>
      <c r="AH3" s="75" t="s">
        <v>466</v>
      </c>
      <c r="AI3" s="75" t="s">
        <v>467</v>
      </c>
      <c r="AJ3" s="75" t="s">
        <v>468</v>
      </c>
      <c r="AK3" s="75" t="s">
        <v>469</v>
      </c>
      <c r="AL3" s="81"/>
      <c r="AM3" s="82"/>
      <c r="AN3" s="83"/>
      <c r="AO3" s="83"/>
    </row>
    <row r="4" ht="18" customHeight="1" spans="2:41">
      <c r="B4" s="30"/>
      <c r="C4" s="31"/>
      <c r="D4" s="32"/>
      <c r="E4" s="33"/>
      <c r="F4" s="37"/>
      <c r="G4" s="38"/>
      <c r="H4" s="36"/>
      <c r="I4" s="36"/>
      <c r="J4" s="36"/>
      <c r="K4" s="36"/>
      <c r="L4" s="36"/>
      <c r="M4" s="36"/>
      <c r="N4" s="71"/>
      <c r="O4" s="71"/>
      <c r="P4" s="36"/>
      <c r="Q4" s="36"/>
      <c r="R4" s="36"/>
      <c r="S4" s="36"/>
      <c r="T4" s="36"/>
      <c r="U4" s="36"/>
      <c r="V4" s="36"/>
      <c r="W4" s="36"/>
      <c r="X4" s="36"/>
      <c r="Y4" s="36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81"/>
      <c r="AM4" s="82"/>
      <c r="AN4" s="83"/>
      <c r="AO4" s="83"/>
    </row>
    <row r="5" s="10" customFormat="1" ht="24.05" customHeight="1" spans="2:43">
      <c r="B5" s="39" t="s">
        <v>81</v>
      </c>
      <c r="C5" s="40" t="s">
        <v>102</v>
      </c>
      <c r="D5" s="40" t="s">
        <v>103</v>
      </c>
      <c r="E5" s="41">
        <v>30</v>
      </c>
      <c r="F5" s="42">
        <f>SUM(H5:X5)</f>
        <v>0</v>
      </c>
      <c r="G5" s="43" t="str">
        <f>IF(SUM(H5:Y5)&gt;0,SUM(H5:Y5),"0")</f>
        <v>0</v>
      </c>
      <c r="H5" s="44">
        <f>IF('2024年-挂账付款'!$AX5&gt;=SUM('2024年-挂账付款'!E5:$AH5),'2024年-挂账付款'!E5,IF('2024年-挂账付款'!$AX5-SUM('2024年-挂账付款'!F5:$AH5)&gt;0,'2024年-挂账付款'!$AX5-SUM('2024年-挂账付款'!F5:$AH5),0))</f>
        <v>0</v>
      </c>
      <c r="I5" s="44">
        <f>IF('2024年-挂账付款'!$AX5&gt;=SUM('2024年-挂账付款'!F5:$AH5),'2024年-挂账付款'!F5,IF('2024年-挂账付款'!$AX5-SUM('2024年-挂账付款'!G5:$AH5)&gt;0,'2024年-挂账付款'!$AX5-SUM('2024年-挂账付款'!G5:$AH5),0))</f>
        <v>0</v>
      </c>
      <c r="J5" s="44">
        <f>IF('2024年-挂账付款'!$AX5&gt;=SUM('2024年-挂账付款'!G5:$AH5),'2024年-挂账付款'!G5,IF('2024年-挂账付款'!$AX5-SUM('2024年-挂账付款'!H5:$AH5)&gt;0,'2024年-挂账付款'!$AX5-SUM('2024年-挂账付款'!H5:$AH5),0))</f>
        <v>0</v>
      </c>
      <c r="K5" s="44">
        <f>IF('2024年-挂账付款'!$AX5&gt;=SUM('2024年-挂账付款'!H5:$AH5),'2024年-挂账付款'!H5,IF('2024年-挂账付款'!$AX5-SUM('2024年-挂账付款'!I5:$AH5)&gt;0,'2024年-挂账付款'!$AX5-SUM('2024年-挂账付款'!I5:$AH5),0))</f>
        <v>0</v>
      </c>
      <c r="L5" s="44">
        <f>IF('2024年-挂账付款'!$AX5&gt;=SUM('2024年-挂账付款'!I5:$AH5),'2024年-挂账付款'!I5,IF('2024年-挂账付款'!$AX5-SUM('2024年-挂账付款'!J5:$AH5)&gt;0,'2024年-挂账付款'!$AX5-SUM('2024年-挂账付款'!J5:$AH5),0))</f>
        <v>0</v>
      </c>
      <c r="M5" s="44">
        <f>IF('2024年-挂账付款'!$AX5&gt;=SUM('2024年-挂账付款'!J5:$AH5),'2024年-挂账付款'!J5,IF('2024年-挂账付款'!$AX5-SUM('2024年-挂账付款'!K5:$AH5)&gt;0,'2024年-挂账付款'!$AX5-SUM('2024年-挂账付款'!K5:$AH5),0))</f>
        <v>0</v>
      </c>
      <c r="N5" s="44">
        <f>IF('2024年-挂账付款'!$AX5&gt;=SUM('2024年-挂账付款'!K5:$AH5),'2024年-挂账付款'!K5,IF('2024年-挂账付款'!$AX5-SUM('2024年-挂账付款'!L5:$AH5)&gt;0,'2024年-挂账付款'!$AX5-SUM('2024年-挂账付款'!L5:$AH5),0))</f>
        <v>0</v>
      </c>
      <c r="O5" s="44">
        <f>IF('2024年-挂账付款'!$AX5&gt;=SUM('2024年-挂账付款'!L5:$AH5),'2024年-挂账付款'!L5,IF('2024年-挂账付款'!$AX5-SUM('2024年-挂账付款'!M5:$AH5)&gt;0,'2024年-挂账付款'!$AX5-SUM('2024年-挂账付款'!M5:$AH5),0))</f>
        <v>0</v>
      </c>
      <c r="P5" s="44">
        <f>IF('2024年-挂账付款'!$AX5&gt;=SUM('2024年-挂账付款'!M5:$AH5),'2024年-挂账付款'!M5,IF('2024年-挂账付款'!$AX5-SUM('2024年-挂账付款'!N5:$AH5)&gt;0,'2024年-挂账付款'!$AX5-SUM('2024年-挂账付款'!N5:$AH5),0))</f>
        <v>0</v>
      </c>
      <c r="Q5" s="44">
        <f>IF('2024年-挂账付款'!$AX5&gt;=SUM('2024年-挂账付款'!N5:$AH5),'2024年-挂账付款'!N5,IF('2024年-挂账付款'!$AX5-SUM('2024年-挂账付款'!O5:$AH5)&gt;0,'2024年-挂账付款'!$AX5-SUM('2024年-挂账付款'!O5:$AH5),0))</f>
        <v>0</v>
      </c>
      <c r="R5" s="44">
        <f>IF('2024年-挂账付款'!$AX5&gt;=SUM('2024年-挂账付款'!O5:$AH5),'2024年-挂账付款'!O5,IF('2024年-挂账付款'!$AX5-SUM('2024年-挂账付款'!P5:$AH5)&gt;0,'2024年-挂账付款'!$AX5-SUM('2024年-挂账付款'!P5:$AH5),0))</f>
        <v>0</v>
      </c>
      <c r="S5" s="44">
        <f>IF('2024年-挂账付款'!$AX5&gt;=SUM('2024年-挂账付款'!P5:$AH5),'2024年-挂账付款'!P5,IF('2024年-挂账付款'!$AX5-SUM('2024年-挂账付款'!Q5:$AH5)&gt;0,'2024年-挂账付款'!$AX5-SUM('2024年-挂账付款'!Q5:$AH5),0))</f>
        <v>0</v>
      </c>
      <c r="T5" s="44">
        <f>IF('2024年-挂账付款'!$AX5&gt;=SUM('2024年-挂账付款'!Q5:$AH5),'2024年-挂账付款'!Q5,IF('2024年-挂账付款'!$AX5-SUM('2024年-挂账付款'!R5:$AH5)&gt;0,'2024年-挂账付款'!$AX5-SUM('2024年-挂账付款'!R5:$AH5),0))</f>
        <v>0</v>
      </c>
      <c r="U5" s="44">
        <f>IF('2024年-挂账付款'!$AX5&gt;=SUM('2024年-挂账付款'!R5:$AH5),'2024年-挂账付款'!R5,IF('2024年-挂账付款'!$AX5-SUM('2024年-挂账付款'!S5:$AH5)&gt;0,'2024年-挂账付款'!$AX5-SUM('2024年-挂账付款'!S5:$AH5),0))</f>
        <v>0</v>
      </c>
      <c r="V5" s="44">
        <f>IF('2024年-挂账付款'!$AX5&gt;=SUM('2024年-挂账付款'!S5:$AH5),'2024年-挂账付款'!S5,IF('2024年-挂账付款'!$AX5-SUM('2024年-挂账付款'!T5:$AH5)&gt;0,'2024年-挂账付款'!$AX5-SUM('2024年-挂账付款'!T5:$AH5),0))</f>
        <v>0</v>
      </c>
      <c r="W5" s="44">
        <f>IF('2024年-挂账付款'!$AX5&gt;=SUM('2024年-挂账付款'!T5:$AH5),'2024年-挂账付款'!T5,IF('2024年-挂账付款'!$AX5-SUM('2024年-挂账付款'!U5:$AH5)&gt;0,'2024年-挂账付款'!$AX5-SUM('2024年-挂账付款'!U5:$AH5),0))</f>
        <v>0</v>
      </c>
      <c r="X5" s="44">
        <f>IF('2024年-挂账付款'!$AX5&gt;=SUM('2024年-挂账付款'!U5:$AH5),'2024年-挂账付款'!U5,IF('2024年-挂账付款'!$AX5-SUM('2024年-挂账付款'!V5:$AH5)&gt;0,'2024年-挂账付款'!$AX5-SUM('2024年-挂账付款'!V5:$AH5),0))</f>
        <v>0</v>
      </c>
      <c r="Y5" s="44">
        <f>IF('2024年-挂账付款'!$AX5&gt;=SUM('2024年-挂账付款'!V5:$AH5),'2024年-挂账付款'!V5,IF('2024年-挂账付款'!$AX5-SUM('2024年-挂账付款'!W5:$AH5)&gt;0,'2024年-挂账付款'!$AX5-SUM('2024年-挂账付款'!W5:$AH5),0))</f>
        <v>0</v>
      </c>
      <c r="Z5" s="44">
        <f>IF('2024年-挂账付款'!$AX5&gt;=SUM('2024年-挂账付款'!W5:$AH5),'2024年-挂账付款'!W5,IF('2024年-挂账付款'!$AX5-SUM('2024年-挂账付款'!X5:$AH5)&gt;0,'2024年-挂账付款'!$AX5-SUM('2024年-挂账付款'!X5:$AH5),0))</f>
        <v>0</v>
      </c>
      <c r="AA5" s="44">
        <f>IF('2024年-挂账付款'!$AX5&gt;=SUM('2024年-挂账付款'!X5:$AH5),'2024年-挂账付款'!X5,IF('2024年-挂账付款'!$AX5-SUM('2024年-挂账付款'!Y5:$AH5)&gt;0,'2024年-挂账付款'!$AX5-SUM('2024年-挂账付款'!Y5:$AH5),0))</f>
        <v>24829.45</v>
      </c>
      <c r="AB5" s="44">
        <f>IF('2024年-挂账付款'!$AX5&gt;=SUM('2024年-挂账付款'!Y5:$AH5),'2024年-挂账付款'!Y5,IF('2024年-挂账付款'!$AX5-SUM('2024年-挂账付款'!Z5:$AH5)&gt;0,'2024年-挂账付款'!$AX5-SUM('2024年-挂账付款'!Z5:$AH5),0))</f>
        <v>0</v>
      </c>
      <c r="AC5" s="44">
        <f>IF('2024年-挂账付款'!$AX5&gt;=SUM('2024年-挂账付款'!Z5:$AH5),'2024年-挂账付款'!Z5,IF('2024年-挂账付款'!$AX5-SUM('2024年-挂账付款'!AA5:$AH5)&gt;0,'2024年-挂账付款'!$AX5-SUM('2024年-挂账付款'!AA5:$AH5),0))</f>
        <v>0</v>
      </c>
      <c r="AD5" s="44">
        <f>IF('2024年-挂账付款'!$AX5&gt;=SUM('2024年-挂账付款'!AA5:$AH5),'2024年-挂账付款'!AA5,IF('2024年-挂账付款'!$AX5-SUM('2024年-挂账付款'!AB5:$AH5)&gt;0,'2024年-挂账付款'!$AX5-SUM('2024年-挂账付款'!AB5:$AH5),0))</f>
        <v>0</v>
      </c>
      <c r="AE5" s="44">
        <f>IF('2024年-挂账付款'!$AX5&gt;=SUM('2024年-挂账付款'!AB5:$AH5),'2024年-挂账付款'!AB5,IF('2024年-挂账付款'!$AX5-SUM('2024年-挂账付款'!AC5:$AH5)&gt;0,'2024年-挂账付款'!$AX5-SUM('2024年-挂账付款'!AC5:$AH5),0))</f>
        <v>0</v>
      </c>
      <c r="AF5" s="44">
        <f>IF('2024年-挂账付款'!$AX5&gt;=SUM('2024年-挂账付款'!AC5:$AH5),'2024年-挂账付款'!AC5,IF('2024年-挂账付款'!$AX5-SUM('2024年-挂账付款'!AD5:$AH5)&gt;0,'2024年-挂账付款'!$AX5-SUM('2024年-挂账付款'!AD5:$AH5),0))</f>
        <v>0</v>
      </c>
      <c r="AG5" s="44">
        <f>IF('2024年-挂账付款'!$AX5&gt;=SUM('2024年-挂账付款'!AD5:$AH5),'2024年-挂账付款'!AD5,IF('2024年-挂账付款'!$AX5-SUM('2024年-挂账付款'!AE5:$AH5)&gt;0,'2024年-挂账付款'!$AX5-SUM('2024年-挂账付款'!AE5:$AH5),0))</f>
        <v>0</v>
      </c>
      <c r="AH5" s="44">
        <f>IF('2024年-挂账付款'!$AX5&gt;=SUM('2024年-挂账付款'!AE5:$AH5),'2024年-挂账付款'!AE5,IF('2024年-挂账付款'!$AX5-SUM('2024年-挂账付款'!AF5:$AH5)&gt;0,'2024年-挂账付款'!$AX5-SUM('2024年-挂账付款'!AF5:$AH5),0))</f>
        <v>0</v>
      </c>
      <c r="AI5" s="44">
        <f>IF('2024年-挂账付款'!$AX5&gt;=SUM('2024年-挂账付款'!AF5:$AH5),'2024年-挂账付款'!AF5,IF('2024年-挂账付款'!$AX5-SUM('2024年-挂账付款'!AG5:$AH5)&gt;0,'2024年-挂账付款'!$AX5-SUM('2024年-挂账付款'!AG5:$AH5),0))</f>
        <v>0</v>
      </c>
      <c r="AJ5" s="44">
        <f>IF('2024年-挂账付款'!$AX5&gt;=SUM('2024年-挂账付款'!AG5:$AH5),'2024年-挂账付款'!AG5,IF('2024年-挂账付款'!$AX5-SUM('2024年-挂账付款'!AH5:$AH5)&gt;0,'2024年-挂账付款'!$AX5-SUM('2024年-挂账付款'!AH5:$AH5),0))</f>
        <v>0</v>
      </c>
      <c r="AK5" s="44">
        <f>IF('2024年-挂账付款'!$AX5&gt;=SUM('2024年-挂账付款'!AH5:$AH5),'2024年-挂账付款'!AH5,IF('2024年-挂账付款'!$AX5-SUM('2024年-挂账付款'!$AH5:AI5)&gt;0,'2024年-挂账付款'!$AX5-SUM('2024年-挂账付款'!$AH5:AI5),0))</f>
        <v>0</v>
      </c>
      <c r="AL5" s="84" t="s">
        <v>426</v>
      </c>
      <c r="AM5" s="85" t="s">
        <v>384</v>
      </c>
      <c r="AN5" s="86">
        <f t="shared" ref="AN5:AN17" si="0">SUM(T5:Y5)/6*0.8</f>
        <v>0</v>
      </c>
      <c r="AO5" s="91"/>
      <c r="AP5" s="10">
        <f>'2024年-挂账付款'!AX5</f>
        <v>24829.45</v>
      </c>
      <c r="AQ5" s="101">
        <f>G5-AP5</f>
        <v>-24829.45</v>
      </c>
    </row>
    <row r="6" s="10" customFormat="1" ht="24.05" customHeight="1" spans="2:43">
      <c r="B6" s="39" t="s">
        <v>81</v>
      </c>
      <c r="C6" s="40" t="s">
        <v>267</v>
      </c>
      <c r="D6" s="40" t="s">
        <v>268</v>
      </c>
      <c r="E6" s="41">
        <v>30</v>
      </c>
      <c r="F6" s="42">
        <f>SUM(H6:X6)</f>
        <v>0</v>
      </c>
      <c r="G6" s="43" t="str">
        <f t="shared" ref="G6:G37" si="1">IF(SUM(H6:Y6)&gt;0,SUM(H6:Y6),"0")</f>
        <v>0</v>
      </c>
      <c r="H6" s="44">
        <f>IF('2024年-挂账付款'!$AX6&gt;=SUM('2024年-挂账付款'!E6:$AH6),'2024年-挂账付款'!E6,IF('2024年-挂账付款'!$AX6-SUM('2024年-挂账付款'!F6:$AH6)&gt;0,'2024年-挂账付款'!$AX6-SUM('2024年-挂账付款'!F6:$AH6),0))</f>
        <v>0</v>
      </c>
      <c r="I6" s="44">
        <f>IF('2024年-挂账付款'!$AX6&gt;=SUM('2024年-挂账付款'!F6:$AH6),'2024年-挂账付款'!F6,IF('2024年-挂账付款'!$AX6-SUM('2024年-挂账付款'!G6:$AH6)&gt;0,'2024年-挂账付款'!$AX6-SUM('2024年-挂账付款'!G6:$AH6),0))</f>
        <v>0</v>
      </c>
      <c r="J6" s="44">
        <f>IF('2024年-挂账付款'!$AX6&gt;=SUM('2024年-挂账付款'!G6:$AH6),'2024年-挂账付款'!G6,IF('2024年-挂账付款'!$AX6-SUM('2024年-挂账付款'!H6:$AH6)&gt;0,'2024年-挂账付款'!$AX6-SUM('2024年-挂账付款'!H6:$AH6),0))</f>
        <v>0</v>
      </c>
      <c r="K6" s="44">
        <f>IF('2024年-挂账付款'!$AX6&gt;=SUM('2024年-挂账付款'!H6:$AH6),'2024年-挂账付款'!H6,IF('2024年-挂账付款'!$AX6-SUM('2024年-挂账付款'!I6:$AH6)&gt;0,'2024年-挂账付款'!$AX6-SUM('2024年-挂账付款'!I6:$AH6),0))</f>
        <v>0</v>
      </c>
      <c r="L6" s="44">
        <f>IF('2024年-挂账付款'!$AX6&gt;=SUM('2024年-挂账付款'!I6:$AH6),'2024年-挂账付款'!I6,IF('2024年-挂账付款'!$AX6-SUM('2024年-挂账付款'!J6:$AH6)&gt;0,'2024年-挂账付款'!$AX6-SUM('2024年-挂账付款'!J6:$AH6),0))</f>
        <v>0</v>
      </c>
      <c r="M6" s="44">
        <f>IF('2024年-挂账付款'!$AX6&gt;=SUM('2024年-挂账付款'!J6:$AH6),'2024年-挂账付款'!J6,IF('2024年-挂账付款'!$AX6-SUM('2024年-挂账付款'!K6:$AH6)&gt;0,'2024年-挂账付款'!$AX6-SUM('2024年-挂账付款'!K6:$AH6),0))</f>
        <v>0</v>
      </c>
      <c r="N6" s="44">
        <f>IF('2024年-挂账付款'!$AX6&gt;=SUM('2024年-挂账付款'!K6:$AH6),'2024年-挂账付款'!K6,IF('2024年-挂账付款'!$AX6-SUM('2024年-挂账付款'!L6:$AH6)&gt;0,'2024年-挂账付款'!$AX6-SUM('2024年-挂账付款'!L6:$AH6),0))</f>
        <v>0</v>
      </c>
      <c r="O6" s="44">
        <f>IF('2024年-挂账付款'!$AX6&gt;=SUM('2024年-挂账付款'!L6:$AH6),'2024年-挂账付款'!L6,IF('2024年-挂账付款'!$AX6-SUM('2024年-挂账付款'!M6:$AH6)&gt;0,'2024年-挂账付款'!$AX6-SUM('2024年-挂账付款'!M6:$AH6),0))</f>
        <v>0</v>
      </c>
      <c r="P6" s="44">
        <f>IF('2024年-挂账付款'!$AX6&gt;=SUM('2024年-挂账付款'!M6:$AH6),'2024年-挂账付款'!M6,IF('2024年-挂账付款'!$AX6-SUM('2024年-挂账付款'!N6:$AH6)&gt;0,'2024年-挂账付款'!$AX6-SUM('2024年-挂账付款'!N6:$AH6),0))</f>
        <v>0</v>
      </c>
      <c r="Q6" s="44">
        <f>IF('2024年-挂账付款'!$AX6&gt;=SUM('2024年-挂账付款'!N6:$AH6),'2024年-挂账付款'!N6,IF('2024年-挂账付款'!$AX6-SUM('2024年-挂账付款'!O6:$AH6)&gt;0,'2024年-挂账付款'!$AX6-SUM('2024年-挂账付款'!O6:$AH6),0))</f>
        <v>0</v>
      </c>
      <c r="R6" s="44">
        <f>IF('2024年-挂账付款'!$AX6&gt;=SUM('2024年-挂账付款'!O6:$AH6),'2024年-挂账付款'!O6,IF('2024年-挂账付款'!$AX6-SUM('2024年-挂账付款'!P6:$AH6)&gt;0,'2024年-挂账付款'!$AX6-SUM('2024年-挂账付款'!P6:$AH6),0))</f>
        <v>0</v>
      </c>
      <c r="S6" s="44">
        <f>IF('2024年-挂账付款'!$AX6&gt;=SUM('2024年-挂账付款'!P6:$AH6),'2024年-挂账付款'!P6,IF('2024年-挂账付款'!$AX6-SUM('2024年-挂账付款'!Q6:$AH6)&gt;0,'2024年-挂账付款'!$AX6-SUM('2024年-挂账付款'!Q6:$AH6),0))</f>
        <v>0</v>
      </c>
      <c r="T6" s="44">
        <f>IF('2024年-挂账付款'!$AX6&gt;=SUM('2024年-挂账付款'!Q6:$AH6),'2024年-挂账付款'!Q6,IF('2024年-挂账付款'!$AX6-SUM('2024年-挂账付款'!R6:$AH6)&gt;0,'2024年-挂账付款'!$AX6-SUM('2024年-挂账付款'!R6:$AH6),0))</f>
        <v>0</v>
      </c>
      <c r="U6" s="44">
        <f>IF('2024年-挂账付款'!$AX6&gt;=SUM('2024年-挂账付款'!R6:$AH6),'2024年-挂账付款'!R6,IF('2024年-挂账付款'!$AX6-SUM('2024年-挂账付款'!S6:$AH6)&gt;0,'2024年-挂账付款'!$AX6-SUM('2024年-挂账付款'!S6:$AH6),0))</f>
        <v>0</v>
      </c>
      <c r="V6" s="44">
        <f>IF('2024年-挂账付款'!$AX6&gt;=SUM('2024年-挂账付款'!S6:$AH6),'2024年-挂账付款'!S6,IF('2024年-挂账付款'!$AX6-SUM('2024年-挂账付款'!T6:$AH6)&gt;0,'2024年-挂账付款'!$AX6-SUM('2024年-挂账付款'!T6:$AH6),0))</f>
        <v>0</v>
      </c>
      <c r="W6" s="44">
        <f>IF('2024年-挂账付款'!$AX6&gt;=SUM('2024年-挂账付款'!T6:$AH6),'2024年-挂账付款'!T6,IF('2024年-挂账付款'!$AX6-SUM('2024年-挂账付款'!U6:$AH6)&gt;0,'2024年-挂账付款'!$AX6-SUM('2024年-挂账付款'!U6:$AH6),0))</f>
        <v>0</v>
      </c>
      <c r="X6" s="44">
        <f>IF('2024年-挂账付款'!$AX6&gt;=SUM('2024年-挂账付款'!U6:$AH6),'2024年-挂账付款'!U6,IF('2024年-挂账付款'!$AX6-SUM('2024年-挂账付款'!V6:$AH6)&gt;0,'2024年-挂账付款'!$AX6-SUM('2024年-挂账付款'!V6:$AH6),0))</f>
        <v>0</v>
      </c>
      <c r="Y6" s="44">
        <f>IF('2024年-挂账付款'!$AX6&gt;=SUM('2024年-挂账付款'!V6:$AH6),'2024年-挂账付款'!V6,IF('2024年-挂账付款'!$AX6-SUM('2024年-挂账付款'!W6:$AH6)&gt;0,'2024年-挂账付款'!$AX6-SUM('2024年-挂账付款'!W6:$AH6),0))</f>
        <v>0</v>
      </c>
      <c r="Z6" s="44">
        <f>IF('2024年-挂账付款'!$AX6&gt;=SUM('2024年-挂账付款'!W6:$AH6),'2024年-挂账付款'!W6,IF('2024年-挂账付款'!$AX6-SUM('2024年-挂账付款'!X6:$AH6)&gt;0,'2024年-挂账付款'!$AX6-SUM('2024年-挂账付款'!X6:$AH6),0))</f>
        <v>0</v>
      </c>
      <c r="AA6" s="44">
        <f>IF('2024年-挂账付款'!$AX6&gt;=SUM('2024年-挂账付款'!X6:$AH6),'2024年-挂账付款'!X6,IF('2024年-挂账付款'!$AX6-SUM('2024年-挂账付款'!Y6:$AH6)&gt;0,'2024年-挂账付款'!$AX6-SUM('2024年-挂账付款'!Y6:$AH6),0))</f>
        <v>120198.73</v>
      </c>
      <c r="AB6" s="44">
        <f>IF('2024年-挂账付款'!$AX6&gt;=SUM('2024年-挂账付款'!Y6:$AH6),'2024年-挂账付款'!Y6,IF('2024年-挂账付款'!$AX6-SUM('2024年-挂账付款'!Z6:$AH6)&gt;0,'2024年-挂账付款'!$AX6-SUM('2024年-挂账付款'!Z6:$AH6),0))</f>
        <v>0</v>
      </c>
      <c r="AC6" s="44">
        <f>IF('2024年-挂账付款'!$AX6&gt;=SUM('2024年-挂账付款'!Z6:$AH6),'2024年-挂账付款'!Z6,IF('2024年-挂账付款'!$AX6-SUM('2024年-挂账付款'!AA6:$AH6)&gt;0,'2024年-挂账付款'!$AX6-SUM('2024年-挂账付款'!AA6:$AH6),0))</f>
        <v>0</v>
      </c>
      <c r="AD6" s="44">
        <f>IF('2024年-挂账付款'!$AX6&gt;=SUM('2024年-挂账付款'!AA6:$AH6),'2024年-挂账付款'!AA6,IF('2024年-挂账付款'!$AX6-SUM('2024年-挂账付款'!AB6:$AH6)&gt;0,'2024年-挂账付款'!$AX6-SUM('2024年-挂账付款'!AB6:$AH6),0))</f>
        <v>0</v>
      </c>
      <c r="AE6" s="44">
        <f>IF('2024年-挂账付款'!$AX6&gt;=SUM('2024年-挂账付款'!AB6:$AH6),'2024年-挂账付款'!AB6,IF('2024年-挂账付款'!$AX6-SUM('2024年-挂账付款'!AC6:$AH6)&gt;0,'2024年-挂账付款'!$AX6-SUM('2024年-挂账付款'!AC6:$AH6),0))</f>
        <v>0</v>
      </c>
      <c r="AF6" s="44">
        <f>IF('2024年-挂账付款'!$AX6&gt;=SUM('2024年-挂账付款'!AC6:$AH6),'2024年-挂账付款'!AC6,IF('2024年-挂账付款'!$AX6-SUM('2024年-挂账付款'!AD6:$AH6)&gt;0,'2024年-挂账付款'!$AX6-SUM('2024年-挂账付款'!AD6:$AH6),0))</f>
        <v>0</v>
      </c>
      <c r="AG6" s="44">
        <f>IF('2024年-挂账付款'!$AX6&gt;=SUM('2024年-挂账付款'!AD6:$AH6),'2024年-挂账付款'!AD6,IF('2024年-挂账付款'!$AX6-SUM('2024年-挂账付款'!AE6:$AH6)&gt;0,'2024年-挂账付款'!$AX6-SUM('2024年-挂账付款'!AE6:$AH6),0))</f>
        <v>0</v>
      </c>
      <c r="AH6" s="44">
        <f>IF('2024年-挂账付款'!$AX6&gt;=SUM('2024年-挂账付款'!AE6:$AH6),'2024年-挂账付款'!AE6,IF('2024年-挂账付款'!$AX6-SUM('2024年-挂账付款'!AF6:$AH6)&gt;0,'2024年-挂账付款'!$AX6-SUM('2024年-挂账付款'!AF6:$AH6),0))</f>
        <v>0</v>
      </c>
      <c r="AI6" s="44">
        <f>IF('2024年-挂账付款'!$AX6&gt;=SUM('2024年-挂账付款'!AF6:$AH6),'2024年-挂账付款'!AF6,IF('2024年-挂账付款'!$AX6-SUM('2024年-挂账付款'!AG6:$AH6)&gt;0,'2024年-挂账付款'!$AX6-SUM('2024年-挂账付款'!AG6:$AH6),0))</f>
        <v>0</v>
      </c>
      <c r="AJ6" s="44">
        <f>IF('2024年-挂账付款'!$AX6&gt;=SUM('2024年-挂账付款'!AG6:$AH6),'2024年-挂账付款'!AG6,IF('2024年-挂账付款'!$AX6-SUM('2024年-挂账付款'!AH6:$AH6)&gt;0,'2024年-挂账付款'!$AX6-SUM('2024年-挂账付款'!AH6:$AH6),0))</f>
        <v>0</v>
      </c>
      <c r="AK6" s="44">
        <f>IF('2024年-挂账付款'!$AX6&gt;=SUM('2024年-挂账付款'!AH6:$AH6),'2024年-挂账付款'!AH6,IF('2024年-挂账付款'!$AX6-SUM('2024年-挂账付款'!$AH6:AI6)&gt;0,'2024年-挂账付款'!$AX6-SUM('2024年-挂账付款'!$AH6:AI6),0))</f>
        <v>0</v>
      </c>
      <c r="AL6" s="84" t="s">
        <v>426</v>
      </c>
      <c r="AM6" s="85" t="s">
        <v>384</v>
      </c>
      <c r="AN6" s="86">
        <f t="shared" si="0"/>
        <v>0</v>
      </c>
      <c r="AO6" s="91"/>
      <c r="AP6" s="10">
        <f>'2024年-挂账付款'!AX6</f>
        <v>120198.73</v>
      </c>
      <c r="AQ6" s="101">
        <f t="shared" ref="AQ6:AQ37" si="2">G6-AP6</f>
        <v>-120198.73</v>
      </c>
    </row>
    <row r="7" s="10" customFormat="1" ht="24.05" customHeight="1" spans="2:43">
      <c r="B7" s="45" t="s">
        <v>81</v>
      </c>
      <c r="C7" s="46" t="s">
        <v>212</v>
      </c>
      <c r="D7" s="46" t="s">
        <v>213</v>
      </c>
      <c r="E7" s="47">
        <v>30</v>
      </c>
      <c r="F7" s="42">
        <f>SUM(H7:X7)</f>
        <v>303623.8</v>
      </c>
      <c r="G7" s="43">
        <f t="shared" si="1"/>
        <v>303623.8</v>
      </c>
      <c r="H7" s="44">
        <f>IF('2024年-挂账付款'!$AX7&gt;=SUM('2024年-挂账付款'!E7:$AH7),'2024年-挂账付款'!E7,IF('2024年-挂账付款'!$AX7-SUM('2024年-挂账付款'!F7:$AH7)&gt;0,'2024年-挂账付款'!$AX7-SUM('2024年-挂账付款'!F7:$AH7),0))</f>
        <v>0</v>
      </c>
      <c r="I7" s="44">
        <f>IF('2024年-挂账付款'!$AX7&gt;=SUM('2024年-挂账付款'!F7:$AH7),'2024年-挂账付款'!F7,IF('2024年-挂账付款'!$AX7-SUM('2024年-挂账付款'!G7:$AH7)&gt;0,'2024年-挂账付款'!$AX7-SUM('2024年-挂账付款'!G7:$AH7),0))</f>
        <v>0</v>
      </c>
      <c r="J7" s="44">
        <f>IF('2024年-挂账付款'!$AX7&gt;=SUM('2024年-挂账付款'!G7:$AH7),'2024年-挂账付款'!G7,IF('2024年-挂账付款'!$AX7-SUM('2024年-挂账付款'!H7:$AH7)&gt;0,'2024年-挂账付款'!$AX7-SUM('2024年-挂账付款'!H7:$AH7),0))</f>
        <v>0</v>
      </c>
      <c r="K7" s="44">
        <f>IF('2024年-挂账付款'!$AX7&gt;=SUM('2024年-挂账付款'!H7:$AH7),'2024年-挂账付款'!H7,IF('2024年-挂账付款'!$AX7-SUM('2024年-挂账付款'!I7:$AH7)&gt;0,'2024年-挂账付款'!$AX7-SUM('2024年-挂账付款'!I7:$AH7),0))</f>
        <v>0</v>
      </c>
      <c r="L7" s="44">
        <f>IF('2024年-挂账付款'!$AX7&gt;=SUM('2024年-挂账付款'!I7:$AH7),'2024年-挂账付款'!I7,IF('2024年-挂账付款'!$AX7-SUM('2024年-挂账付款'!J7:$AH7)&gt;0,'2024年-挂账付款'!$AX7-SUM('2024年-挂账付款'!J7:$AH7),0))</f>
        <v>0</v>
      </c>
      <c r="M7" s="44">
        <f>IF('2024年-挂账付款'!$AX7&gt;=SUM('2024年-挂账付款'!J7:$AH7),'2024年-挂账付款'!J7,IF('2024年-挂账付款'!$AX7-SUM('2024年-挂账付款'!K7:$AH7)&gt;0,'2024年-挂账付款'!$AX7-SUM('2024年-挂账付款'!K7:$AH7),0))</f>
        <v>0</v>
      </c>
      <c r="N7" s="44">
        <f>IF('2024年-挂账付款'!$AX7&gt;=SUM('2024年-挂账付款'!K7:$AH7),'2024年-挂账付款'!K7,IF('2024年-挂账付款'!$AX7-SUM('2024年-挂账付款'!L7:$AH7)&gt;0,'2024年-挂账付款'!$AX7-SUM('2024年-挂账付款'!L7:$AH7),0))</f>
        <v>0</v>
      </c>
      <c r="O7" s="44">
        <f>IF('2024年-挂账付款'!$AX7&gt;=SUM('2024年-挂账付款'!L7:$AH7),'2024年-挂账付款'!L7,IF('2024年-挂账付款'!$AX7-SUM('2024年-挂账付款'!M7:$AH7)&gt;0,'2024年-挂账付款'!$AX7-SUM('2024年-挂账付款'!M7:$AH7),0))</f>
        <v>0</v>
      </c>
      <c r="P7" s="44">
        <f>IF('2024年-挂账付款'!$AX7&gt;=SUM('2024年-挂账付款'!M7:$AH7),'2024年-挂账付款'!M7,IF('2024年-挂账付款'!$AX7-SUM('2024年-挂账付款'!N7:$AH7)&gt;0,'2024年-挂账付款'!$AX7-SUM('2024年-挂账付款'!N7:$AH7),0))</f>
        <v>0</v>
      </c>
      <c r="Q7" s="44">
        <f>IF('2024年-挂账付款'!$AX7&gt;=SUM('2024年-挂账付款'!N7:$AH7),'2024年-挂账付款'!N7,IF('2024年-挂账付款'!$AX7-SUM('2024年-挂账付款'!O7:$AH7)&gt;0,'2024年-挂账付款'!$AX7-SUM('2024年-挂账付款'!O7:$AH7),0))</f>
        <v>0</v>
      </c>
      <c r="R7" s="44">
        <f>IF('2024年-挂账付款'!$AX7&gt;=SUM('2024年-挂账付款'!O7:$AH7),'2024年-挂账付款'!O7,IF('2024年-挂账付款'!$AX7-SUM('2024年-挂账付款'!P7:$AH7)&gt;0,'2024年-挂账付款'!$AX7-SUM('2024年-挂账付款'!P7:$AH7),0))</f>
        <v>0</v>
      </c>
      <c r="S7" s="44">
        <f>IF('2024年-挂账付款'!$AX7&gt;=SUM('2024年-挂账付款'!P7:$AH7),'2024年-挂账付款'!P7,IF('2024年-挂账付款'!$AX7-SUM('2024年-挂账付款'!Q7:$AH7)&gt;0,'2024年-挂账付款'!$AX7-SUM('2024年-挂账付款'!Q7:$AH7),0))</f>
        <v>0</v>
      </c>
      <c r="T7" s="44">
        <f>IF('2024年-挂账付款'!$AX7&gt;=SUM('2024年-挂账付款'!Q7:$AH7),'2024年-挂账付款'!Q7,IF('2024年-挂账付款'!$AX7-SUM('2024年-挂账付款'!R7:$AH7)&gt;0,'2024年-挂账付款'!$AX7-SUM('2024年-挂账付款'!R7:$AH7),0))</f>
        <v>0</v>
      </c>
      <c r="U7" s="44">
        <f>IF('2024年-挂账付款'!$AX7&gt;=SUM('2024年-挂账付款'!R7:$AH7),'2024年-挂账付款'!R7,IF('2024年-挂账付款'!$AX7-SUM('2024年-挂账付款'!S7:$AH7)&gt;0,'2024年-挂账付款'!$AX7-SUM('2024年-挂账付款'!S7:$AH7),0))</f>
        <v>0</v>
      </c>
      <c r="V7" s="44">
        <f>IF('2024年-挂账付款'!$AX7&gt;=SUM('2024年-挂账付款'!S7:$AH7),'2024年-挂账付款'!S7,IF('2024年-挂账付款'!$AX7-SUM('2024年-挂账付款'!T7:$AH7)&gt;0,'2024年-挂账付款'!$AX7-SUM('2024年-挂账付款'!T7:$AH7),0))</f>
        <v>136228.32</v>
      </c>
      <c r="W7" s="44">
        <f>IF('2024年-挂账付款'!$AX7&gt;=SUM('2024年-挂账付款'!T7:$AH7),'2024年-挂账付款'!T7,IF('2024年-挂账付款'!$AX7-SUM('2024年-挂账付款'!U7:$AH7)&gt;0,'2024年-挂账付款'!$AX7-SUM('2024年-挂账付款'!U7:$AH7),0))</f>
        <v>167395.48</v>
      </c>
      <c r="X7" s="44">
        <f>IF('2024年-挂账付款'!$AX7&gt;=SUM('2024年-挂账付款'!U7:$AH7),'2024年-挂账付款'!U7,IF('2024年-挂账付款'!$AX7-SUM('2024年-挂账付款'!V7:$AH7)&gt;0,'2024年-挂账付款'!$AX7-SUM('2024年-挂账付款'!V7:$AH7),0))</f>
        <v>0</v>
      </c>
      <c r="Y7" s="44">
        <f>IF('2024年-挂账付款'!$AX7&gt;=SUM('2024年-挂账付款'!V7:$AH7),'2024年-挂账付款'!V7,IF('2024年-挂账付款'!$AX7-SUM('2024年-挂账付款'!W7:$AH7)&gt;0,'2024年-挂账付款'!$AX7-SUM('2024年-挂账付款'!W7:$AH7),0))</f>
        <v>0</v>
      </c>
      <c r="Z7" s="44">
        <f>IF('2024年-挂账付款'!$AX7&gt;=SUM('2024年-挂账付款'!W7:$AH7),'2024年-挂账付款'!W7,IF('2024年-挂账付款'!$AX7-SUM('2024年-挂账付款'!X7:$AH7)&gt;0,'2024年-挂账付款'!$AX7-SUM('2024年-挂账付款'!X7:$AH7),0))</f>
        <v>0</v>
      </c>
      <c r="AA7" s="44">
        <f>IF('2024年-挂账付款'!$AX7&gt;=SUM('2024年-挂账付款'!X7:$AH7),'2024年-挂账付款'!X7,IF('2024年-挂账付款'!$AX7-SUM('2024年-挂账付款'!Y7:$AH7)&gt;0,'2024年-挂账付款'!$AX7-SUM('2024年-挂账付款'!Y7:$AH7),0))</f>
        <v>0</v>
      </c>
      <c r="AB7" s="44">
        <f>IF('2024年-挂账付款'!$AX7&gt;=SUM('2024年-挂账付款'!Y7:$AH7),'2024年-挂账付款'!Y7,IF('2024年-挂账付款'!$AX7-SUM('2024年-挂账付款'!Z7:$AH7)&gt;0,'2024年-挂账付款'!$AX7-SUM('2024年-挂账付款'!Z7:$AH7),0))</f>
        <v>0</v>
      </c>
      <c r="AC7" s="44">
        <f>IF('2024年-挂账付款'!$AX7&gt;=SUM('2024年-挂账付款'!Z7:$AH7),'2024年-挂账付款'!Z7,IF('2024年-挂账付款'!$AX7-SUM('2024年-挂账付款'!AA7:$AH7)&gt;0,'2024年-挂账付款'!$AX7-SUM('2024年-挂账付款'!AA7:$AH7),0))</f>
        <v>0</v>
      </c>
      <c r="AD7" s="44">
        <f>IF('2024年-挂账付款'!$AX7&gt;=SUM('2024年-挂账付款'!AA7:$AH7),'2024年-挂账付款'!AA7,IF('2024年-挂账付款'!$AX7-SUM('2024年-挂账付款'!AB7:$AH7)&gt;0,'2024年-挂账付款'!$AX7-SUM('2024年-挂账付款'!AB7:$AH7),0))</f>
        <v>0</v>
      </c>
      <c r="AE7" s="44">
        <f>IF('2024年-挂账付款'!$AX7&gt;=SUM('2024年-挂账付款'!AB7:$AH7),'2024年-挂账付款'!AB7,IF('2024年-挂账付款'!$AX7-SUM('2024年-挂账付款'!AC7:$AH7)&gt;0,'2024年-挂账付款'!$AX7-SUM('2024年-挂账付款'!AC7:$AH7),0))</f>
        <v>0</v>
      </c>
      <c r="AF7" s="44">
        <f>IF('2024年-挂账付款'!$AX7&gt;=SUM('2024年-挂账付款'!AC7:$AH7),'2024年-挂账付款'!AC7,IF('2024年-挂账付款'!$AX7-SUM('2024年-挂账付款'!AD7:$AH7)&gt;0,'2024年-挂账付款'!$AX7-SUM('2024年-挂账付款'!AD7:$AH7),0))</f>
        <v>0</v>
      </c>
      <c r="AG7" s="44">
        <f>IF('2024年-挂账付款'!$AX7&gt;=SUM('2024年-挂账付款'!AD7:$AH7),'2024年-挂账付款'!AD7,IF('2024年-挂账付款'!$AX7-SUM('2024年-挂账付款'!AE7:$AH7)&gt;0,'2024年-挂账付款'!$AX7-SUM('2024年-挂账付款'!AE7:$AH7),0))</f>
        <v>0</v>
      </c>
      <c r="AH7" s="44">
        <f>IF('2024年-挂账付款'!$AX7&gt;=SUM('2024年-挂账付款'!AE7:$AH7),'2024年-挂账付款'!AE7,IF('2024年-挂账付款'!$AX7-SUM('2024年-挂账付款'!AF7:$AH7)&gt;0,'2024年-挂账付款'!$AX7-SUM('2024年-挂账付款'!AF7:$AH7),0))</f>
        <v>0</v>
      </c>
      <c r="AI7" s="44">
        <f>IF('2024年-挂账付款'!$AX7&gt;=SUM('2024年-挂账付款'!AF7:$AH7),'2024年-挂账付款'!AF7,IF('2024年-挂账付款'!$AX7-SUM('2024年-挂账付款'!AG7:$AH7)&gt;0,'2024年-挂账付款'!$AX7-SUM('2024年-挂账付款'!AG7:$AH7),0))</f>
        <v>0</v>
      </c>
      <c r="AJ7" s="44">
        <f>IF('2024年-挂账付款'!$AX7&gt;=SUM('2024年-挂账付款'!AG7:$AH7),'2024年-挂账付款'!AG7,IF('2024年-挂账付款'!$AX7-SUM('2024年-挂账付款'!AH7:$AH7)&gt;0,'2024年-挂账付款'!$AX7-SUM('2024年-挂账付款'!AH7:$AH7),0))</f>
        <v>0</v>
      </c>
      <c r="AK7" s="44">
        <f>IF('2024年-挂账付款'!$AX7&gt;=SUM('2024年-挂账付款'!AH7:$AH7),'2024年-挂账付款'!AH7,IF('2024年-挂账付款'!$AX7-SUM('2024年-挂账付款'!$AH7:AI7)&gt;0,'2024年-挂账付款'!$AX7-SUM('2024年-挂账付款'!$AH7:AI7),0))</f>
        <v>0</v>
      </c>
      <c r="AL7" s="84" t="s">
        <v>426</v>
      </c>
      <c r="AM7" s="85"/>
      <c r="AN7" s="86">
        <f t="shared" si="0"/>
        <v>40483.1733333333</v>
      </c>
      <c r="AO7" s="91"/>
      <c r="AP7" s="10">
        <f>'2024年-挂账付款'!AX7</f>
        <v>303623.8</v>
      </c>
      <c r="AQ7" s="101">
        <f t="shared" si="2"/>
        <v>0</v>
      </c>
    </row>
    <row r="8" s="10" customFormat="1" ht="24.05" customHeight="1" spans="2:43">
      <c r="B8" s="45" t="s">
        <v>81</v>
      </c>
      <c r="C8" s="46" t="s">
        <v>274</v>
      </c>
      <c r="D8" s="46" t="s">
        <v>275</v>
      </c>
      <c r="E8" s="41">
        <v>30</v>
      </c>
      <c r="F8" s="42">
        <f>SUM(H8:X8)</f>
        <v>0</v>
      </c>
      <c r="G8" s="43" t="str">
        <f t="shared" si="1"/>
        <v>0</v>
      </c>
      <c r="H8" s="44">
        <f>IF('2024年-挂账付款'!$AX8&gt;=SUM('2024年-挂账付款'!E8:$AH8),'2024年-挂账付款'!E8,IF('2024年-挂账付款'!$AX8-SUM('2024年-挂账付款'!F8:$AH8)&gt;0,'2024年-挂账付款'!$AX8-SUM('2024年-挂账付款'!F8:$AH8),0))</f>
        <v>0</v>
      </c>
      <c r="I8" s="44">
        <f>IF('2024年-挂账付款'!$AX8&gt;=SUM('2024年-挂账付款'!F8:$AH8),'2024年-挂账付款'!F8,IF('2024年-挂账付款'!$AX8-SUM('2024年-挂账付款'!G8:$AH8)&gt;0,'2024年-挂账付款'!$AX8-SUM('2024年-挂账付款'!G8:$AH8),0))</f>
        <v>0</v>
      </c>
      <c r="J8" s="44">
        <f>IF('2024年-挂账付款'!$AX8&gt;=SUM('2024年-挂账付款'!G8:$AH8),'2024年-挂账付款'!G8,IF('2024年-挂账付款'!$AX8-SUM('2024年-挂账付款'!H8:$AH8)&gt;0,'2024年-挂账付款'!$AX8-SUM('2024年-挂账付款'!H8:$AH8),0))</f>
        <v>0</v>
      </c>
      <c r="K8" s="44">
        <f>IF('2024年-挂账付款'!$AX8&gt;=SUM('2024年-挂账付款'!H8:$AH8),'2024年-挂账付款'!H8,IF('2024年-挂账付款'!$AX8-SUM('2024年-挂账付款'!I8:$AH8)&gt;0,'2024年-挂账付款'!$AX8-SUM('2024年-挂账付款'!I8:$AH8),0))</f>
        <v>0</v>
      </c>
      <c r="L8" s="44">
        <f>IF('2024年-挂账付款'!$AX8&gt;=SUM('2024年-挂账付款'!I8:$AH8),'2024年-挂账付款'!I8,IF('2024年-挂账付款'!$AX8-SUM('2024年-挂账付款'!J8:$AH8)&gt;0,'2024年-挂账付款'!$AX8-SUM('2024年-挂账付款'!J8:$AH8),0))</f>
        <v>0</v>
      </c>
      <c r="M8" s="44">
        <f>IF('2024年-挂账付款'!$AX8&gt;=SUM('2024年-挂账付款'!J8:$AH8),'2024年-挂账付款'!J8,IF('2024年-挂账付款'!$AX8-SUM('2024年-挂账付款'!K8:$AH8)&gt;0,'2024年-挂账付款'!$AX8-SUM('2024年-挂账付款'!K8:$AH8),0))</f>
        <v>0</v>
      </c>
      <c r="N8" s="44">
        <f>IF('2024年-挂账付款'!$AX8&gt;=SUM('2024年-挂账付款'!K8:$AH8),'2024年-挂账付款'!K8,IF('2024年-挂账付款'!$AX8-SUM('2024年-挂账付款'!L8:$AH8)&gt;0,'2024年-挂账付款'!$AX8-SUM('2024年-挂账付款'!L8:$AH8),0))</f>
        <v>0</v>
      </c>
      <c r="O8" s="44">
        <f>IF('2024年-挂账付款'!$AX8&gt;=SUM('2024年-挂账付款'!L8:$AH8),'2024年-挂账付款'!L8,IF('2024年-挂账付款'!$AX8-SUM('2024年-挂账付款'!M8:$AH8)&gt;0,'2024年-挂账付款'!$AX8-SUM('2024年-挂账付款'!M8:$AH8),0))</f>
        <v>0</v>
      </c>
      <c r="P8" s="44">
        <f>IF('2024年-挂账付款'!$AX8&gt;=SUM('2024年-挂账付款'!M8:$AH8),'2024年-挂账付款'!M8,IF('2024年-挂账付款'!$AX8-SUM('2024年-挂账付款'!N8:$AH8)&gt;0,'2024年-挂账付款'!$AX8-SUM('2024年-挂账付款'!N8:$AH8),0))</f>
        <v>0</v>
      </c>
      <c r="Q8" s="44">
        <f>IF('2024年-挂账付款'!$AX8&gt;=SUM('2024年-挂账付款'!N8:$AH8),'2024年-挂账付款'!N8,IF('2024年-挂账付款'!$AX8-SUM('2024年-挂账付款'!O8:$AH8)&gt;0,'2024年-挂账付款'!$AX8-SUM('2024年-挂账付款'!O8:$AH8),0))</f>
        <v>0</v>
      </c>
      <c r="R8" s="44">
        <f>IF('2024年-挂账付款'!$AX8&gt;=SUM('2024年-挂账付款'!O8:$AH8),'2024年-挂账付款'!O8,IF('2024年-挂账付款'!$AX8-SUM('2024年-挂账付款'!P8:$AH8)&gt;0,'2024年-挂账付款'!$AX8-SUM('2024年-挂账付款'!P8:$AH8),0))</f>
        <v>0</v>
      </c>
      <c r="S8" s="44">
        <f>IF('2024年-挂账付款'!$AX8&gt;=SUM('2024年-挂账付款'!P8:$AH8),'2024年-挂账付款'!P8,IF('2024年-挂账付款'!$AX8-SUM('2024年-挂账付款'!Q8:$AH8)&gt;0,'2024年-挂账付款'!$AX8-SUM('2024年-挂账付款'!Q8:$AH8),0))</f>
        <v>0</v>
      </c>
      <c r="T8" s="44">
        <f>IF('2024年-挂账付款'!$AX8&gt;=SUM('2024年-挂账付款'!Q8:$AH8),'2024年-挂账付款'!Q8,IF('2024年-挂账付款'!$AX8-SUM('2024年-挂账付款'!R8:$AH8)&gt;0,'2024年-挂账付款'!$AX8-SUM('2024年-挂账付款'!R8:$AH8),0))</f>
        <v>0</v>
      </c>
      <c r="U8" s="44">
        <f>IF('2024年-挂账付款'!$AX8&gt;=SUM('2024年-挂账付款'!R8:$AH8),'2024年-挂账付款'!R8,IF('2024年-挂账付款'!$AX8-SUM('2024年-挂账付款'!S8:$AH8)&gt;0,'2024年-挂账付款'!$AX8-SUM('2024年-挂账付款'!S8:$AH8),0))</f>
        <v>0</v>
      </c>
      <c r="V8" s="44">
        <f>IF('2024年-挂账付款'!$AX8&gt;=SUM('2024年-挂账付款'!S8:$AH8),'2024年-挂账付款'!S8,IF('2024年-挂账付款'!$AX8-SUM('2024年-挂账付款'!T8:$AH8)&gt;0,'2024年-挂账付款'!$AX8-SUM('2024年-挂账付款'!T8:$AH8),0))</f>
        <v>0</v>
      </c>
      <c r="W8" s="44">
        <f>IF('2024年-挂账付款'!$AX8&gt;=SUM('2024年-挂账付款'!T8:$AH8),'2024年-挂账付款'!T8,IF('2024年-挂账付款'!$AX8-SUM('2024年-挂账付款'!U8:$AH8)&gt;0,'2024年-挂账付款'!$AX8-SUM('2024年-挂账付款'!U8:$AH8),0))</f>
        <v>0</v>
      </c>
      <c r="X8" s="44">
        <f>IF('2024年-挂账付款'!$AX8&gt;=SUM('2024年-挂账付款'!U8:$AH8),'2024年-挂账付款'!U8,IF('2024年-挂账付款'!$AX8-SUM('2024年-挂账付款'!V8:$AH8)&gt;0,'2024年-挂账付款'!$AX8-SUM('2024年-挂账付款'!V8:$AH8),0))</f>
        <v>0</v>
      </c>
      <c r="Y8" s="44">
        <f>IF('2024年-挂账付款'!$AX8&gt;=SUM('2024年-挂账付款'!V8:$AH8),'2024年-挂账付款'!V8,IF('2024年-挂账付款'!$AX8-SUM('2024年-挂账付款'!W8:$AH8)&gt;0,'2024年-挂账付款'!$AX8-SUM('2024年-挂账付款'!W8:$AH8),0))</f>
        <v>0</v>
      </c>
      <c r="Z8" s="44">
        <f>IF('2024年-挂账付款'!$AX8&gt;=SUM('2024年-挂账付款'!W8:$AH8),'2024年-挂账付款'!W8,IF('2024年-挂账付款'!$AX8-SUM('2024年-挂账付款'!X8:$AH8)&gt;0,'2024年-挂账付款'!$AX8-SUM('2024年-挂账付款'!X8:$AH8),0))</f>
        <v>91049.67</v>
      </c>
      <c r="AA8" s="44">
        <f>IF('2024年-挂账付款'!$AX8&gt;=SUM('2024年-挂账付款'!X8:$AH8),'2024年-挂账付款'!X8,IF('2024年-挂账付款'!$AX8-SUM('2024年-挂账付款'!Y8:$AH8)&gt;0,'2024年-挂账付款'!$AX8-SUM('2024年-挂账付款'!Y8:$AH8),0))</f>
        <v>293165.39</v>
      </c>
      <c r="AB8" s="44">
        <f>IF('2024年-挂账付款'!$AX8&gt;=SUM('2024年-挂账付款'!Y8:$AH8),'2024年-挂账付款'!Y8,IF('2024年-挂账付款'!$AX8-SUM('2024年-挂账付款'!Z8:$AH8)&gt;0,'2024年-挂账付款'!$AX8-SUM('2024年-挂账付款'!Z8:$AH8),0))</f>
        <v>0</v>
      </c>
      <c r="AC8" s="44">
        <f>IF('2024年-挂账付款'!$AX8&gt;=SUM('2024年-挂账付款'!Z8:$AH8),'2024年-挂账付款'!Z8,IF('2024年-挂账付款'!$AX8-SUM('2024年-挂账付款'!AA8:$AH8)&gt;0,'2024年-挂账付款'!$AX8-SUM('2024年-挂账付款'!AA8:$AH8),0))</f>
        <v>0</v>
      </c>
      <c r="AD8" s="44">
        <f>IF('2024年-挂账付款'!$AX8&gt;=SUM('2024年-挂账付款'!AA8:$AH8),'2024年-挂账付款'!AA8,IF('2024年-挂账付款'!$AX8-SUM('2024年-挂账付款'!AB8:$AH8)&gt;0,'2024年-挂账付款'!$AX8-SUM('2024年-挂账付款'!AB8:$AH8),0))</f>
        <v>0</v>
      </c>
      <c r="AE8" s="44">
        <f>IF('2024年-挂账付款'!$AX8&gt;=SUM('2024年-挂账付款'!AB8:$AH8),'2024年-挂账付款'!AB8,IF('2024年-挂账付款'!$AX8-SUM('2024年-挂账付款'!AC8:$AH8)&gt;0,'2024年-挂账付款'!$AX8-SUM('2024年-挂账付款'!AC8:$AH8),0))</f>
        <v>0</v>
      </c>
      <c r="AF8" s="44">
        <f>IF('2024年-挂账付款'!$AX8&gt;=SUM('2024年-挂账付款'!AC8:$AH8),'2024年-挂账付款'!AC8,IF('2024年-挂账付款'!$AX8-SUM('2024年-挂账付款'!AD8:$AH8)&gt;0,'2024年-挂账付款'!$AX8-SUM('2024年-挂账付款'!AD8:$AH8),0))</f>
        <v>0</v>
      </c>
      <c r="AG8" s="44">
        <f>IF('2024年-挂账付款'!$AX8&gt;=SUM('2024年-挂账付款'!AD8:$AH8),'2024年-挂账付款'!AD8,IF('2024年-挂账付款'!$AX8-SUM('2024年-挂账付款'!AE8:$AH8)&gt;0,'2024年-挂账付款'!$AX8-SUM('2024年-挂账付款'!AE8:$AH8),0))</f>
        <v>0</v>
      </c>
      <c r="AH8" s="44">
        <f>IF('2024年-挂账付款'!$AX8&gt;=SUM('2024年-挂账付款'!AE8:$AH8),'2024年-挂账付款'!AE8,IF('2024年-挂账付款'!$AX8-SUM('2024年-挂账付款'!AF8:$AH8)&gt;0,'2024年-挂账付款'!$AX8-SUM('2024年-挂账付款'!AF8:$AH8),0))</f>
        <v>0</v>
      </c>
      <c r="AI8" s="44">
        <f>IF('2024年-挂账付款'!$AX8&gt;=SUM('2024年-挂账付款'!AF8:$AH8),'2024年-挂账付款'!AF8,IF('2024年-挂账付款'!$AX8-SUM('2024年-挂账付款'!AG8:$AH8)&gt;0,'2024年-挂账付款'!$AX8-SUM('2024年-挂账付款'!AG8:$AH8),0))</f>
        <v>0</v>
      </c>
      <c r="AJ8" s="44">
        <f>IF('2024年-挂账付款'!$AX8&gt;=SUM('2024年-挂账付款'!AG8:$AH8),'2024年-挂账付款'!AG8,IF('2024年-挂账付款'!$AX8-SUM('2024年-挂账付款'!AH8:$AH8)&gt;0,'2024年-挂账付款'!$AX8-SUM('2024年-挂账付款'!AH8:$AH8),0))</f>
        <v>0</v>
      </c>
      <c r="AK8" s="44">
        <f>IF('2024年-挂账付款'!$AX8&gt;=SUM('2024年-挂账付款'!AH8:$AH8),'2024年-挂账付款'!AH8,IF('2024年-挂账付款'!$AX8-SUM('2024年-挂账付款'!$AH8:AI8)&gt;0,'2024年-挂账付款'!$AX8-SUM('2024年-挂账付款'!$AH8:AI8),0))</f>
        <v>0</v>
      </c>
      <c r="AL8" s="84" t="s">
        <v>426</v>
      </c>
      <c r="AM8" s="85"/>
      <c r="AN8" s="86">
        <f t="shared" si="0"/>
        <v>0</v>
      </c>
      <c r="AO8" s="91"/>
      <c r="AP8" s="10">
        <f>'2024年-挂账付款'!AX8</f>
        <v>384215.06</v>
      </c>
      <c r="AQ8" s="101">
        <f t="shared" si="2"/>
        <v>-384215.06</v>
      </c>
    </row>
    <row r="9" s="10" customFormat="1" ht="24.05" customHeight="1" spans="2:43">
      <c r="B9" s="45" t="s">
        <v>81</v>
      </c>
      <c r="C9" s="46" t="s">
        <v>312</v>
      </c>
      <c r="D9" s="46" t="s">
        <v>313</v>
      </c>
      <c r="E9" s="41">
        <v>30</v>
      </c>
      <c r="F9" s="42">
        <f>SUM(H9:X9)</f>
        <v>166875.24</v>
      </c>
      <c r="G9" s="43">
        <f t="shared" si="1"/>
        <v>218150.69</v>
      </c>
      <c r="H9" s="44">
        <f>IF('2024年-挂账付款'!$AX9&gt;=SUM('2024年-挂账付款'!E9:$AH9),'2024年-挂账付款'!E9,IF('2024年-挂账付款'!$AX9-SUM('2024年-挂账付款'!F9:$AH9)&gt;0,'2024年-挂账付款'!$AX9-SUM('2024年-挂账付款'!F9:$AH9),0))</f>
        <v>0</v>
      </c>
      <c r="I9" s="44">
        <f>IF('2024年-挂账付款'!$AX9&gt;=SUM('2024年-挂账付款'!F9:$AH9),'2024年-挂账付款'!F9,IF('2024年-挂账付款'!$AX9-SUM('2024年-挂账付款'!G9:$AH9)&gt;0,'2024年-挂账付款'!$AX9-SUM('2024年-挂账付款'!G9:$AH9),0))</f>
        <v>0</v>
      </c>
      <c r="J9" s="44">
        <f>IF('2024年-挂账付款'!$AX9&gt;=SUM('2024年-挂账付款'!G9:$AH9),'2024年-挂账付款'!G9,IF('2024年-挂账付款'!$AX9-SUM('2024年-挂账付款'!H9:$AH9)&gt;0,'2024年-挂账付款'!$AX9-SUM('2024年-挂账付款'!H9:$AH9),0))</f>
        <v>0</v>
      </c>
      <c r="K9" s="44">
        <f>IF('2024年-挂账付款'!$AX9&gt;=SUM('2024年-挂账付款'!H9:$AH9),'2024年-挂账付款'!H9,IF('2024年-挂账付款'!$AX9-SUM('2024年-挂账付款'!I9:$AH9)&gt;0,'2024年-挂账付款'!$AX9-SUM('2024年-挂账付款'!I9:$AH9),0))</f>
        <v>0</v>
      </c>
      <c r="L9" s="44">
        <f>IF('2024年-挂账付款'!$AX9&gt;=SUM('2024年-挂账付款'!I9:$AH9),'2024年-挂账付款'!I9,IF('2024年-挂账付款'!$AX9-SUM('2024年-挂账付款'!J9:$AH9)&gt;0,'2024年-挂账付款'!$AX9-SUM('2024年-挂账付款'!J9:$AH9),0))</f>
        <v>0</v>
      </c>
      <c r="M9" s="44">
        <f>IF('2024年-挂账付款'!$AX9&gt;=SUM('2024年-挂账付款'!J9:$AH9),'2024年-挂账付款'!J9,IF('2024年-挂账付款'!$AX9-SUM('2024年-挂账付款'!K9:$AH9)&gt;0,'2024年-挂账付款'!$AX9-SUM('2024年-挂账付款'!K9:$AH9),0))</f>
        <v>0</v>
      </c>
      <c r="N9" s="44">
        <f>IF('2024年-挂账付款'!$AX9&gt;=SUM('2024年-挂账付款'!K9:$AH9),'2024年-挂账付款'!K9,IF('2024年-挂账付款'!$AX9-SUM('2024年-挂账付款'!L9:$AH9)&gt;0,'2024年-挂账付款'!$AX9-SUM('2024年-挂账付款'!L9:$AH9),0))</f>
        <v>0</v>
      </c>
      <c r="O9" s="44">
        <f>IF('2024年-挂账付款'!$AX9&gt;=SUM('2024年-挂账付款'!L9:$AH9),'2024年-挂账付款'!L9,IF('2024年-挂账付款'!$AX9-SUM('2024年-挂账付款'!M9:$AH9)&gt;0,'2024年-挂账付款'!$AX9-SUM('2024年-挂账付款'!M9:$AH9),0))</f>
        <v>0</v>
      </c>
      <c r="P9" s="44">
        <f>IF('2024年-挂账付款'!$AX9&gt;=SUM('2024年-挂账付款'!M9:$AH9),'2024年-挂账付款'!M9,IF('2024年-挂账付款'!$AX9-SUM('2024年-挂账付款'!N9:$AH9)&gt;0,'2024年-挂账付款'!$AX9-SUM('2024年-挂账付款'!N9:$AH9),0))</f>
        <v>0</v>
      </c>
      <c r="Q9" s="44">
        <f>IF('2024年-挂账付款'!$AX9&gt;=SUM('2024年-挂账付款'!N9:$AH9),'2024年-挂账付款'!N9,IF('2024年-挂账付款'!$AX9-SUM('2024年-挂账付款'!O9:$AH9)&gt;0,'2024年-挂账付款'!$AX9-SUM('2024年-挂账付款'!O9:$AH9),0))</f>
        <v>8907.03999999998</v>
      </c>
      <c r="R9" s="44">
        <f>IF('2024年-挂账付款'!$AX9&gt;=SUM('2024年-挂账付款'!O9:$AH9),'2024年-挂账付款'!O9,IF('2024年-挂账付款'!$AX9-SUM('2024年-挂账付款'!P9:$AH9)&gt;0,'2024年-挂账付款'!$AX9-SUM('2024年-挂账付款'!P9:$AH9),0))</f>
        <v>45297.08</v>
      </c>
      <c r="S9" s="44">
        <f>IF('2024年-挂账付款'!$AX9&gt;=SUM('2024年-挂账付款'!P9:$AH9),'2024年-挂账付款'!P9,IF('2024年-挂账付款'!$AX9-SUM('2024年-挂账付款'!Q9:$AH9)&gt;0,'2024年-挂账付款'!$AX9-SUM('2024年-挂账付款'!Q9:$AH9),0))</f>
        <v>46472.83</v>
      </c>
      <c r="T9" s="44">
        <f>IF('2024年-挂账付款'!$AX9&gt;=SUM('2024年-挂账付款'!Q9:$AH9),'2024年-挂账付款'!Q9,IF('2024年-挂账付款'!$AX9-SUM('2024年-挂账付款'!R9:$AH9)&gt;0,'2024年-挂账付款'!$AX9-SUM('2024年-挂账付款'!R9:$AH9),0))</f>
        <v>0</v>
      </c>
      <c r="U9" s="44">
        <f>IF('2024年-挂账付款'!$AX9&gt;=SUM('2024年-挂账付款'!R9:$AH9),'2024年-挂账付款'!R9,IF('2024年-挂账付款'!$AX9-SUM('2024年-挂账付款'!S9:$AH9)&gt;0,'2024年-挂账付款'!$AX9-SUM('2024年-挂账付款'!S9:$AH9),0))</f>
        <v>0</v>
      </c>
      <c r="V9" s="44">
        <f>IF('2024年-挂账付款'!$AX9&gt;=SUM('2024年-挂账付款'!S9:$AH9),'2024年-挂账付款'!S9,IF('2024年-挂账付款'!$AX9-SUM('2024年-挂账付款'!T9:$AH9)&gt;0,'2024年-挂账付款'!$AX9-SUM('2024年-挂账付款'!T9:$AH9),0))</f>
        <v>0</v>
      </c>
      <c r="W9" s="44">
        <f>IF('2024年-挂账付款'!$AX9&gt;=SUM('2024年-挂账付款'!T9:$AH9),'2024年-挂账付款'!T9,IF('2024年-挂账付款'!$AX9-SUM('2024年-挂账付款'!U9:$AH9)&gt;0,'2024年-挂账付款'!$AX9-SUM('2024年-挂账付款'!U9:$AH9),0))</f>
        <v>0</v>
      </c>
      <c r="X9" s="44">
        <f>IF('2024年-挂账付款'!$AX9&gt;=SUM('2024年-挂账付款'!U9:$AH9),'2024年-挂账付款'!U9,IF('2024年-挂账付款'!$AX9-SUM('2024年-挂账付款'!V9:$AH9)&gt;0,'2024年-挂账付款'!$AX9-SUM('2024年-挂账付款'!V9:$AH9),0))</f>
        <v>66198.29</v>
      </c>
      <c r="Y9" s="44">
        <f>IF('2024年-挂账付款'!$AX9&gt;=SUM('2024年-挂账付款'!V9:$AH9),'2024年-挂账付款'!V9,IF('2024年-挂账付款'!$AX9-SUM('2024年-挂账付款'!W9:$AH9)&gt;0,'2024年-挂账付款'!$AX9-SUM('2024年-挂账付款'!W9:$AH9),0))</f>
        <v>51275.45</v>
      </c>
      <c r="Z9" s="44">
        <f>IF('2024年-挂账付款'!$AX9&gt;=SUM('2024年-挂账付款'!W9:$AH9),'2024年-挂账付款'!W9,IF('2024年-挂账付款'!$AX9-SUM('2024年-挂账付款'!X9:$AH9)&gt;0,'2024年-挂账付款'!$AX9-SUM('2024年-挂账付款'!X9:$AH9),0))</f>
        <v>86319.37</v>
      </c>
      <c r="AA9" s="44">
        <f>IF('2024年-挂账付款'!$AX9&gt;=SUM('2024年-挂账付款'!X9:$AH9),'2024年-挂账付款'!X9,IF('2024年-挂账付款'!$AX9-SUM('2024年-挂账付款'!Y9:$AH9)&gt;0,'2024年-挂账付款'!$AX9-SUM('2024年-挂账付款'!Y9:$AH9),0))</f>
        <v>5337.22</v>
      </c>
      <c r="AB9" s="44">
        <f>IF('2024年-挂账付款'!$AX9&gt;=SUM('2024年-挂账付款'!Y9:$AH9),'2024年-挂账付款'!Y9,IF('2024年-挂账付款'!$AX9-SUM('2024年-挂账付款'!Z9:$AH9)&gt;0,'2024年-挂账付款'!$AX9-SUM('2024年-挂账付款'!Z9:$AH9),0))</f>
        <v>0</v>
      </c>
      <c r="AC9" s="44">
        <f>IF('2024年-挂账付款'!$AX9&gt;=SUM('2024年-挂账付款'!Z9:$AH9),'2024年-挂账付款'!Z9,IF('2024年-挂账付款'!$AX9-SUM('2024年-挂账付款'!AA9:$AH9)&gt;0,'2024年-挂账付款'!$AX9-SUM('2024年-挂账付款'!AA9:$AH9),0))</f>
        <v>0</v>
      </c>
      <c r="AD9" s="44">
        <f>IF('2024年-挂账付款'!$AX9&gt;=SUM('2024年-挂账付款'!AA9:$AH9),'2024年-挂账付款'!AA9,IF('2024年-挂账付款'!$AX9-SUM('2024年-挂账付款'!AB9:$AH9)&gt;0,'2024年-挂账付款'!$AX9-SUM('2024年-挂账付款'!AB9:$AH9),0))</f>
        <v>0</v>
      </c>
      <c r="AE9" s="44">
        <f>IF('2024年-挂账付款'!$AX9&gt;=SUM('2024年-挂账付款'!AB9:$AH9),'2024年-挂账付款'!AB9,IF('2024年-挂账付款'!$AX9-SUM('2024年-挂账付款'!AC9:$AH9)&gt;0,'2024年-挂账付款'!$AX9-SUM('2024年-挂账付款'!AC9:$AH9),0))</f>
        <v>0</v>
      </c>
      <c r="AF9" s="44">
        <f>IF('2024年-挂账付款'!$AX9&gt;=SUM('2024年-挂账付款'!AC9:$AH9),'2024年-挂账付款'!AC9,IF('2024年-挂账付款'!$AX9-SUM('2024年-挂账付款'!AD9:$AH9)&gt;0,'2024年-挂账付款'!$AX9-SUM('2024年-挂账付款'!AD9:$AH9),0))</f>
        <v>0</v>
      </c>
      <c r="AG9" s="44">
        <f>IF('2024年-挂账付款'!$AX9&gt;=SUM('2024年-挂账付款'!AD9:$AH9),'2024年-挂账付款'!AD9,IF('2024年-挂账付款'!$AX9-SUM('2024年-挂账付款'!AE9:$AH9)&gt;0,'2024年-挂账付款'!$AX9-SUM('2024年-挂账付款'!AE9:$AH9),0))</f>
        <v>0</v>
      </c>
      <c r="AH9" s="44">
        <f>IF('2024年-挂账付款'!$AX9&gt;=SUM('2024年-挂账付款'!AE9:$AH9),'2024年-挂账付款'!AE9,IF('2024年-挂账付款'!$AX9-SUM('2024年-挂账付款'!AF9:$AH9)&gt;0,'2024年-挂账付款'!$AX9-SUM('2024年-挂账付款'!AF9:$AH9),0))</f>
        <v>0</v>
      </c>
      <c r="AI9" s="44">
        <f>IF('2024年-挂账付款'!$AX9&gt;=SUM('2024年-挂账付款'!AF9:$AH9),'2024年-挂账付款'!AF9,IF('2024年-挂账付款'!$AX9-SUM('2024年-挂账付款'!AG9:$AH9)&gt;0,'2024年-挂账付款'!$AX9-SUM('2024年-挂账付款'!AG9:$AH9),0))</f>
        <v>0</v>
      </c>
      <c r="AJ9" s="44">
        <f>IF('2024年-挂账付款'!$AX9&gt;=SUM('2024年-挂账付款'!AG9:$AH9),'2024年-挂账付款'!AG9,IF('2024年-挂账付款'!$AX9-SUM('2024年-挂账付款'!AH9:$AH9)&gt;0,'2024年-挂账付款'!$AX9-SUM('2024年-挂账付款'!AH9:$AH9),0))</f>
        <v>0</v>
      </c>
      <c r="AK9" s="44">
        <f>IF('2024年-挂账付款'!$AX9&gt;=SUM('2024年-挂账付款'!AH9:$AH9),'2024年-挂账付款'!AH9,IF('2024年-挂账付款'!$AX9-SUM('2024年-挂账付款'!$AH9:AI9)&gt;0,'2024年-挂账付款'!$AX9-SUM('2024年-挂账付款'!$AH9:AI9),0))</f>
        <v>0</v>
      </c>
      <c r="AL9" s="84" t="s">
        <v>428</v>
      </c>
      <c r="AM9" s="85"/>
      <c r="AN9" s="86">
        <f t="shared" si="0"/>
        <v>15663.1653333333</v>
      </c>
      <c r="AO9" s="91"/>
      <c r="AP9" s="10">
        <f>'2024年-挂账付款'!AX9</f>
        <v>309807.28</v>
      </c>
      <c r="AQ9" s="101">
        <f t="shared" si="2"/>
        <v>-91656.59</v>
      </c>
    </row>
    <row r="10" s="10" customFormat="1" ht="24.05" customHeight="1" spans="2:43">
      <c r="B10" s="48" t="s">
        <v>81</v>
      </c>
      <c r="C10" s="46" t="s">
        <v>107</v>
      </c>
      <c r="D10" s="46" t="s">
        <v>108</v>
      </c>
      <c r="E10" s="41">
        <v>60</v>
      </c>
      <c r="F10" s="42">
        <f t="shared" ref="F10:F19" si="3">SUM(H10:W10)</f>
        <v>0</v>
      </c>
      <c r="G10" s="43" t="str">
        <f t="shared" si="1"/>
        <v>0</v>
      </c>
      <c r="H10" s="44">
        <f>IF('2024年-挂账付款'!$AX10&gt;=SUM('2024年-挂账付款'!E10:$AH10),'2024年-挂账付款'!E10,IF('2024年-挂账付款'!$AX10-SUM('2024年-挂账付款'!F10:$AH10)&gt;0,'2024年-挂账付款'!$AX10-SUM('2024年-挂账付款'!F10:$AH10),0))</f>
        <v>0</v>
      </c>
      <c r="I10" s="44">
        <f>IF('2024年-挂账付款'!$AX10&gt;=SUM('2024年-挂账付款'!F10:$AH10),'2024年-挂账付款'!F10,IF('2024年-挂账付款'!$AX10-SUM('2024年-挂账付款'!G10:$AH10)&gt;0,'2024年-挂账付款'!$AX10-SUM('2024年-挂账付款'!G10:$AH10),0))</f>
        <v>0</v>
      </c>
      <c r="J10" s="44">
        <f>IF('2024年-挂账付款'!$AX10&gt;=SUM('2024年-挂账付款'!G10:$AH10),'2024年-挂账付款'!G10,IF('2024年-挂账付款'!$AX10-SUM('2024年-挂账付款'!H10:$AH10)&gt;0,'2024年-挂账付款'!$AX10-SUM('2024年-挂账付款'!H10:$AH10),0))</f>
        <v>0</v>
      </c>
      <c r="K10" s="44">
        <f>IF('2024年-挂账付款'!$AX10&gt;=SUM('2024年-挂账付款'!H10:$AH10),'2024年-挂账付款'!H10,IF('2024年-挂账付款'!$AX10-SUM('2024年-挂账付款'!I10:$AH10)&gt;0,'2024年-挂账付款'!$AX10-SUM('2024年-挂账付款'!I10:$AH10),0))</f>
        <v>0</v>
      </c>
      <c r="L10" s="44">
        <f>IF('2024年-挂账付款'!$AX10&gt;=SUM('2024年-挂账付款'!I10:$AH10),'2024年-挂账付款'!I10,IF('2024年-挂账付款'!$AX10-SUM('2024年-挂账付款'!J10:$AH10)&gt;0,'2024年-挂账付款'!$AX10-SUM('2024年-挂账付款'!J10:$AH10),0))</f>
        <v>0</v>
      </c>
      <c r="M10" s="44">
        <f>IF('2024年-挂账付款'!$AX10&gt;=SUM('2024年-挂账付款'!J10:$AH10),'2024年-挂账付款'!J10,IF('2024年-挂账付款'!$AX10-SUM('2024年-挂账付款'!K10:$AH10)&gt;0,'2024年-挂账付款'!$AX10-SUM('2024年-挂账付款'!K10:$AH10),0))</f>
        <v>0</v>
      </c>
      <c r="N10" s="44">
        <f>IF('2024年-挂账付款'!$AX10&gt;=SUM('2024年-挂账付款'!K10:$AH10),'2024年-挂账付款'!K10,IF('2024年-挂账付款'!$AX10-SUM('2024年-挂账付款'!L10:$AH10)&gt;0,'2024年-挂账付款'!$AX10-SUM('2024年-挂账付款'!L10:$AH10),0))</f>
        <v>0</v>
      </c>
      <c r="O10" s="44">
        <f>IF('2024年-挂账付款'!$AX10&gt;=SUM('2024年-挂账付款'!L10:$AH10),'2024年-挂账付款'!L10,IF('2024年-挂账付款'!$AX10-SUM('2024年-挂账付款'!M10:$AH10)&gt;0,'2024年-挂账付款'!$AX10-SUM('2024年-挂账付款'!M10:$AH10),0))</f>
        <v>0</v>
      </c>
      <c r="P10" s="44">
        <f>IF('2024年-挂账付款'!$AX10&gt;=SUM('2024年-挂账付款'!M10:$AH10),'2024年-挂账付款'!M10,IF('2024年-挂账付款'!$AX10-SUM('2024年-挂账付款'!N10:$AH10)&gt;0,'2024年-挂账付款'!$AX10-SUM('2024年-挂账付款'!N10:$AH10),0))</f>
        <v>0</v>
      </c>
      <c r="Q10" s="44">
        <f>IF('2024年-挂账付款'!$AX10&gt;=SUM('2024年-挂账付款'!N10:$AH10),'2024年-挂账付款'!N10,IF('2024年-挂账付款'!$AX10-SUM('2024年-挂账付款'!O10:$AH10)&gt;0,'2024年-挂账付款'!$AX10-SUM('2024年-挂账付款'!O10:$AH10),0))</f>
        <v>0</v>
      </c>
      <c r="R10" s="44">
        <f>IF('2024年-挂账付款'!$AX10&gt;=SUM('2024年-挂账付款'!O10:$AH10),'2024年-挂账付款'!O10,IF('2024年-挂账付款'!$AX10-SUM('2024年-挂账付款'!P10:$AH10)&gt;0,'2024年-挂账付款'!$AX10-SUM('2024年-挂账付款'!P10:$AH10),0))</f>
        <v>0</v>
      </c>
      <c r="S10" s="44">
        <f>IF('2024年-挂账付款'!$AX10&gt;=SUM('2024年-挂账付款'!P10:$AH10),'2024年-挂账付款'!P10,IF('2024年-挂账付款'!$AX10-SUM('2024年-挂账付款'!Q10:$AH10)&gt;0,'2024年-挂账付款'!$AX10-SUM('2024年-挂账付款'!Q10:$AH10),0))</f>
        <v>0</v>
      </c>
      <c r="T10" s="44">
        <f>IF('2024年-挂账付款'!$AX10&gt;=SUM('2024年-挂账付款'!Q10:$AH10),'2024年-挂账付款'!Q10,IF('2024年-挂账付款'!$AX10-SUM('2024年-挂账付款'!R10:$AH10)&gt;0,'2024年-挂账付款'!$AX10-SUM('2024年-挂账付款'!R10:$AH10),0))</f>
        <v>0</v>
      </c>
      <c r="U10" s="44">
        <f>IF('2024年-挂账付款'!$AX10&gt;=SUM('2024年-挂账付款'!R10:$AH10),'2024年-挂账付款'!R10,IF('2024年-挂账付款'!$AX10-SUM('2024年-挂账付款'!S10:$AH10)&gt;0,'2024年-挂账付款'!$AX10-SUM('2024年-挂账付款'!S10:$AH10),0))</f>
        <v>0</v>
      </c>
      <c r="V10" s="44">
        <f>IF('2024年-挂账付款'!$AX10&gt;=SUM('2024年-挂账付款'!S10:$AH10),'2024年-挂账付款'!S10,IF('2024年-挂账付款'!$AX10-SUM('2024年-挂账付款'!T10:$AH10)&gt;0,'2024年-挂账付款'!$AX10-SUM('2024年-挂账付款'!T10:$AH10),0))</f>
        <v>0</v>
      </c>
      <c r="W10" s="44">
        <f>IF('2024年-挂账付款'!$AX10&gt;=SUM('2024年-挂账付款'!T10:$AH10),'2024年-挂账付款'!T10,IF('2024年-挂账付款'!$AX10-SUM('2024年-挂账付款'!U10:$AH10)&gt;0,'2024年-挂账付款'!$AX10-SUM('2024年-挂账付款'!U10:$AH10),0))</f>
        <v>0</v>
      </c>
      <c r="X10" s="44">
        <f>IF('2024年-挂账付款'!$AX10&gt;=SUM('2024年-挂账付款'!U10:$AH10),'2024年-挂账付款'!U10,IF('2024年-挂账付款'!$AX10-SUM('2024年-挂账付款'!V10:$AH10)&gt;0,'2024年-挂账付款'!$AX10-SUM('2024年-挂账付款'!V10:$AH10),0))</f>
        <v>0</v>
      </c>
      <c r="Y10" s="44">
        <f>IF('2024年-挂账付款'!$AX10&gt;=SUM('2024年-挂账付款'!V10:$AH10),'2024年-挂账付款'!V10,IF('2024年-挂账付款'!$AX10-SUM('2024年-挂账付款'!W10:$AH10)&gt;0,'2024年-挂账付款'!$AX10-SUM('2024年-挂账付款'!W10:$AH10),0))</f>
        <v>0</v>
      </c>
      <c r="Z10" s="44">
        <f>IF('2024年-挂账付款'!$AX10&gt;=SUM('2024年-挂账付款'!W10:$AH10),'2024年-挂账付款'!W10,IF('2024年-挂账付款'!$AX10-SUM('2024年-挂账付款'!X10:$AH10)&gt;0,'2024年-挂账付款'!$AX10-SUM('2024年-挂账付款'!X10:$AH10),0))</f>
        <v>714568.61</v>
      </c>
      <c r="AA10" s="44">
        <f>IF('2024年-挂账付款'!$AX10&gt;=SUM('2024年-挂账付款'!X10:$AH10),'2024年-挂账付款'!X10,IF('2024年-挂账付款'!$AX10-SUM('2024年-挂账付款'!Y10:$AH10)&gt;0,'2024年-挂账付款'!$AX10-SUM('2024年-挂账付款'!Y10:$AH10),0))</f>
        <v>0</v>
      </c>
      <c r="AB10" s="44">
        <f>IF('2024年-挂账付款'!$AX10&gt;=SUM('2024年-挂账付款'!Y10:$AH10),'2024年-挂账付款'!Y10,IF('2024年-挂账付款'!$AX10-SUM('2024年-挂账付款'!Z10:$AH10)&gt;0,'2024年-挂账付款'!$AX10-SUM('2024年-挂账付款'!Z10:$AH10),0))</f>
        <v>0</v>
      </c>
      <c r="AC10" s="44">
        <f>IF('2024年-挂账付款'!$AX10&gt;=SUM('2024年-挂账付款'!Z10:$AH10),'2024年-挂账付款'!Z10,IF('2024年-挂账付款'!$AX10-SUM('2024年-挂账付款'!AA10:$AH10)&gt;0,'2024年-挂账付款'!$AX10-SUM('2024年-挂账付款'!AA10:$AH10),0))</f>
        <v>0</v>
      </c>
      <c r="AD10" s="44">
        <f>IF('2024年-挂账付款'!$AX10&gt;=SUM('2024年-挂账付款'!AA10:$AH10),'2024年-挂账付款'!AA10,IF('2024年-挂账付款'!$AX10-SUM('2024年-挂账付款'!AB10:$AH10)&gt;0,'2024年-挂账付款'!$AX10-SUM('2024年-挂账付款'!AB10:$AH10),0))</f>
        <v>0</v>
      </c>
      <c r="AE10" s="44">
        <f>IF('2024年-挂账付款'!$AX10&gt;=SUM('2024年-挂账付款'!AB10:$AH10),'2024年-挂账付款'!AB10,IF('2024年-挂账付款'!$AX10-SUM('2024年-挂账付款'!AC10:$AH10)&gt;0,'2024年-挂账付款'!$AX10-SUM('2024年-挂账付款'!AC10:$AH10),0))</f>
        <v>0</v>
      </c>
      <c r="AF10" s="44">
        <f>IF('2024年-挂账付款'!$AX10&gt;=SUM('2024年-挂账付款'!AC10:$AH10),'2024年-挂账付款'!AC10,IF('2024年-挂账付款'!$AX10-SUM('2024年-挂账付款'!AD10:$AH10)&gt;0,'2024年-挂账付款'!$AX10-SUM('2024年-挂账付款'!AD10:$AH10),0))</f>
        <v>0</v>
      </c>
      <c r="AG10" s="44">
        <f>IF('2024年-挂账付款'!$AX10&gt;=SUM('2024年-挂账付款'!AD10:$AH10),'2024年-挂账付款'!AD10,IF('2024年-挂账付款'!$AX10-SUM('2024年-挂账付款'!AE10:$AH10)&gt;0,'2024年-挂账付款'!$AX10-SUM('2024年-挂账付款'!AE10:$AH10),0))</f>
        <v>0</v>
      </c>
      <c r="AH10" s="44">
        <f>IF('2024年-挂账付款'!$AX10&gt;=SUM('2024年-挂账付款'!AE10:$AH10),'2024年-挂账付款'!AE10,IF('2024年-挂账付款'!$AX10-SUM('2024年-挂账付款'!AF10:$AH10)&gt;0,'2024年-挂账付款'!$AX10-SUM('2024年-挂账付款'!AF10:$AH10),0))</f>
        <v>0</v>
      </c>
      <c r="AI10" s="44">
        <f>IF('2024年-挂账付款'!$AX10&gt;=SUM('2024年-挂账付款'!AF10:$AH10),'2024年-挂账付款'!AF10,IF('2024年-挂账付款'!$AX10-SUM('2024年-挂账付款'!AG10:$AH10)&gt;0,'2024年-挂账付款'!$AX10-SUM('2024年-挂账付款'!AG10:$AH10),0))</f>
        <v>0</v>
      </c>
      <c r="AJ10" s="44">
        <f>IF('2024年-挂账付款'!$AX10&gt;=SUM('2024年-挂账付款'!AG10:$AH10),'2024年-挂账付款'!AG10,IF('2024年-挂账付款'!$AX10-SUM('2024年-挂账付款'!AH10:$AH10)&gt;0,'2024年-挂账付款'!$AX10-SUM('2024年-挂账付款'!AH10:$AH10),0))</f>
        <v>0</v>
      </c>
      <c r="AK10" s="44">
        <f>IF('2024年-挂账付款'!$AX10&gt;=SUM('2024年-挂账付款'!AH10:$AH10),'2024年-挂账付款'!AH10,IF('2024年-挂账付款'!$AX10-SUM('2024年-挂账付款'!$AH10:AI10)&gt;0,'2024年-挂账付款'!$AX10-SUM('2024年-挂账付款'!$AH10:AI10),0))</f>
        <v>0</v>
      </c>
      <c r="AL10" s="84" t="s">
        <v>426</v>
      </c>
      <c r="AM10" s="85"/>
      <c r="AN10" s="86">
        <f t="shared" si="0"/>
        <v>0</v>
      </c>
      <c r="AO10" s="91"/>
      <c r="AP10" s="10">
        <f>'2024年-挂账付款'!AX10</f>
        <v>714568.61</v>
      </c>
      <c r="AQ10" s="101">
        <f t="shared" si="2"/>
        <v>-714568.61</v>
      </c>
    </row>
    <row r="11" s="10" customFormat="1" ht="24.05" customHeight="1" spans="2:43">
      <c r="B11" s="48" t="s">
        <v>81</v>
      </c>
      <c r="C11" s="46" t="s">
        <v>122</v>
      </c>
      <c r="D11" s="46" t="s">
        <v>123</v>
      </c>
      <c r="E11" s="41">
        <v>60</v>
      </c>
      <c r="F11" s="42">
        <f t="shared" si="3"/>
        <v>0</v>
      </c>
      <c r="G11" s="43">
        <f t="shared" si="1"/>
        <v>267926.12</v>
      </c>
      <c r="H11" s="44">
        <f>IF('2024年-挂账付款'!$AX11&gt;=SUM('2024年-挂账付款'!E11:$AH11),'2024年-挂账付款'!E11,IF('2024年-挂账付款'!$AX11-SUM('2024年-挂账付款'!F11:$AH11)&gt;0,'2024年-挂账付款'!$AX11-SUM('2024年-挂账付款'!F11:$AH11),0))</f>
        <v>0</v>
      </c>
      <c r="I11" s="44">
        <f>IF('2024年-挂账付款'!$AX11&gt;=SUM('2024年-挂账付款'!F11:$AH11),'2024年-挂账付款'!F11,IF('2024年-挂账付款'!$AX11-SUM('2024年-挂账付款'!G11:$AH11)&gt;0,'2024年-挂账付款'!$AX11-SUM('2024年-挂账付款'!G11:$AH11),0))</f>
        <v>0</v>
      </c>
      <c r="J11" s="44">
        <f>IF('2024年-挂账付款'!$AX11&gt;=SUM('2024年-挂账付款'!G11:$AH11),'2024年-挂账付款'!G11,IF('2024年-挂账付款'!$AX11-SUM('2024年-挂账付款'!H11:$AH11)&gt;0,'2024年-挂账付款'!$AX11-SUM('2024年-挂账付款'!H11:$AH11),0))</f>
        <v>0</v>
      </c>
      <c r="K11" s="44">
        <f>IF('2024年-挂账付款'!$AX11&gt;=SUM('2024年-挂账付款'!H11:$AH11),'2024年-挂账付款'!H11,IF('2024年-挂账付款'!$AX11-SUM('2024年-挂账付款'!I11:$AH11)&gt;0,'2024年-挂账付款'!$AX11-SUM('2024年-挂账付款'!I11:$AH11),0))</f>
        <v>0</v>
      </c>
      <c r="L11" s="44">
        <f>IF('2024年-挂账付款'!$AX11&gt;=SUM('2024年-挂账付款'!I11:$AH11),'2024年-挂账付款'!I11,IF('2024年-挂账付款'!$AX11-SUM('2024年-挂账付款'!J11:$AH11)&gt;0,'2024年-挂账付款'!$AX11-SUM('2024年-挂账付款'!J11:$AH11),0))</f>
        <v>0</v>
      </c>
      <c r="M11" s="44">
        <f>IF('2024年-挂账付款'!$AX11&gt;=SUM('2024年-挂账付款'!J11:$AH11),'2024年-挂账付款'!J11,IF('2024年-挂账付款'!$AX11-SUM('2024年-挂账付款'!K11:$AH11)&gt;0,'2024年-挂账付款'!$AX11-SUM('2024年-挂账付款'!K11:$AH11),0))</f>
        <v>0</v>
      </c>
      <c r="N11" s="44">
        <f>IF('2024年-挂账付款'!$AX11&gt;=SUM('2024年-挂账付款'!K11:$AH11),'2024年-挂账付款'!K11,IF('2024年-挂账付款'!$AX11-SUM('2024年-挂账付款'!L11:$AH11)&gt;0,'2024年-挂账付款'!$AX11-SUM('2024年-挂账付款'!L11:$AH11),0))</f>
        <v>0</v>
      </c>
      <c r="O11" s="44">
        <f>IF('2024年-挂账付款'!$AX11&gt;=SUM('2024年-挂账付款'!L11:$AH11),'2024年-挂账付款'!L11,IF('2024年-挂账付款'!$AX11-SUM('2024年-挂账付款'!M11:$AH11)&gt;0,'2024年-挂账付款'!$AX11-SUM('2024年-挂账付款'!M11:$AH11),0))</f>
        <v>0</v>
      </c>
      <c r="P11" s="44">
        <f>IF('2024年-挂账付款'!$AX11&gt;=SUM('2024年-挂账付款'!M11:$AH11),'2024年-挂账付款'!M11,IF('2024年-挂账付款'!$AX11-SUM('2024年-挂账付款'!N11:$AH11)&gt;0,'2024年-挂账付款'!$AX11-SUM('2024年-挂账付款'!N11:$AH11),0))</f>
        <v>0</v>
      </c>
      <c r="Q11" s="44">
        <f>IF('2024年-挂账付款'!$AX11&gt;=SUM('2024年-挂账付款'!N11:$AH11),'2024年-挂账付款'!N11,IF('2024年-挂账付款'!$AX11-SUM('2024年-挂账付款'!O11:$AH11)&gt;0,'2024年-挂账付款'!$AX11-SUM('2024年-挂账付款'!O11:$AH11),0))</f>
        <v>0</v>
      </c>
      <c r="R11" s="44">
        <f>IF('2024年-挂账付款'!$AX11&gt;=SUM('2024年-挂账付款'!O11:$AH11),'2024年-挂账付款'!O11,IF('2024年-挂账付款'!$AX11-SUM('2024年-挂账付款'!P11:$AH11)&gt;0,'2024年-挂账付款'!$AX11-SUM('2024年-挂账付款'!P11:$AH11),0))</f>
        <v>0</v>
      </c>
      <c r="S11" s="44">
        <f>IF('2024年-挂账付款'!$AX11&gt;=SUM('2024年-挂账付款'!P11:$AH11),'2024年-挂账付款'!P11,IF('2024年-挂账付款'!$AX11-SUM('2024年-挂账付款'!Q11:$AH11)&gt;0,'2024年-挂账付款'!$AX11-SUM('2024年-挂账付款'!Q11:$AH11),0))</f>
        <v>0</v>
      </c>
      <c r="T11" s="44">
        <f>IF('2024年-挂账付款'!$AX11&gt;=SUM('2024年-挂账付款'!Q11:$AH11),'2024年-挂账付款'!Q11,IF('2024年-挂账付款'!$AX11-SUM('2024年-挂账付款'!R11:$AH11)&gt;0,'2024年-挂账付款'!$AX11-SUM('2024年-挂账付款'!R11:$AH11),0))</f>
        <v>0</v>
      </c>
      <c r="U11" s="44">
        <f>IF('2024年-挂账付款'!$AX11&gt;=SUM('2024年-挂账付款'!R11:$AH11),'2024年-挂账付款'!R11,IF('2024年-挂账付款'!$AX11-SUM('2024年-挂账付款'!S11:$AH11)&gt;0,'2024年-挂账付款'!$AX11-SUM('2024年-挂账付款'!S11:$AH11),0))</f>
        <v>0</v>
      </c>
      <c r="V11" s="44">
        <f>IF('2024年-挂账付款'!$AX11&gt;=SUM('2024年-挂账付款'!S11:$AH11),'2024年-挂账付款'!S11,IF('2024年-挂账付款'!$AX11-SUM('2024年-挂账付款'!T11:$AH11)&gt;0,'2024年-挂账付款'!$AX11-SUM('2024年-挂账付款'!T11:$AH11),0))</f>
        <v>0</v>
      </c>
      <c r="W11" s="44">
        <f>IF('2024年-挂账付款'!$AX11&gt;=SUM('2024年-挂账付款'!T11:$AH11),'2024年-挂账付款'!T11,IF('2024年-挂账付款'!$AX11-SUM('2024年-挂账付款'!U11:$AH11)&gt;0,'2024年-挂账付款'!$AX11-SUM('2024年-挂账付款'!U11:$AH11),0))</f>
        <v>0</v>
      </c>
      <c r="X11" s="44">
        <f>IF('2024年-挂账付款'!$AX11&gt;=SUM('2024年-挂账付款'!U11:$AH11),'2024年-挂账付款'!U11,IF('2024年-挂账付款'!$AX11-SUM('2024年-挂账付款'!V11:$AH11)&gt;0,'2024年-挂账付款'!$AX11-SUM('2024年-挂账付款'!V11:$AH11),0))</f>
        <v>130873.82</v>
      </c>
      <c r="Y11" s="44">
        <f>IF('2024年-挂账付款'!$AX11&gt;=SUM('2024年-挂账付款'!V11:$AH11),'2024年-挂账付款'!V11,IF('2024年-挂账付款'!$AX11-SUM('2024年-挂账付款'!W11:$AH11)&gt;0,'2024年-挂账付款'!$AX11-SUM('2024年-挂账付款'!W11:$AH11),0))</f>
        <v>137052.3</v>
      </c>
      <c r="Z11" s="44">
        <f>IF('2024年-挂账付款'!$AX11&gt;=SUM('2024年-挂账付款'!W11:$AH11),'2024年-挂账付款'!W11,IF('2024年-挂账付款'!$AX11-SUM('2024年-挂账付款'!X11:$AH11)&gt;0,'2024年-挂账付款'!$AX11-SUM('2024年-挂账付款'!X11:$AH11),0))</f>
        <v>67127.11</v>
      </c>
      <c r="AA11" s="44">
        <f>IF('2024年-挂账付款'!$AX11&gt;=SUM('2024年-挂账付款'!X11:$AH11),'2024年-挂账付款'!X11,IF('2024年-挂账付款'!$AX11-SUM('2024年-挂账付款'!Y11:$AH11)&gt;0,'2024年-挂账付款'!$AX11-SUM('2024年-挂账付款'!Y11:$AH11),0))</f>
        <v>0</v>
      </c>
      <c r="AB11" s="44">
        <f>IF('2024年-挂账付款'!$AX11&gt;=SUM('2024年-挂账付款'!Y11:$AH11),'2024年-挂账付款'!Y11,IF('2024年-挂账付款'!$AX11-SUM('2024年-挂账付款'!Z11:$AH11)&gt;0,'2024年-挂账付款'!$AX11-SUM('2024年-挂账付款'!Z11:$AH11),0))</f>
        <v>0</v>
      </c>
      <c r="AC11" s="44">
        <f>IF('2024年-挂账付款'!$AX11&gt;=SUM('2024年-挂账付款'!Z11:$AH11),'2024年-挂账付款'!Z11,IF('2024年-挂账付款'!$AX11-SUM('2024年-挂账付款'!AA11:$AH11)&gt;0,'2024年-挂账付款'!$AX11-SUM('2024年-挂账付款'!AA11:$AH11),0))</f>
        <v>0</v>
      </c>
      <c r="AD11" s="44">
        <f>IF('2024年-挂账付款'!$AX11&gt;=SUM('2024年-挂账付款'!AA11:$AH11),'2024年-挂账付款'!AA11,IF('2024年-挂账付款'!$AX11-SUM('2024年-挂账付款'!AB11:$AH11)&gt;0,'2024年-挂账付款'!$AX11-SUM('2024年-挂账付款'!AB11:$AH11),0))</f>
        <v>0</v>
      </c>
      <c r="AE11" s="44">
        <f>IF('2024年-挂账付款'!$AX11&gt;=SUM('2024年-挂账付款'!AB11:$AH11),'2024年-挂账付款'!AB11,IF('2024年-挂账付款'!$AX11-SUM('2024年-挂账付款'!AC11:$AH11)&gt;0,'2024年-挂账付款'!$AX11-SUM('2024年-挂账付款'!AC11:$AH11),0))</f>
        <v>0</v>
      </c>
      <c r="AF11" s="44">
        <f>IF('2024年-挂账付款'!$AX11&gt;=SUM('2024年-挂账付款'!AC11:$AH11),'2024年-挂账付款'!AC11,IF('2024年-挂账付款'!$AX11-SUM('2024年-挂账付款'!AD11:$AH11)&gt;0,'2024年-挂账付款'!$AX11-SUM('2024年-挂账付款'!AD11:$AH11),0))</f>
        <v>0</v>
      </c>
      <c r="AG11" s="44">
        <f>IF('2024年-挂账付款'!$AX11&gt;=SUM('2024年-挂账付款'!AD11:$AH11),'2024年-挂账付款'!AD11,IF('2024年-挂账付款'!$AX11-SUM('2024年-挂账付款'!AE11:$AH11)&gt;0,'2024年-挂账付款'!$AX11-SUM('2024年-挂账付款'!AE11:$AH11),0))</f>
        <v>0</v>
      </c>
      <c r="AH11" s="44">
        <f>IF('2024年-挂账付款'!$AX11&gt;=SUM('2024年-挂账付款'!AE11:$AH11),'2024年-挂账付款'!AE11,IF('2024年-挂账付款'!$AX11-SUM('2024年-挂账付款'!AF11:$AH11)&gt;0,'2024年-挂账付款'!$AX11-SUM('2024年-挂账付款'!AF11:$AH11),0))</f>
        <v>0</v>
      </c>
      <c r="AI11" s="44">
        <f>IF('2024年-挂账付款'!$AX11&gt;=SUM('2024年-挂账付款'!AF11:$AH11),'2024年-挂账付款'!AF11,IF('2024年-挂账付款'!$AX11-SUM('2024年-挂账付款'!AG11:$AH11)&gt;0,'2024年-挂账付款'!$AX11-SUM('2024年-挂账付款'!AG11:$AH11),0))</f>
        <v>0</v>
      </c>
      <c r="AJ11" s="44">
        <f>IF('2024年-挂账付款'!$AX11&gt;=SUM('2024年-挂账付款'!AG11:$AH11),'2024年-挂账付款'!AG11,IF('2024年-挂账付款'!$AX11-SUM('2024年-挂账付款'!AH11:$AH11)&gt;0,'2024年-挂账付款'!$AX11-SUM('2024年-挂账付款'!AH11:$AH11),0))</f>
        <v>0</v>
      </c>
      <c r="AK11" s="44">
        <f>IF('2024年-挂账付款'!$AX11&gt;=SUM('2024年-挂账付款'!AH11:$AH11),'2024年-挂账付款'!AH11,IF('2024年-挂账付款'!$AX11-SUM('2024年-挂账付款'!$AH11:AI11)&gt;0,'2024年-挂账付款'!$AX11-SUM('2024年-挂账付款'!$AH11:AI11),0))</f>
        <v>0</v>
      </c>
      <c r="AL11" s="84" t="s">
        <v>426</v>
      </c>
      <c r="AM11" s="85"/>
      <c r="AN11" s="86">
        <f t="shared" si="0"/>
        <v>35723.4826666667</v>
      </c>
      <c r="AO11" s="91"/>
      <c r="AP11" s="10">
        <f>'2024年-挂账付款'!AX11</f>
        <v>335053.23</v>
      </c>
      <c r="AQ11" s="101">
        <f t="shared" si="2"/>
        <v>-67127.11</v>
      </c>
    </row>
    <row r="12" s="10" customFormat="1" ht="24.05" customHeight="1" spans="2:43">
      <c r="B12" s="48" t="s">
        <v>81</v>
      </c>
      <c r="C12" s="46" t="s">
        <v>128</v>
      </c>
      <c r="D12" s="46" t="s">
        <v>129</v>
      </c>
      <c r="E12" s="41">
        <v>60</v>
      </c>
      <c r="F12" s="42">
        <f t="shared" si="3"/>
        <v>140745.48</v>
      </c>
      <c r="G12" s="43">
        <f t="shared" si="1"/>
        <v>146352.4</v>
      </c>
      <c r="H12" s="44">
        <f>IF('2024年-挂账付款'!$AX12&gt;=SUM('2024年-挂账付款'!E12:$AH12),'2024年-挂账付款'!E12,IF('2024年-挂账付款'!$AX12-SUM('2024年-挂账付款'!F12:$AH12)&gt;0,'2024年-挂账付款'!$AX12-SUM('2024年-挂账付款'!F12:$AH12),0))</f>
        <v>0</v>
      </c>
      <c r="I12" s="44">
        <f>IF('2024年-挂账付款'!$AX12&gt;=SUM('2024年-挂账付款'!F12:$AH12),'2024年-挂账付款'!F12,IF('2024年-挂账付款'!$AX12-SUM('2024年-挂账付款'!G12:$AH12)&gt;0,'2024年-挂账付款'!$AX12-SUM('2024年-挂账付款'!G12:$AH12),0))</f>
        <v>0</v>
      </c>
      <c r="J12" s="44">
        <f>IF('2024年-挂账付款'!$AX12&gt;=SUM('2024年-挂账付款'!G12:$AH12),'2024年-挂账付款'!G12,IF('2024年-挂账付款'!$AX12-SUM('2024年-挂账付款'!H12:$AH12)&gt;0,'2024年-挂账付款'!$AX12-SUM('2024年-挂账付款'!H12:$AH12),0))</f>
        <v>0</v>
      </c>
      <c r="K12" s="44">
        <f>IF('2024年-挂账付款'!$AX12&gt;=SUM('2024年-挂账付款'!H12:$AH12),'2024年-挂账付款'!H12,IF('2024年-挂账付款'!$AX12-SUM('2024年-挂账付款'!I12:$AH12)&gt;0,'2024年-挂账付款'!$AX12-SUM('2024年-挂账付款'!I12:$AH12),0))</f>
        <v>0</v>
      </c>
      <c r="L12" s="44">
        <f>IF('2024年-挂账付款'!$AX12&gt;=SUM('2024年-挂账付款'!I12:$AH12),'2024年-挂账付款'!I12,IF('2024年-挂账付款'!$AX12-SUM('2024年-挂账付款'!J12:$AH12)&gt;0,'2024年-挂账付款'!$AX12-SUM('2024年-挂账付款'!J12:$AH12),0))</f>
        <v>0</v>
      </c>
      <c r="M12" s="44">
        <f>IF('2024年-挂账付款'!$AX12&gt;=SUM('2024年-挂账付款'!J12:$AH12),'2024年-挂账付款'!J12,IF('2024年-挂账付款'!$AX12-SUM('2024年-挂账付款'!K12:$AH12)&gt;0,'2024年-挂账付款'!$AX12-SUM('2024年-挂账付款'!K12:$AH12),0))</f>
        <v>0</v>
      </c>
      <c r="N12" s="44">
        <f>IF('2024年-挂账付款'!$AX12&gt;=SUM('2024年-挂账付款'!K12:$AH12),'2024年-挂账付款'!K12,IF('2024年-挂账付款'!$AX12-SUM('2024年-挂账付款'!L12:$AH12)&gt;0,'2024年-挂账付款'!$AX12-SUM('2024年-挂账付款'!L12:$AH12),0))</f>
        <v>0</v>
      </c>
      <c r="O12" s="44">
        <f>IF('2024年-挂账付款'!$AX12&gt;=SUM('2024年-挂账付款'!L12:$AH12),'2024年-挂账付款'!L12,IF('2024年-挂账付款'!$AX12-SUM('2024年-挂账付款'!M12:$AH12)&gt;0,'2024年-挂账付款'!$AX12-SUM('2024年-挂账付款'!M12:$AH12),0))</f>
        <v>0</v>
      </c>
      <c r="P12" s="44">
        <f>IF('2024年-挂账付款'!$AX12&gt;=SUM('2024年-挂账付款'!M12:$AH12),'2024年-挂账付款'!M12,IF('2024年-挂账付款'!$AX12-SUM('2024年-挂账付款'!N12:$AH12)&gt;0,'2024年-挂账付款'!$AX12-SUM('2024年-挂账付款'!N12:$AH12),0))</f>
        <v>0</v>
      </c>
      <c r="Q12" s="44">
        <f>IF('2024年-挂账付款'!$AX12&gt;=SUM('2024年-挂账付款'!N12:$AH12),'2024年-挂账付款'!N12,IF('2024年-挂账付款'!$AX12-SUM('2024年-挂账付款'!O12:$AH12)&gt;0,'2024年-挂账付款'!$AX12-SUM('2024年-挂账付款'!O12:$AH12),0))</f>
        <v>7483.7600000001</v>
      </c>
      <c r="R12" s="44">
        <f>IF('2024年-挂账付款'!$AX12&gt;=SUM('2024年-挂账付款'!O12:$AH12),'2024年-挂账付款'!O12,IF('2024年-挂账付款'!$AX12-SUM('2024年-挂账付款'!P12:$AH12)&gt;0,'2024年-挂账付款'!$AX12-SUM('2024年-挂账付款'!P12:$AH12),0))</f>
        <v>0</v>
      </c>
      <c r="S12" s="44">
        <f>IF('2024年-挂账付款'!$AX12&gt;=SUM('2024年-挂账付款'!P12:$AH12),'2024年-挂账付款'!P12,IF('2024年-挂账付款'!$AX12-SUM('2024年-挂账付款'!Q12:$AH12)&gt;0,'2024年-挂账付款'!$AX12-SUM('2024年-挂账付款'!Q12:$AH12),0))</f>
        <v>60857.28</v>
      </c>
      <c r="T12" s="44">
        <f>IF('2024年-挂账付款'!$AX12&gt;=SUM('2024年-挂账付款'!Q12:$AH12),'2024年-挂账付款'!Q12,IF('2024年-挂账付款'!$AX12-SUM('2024年-挂账付款'!R12:$AH12)&gt;0,'2024年-挂账付款'!$AX12-SUM('2024年-挂账付款'!R12:$AH12),0))</f>
        <v>6068.1</v>
      </c>
      <c r="U12" s="44">
        <f>IF('2024年-挂账付款'!$AX12&gt;=SUM('2024年-挂账付款'!R12:$AH12),'2024年-挂账付款'!R12,IF('2024年-挂账付款'!$AX12-SUM('2024年-挂账付款'!S12:$AH12)&gt;0,'2024年-挂账付款'!$AX12-SUM('2024年-挂账付款'!S12:$AH12),0))</f>
        <v>13979.23</v>
      </c>
      <c r="V12" s="44">
        <f>IF('2024年-挂账付款'!$AX12&gt;=SUM('2024年-挂账付款'!S12:$AH12),'2024年-挂账付款'!S12,IF('2024年-挂账付款'!$AX12-SUM('2024年-挂账付款'!T12:$AH12)&gt;0,'2024年-挂账付款'!$AX12-SUM('2024年-挂账付款'!T12:$AH12),0))</f>
        <v>0</v>
      </c>
      <c r="W12" s="44">
        <f>IF('2024年-挂账付款'!$AX12&gt;=SUM('2024年-挂账付款'!T12:$AH12),'2024年-挂账付款'!T12,IF('2024年-挂账付款'!$AX12-SUM('2024年-挂账付款'!U12:$AH12)&gt;0,'2024年-挂账付款'!$AX12-SUM('2024年-挂账付款'!U12:$AH12),0))</f>
        <v>52357.11</v>
      </c>
      <c r="X12" s="44">
        <f>IF('2024年-挂账付款'!$AX12&gt;=SUM('2024年-挂账付款'!U12:$AH12),'2024年-挂账付款'!U12,IF('2024年-挂账付款'!$AX12-SUM('2024年-挂账付款'!V12:$AH12)&gt;0,'2024年-挂账付款'!$AX12-SUM('2024年-挂账付款'!V12:$AH12),0))</f>
        <v>5606.92</v>
      </c>
      <c r="Y12" s="44">
        <f>IF('2024年-挂账付款'!$AX12&gt;=SUM('2024年-挂账付款'!V12:$AH12),'2024年-挂账付款'!V12,IF('2024年-挂账付款'!$AX12-SUM('2024年-挂账付款'!W12:$AH12)&gt;0,'2024年-挂账付款'!$AX12-SUM('2024年-挂账付款'!W12:$AH12),0))</f>
        <v>0</v>
      </c>
      <c r="Z12" s="44">
        <f>IF('2024年-挂账付款'!$AX12&gt;=SUM('2024年-挂账付款'!W12:$AH12),'2024年-挂账付款'!W12,IF('2024年-挂账付款'!$AX12-SUM('2024年-挂账付款'!X12:$AH12)&gt;0,'2024年-挂账付款'!$AX12-SUM('2024年-挂账付款'!X12:$AH12),0))</f>
        <v>0</v>
      </c>
      <c r="AA12" s="44">
        <f>IF('2024年-挂账付款'!$AX12&gt;=SUM('2024年-挂账付款'!X12:$AH12),'2024年-挂账付款'!X12,IF('2024年-挂账付款'!$AX12-SUM('2024年-挂账付款'!Y12:$AH12)&gt;0,'2024年-挂账付款'!$AX12-SUM('2024年-挂账付款'!Y12:$AH12),0))</f>
        <v>0</v>
      </c>
      <c r="AB12" s="44">
        <f>IF('2024年-挂账付款'!$AX12&gt;=SUM('2024年-挂账付款'!Y12:$AH12),'2024年-挂账付款'!Y12,IF('2024年-挂账付款'!$AX12-SUM('2024年-挂账付款'!Z12:$AH12)&gt;0,'2024年-挂账付款'!$AX12-SUM('2024年-挂账付款'!Z12:$AH12),0))</f>
        <v>0</v>
      </c>
      <c r="AC12" s="44">
        <f>IF('2024年-挂账付款'!$AX12&gt;=SUM('2024年-挂账付款'!Z12:$AH12),'2024年-挂账付款'!Z12,IF('2024年-挂账付款'!$AX12-SUM('2024年-挂账付款'!AA12:$AH12)&gt;0,'2024年-挂账付款'!$AX12-SUM('2024年-挂账付款'!AA12:$AH12),0))</f>
        <v>0</v>
      </c>
      <c r="AD12" s="44">
        <f>IF('2024年-挂账付款'!$AX12&gt;=SUM('2024年-挂账付款'!AA12:$AH12),'2024年-挂账付款'!AA12,IF('2024年-挂账付款'!$AX12-SUM('2024年-挂账付款'!AB12:$AH12)&gt;0,'2024年-挂账付款'!$AX12-SUM('2024年-挂账付款'!AB12:$AH12),0))</f>
        <v>0</v>
      </c>
      <c r="AE12" s="44">
        <f>IF('2024年-挂账付款'!$AX12&gt;=SUM('2024年-挂账付款'!AB12:$AH12),'2024年-挂账付款'!AB12,IF('2024年-挂账付款'!$AX12-SUM('2024年-挂账付款'!AC12:$AH12)&gt;0,'2024年-挂账付款'!$AX12-SUM('2024年-挂账付款'!AC12:$AH12),0))</f>
        <v>0</v>
      </c>
      <c r="AF12" s="44">
        <f>IF('2024年-挂账付款'!$AX12&gt;=SUM('2024年-挂账付款'!AC12:$AH12),'2024年-挂账付款'!AC12,IF('2024年-挂账付款'!$AX12-SUM('2024年-挂账付款'!AD12:$AH12)&gt;0,'2024年-挂账付款'!$AX12-SUM('2024年-挂账付款'!AD12:$AH12),0))</f>
        <v>0</v>
      </c>
      <c r="AG12" s="44">
        <f>IF('2024年-挂账付款'!$AX12&gt;=SUM('2024年-挂账付款'!AD12:$AH12),'2024年-挂账付款'!AD12,IF('2024年-挂账付款'!$AX12-SUM('2024年-挂账付款'!AE12:$AH12)&gt;0,'2024年-挂账付款'!$AX12-SUM('2024年-挂账付款'!AE12:$AH12),0))</f>
        <v>0</v>
      </c>
      <c r="AH12" s="44">
        <f>IF('2024年-挂账付款'!$AX12&gt;=SUM('2024年-挂账付款'!AE12:$AH12),'2024年-挂账付款'!AE12,IF('2024年-挂账付款'!$AX12-SUM('2024年-挂账付款'!AF12:$AH12)&gt;0,'2024年-挂账付款'!$AX12-SUM('2024年-挂账付款'!AF12:$AH12),0))</f>
        <v>0</v>
      </c>
      <c r="AI12" s="44">
        <f>IF('2024年-挂账付款'!$AX12&gt;=SUM('2024年-挂账付款'!AF12:$AH12),'2024年-挂账付款'!AF12,IF('2024年-挂账付款'!$AX12-SUM('2024年-挂账付款'!AG12:$AH12)&gt;0,'2024年-挂账付款'!$AX12-SUM('2024年-挂账付款'!AG12:$AH12),0))</f>
        <v>0</v>
      </c>
      <c r="AJ12" s="44">
        <f>IF('2024年-挂账付款'!$AX12&gt;=SUM('2024年-挂账付款'!AG12:$AH12),'2024年-挂账付款'!AG12,IF('2024年-挂账付款'!$AX12-SUM('2024年-挂账付款'!AH12:$AH12)&gt;0,'2024年-挂账付款'!$AX12-SUM('2024年-挂账付款'!AH12:$AH12),0))</f>
        <v>0</v>
      </c>
      <c r="AK12" s="44">
        <f>IF('2024年-挂账付款'!$AX12&gt;=SUM('2024年-挂账付款'!AH12:$AH12),'2024年-挂账付款'!AH12,IF('2024年-挂账付款'!$AX12-SUM('2024年-挂账付款'!$AH12:AI12)&gt;0,'2024年-挂账付款'!$AX12-SUM('2024年-挂账付款'!$AH12:AI12),0))</f>
        <v>0</v>
      </c>
      <c r="AL12" s="84" t="s">
        <v>426</v>
      </c>
      <c r="AM12" s="85"/>
      <c r="AN12" s="86">
        <f t="shared" si="0"/>
        <v>10401.5146666667</v>
      </c>
      <c r="AO12" s="91"/>
      <c r="AP12" s="10">
        <f>'2024年-挂账付款'!AX12</f>
        <v>146352.4</v>
      </c>
      <c r="AQ12" s="101">
        <f t="shared" si="2"/>
        <v>0</v>
      </c>
    </row>
    <row r="13" s="10" customFormat="1" ht="24.05" customHeight="1" spans="2:43">
      <c r="B13" s="48" t="s">
        <v>81</v>
      </c>
      <c r="C13" s="46" t="s">
        <v>184</v>
      </c>
      <c r="D13" s="46" t="s">
        <v>185</v>
      </c>
      <c r="E13" s="47">
        <v>60</v>
      </c>
      <c r="F13" s="42">
        <f t="shared" si="3"/>
        <v>0</v>
      </c>
      <c r="G13" s="43">
        <f t="shared" si="1"/>
        <v>16255.73</v>
      </c>
      <c r="H13" s="44">
        <f>IF('2024年-挂账付款'!$AX13&gt;=SUM('2024年-挂账付款'!E13:$AH13),'2024年-挂账付款'!E13,IF('2024年-挂账付款'!$AX13-SUM('2024年-挂账付款'!F13:$AH13)&gt;0,'2024年-挂账付款'!$AX13-SUM('2024年-挂账付款'!F13:$AH13),0))</f>
        <v>0</v>
      </c>
      <c r="I13" s="44">
        <f>IF('2024年-挂账付款'!$AX13&gt;=SUM('2024年-挂账付款'!F13:$AH13),'2024年-挂账付款'!F13,IF('2024年-挂账付款'!$AX13-SUM('2024年-挂账付款'!G13:$AH13)&gt;0,'2024年-挂账付款'!$AX13-SUM('2024年-挂账付款'!G13:$AH13),0))</f>
        <v>0</v>
      </c>
      <c r="J13" s="44">
        <f>IF('2024年-挂账付款'!$AX13&gt;=SUM('2024年-挂账付款'!G13:$AH13),'2024年-挂账付款'!G13,IF('2024年-挂账付款'!$AX13-SUM('2024年-挂账付款'!H13:$AH13)&gt;0,'2024年-挂账付款'!$AX13-SUM('2024年-挂账付款'!H13:$AH13),0))</f>
        <v>0</v>
      </c>
      <c r="K13" s="44">
        <f>IF('2024年-挂账付款'!$AX13&gt;=SUM('2024年-挂账付款'!H13:$AH13),'2024年-挂账付款'!H13,IF('2024年-挂账付款'!$AX13-SUM('2024年-挂账付款'!I13:$AH13)&gt;0,'2024年-挂账付款'!$AX13-SUM('2024年-挂账付款'!I13:$AH13),0))</f>
        <v>0</v>
      </c>
      <c r="L13" s="44">
        <f>IF('2024年-挂账付款'!$AX13&gt;=SUM('2024年-挂账付款'!I13:$AH13),'2024年-挂账付款'!I13,IF('2024年-挂账付款'!$AX13-SUM('2024年-挂账付款'!J13:$AH13)&gt;0,'2024年-挂账付款'!$AX13-SUM('2024年-挂账付款'!J13:$AH13),0))</f>
        <v>0</v>
      </c>
      <c r="M13" s="44">
        <f>IF('2024年-挂账付款'!$AX13&gt;=SUM('2024年-挂账付款'!J13:$AH13),'2024年-挂账付款'!J13,IF('2024年-挂账付款'!$AX13-SUM('2024年-挂账付款'!K13:$AH13)&gt;0,'2024年-挂账付款'!$AX13-SUM('2024年-挂账付款'!K13:$AH13),0))</f>
        <v>0</v>
      </c>
      <c r="N13" s="44">
        <f>IF('2024年-挂账付款'!$AX13&gt;=SUM('2024年-挂账付款'!K13:$AH13),'2024年-挂账付款'!K13,IF('2024年-挂账付款'!$AX13-SUM('2024年-挂账付款'!L13:$AH13)&gt;0,'2024年-挂账付款'!$AX13-SUM('2024年-挂账付款'!L13:$AH13),0))</f>
        <v>0</v>
      </c>
      <c r="O13" s="44">
        <f>IF('2024年-挂账付款'!$AX13&gt;=SUM('2024年-挂账付款'!L13:$AH13),'2024年-挂账付款'!L13,IF('2024年-挂账付款'!$AX13-SUM('2024年-挂账付款'!M13:$AH13)&gt;0,'2024年-挂账付款'!$AX13-SUM('2024年-挂账付款'!M13:$AH13),0))</f>
        <v>0</v>
      </c>
      <c r="P13" s="44">
        <f>IF('2024年-挂账付款'!$AX13&gt;=SUM('2024年-挂账付款'!M13:$AH13),'2024年-挂账付款'!M13,IF('2024年-挂账付款'!$AX13-SUM('2024年-挂账付款'!N13:$AH13)&gt;0,'2024年-挂账付款'!$AX13-SUM('2024年-挂账付款'!N13:$AH13),0))</f>
        <v>0</v>
      </c>
      <c r="Q13" s="44">
        <f>IF('2024年-挂账付款'!$AX13&gt;=SUM('2024年-挂账付款'!N13:$AH13),'2024年-挂账付款'!N13,IF('2024年-挂账付款'!$AX13-SUM('2024年-挂账付款'!O13:$AH13)&gt;0,'2024年-挂账付款'!$AX13-SUM('2024年-挂账付款'!O13:$AH13),0))</f>
        <v>0</v>
      </c>
      <c r="R13" s="44">
        <f>IF('2024年-挂账付款'!$AX13&gt;=SUM('2024年-挂账付款'!O13:$AH13),'2024年-挂账付款'!O13,IF('2024年-挂账付款'!$AX13-SUM('2024年-挂账付款'!P13:$AH13)&gt;0,'2024年-挂账付款'!$AX13-SUM('2024年-挂账付款'!P13:$AH13),0))</f>
        <v>0</v>
      </c>
      <c r="S13" s="44">
        <f>IF('2024年-挂账付款'!$AX13&gt;=SUM('2024年-挂账付款'!P13:$AH13),'2024年-挂账付款'!P13,IF('2024年-挂账付款'!$AX13-SUM('2024年-挂账付款'!Q13:$AH13)&gt;0,'2024年-挂账付款'!$AX13-SUM('2024年-挂账付款'!Q13:$AH13),0))</f>
        <v>0</v>
      </c>
      <c r="T13" s="44">
        <f>IF('2024年-挂账付款'!$AX13&gt;=SUM('2024年-挂账付款'!Q13:$AH13),'2024年-挂账付款'!Q13,IF('2024年-挂账付款'!$AX13-SUM('2024年-挂账付款'!R13:$AH13)&gt;0,'2024年-挂账付款'!$AX13-SUM('2024年-挂账付款'!R13:$AH13),0))</f>
        <v>0</v>
      </c>
      <c r="U13" s="44">
        <f>IF('2024年-挂账付款'!$AX13&gt;=SUM('2024年-挂账付款'!R13:$AH13),'2024年-挂账付款'!R13,IF('2024年-挂账付款'!$AX13-SUM('2024年-挂账付款'!S13:$AH13)&gt;0,'2024年-挂账付款'!$AX13-SUM('2024年-挂账付款'!S13:$AH13),0))</f>
        <v>0</v>
      </c>
      <c r="V13" s="44">
        <f>IF('2024年-挂账付款'!$AX13&gt;=SUM('2024年-挂账付款'!S13:$AH13),'2024年-挂账付款'!S13,IF('2024年-挂账付款'!$AX13-SUM('2024年-挂账付款'!T13:$AH13)&gt;0,'2024年-挂账付款'!$AX13-SUM('2024年-挂账付款'!T13:$AH13),0))</f>
        <v>0</v>
      </c>
      <c r="W13" s="44">
        <f>IF('2024年-挂账付款'!$AX13&gt;=SUM('2024年-挂账付款'!T13:$AH13),'2024年-挂账付款'!T13,IF('2024年-挂账付款'!$AX13-SUM('2024年-挂账付款'!U13:$AH13)&gt;0,'2024年-挂账付款'!$AX13-SUM('2024年-挂账付款'!U13:$AH13),0))</f>
        <v>0</v>
      </c>
      <c r="X13" s="44">
        <f>IF('2024年-挂账付款'!$AX13&gt;=SUM('2024年-挂账付款'!U13:$AH13),'2024年-挂账付款'!U13,IF('2024年-挂账付款'!$AX13-SUM('2024年-挂账付款'!V13:$AH13)&gt;0,'2024年-挂账付款'!$AX13-SUM('2024年-挂账付款'!V13:$AH13),0))</f>
        <v>0</v>
      </c>
      <c r="Y13" s="44">
        <f>IF('2024年-挂账付款'!$AX13&gt;=SUM('2024年-挂账付款'!V13:$AH13),'2024年-挂账付款'!V13,IF('2024年-挂账付款'!$AX13-SUM('2024年-挂账付款'!W13:$AH13)&gt;0,'2024年-挂账付款'!$AX13-SUM('2024年-挂账付款'!W13:$AH13),0))</f>
        <v>16255.73</v>
      </c>
      <c r="Z13" s="44">
        <f>IF('2024年-挂账付款'!$AX13&gt;=SUM('2024年-挂账付款'!W13:$AH13),'2024年-挂账付款'!W13,IF('2024年-挂账付款'!$AX13-SUM('2024年-挂账付款'!X13:$AH13)&gt;0,'2024年-挂账付款'!$AX13-SUM('2024年-挂账付款'!X13:$AH13),0))</f>
        <v>46379.72</v>
      </c>
      <c r="AA13" s="44">
        <f>IF('2024年-挂账付款'!$AX13&gt;=SUM('2024年-挂账付款'!X13:$AH13),'2024年-挂账付款'!X13,IF('2024年-挂账付款'!$AX13-SUM('2024年-挂账付款'!Y13:$AH13)&gt;0,'2024年-挂账付款'!$AX13-SUM('2024年-挂账付款'!Y13:$AH13),0))</f>
        <v>8249</v>
      </c>
      <c r="AB13" s="44">
        <f>IF('2024年-挂账付款'!$AX13&gt;=SUM('2024年-挂账付款'!Y13:$AH13),'2024年-挂账付款'!Y13,IF('2024年-挂账付款'!$AX13-SUM('2024年-挂账付款'!Z13:$AH13)&gt;0,'2024年-挂账付款'!$AX13-SUM('2024年-挂账付款'!Z13:$AH13),0))</f>
        <v>0</v>
      </c>
      <c r="AC13" s="44">
        <f>IF('2024年-挂账付款'!$AX13&gt;=SUM('2024年-挂账付款'!Z13:$AH13),'2024年-挂账付款'!Z13,IF('2024年-挂账付款'!$AX13-SUM('2024年-挂账付款'!AA13:$AH13)&gt;0,'2024年-挂账付款'!$AX13-SUM('2024年-挂账付款'!AA13:$AH13),0))</f>
        <v>0</v>
      </c>
      <c r="AD13" s="44">
        <f>IF('2024年-挂账付款'!$AX13&gt;=SUM('2024年-挂账付款'!AA13:$AH13),'2024年-挂账付款'!AA13,IF('2024年-挂账付款'!$AX13-SUM('2024年-挂账付款'!AB13:$AH13)&gt;0,'2024年-挂账付款'!$AX13-SUM('2024年-挂账付款'!AB13:$AH13),0))</f>
        <v>0</v>
      </c>
      <c r="AE13" s="44">
        <f>IF('2024年-挂账付款'!$AX13&gt;=SUM('2024年-挂账付款'!AB13:$AH13),'2024年-挂账付款'!AB13,IF('2024年-挂账付款'!$AX13-SUM('2024年-挂账付款'!AC13:$AH13)&gt;0,'2024年-挂账付款'!$AX13-SUM('2024年-挂账付款'!AC13:$AH13),0))</f>
        <v>0</v>
      </c>
      <c r="AF13" s="44">
        <f>IF('2024年-挂账付款'!$AX13&gt;=SUM('2024年-挂账付款'!AC13:$AH13),'2024年-挂账付款'!AC13,IF('2024年-挂账付款'!$AX13-SUM('2024年-挂账付款'!AD13:$AH13)&gt;0,'2024年-挂账付款'!$AX13-SUM('2024年-挂账付款'!AD13:$AH13),0))</f>
        <v>0</v>
      </c>
      <c r="AG13" s="44">
        <f>IF('2024年-挂账付款'!$AX13&gt;=SUM('2024年-挂账付款'!AD13:$AH13),'2024年-挂账付款'!AD13,IF('2024年-挂账付款'!$AX13-SUM('2024年-挂账付款'!AE13:$AH13)&gt;0,'2024年-挂账付款'!$AX13-SUM('2024年-挂账付款'!AE13:$AH13),0))</f>
        <v>0</v>
      </c>
      <c r="AH13" s="44">
        <f>IF('2024年-挂账付款'!$AX13&gt;=SUM('2024年-挂账付款'!AE13:$AH13),'2024年-挂账付款'!AE13,IF('2024年-挂账付款'!$AX13-SUM('2024年-挂账付款'!AF13:$AH13)&gt;0,'2024年-挂账付款'!$AX13-SUM('2024年-挂账付款'!AF13:$AH13),0))</f>
        <v>0</v>
      </c>
      <c r="AI13" s="44">
        <f>IF('2024年-挂账付款'!$AX13&gt;=SUM('2024年-挂账付款'!AF13:$AH13),'2024年-挂账付款'!AF13,IF('2024年-挂账付款'!$AX13-SUM('2024年-挂账付款'!AG13:$AH13)&gt;0,'2024年-挂账付款'!$AX13-SUM('2024年-挂账付款'!AG13:$AH13),0))</f>
        <v>0</v>
      </c>
      <c r="AJ13" s="44">
        <f>IF('2024年-挂账付款'!$AX13&gt;=SUM('2024年-挂账付款'!AG13:$AH13),'2024年-挂账付款'!AG13,IF('2024年-挂账付款'!$AX13-SUM('2024年-挂账付款'!AH13:$AH13)&gt;0,'2024年-挂账付款'!$AX13-SUM('2024年-挂账付款'!AH13:$AH13),0))</f>
        <v>0</v>
      </c>
      <c r="AK13" s="44">
        <f>IF('2024年-挂账付款'!$AX13&gt;=SUM('2024年-挂账付款'!AH13:$AH13),'2024年-挂账付款'!AH13,IF('2024年-挂账付款'!$AX13-SUM('2024年-挂账付款'!$AH13:AI13)&gt;0,'2024年-挂账付款'!$AX13-SUM('2024年-挂账付款'!$AH13:AI13),0))</f>
        <v>0</v>
      </c>
      <c r="AL13" s="84" t="s">
        <v>426</v>
      </c>
      <c r="AM13" s="85"/>
      <c r="AN13" s="86">
        <f t="shared" si="0"/>
        <v>2167.43066666667</v>
      </c>
      <c r="AO13" s="91"/>
      <c r="AP13" s="10">
        <f>'2024年-挂账付款'!AX13</f>
        <v>70884.45</v>
      </c>
      <c r="AQ13" s="101">
        <f t="shared" si="2"/>
        <v>-54628.72</v>
      </c>
    </row>
    <row r="14" s="10" customFormat="1" ht="24.05" customHeight="1" spans="2:43">
      <c r="B14" s="48" t="s">
        <v>81</v>
      </c>
      <c r="C14" s="46" t="s">
        <v>130</v>
      </c>
      <c r="D14" s="46" t="s">
        <v>131</v>
      </c>
      <c r="E14" s="41">
        <v>60</v>
      </c>
      <c r="F14" s="42">
        <f t="shared" si="3"/>
        <v>7000</v>
      </c>
      <c r="G14" s="43">
        <f t="shared" si="1"/>
        <v>7000</v>
      </c>
      <c r="H14" s="44" t="str">
        <f>IF('2024年-挂账付款'!$AX14&gt;=SUM('2024年-挂账付款'!E14:$AH14),'2024年-挂账付款'!E14,IF('2024年-挂账付款'!$AX14-SUM('2024年-挂账付款'!F14:$AH14)&gt;0,'2024年-挂账付款'!$AX14-SUM('2024年-挂账付款'!F14:$AH14),0))</f>
        <v/>
      </c>
      <c r="I14" s="44" t="str">
        <f>IF('2024年-挂账付款'!$AX14&gt;=SUM('2024年-挂账付款'!F14:$AH14),'2024年-挂账付款'!F14,IF('2024年-挂账付款'!$AX14-SUM('2024年-挂账付款'!G14:$AH14)&gt;0,'2024年-挂账付款'!$AX14-SUM('2024年-挂账付款'!G14:$AH14),0))</f>
        <v/>
      </c>
      <c r="J14" s="44" t="str">
        <f>IF('2024年-挂账付款'!$AX14&gt;=SUM('2024年-挂账付款'!G14:$AH14),'2024年-挂账付款'!G14,IF('2024年-挂账付款'!$AX14-SUM('2024年-挂账付款'!H14:$AH14)&gt;0,'2024年-挂账付款'!$AX14-SUM('2024年-挂账付款'!H14:$AH14),0))</f>
        <v/>
      </c>
      <c r="K14" s="44">
        <f>IF('2024年-挂账付款'!$AX14&gt;=SUM('2024年-挂账付款'!H14:$AH14),'2024年-挂账付款'!H14,IF('2024年-挂账付款'!$AX14-SUM('2024年-挂账付款'!I14:$AH14)&gt;0,'2024年-挂账付款'!$AX14-SUM('2024年-挂账付款'!I14:$AH14),0))</f>
        <v>0</v>
      </c>
      <c r="L14" s="44">
        <f>IF('2024年-挂账付款'!$AX14&gt;=SUM('2024年-挂账付款'!I14:$AH14),'2024年-挂账付款'!I14,IF('2024年-挂账付款'!$AX14-SUM('2024年-挂账付款'!J14:$AH14)&gt;0,'2024年-挂账付款'!$AX14-SUM('2024年-挂账付款'!J14:$AH14),0))</f>
        <v>0</v>
      </c>
      <c r="M14" s="44" t="str">
        <f>IF('2024年-挂账付款'!$AX14&gt;=SUM('2024年-挂账付款'!J14:$AH14),'2024年-挂账付款'!J14,IF('2024年-挂账付款'!$AX14-SUM('2024年-挂账付款'!K14:$AH14)&gt;0,'2024年-挂账付款'!$AX14-SUM('2024年-挂账付款'!K14:$AH14),0))</f>
        <v/>
      </c>
      <c r="N14" s="44">
        <f>IF('2024年-挂账付款'!$AX14&gt;=SUM('2024年-挂账付款'!K14:$AH14),'2024年-挂账付款'!K14,IF('2024年-挂账付款'!$AX14-SUM('2024年-挂账付款'!L14:$AH14)&gt;0,'2024年-挂账付款'!$AX14-SUM('2024年-挂账付款'!L14:$AH14),0))</f>
        <v>0</v>
      </c>
      <c r="O14" s="44">
        <f>IF('2024年-挂账付款'!$AX14&gt;=SUM('2024年-挂账付款'!L14:$AH14),'2024年-挂账付款'!L14,IF('2024年-挂账付款'!$AX14-SUM('2024年-挂账付款'!M14:$AH14)&gt;0,'2024年-挂账付款'!$AX14-SUM('2024年-挂账付款'!M14:$AH14),0))</f>
        <v>0</v>
      </c>
      <c r="P14" s="44">
        <f>IF('2024年-挂账付款'!$AX14&gt;=SUM('2024年-挂账付款'!M14:$AH14),'2024年-挂账付款'!M14,IF('2024年-挂账付款'!$AX14-SUM('2024年-挂账付款'!N14:$AH14)&gt;0,'2024年-挂账付款'!$AX14-SUM('2024年-挂账付款'!N14:$AH14),0))</f>
        <v>0</v>
      </c>
      <c r="Q14" s="44">
        <f>IF('2024年-挂账付款'!$AX14&gt;=SUM('2024年-挂账付款'!N14:$AH14),'2024年-挂账付款'!N14,IF('2024年-挂账付款'!$AX14-SUM('2024年-挂账付款'!O14:$AH14)&gt;0,'2024年-挂账付款'!$AX14-SUM('2024年-挂账付款'!O14:$AH14),0))</f>
        <v>0</v>
      </c>
      <c r="R14" s="44">
        <f>IF('2024年-挂账付款'!$AX14&gt;=SUM('2024年-挂账付款'!O14:$AH14),'2024年-挂账付款'!O14,IF('2024年-挂账付款'!$AX14-SUM('2024年-挂账付款'!P14:$AH14)&gt;0,'2024年-挂账付款'!$AX14-SUM('2024年-挂账付款'!P14:$AH14),0))</f>
        <v>0</v>
      </c>
      <c r="S14" s="44">
        <f>IF('2024年-挂账付款'!$AX14&gt;=SUM('2024年-挂账付款'!P14:$AH14),'2024年-挂账付款'!P14,IF('2024年-挂账付款'!$AX14-SUM('2024年-挂账付款'!Q14:$AH14)&gt;0,'2024年-挂账付款'!$AX14-SUM('2024年-挂账付款'!Q14:$AH14),0))</f>
        <v>0</v>
      </c>
      <c r="T14" s="44">
        <f>IF('2024年-挂账付款'!$AX14&gt;=SUM('2024年-挂账付款'!Q14:$AH14),'2024年-挂账付款'!Q14,IF('2024年-挂账付款'!$AX14-SUM('2024年-挂账付款'!R14:$AH14)&gt;0,'2024年-挂账付款'!$AX14-SUM('2024年-挂账付款'!R14:$AH14),0))</f>
        <v>0</v>
      </c>
      <c r="U14" s="44">
        <f>IF('2024年-挂账付款'!$AX14&gt;=SUM('2024年-挂账付款'!R14:$AH14),'2024年-挂账付款'!R14,IF('2024年-挂账付款'!$AX14-SUM('2024年-挂账付款'!S14:$AH14)&gt;0,'2024年-挂账付款'!$AX14-SUM('2024年-挂账付款'!S14:$AH14),0))</f>
        <v>0</v>
      </c>
      <c r="V14" s="44">
        <f>IF('2024年-挂账付款'!$AX14&gt;=SUM('2024年-挂账付款'!S14:$AH14),'2024年-挂账付款'!S14,IF('2024年-挂账付款'!$AX14-SUM('2024年-挂账付款'!T14:$AH14)&gt;0,'2024年-挂账付款'!$AX14-SUM('2024年-挂账付款'!T14:$AH14),0))</f>
        <v>7000</v>
      </c>
      <c r="W14" s="44">
        <f>IF('2024年-挂账付款'!$AX14&gt;=SUM('2024年-挂账付款'!T14:$AH14),'2024年-挂账付款'!T14,IF('2024年-挂账付款'!$AX14-SUM('2024年-挂账付款'!U14:$AH14)&gt;0,'2024年-挂账付款'!$AX14-SUM('2024年-挂账付款'!U14:$AH14),0))</f>
        <v>0</v>
      </c>
      <c r="X14" s="44">
        <f>IF('2024年-挂账付款'!$AX14&gt;=SUM('2024年-挂账付款'!U14:$AH14),'2024年-挂账付款'!U14,IF('2024年-挂账付款'!$AX14-SUM('2024年-挂账付款'!V14:$AH14)&gt;0,'2024年-挂账付款'!$AX14-SUM('2024年-挂账付款'!V14:$AH14),0))</f>
        <v>0</v>
      </c>
      <c r="Y14" s="44">
        <f>IF('2024年-挂账付款'!$AX14&gt;=SUM('2024年-挂账付款'!V14:$AH14),'2024年-挂账付款'!V14,IF('2024年-挂账付款'!$AX14-SUM('2024年-挂账付款'!W14:$AH14)&gt;0,'2024年-挂账付款'!$AX14-SUM('2024年-挂账付款'!W14:$AH14),0))</f>
        <v>0</v>
      </c>
      <c r="Z14" s="44">
        <f>IF('2024年-挂账付款'!$AX14&gt;=SUM('2024年-挂账付款'!W14:$AH14),'2024年-挂账付款'!W14,IF('2024年-挂账付款'!$AX14-SUM('2024年-挂账付款'!X14:$AH14)&gt;0,'2024年-挂账付款'!$AX14-SUM('2024年-挂账付款'!X14:$AH14),0))</f>
        <v>0</v>
      </c>
      <c r="AA14" s="44">
        <f>IF('2024年-挂账付款'!$AX14&gt;=SUM('2024年-挂账付款'!X14:$AH14),'2024年-挂账付款'!X14,IF('2024年-挂账付款'!$AX14-SUM('2024年-挂账付款'!Y14:$AH14)&gt;0,'2024年-挂账付款'!$AX14-SUM('2024年-挂账付款'!Y14:$AH14),0))</f>
        <v>0</v>
      </c>
      <c r="AB14" s="44">
        <f>IF('2024年-挂账付款'!$AX14&gt;=SUM('2024年-挂账付款'!Y14:$AH14),'2024年-挂账付款'!Y14,IF('2024年-挂账付款'!$AX14-SUM('2024年-挂账付款'!Z14:$AH14)&gt;0,'2024年-挂账付款'!$AX14-SUM('2024年-挂账付款'!Z14:$AH14),0))</f>
        <v>0</v>
      </c>
      <c r="AC14" s="44">
        <f>IF('2024年-挂账付款'!$AX14&gt;=SUM('2024年-挂账付款'!Z14:$AH14),'2024年-挂账付款'!Z14,IF('2024年-挂账付款'!$AX14-SUM('2024年-挂账付款'!AA14:$AH14)&gt;0,'2024年-挂账付款'!$AX14-SUM('2024年-挂账付款'!AA14:$AH14),0))</f>
        <v>0</v>
      </c>
      <c r="AD14" s="44">
        <f>IF('2024年-挂账付款'!$AX14&gt;=SUM('2024年-挂账付款'!AA14:$AH14),'2024年-挂账付款'!AA14,IF('2024年-挂账付款'!$AX14-SUM('2024年-挂账付款'!AB14:$AH14)&gt;0,'2024年-挂账付款'!$AX14-SUM('2024年-挂账付款'!AB14:$AH14),0))</f>
        <v>0</v>
      </c>
      <c r="AE14" s="44">
        <f>IF('2024年-挂账付款'!$AX14&gt;=SUM('2024年-挂账付款'!AB14:$AH14),'2024年-挂账付款'!AB14,IF('2024年-挂账付款'!$AX14-SUM('2024年-挂账付款'!AC14:$AH14)&gt;0,'2024年-挂账付款'!$AX14-SUM('2024年-挂账付款'!AC14:$AH14),0))</f>
        <v>0</v>
      </c>
      <c r="AF14" s="44">
        <f>IF('2024年-挂账付款'!$AX14&gt;=SUM('2024年-挂账付款'!AC14:$AH14),'2024年-挂账付款'!AC14,IF('2024年-挂账付款'!$AX14-SUM('2024年-挂账付款'!AD14:$AH14)&gt;0,'2024年-挂账付款'!$AX14-SUM('2024年-挂账付款'!AD14:$AH14),0))</f>
        <v>0</v>
      </c>
      <c r="AG14" s="44">
        <f>IF('2024年-挂账付款'!$AX14&gt;=SUM('2024年-挂账付款'!AD14:$AH14),'2024年-挂账付款'!AD14,IF('2024年-挂账付款'!$AX14-SUM('2024年-挂账付款'!AE14:$AH14)&gt;0,'2024年-挂账付款'!$AX14-SUM('2024年-挂账付款'!AE14:$AH14),0))</f>
        <v>0</v>
      </c>
      <c r="AH14" s="44">
        <f>IF('2024年-挂账付款'!$AX14&gt;=SUM('2024年-挂账付款'!AE14:$AH14),'2024年-挂账付款'!AE14,IF('2024年-挂账付款'!$AX14-SUM('2024年-挂账付款'!AF14:$AH14)&gt;0,'2024年-挂账付款'!$AX14-SUM('2024年-挂账付款'!AF14:$AH14),0))</f>
        <v>0</v>
      </c>
      <c r="AI14" s="44">
        <f>IF('2024年-挂账付款'!$AX14&gt;=SUM('2024年-挂账付款'!AF14:$AH14),'2024年-挂账付款'!AF14,IF('2024年-挂账付款'!$AX14-SUM('2024年-挂账付款'!AG14:$AH14)&gt;0,'2024年-挂账付款'!$AX14-SUM('2024年-挂账付款'!AG14:$AH14),0))</f>
        <v>0</v>
      </c>
      <c r="AJ14" s="44">
        <f>IF('2024年-挂账付款'!$AX14&gt;=SUM('2024年-挂账付款'!AG14:$AH14),'2024年-挂账付款'!AG14,IF('2024年-挂账付款'!$AX14-SUM('2024年-挂账付款'!AH14:$AH14)&gt;0,'2024年-挂账付款'!$AX14-SUM('2024年-挂账付款'!AH14:$AH14),0))</f>
        <v>0</v>
      </c>
      <c r="AK14" s="44">
        <f>IF('2024年-挂账付款'!$AX14&gt;=SUM('2024年-挂账付款'!AH14:$AH14),'2024年-挂账付款'!AH14,IF('2024年-挂账付款'!$AX14-SUM('2024年-挂账付款'!$AH14:AI14)&gt;0,'2024年-挂账付款'!$AX14-SUM('2024年-挂账付款'!$AH14:AI14),0))</f>
        <v>0</v>
      </c>
      <c r="AL14" s="84" t="s">
        <v>427</v>
      </c>
      <c r="AM14" s="85"/>
      <c r="AN14" s="86">
        <f t="shared" si="0"/>
        <v>933.333333333333</v>
      </c>
      <c r="AO14" s="91"/>
      <c r="AP14" s="10">
        <f>'2024年-挂账付款'!AX14</f>
        <v>7000</v>
      </c>
      <c r="AQ14" s="101">
        <f t="shared" si="2"/>
        <v>0</v>
      </c>
    </row>
    <row r="15" s="10" customFormat="1" ht="24.05" customHeight="1" spans="2:43">
      <c r="B15" s="48" t="s">
        <v>81</v>
      </c>
      <c r="C15" s="46" t="s">
        <v>228</v>
      </c>
      <c r="D15" s="46" t="s">
        <v>229</v>
      </c>
      <c r="E15" s="47">
        <v>60</v>
      </c>
      <c r="F15" s="42">
        <f t="shared" si="3"/>
        <v>0</v>
      </c>
      <c r="G15" s="43" t="str">
        <f t="shared" si="1"/>
        <v>0</v>
      </c>
      <c r="H15" s="44">
        <f>IF('2024年-挂账付款'!$AX15&gt;=SUM('2024年-挂账付款'!E15:$AH15),'2024年-挂账付款'!E15,IF('2024年-挂账付款'!$AX15-SUM('2024年-挂账付款'!F15:$AH15)&gt;0,'2024年-挂账付款'!$AX15-SUM('2024年-挂账付款'!F15:$AH15),0))</f>
        <v>0</v>
      </c>
      <c r="I15" s="44">
        <f>IF('2024年-挂账付款'!$AX15&gt;=SUM('2024年-挂账付款'!F15:$AH15),'2024年-挂账付款'!F15,IF('2024年-挂账付款'!$AX15-SUM('2024年-挂账付款'!G15:$AH15)&gt;0,'2024年-挂账付款'!$AX15-SUM('2024年-挂账付款'!G15:$AH15),0))</f>
        <v>0</v>
      </c>
      <c r="J15" s="44">
        <f>IF('2024年-挂账付款'!$AX15&gt;=SUM('2024年-挂账付款'!G15:$AH15),'2024年-挂账付款'!G15,IF('2024年-挂账付款'!$AX15-SUM('2024年-挂账付款'!H15:$AH15)&gt;0,'2024年-挂账付款'!$AX15-SUM('2024年-挂账付款'!H15:$AH15),0))</f>
        <v>0</v>
      </c>
      <c r="K15" s="44">
        <f>IF('2024年-挂账付款'!$AX15&gt;=SUM('2024年-挂账付款'!H15:$AH15),'2024年-挂账付款'!H15,IF('2024年-挂账付款'!$AX15-SUM('2024年-挂账付款'!I15:$AH15)&gt;0,'2024年-挂账付款'!$AX15-SUM('2024年-挂账付款'!I15:$AH15),0))</f>
        <v>0</v>
      </c>
      <c r="L15" s="44">
        <f>IF('2024年-挂账付款'!$AX15&gt;=SUM('2024年-挂账付款'!I15:$AH15),'2024年-挂账付款'!I15,IF('2024年-挂账付款'!$AX15-SUM('2024年-挂账付款'!J15:$AH15)&gt;0,'2024年-挂账付款'!$AX15-SUM('2024年-挂账付款'!J15:$AH15),0))</f>
        <v>0</v>
      </c>
      <c r="M15" s="44">
        <f>IF('2024年-挂账付款'!$AX15&gt;=SUM('2024年-挂账付款'!J15:$AH15),'2024年-挂账付款'!J15,IF('2024年-挂账付款'!$AX15-SUM('2024年-挂账付款'!K15:$AH15)&gt;0,'2024年-挂账付款'!$AX15-SUM('2024年-挂账付款'!K15:$AH15),0))</f>
        <v>0</v>
      </c>
      <c r="N15" s="44">
        <f>IF('2024年-挂账付款'!$AX15&gt;=SUM('2024年-挂账付款'!K15:$AH15),'2024年-挂账付款'!K15,IF('2024年-挂账付款'!$AX15-SUM('2024年-挂账付款'!L15:$AH15)&gt;0,'2024年-挂账付款'!$AX15-SUM('2024年-挂账付款'!L15:$AH15),0))</f>
        <v>0</v>
      </c>
      <c r="O15" s="44">
        <f>IF('2024年-挂账付款'!$AX15&gt;=SUM('2024年-挂账付款'!L15:$AH15),'2024年-挂账付款'!L15,IF('2024年-挂账付款'!$AX15-SUM('2024年-挂账付款'!M15:$AH15)&gt;0,'2024年-挂账付款'!$AX15-SUM('2024年-挂账付款'!M15:$AH15),0))</f>
        <v>0</v>
      </c>
      <c r="P15" s="44">
        <f>IF('2024年-挂账付款'!$AX15&gt;=SUM('2024年-挂账付款'!M15:$AH15),'2024年-挂账付款'!M15,IF('2024年-挂账付款'!$AX15-SUM('2024年-挂账付款'!N15:$AH15)&gt;0,'2024年-挂账付款'!$AX15-SUM('2024年-挂账付款'!N15:$AH15),0))</f>
        <v>0</v>
      </c>
      <c r="Q15" s="44">
        <f>IF('2024年-挂账付款'!$AX15&gt;=SUM('2024年-挂账付款'!N15:$AH15),'2024年-挂账付款'!N15,IF('2024年-挂账付款'!$AX15-SUM('2024年-挂账付款'!O15:$AH15)&gt;0,'2024年-挂账付款'!$AX15-SUM('2024年-挂账付款'!O15:$AH15),0))</f>
        <v>0</v>
      </c>
      <c r="R15" s="44">
        <f>IF('2024年-挂账付款'!$AX15&gt;=SUM('2024年-挂账付款'!O15:$AH15),'2024年-挂账付款'!O15,IF('2024年-挂账付款'!$AX15-SUM('2024年-挂账付款'!P15:$AH15)&gt;0,'2024年-挂账付款'!$AX15-SUM('2024年-挂账付款'!P15:$AH15),0))</f>
        <v>0</v>
      </c>
      <c r="S15" s="44">
        <f>IF('2024年-挂账付款'!$AX15&gt;=SUM('2024年-挂账付款'!P15:$AH15),'2024年-挂账付款'!P15,IF('2024年-挂账付款'!$AX15-SUM('2024年-挂账付款'!Q15:$AH15)&gt;0,'2024年-挂账付款'!$AX15-SUM('2024年-挂账付款'!Q15:$AH15),0))</f>
        <v>0</v>
      </c>
      <c r="T15" s="44">
        <f>IF('2024年-挂账付款'!$AX15&gt;=SUM('2024年-挂账付款'!Q15:$AH15),'2024年-挂账付款'!Q15,IF('2024年-挂账付款'!$AX15-SUM('2024年-挂账付款'!R15:$AH15)&gt;0,'2024年-挂账付款'!$AX15-SUM('2024年-挂账付款'!R15:$AH15),0))</f>
        <v>0</v>
      </c>
      <c r="U15" s="44">
        <f>IF('2024年-挂账付款'!$AX15&gt;=SUM('2024年-挂账付款'!R15:$AH15),'2024年-挂账付款'!R15,IF('2024年-挂账付款'!$AX15-SUM('2024年-挂账付款'!S15:$AH15)&gt;0,'2024年-挂账付款'!$AX15-SUM('2024年-挂账付款'!S15:$AH15),0))</f>
        <v>0</v>
      </c>
      <c r="V15" s="44">
        <f>IF('2024年-挂账付款'!$AX15&gt;=SUM('2024年-挂账付款'!S15:$AH15),'2024年-挂账付款'!S15,IF('2024年-挂账付款'!$AX15-SUM('2024年-挂账付款'!T15:$AH15)&gt;0,'2024年-挂账付款'!$AX15-SUM('2024年-挂账付款'!T15:$AH15),0))</f>
        <v>0</v>
      </c>
      <c r="W15" s="44">
        <f>IF('2024年-挂账付款'!$AX15&gt;=SUM('2024年-挂账付款'!T15:$AH15),'2024年-挂账付款'!T15,IF('2024年-挂账付款'!$AX15-SUM('2024年-挂账付款'!U15:$AH15)&gt;0,'2024年-挂账付款'!$AX15-SUM('2024年-挂账付款'!U15:$AH15),0))</f>
        <v>0</v>
      </c>
      <c r="X15" s="44">
        <f>IF('2024年-挂账付款'!$AX15&gt;=SUM('2024年-挂账付款'!U15:$AH15),'2024年-挂账付款'!U15,IF('2024年-挂账付款'!$AX15-SUM('2024年-挂账付款'!V15:$AH15)&gt;0,'2024年-挂账付款'!$AX15-SUM('2024年-挂账付款'!V15:$AH15),0))</f>
        <v>0</v>
      </c>
      <c r="Y15" s="44">
        <f>IF('2024年-挂账付款'!$AX15&gt;=SUM('2024年-挂账付款'!V15:$AH15),'2024年-挂账付款'!V15,IF('2024年-挂账付款'!$AX15-SUM('2024年-挂账付款'!W15:$AH15)&gt;0,'2024年-挂账付款'!$AX15-SUM('2024年-挂账付款'!W15:$AH15),0))</f>
        <v>0</v>
      </c>
      <c r="Z15" s="44">
        <f>IF('2024年-挂账付款'!$AX15&gt;=SUM('2024年-挂账付款'!W15:$AH15),'2024年-挂账付款'!W15,IF('2024年-挂账付款'!$AX15-SUM('2024年-挂账付款'!X15:$AH15)&gt;0,'2024年-挂账付款'!$AX15-SUM('2024年-挂账付款'!X15:$AH15),0))</f>
        <v>22286.9</v>
      </c>
      <c r="AA15" s="44">
        <f>IF('2024年-挂账付款'!$AX15&gt;=SUM('2024年-挂账付款'!X15:$AH15),'2024年-挂账付款'!X15,IF('2024年-挂账付款'!$AX15-SUM('2024年-挂账付款'!Y15:$AH15)&gt;0,'2024年-挂账付款'!$AX15-SUM('2024年-挂账付款'!Y15:$AH15),0))</f>
        <v>0</v>
      </c>
      <c r="AB15" s="44">
        <f>IF('2024年-挂账付款'!$AX15&gt;=SUM('2024年-挂账付款'!Y15:$AH15),'2024年-挂账付款'!Y15,IF('2024年-挂账付款'!$AX15-SUM('2024年-挂账付款'!Z15:$AH15)&gt;0,'2024年-挂账付款'!$AX15-SUM('2024年-挂账付款'!Z15:$AH15),0))</f>
        <v>0</v>
      </c>
      <c r="AC15" s="44">
        <f>IF('2024年-挂账付款'!$AX15&gt;=SUM('2024年-挂账付款'!Z15:$AH15),'2024年-挂账付款'!Z15,IF('2024年-挂账付款'!$AX15-SUM('2024年-挂账付款'!AA15:$AH15)&gt;0,'2024年-挂账付款'!$AX15-SUM('2024年-挂账付款'!AA15:$AH15),0))</f>
        <v>0</v>
      </c>
      <c r="AD15" s="44">
        <f>IF('2024年-挂账付款'!$AX15&gt;=SUM('2024年-挂账付款'!AA15:$AH15),'2024年-挂账付款'!AA15,IF('2024年-挂账付款'!$AX15-SUM('2024年-挂账付款'!AB15:$AH15)&gt;0,'2024年-挂账付款'!$AX15-SUM('2024年-挂账付款'!AB15:$AH15),0))</f>
        <v>0</v>
      </c>
      <c r="AE15" s="44">
        <f>IF('2024年-挂账付款'!$AX15&gt;=SUM('2024年-挂账付款'!AB15:$AH15),'2024年-挂账付款'!AB15,IF('2024年-挂账付款'!$AX15-SUM('2024年-挂账付款'!AC15:$AH15)&gt;0,'2024年-挂账付款'!$AX15-SUM('2024年-挂账付款'!AC15:$AH15),0))</f>
        <v>0</v>
      </c>
      <c r="AF15" s="44">
        <f>IF('2024年-挂账付款'!$AX15&gt;=SUM('2024年-挂账付款'!AC15:$AH15),'2024年-挂账付款'!AC15,IF('2024年-挂账付款'!$AX15-SUM('2024年-挂账付款'!AD15:$AH15)&gt;0,'2024年-挂账付款'!$AX15-SUM('2024年-挂账付款'!AD15:$AH15),0))</f>
        <v>0</v>
      </c>
      <c r="AG15" s="44">
        <f>IF('2024年-挂账付款'!$AX15&gt;=SUM('2024年-挂账付款'!AD15:$AH15),'2024年-挂账付款'!AD15,IF('2024年-挂账付款'!$AX15-SUM('2024年-挂账付款'!AE15:$AH15)&gt;0,'2024年-挂账付款'!$AX15-SUM('2024年-挂账付款'!AE15:$AH15),0))</f>
        <v>0</v>
      </c>
      <c r="AH15" s="44">
        <f>IF('2024年-挂账付款'!$AX15&gt;=SUM('2024年-挂账付款'!AE15:$AH15),'2024年-挂账付款'!AE15,IF('2024年-挂账付款'!$AX15-SUM('2024年-挂账付款'!AF15:$AH15)&gt;0,'2024年-挂账付款'!$AX15-SUM('2024年-挂账付款'!AF15:$AH15),0))</f>
        <v>0</v>
      </c>
      <c r="AI15" s="44">
        <f>IF('2024年-挂账付款'!$AX15&gt;=SUM('2024年-挂账付款'!AF15:$AH15),'2024年-挂账付款'!AF15,IF('2024年-挂账付款'!$AX15-SUM('2024年-挂账付款'!AG15:$AH15)&gt;0,'2024年-挂账付款'!$AX15-SUM('2024年-挂账付款'!AG15:$AH15),0))</f>
        <v>0</v>
      </c>
      <c r="AJ15" s="44">
        <f>IF('2024年-挂账付款'!$AX15&gt;=SUM('2024年-挂账付款'!AG15:$AH15),'2024年-挂账付款'!AG15,IF('2024年-挂账付款'!$AX15-SUM('2024年-挂账付款'!AH15:$AH15)&gt;0,'2024年-挂账付款'!$AX15-SUM('2024年-挂账付款'!AH15:$AH15),0))</f>
        <v>0</v>
      </c>
      <c r="AK15" s="44">
        <f>IF('2024年-挂账付款'!$AX15&gt;=SUM('2024年-挂账付款'!AH15:$AH15),'2024年-挂账付款'!AH15,IF('2024年-挂账付款'!$AX15-SUM('2024年-挂账付款'!$AH15:AI15)&gt;0,'2024年-挂账付款'!$AX15-SUM('2024年-挂账付款'!$AH15:AI15),0))</f>
        <v>0</v>
      </c>
      <c r="AL15" s="84" t="s">
        <v>427</v>
      </c>
      <c r="AM15" s="85" t="s">
        <v>270</v>
      </c>
      <c r="AN15" s="86">
        <f t="shared" si="0"/>
        <v>0</v>
      </c>
      <c r="AO15" s="91"/>
      <c r="AP15" s="10">
        <f>'2024年-挂账付款'!AX15</f>
        <v>22286.9</v>
      </c>
      <c r="AQ15" s="101">
        <f t="shared" si="2"/>
        <v>-22286.9</v>
      </c>
    </row>
    <row r="16" s="10" customFormat="1" ht="24.05" customHeight="1" spans="2:43">
      <c r="B16" s="48" t="s">
        <v>81</v>
      </c>
      <c r="C16" s="46" t="s">
        <v>97</v>
      </c>
      <c r="D16" s="46" t="s">
        <v>98</v>
      </c>
      <c r="E16" s="41">
        <v>60</v>
      </c>
      <c r="F16" s="42">
        <f t="shared" si="3"/>
        <v>8678.4</v>
      </c>
      <c r="G16" s="43">
        <f t="shared" si="1"/>
        <v>18984</v>
      </c>
      <c r="H16" s="44">
        <f>IF('2024年-挂账付款'!$AX16&gt;=SUM('2024年-挂账付款'!E16:$AH16),'2024年-挂账付款'!E16,IF('2024年-挂账付款'!$AX16-SUM('2024年-挂账付款'!F16:$AH16)&gt;0,'2024年-挂账付款'!$AX16-SUM('2024年-挂账付款'!F16:$AH16),0))</f>
        <v>0</v>
      </c>
      <c r="I16" s="44">
        <f>IF('2024年-挂账付款'!$AX16&gt;=SUM('2024年-挂账付款'!F16:$AH16),'2024年-挂账付款'!F16,IF('2024年-挂账付款'!$AX16-SUM('2024年-挂账付款'!G16:$AH16)&gt;0,'2024年-挂账付款'!$AX16-SUM('2024年-挂账付款'!G16:$AH16),0))</f>
        <v>0</v>
      </c>
      <c r="J16" s="44">
        <f>IF('2024年-挂账付款'!$AX16&gt;=SUM('2024年-挂账付款'!G16:$AH16),'2024年-挂账付款'!G16,IF('2024年-挂账付款'!$AX16-SUM('2024年-挂账付款'!H16:$AH16)&gt;0,'2024年-挂账付款'!$AX16-SUM('2024年-挂账付款'!H16:$AH16),0))</f>
        <v>0</v>
      </c>
      <c r="K16" s="44">
        <f>IF('2024年-挂账付款'!$AX16&gt;=SUM('2024年-挂账付款'!H16:$AH16),'2024年-挂账付款'!H16,IF('2024年-挂账付款'!$AX16-SUM('2024年-挂账付款'!I16:$AH16)&gt;0,'2024年-挂账付款'!$AX16-SUM('2024年-挂账付款'!I16:$AH16),0))</f>
        <v>0</v>
      </c>
      <c r="L16" s="44">
        <f>IF('2024年-挂账付款'!$AX16&gt;=SUM('2024年-挂账付款'!I16:$AH16),'2024年-挂账付款'!I16,IF('2024年-挂账付款'!$AX16-SUM('2024年-挂账付款'!J16:$AH16)&gt;0,'2024年-挂账付款'!$AX16-SUM('2024年-挂账付款'!J16:$AH16),0))</f>
        <v>0</v>
      </c>
      <c r="M16" s="44" t="str">
        <f>IF('2024年-挂账付款'!$AX16&gt;=SUM('2024年-挂账付款'!J16:$AH16),'2024年-挂账付款'!J16,IF('2024年-挂账付款'!$AX16-SUM('2024年-挂账付款'!K16:$AH16)&gt;0,'2024年-挂账付款'!$AX16-SUM('2024年-挂账付款'!K16:$AH16),0))</f>
        <v/>
      </c>
      <c r="N16" s="44">
        <f>IF('2024年-挂账付款'!$AX16&gt;=SUM('2024年-挂账付款'!K16:$AH16),'2024年-挂账付款'!K16,IF('2024年-挂账付款'!$AX16-SUM('2024年-挂账付款'!L16:$AH16)&gt;0,'2024年-挂账付款'!$AX16-SUM('2024年-挂账付款'!L16:$AH16),0))</f>
        <v>0</v>
      </c>
      <c r="O16" s="44">
        <f>IF('2024年-挂账付款'!$AX16&gt;=SUM('2024年-挂账付款'!L16:$AH16),'2024年-挂账付款'!L16,IF('2024年-挂账付款'!$AX16-SUM('2024年-挂账付款'!M16:$AH16)&gt;0,'2024年-挂账付款'!$AX16-SUM('2024年-挂账付款'!M16:$AH16),0))</f>
        <v>0</v>
      </c>
      <c r="P16" s="44">
        <f>IF('2024年-挂账付款'!$AX16&gt;=SUM('2024年-挂账付款'!M16:$AH16),'2024年-挂账付款'!M16,IF('2024年-挂账付款'!$AX16-SUM('2024年-挂账付款'!N16:$AH16)&gt;0,'2024年-挂账付款'!$AX16-SUM('2024年-挂账付款'!N16:$AH16),0))</f>
        <v>0</v>
      </c>
      <c r="Q16" s="44">
        <f>IF('2024年-挂账付款'!$AX16&gt;=SUM('2024年-挂账付款'!N16:$AH16),'2024年-挂账付款'!N16,IF('2024年-挂账付款'!$AX16-SUM('2024年-挂账付款'!O16:$AH16)&gt;0,'2024年-挂账付款'!$AX16-SUM('2024年-挂账付款'!O16:$AH16),0))</f>
        <v>0</v>
      </c>
      <c r="R16" s="44">
        <f>IF('2024年-挂账付款'!$AX16&gt;=SUM('2024年-挂账付款'!O16:$AH16),'2024年-挂账付款'!O16,IF('2024年-挂账付款'!$AX16-SUM('2024年-挂账付款'!P16:$AH16)&gt;0,'2024年-挂账付款'!$AX16-SUM('2024年-挂账付款'!P16:$AH16),0))</f>
        <v>0</v>
      </c>
      <c r="S16" s="44">
        <f>IF('2024年-挂账付款'!$AX16&gt;=SUM('2024年-挂账付款'!P16:$AH16),'2024年-挂账付款'!P16,IF('2024年-挂账付款'!$AX16-SUM('2024年-挂账付款'!Q16:$AH16)&gt;0,'2024年-挂账付款'!$AX16-SUM('2024年-挂账付款'!Q16:$AH16),0))</f>
        <v>0</v>
      </c>
      <c r="T16" s="44">
        <f>IF('2024年-挂账付款'!$AX16&gt;=SUM('2024年-挂账付款'!Q16:$AH16),'2024年-挂账付款'!Q16,IF('2024年-挂账付款'!$AX16-SUM('2024年-挂账付款'!R16:$AH16)&gt;0,'2024年-挂账付款'!$AX16-SUM('2024年-挂账付款'!R16:$AH16),0))</f>
        <v>1627.2</v>
      </c>
      <c r="U16" s="44">
        <f>IF('2024年-挂账付款'!$AX16&gt;=SUM('2024年-挂账付款'!R16:$AH16),'2024年-挂账付款'!R16,IF('2024年-挂账付款'!$AX16-SUM('2024年-挂账付款'!S16:$AH16)&gt;0,'2024年-挂账付款'!$AX16-SUM('2024年-挂账付款'!S16:$AH16),0))</f>
        <v>1627.2</v>
      </c>
      <c r="V16" s="44">
        <f>IF('2024年-挂账付款'!$AX16&gt;=SUM('2024年-挂账付款'!S16:$AH16),'2024年-挂账付款'!S16,IF('2024年-挂账付款'!$AX16-SUM('2024年-挂账付款'!T16:$AH16)&gt;0,'2024年-挂账付款'!$AX16-SUM('2024年-挂账付款'!T16:$AH16),0))</f>
        <v>0</v>
      </c>
      <c r="W16" s="44">
        <f>IF('2024年-挂账付款'!$AX16&gt;=SUM('2024年-挂账付款'!T16:$AH16),'2024年-挂账付款'!T16,IF('2024年-挂账付款'!$AX16-SUM('2024年-挂账付款'!U16:$AH16)&gt;0,'2024年-挂账付款'!$AX16-SUM('2024年-挂账付款'!U16:$AH16),0))</f>
        <v>5424</v>
      </c>
      <c r="X16" s="44">
        <f>IF('2024年-挂账付款'!$AX16&gt;=SUM('2024年-挂账付款'!U16:$AH16),'2024年-挂账付款'!U16,IF('2024年-挂账付款'!$AX16-SUM('2024年-挂账付款'!V16:$AH16)&gt;0,'2024年-挂账付款'!$AX16-SUM('2024年-挂账付款'!V16:$AH16),0))</f>
        <v>3796.8</v>
      </c>
      <c r="Y16" s="44">
        <f>IF('2024年-挂账付款'!$AX16&gt;=SUM('2024年-挂账付款'!V16:$AH16),'2024年-挂账付款'!V16,IF('2024年-挂账付款'!$AX16-SUM('2024年-挂账付款'!W16:$AH16)&gt;0,'2024年-挂账付款'!$AX16-SUM('2024年-挂账付款'!W16:$AH16),0))</f>
        <v>6508.8</v>
      </c>
      <c r="Z16" s="44">
        <f>IF('2024年-挂账付款'!$AX16&gt;=SUM('2024年-挂账付款'!W16:$AH16),'2024年-挂账付款'!W16,IF('2024年-挂账付款'!$AX16-SUM('2024年-挂账付款'!X16:$AH16)&gt;0,'2024年-挂账付款'!$AX16-SUM('2024年-挂账付款'!X16:$AH16),0))</f>
        <v>0</v>
      </c>
      <c r="AA16" s="44">
        <f>IF('2024年-挂账付款'!$AX16&gt;=SUM('2024年-挂账付款'!X16:$AH16),'2024年-挂账付款'!X16,IF('2024年-挂账付款'!$AX16-SUM('2024年-挂账付款'!Y16:$AH16)&gt;0,'2024年-挂账付款'!$AX16-SUM('2024年-挂账付款'!Y16:$AH16),0))</f>
        <v>0</v>
      </c>
      <c r="AB16" s="44">
        <f>IF('2024年-挂账付款'!$AX16&gt;=SUM('2024年-挂账付款'!Y16:$AH16),'2024年-挂账付款'!Y16,IF('2024年-挂账付款'!$AX16-SUM('2024年-挂账付款'!Z16:$AH16)&gt;0,'2024年-挂账付款'!$AX16-SUM('2024年-挂账付款'!Z16:$AH16),0))</f>
        <v>0</v>
      </c>
      <c r="AC16" s="44">
        <f>IF('2024年-挂账付款'!$AX16&gt;=SUM('2024年-挂账付款'!Z16:$AH16),'2024年-挂账付款'!Z16,IF('2024年-挂账付款'!$AX16-SUM('2024年-挂账付款'!AA16:$AH16)&gt;0,'2024年-挂账付款'!$AX16-SUM('2024年-挂账付款'!AA16:$AH16),0))</f>
        <v>0</v>
      </c>
      <c r="AD16" s="44">
        <f>IF('2024年-挂账付款'!$AX16&gt;=SUM('2024年-挂账付款'!AA16:$AH16),'2024年-挂账付款'!AA16,IF('2024年-挂账付款'!$AX16-SUM('2024年-挂账付款'!AB16:$AH16)&gt;0,'2024年-挂账付款'!$AX16-SUM('2024年-挂账付款'!AB16:$AH16),0))</f>
        <v>0</v>
      </c>
      <c r="AE16" s="44">
        <f>IF('2024年-挂账付款'!$AX16&gt;=SUM('2024年-挂账付款'!AB16:$AH16),'2024年-挂账付款'!AB16,IF('2024年-挂账付款'!$AX16-SUM('2024年-挂账付款'!AC16:$AH16)&gt;0,'2024年-挂账付款'!$AX16-SUM('2024年-挂账付款'!AC16:$AH16),0))</f>
        <v>0</v>
      </c>
      <c r="AF16" s="44">
        <f>IF('2024年-挂账付款'!$AX16&gt;=SUM('2024年-挂账付款'!AC16:$AH16),'2024年-挂账付款'!AC16,IF('2024年-挂账付款'!$AX16-SUM('2024年-挂账付款'!AD16:$AH16)&gt;0,'2024年-挂账付款'!$AX16-SUM('2024年-挂账付款'!AD16:$AH16),0))</f>
        <v>0</v>
      </c>
      <c r="AG16" s="44">
        <f>IF('2024年-挂账付款'!$AX16&gt;=SUM('2024年-挂账付款'!AD16:$AH16),'2024年-挂账付款'!AD16,IF('2024年-挂账付款'!$AX16-SUM('2024年-挂账付款'!AE16:$AH16)&gt;0,'2024年-挂账付款'!$AX16-SUM('2024年-挂账付款'!AE16:$AH16),0))</f>
        <v>0</v>
      </c>
      <c r="AH16" s="44">
        <f>IF('2024年-挂账付款'!$AX16&gt;=SUM('2024年-挂账付款'!AE16:$AH16),'2024年-挂账付款'!AE16,IF('2024年-挂账付款'!$AX16-SUM('2024年-挂账付款'!AF16:$AH16)&gt;0,'2024年-挂账付款'!$AX16-SUM('2024年-挂账付款'!AF16:$AH16),0))</f>
        <v>0</v>
      </c>
      <c r="AI16" s="44">
        <f>IF('2024年-挂账付款'!$AX16&gt;=SUM('2024年-挂账付款'!AF16:$AH16),'2024年-挂账付款'!AF16,IF('2024年-挂账付款'!$AX16-SUM('2024年-挂账付款'!AG16:$AH16)&gt;0,'2024年-挂账付款'!$AX16-SUM('2024年-挂账付款'!AG16:$AH16),0))</f>
        <v>0</v>
      </c>
      <c r="AJ16" s="44">
        <f>IF('2024年-挂账付款'!$AX16&gt;=SUM('2024年-挂账付款'!AG16:$AH16),'2024年-挂账付款'!AG16,IF('2024年-挂账付款'!$AX16-SUM('2024年-挂账付款'!AH16:$AH16)&gt;0,'2024年-挂账付款'!$AX16-SUM('2024年-挂账付款'!AH16:$AH16),0))</f>
        <v>0</v>
      </c>
      <c r="AK16" s="44">
        <f>IF('2024年-挂账付款'!$AX16&gt;=SUM('2024年-挂账付款'!AH16:$AH16),'2024年-挂账付款'!AH16,IF('2024年-挂账付款'!$AX16-SUM('2024年-挂账付款'!$AH16:AI16)&gt;0,'2024年-挂账付款'!$AX16-SUM('2024年-挂账付款'!$AH16:AI16),0))</f>
        <v>0</v>
      </c>
      <c r="AL16" s="84" t="s">
        <v>427</v>
      </c>
      <c r="AM16" s="87"/>
      <c r="AN16" s="86">
        <f t="shared" si="0"/>
        <v>2531.2</v>
      </c>
      <c r="AO16" s="91"/>
      <c r="AP16" s="10">
        <f>'2024年-挂账付款'!AX16</f>
        <v>18984</v>
      </c>
      <c r="AQ16" s="101">
        <f t="shared" si="2"/>
        <v>0</v>
      </c>
    </row>
    <row r="17" s="10" customFormat="1" ht="24.05" customHeight="1" spans="2:43">
      <c r="B17" s="48" t="s">
        <v>81</v>
      </c>
      <c r="C17" s="46" t="s">
        <v>86</v>
      </c>
      <c r="D17" s="46" t="s">
        <v>328</v>
      </c>
      <c r="E17" s="41">
        <v>60</v>
      </c>
      <c r="F17" s="42">
        <f t="shared" si="3"/>
        <v>0</v>
      </c>
      <c r="G17" s="43" t="str">
        <f t="shared" si="1"/>
        <v>0</v>
      </c>
      <c r="H17" s="44">
        <f>IF('2024年-挂账付款'!$AX17&gt;=SUM('2024年-挂账付款'!E17:$AH17),'2024年-挂账付款'!E17,IF('2024年-挂账付款'!$AX17-SUM('2024年-挂账付款'!F17:$AH17)&gt;0,'2024年-挂账付款'!$AX17-SUM('2024年-挂账付款'!F17:$AH17),0))</f>
        <v>0</v>
      </c>
      <c r="I17" s="44">
        <f>IF('2024年-挂账付款'!$AX17&gt;=SUM('2024年-挂账付款'!F17:$AH17),'2024年-挂账付款'!F17,IF('2024年-挂账付款'!$AX17-SUM('2024年-挂账付款'!G17:$AH17)&gt;0,'2024年-挂账付款'!$AX17-SUM('2024年-挂账付款'!G17:$AH17),0))</f>
        <v>0</v>
      </c>
      <c r="J17" s="44">
        <f>IF('2024年-挂账付款'!$AX17&gt;=SUM('2024年-挂账付款'!G17:$AH17),'2024年-挂账付款'!G17,IF('2024年-挂账付款'!$AX17-SUM('2024年-挂账付款'!H17:$AH17)&gt;0,'2024年-挂账付款'!$AX17-SUM('2024年-挂账付款'!H17:$AH17),0))</f>
        <v>0</v>
      </c>
      <c r="K17" s="44">
        <f>IF('2024年-挂账付款'!$AX17&gt;=SUM('2024年-挂账付款'!H17:$AH17),'2024年-挂账付款'!H17,IF('2024年-挂账付款'!$AX17-SUM('2024年-挂账付款'!I17:$AH17)&gt;0,'2024年-挂账付款'!$AX17-SUM('2024年-挂账付款'!I17:$AH17),0))</f>
        <v>0</v>
      </c>
      <c r="L17" s="44">
        <f>IF('2024年-挂账付款'!$AX17&gt;=SUM('2024年-挂账付款'!I17:$AH17),'2024年-挂账付款'!I17,IF('2024年-挂账付款'!$AX17-SUM('2024年-挂账付款'!J17:$AH17)&gt;0,'2024年-挂账付款'!$AX17-SUM('2024年-挂账付款'!J17:$AH17),0))</f>
        <v>0</v>
      </c>
      <c r="M17" s="44" t="str">
        <f>IF('2024年-挂账付款'!$AX17&gt;=SUM('2024年-挂账付款'!J17:$AH17),'2024年-挂账付款'!J17,IF('2024年-挂账付款'!$AX17-SUM('2024年-挂账付款'!K17:$AH17)&gt;0,'2024年-挂账付款'!$AX17-SUM('2024年-挂账付款'!K17:$AH17),0))</f>
        <v/>
      </c>
      <c r="N17" s="44">
        <f>IF('2024年-挂账付款'!$AX17&gt;=SUM('2024年-挂账付款'!K17:$AH17),'2024年-挂账付款'!K17,IF('2024年-挂账付款'!$AX17-SUM('2024年-挂账付款'!L17:$AH17)&gt;0,'2024年-挂账付款'!$AX17-SUM('2024年-挂账付款'!L17:$AH17),0))</f>
        <v>0</v>
      </c>
      <c r="O17" s="44">
        <f>IF('2024年-挂账付款'!$AX17&gt;=SUM('2024年-挂账付款'!L17:$AH17),'2024年-挂账付款'!L17,IF('2024年-挂账付款'!$AX17-SUM('2024年-挂账付款'!M17:$AH17)&gt;0,'2024年-挂账付款'!$AX17-SUM('2024年-挂账付款'!M17:$AH17),0))</f>
        <v>0</v>
      </c>
      <c r="P17" s="44">
        <f>IF('2024年-挂账付款'!$AX17&gt;=SUM('2024年-挂账付款'!M17:$AH17),'2024年-挂账付款'!M17,IF('2024年-挂账付款'!$AX17-SUM('2024年-挂账付款'!N17:$AH17)&gt;0,'2024年-挂账付款'!$AX17-SUM('2024年-挂账付款'!N17:$AH17),0))</f>
        <v>0</v>
      </c>
      <c r="Q17" s="44">
        <f>IF('2024年-挂账付款'!$AX17&gt;=SUM('2024年-挂账付款'!N17:$AH17),'2024年-挂账付款'!N17,IF('2024年-挂账付款'!$AX17-SUM('2024年-挂账付款'!O17:$AH17)&gt;0,'2024年-挂账付款'!$AX17-SUM('2024年-挂账付款'!O17:$AH17),0))</f>
        <v>0</v>
      </c>
      <c r="R17" s="44">
        <f>IF('2024年-挂账付款'!$AX17&gt;=SUM('2024年-挂账付款'!O17:$AH17),'2024年-挂账付款'!O17,IF('2024年-挂账付款'!$AX17-SUM('2024年-挂账付款'!P17:$AH17)&gt;0,'2024年-挂账付款'!$AX17-SUM('2024年-挂账付款'!P17:$AH17),0))</f>
        <v>0</v>
      </c>
      <c r="S17" s="44">
        <f>IF('2024年-挂账付款'!$AX17&gt;=SUM('2024年-挂账付款'!P17:$AH17),'2024年-挂账付款'!P17,IF('2024年-挂账付款'!$AX17-SUM('2024年-挂账付款'!Q17:$AH17)&gt;0,'2024年-挂账付款'!$AX17-SUM('2024年-挂账付款'!Q17:$AH17),0))</f>
        <v>0</v>
      </c>
      <c r="T17" s="44">
        <f>IF('2024年-挂账付款'!$AX17&gt;=SUM('2024年-挂账付款'!Q17:$AH17),'2024年-挂账付款'!Q17,IF('2024年-挂账付款'!$AX17-SUM('2024年-挂账付款'!R17:$AH17)&gt;0,'2024年-挂账付款'!$AX17-SUM('2024年-挂账付款'!R17:$AH17),0))</f>
        <v>0</v>
      </c>
      <c r="U17" s="44">
        <f>IF('2024年-挂账付款'!$AX17&gt;=SUM('2024年-挂账付款'!R17:$AH17),'2024年-挂账付款'!R17,IF('2024年-挂账付款'!$AX17-SUM('2024年-挂账付款'!S17:$AH17)&gt;0,'2024年-挂账付款'!$AX17-SUM('2024年-挂账付款'!S17:$AH17),0))</f>
        <v>0</v>
      </c>
      <c r="V17" s="44">
        <f>IF('2024年-挂账付款'!$AX17&gt;=SUM('2024年-挂账付款'!S17:$AH17),'2024年-挂账付款'!S17,IF('2024年-挂账付款'!$AX17-SUM('2024年-挂账付款'!T17:$AH17)&gt;0,'2024年-挂账付款'!$AX17-SUM('2024年-挂账付款'!T17:$AH17),0))</f>
        <v>0</v>
      </c>
      <c r="W17" s="44">
        <f>IF('2024年-挂账付款'!$AX17&gt;=SUM('2024年-挂账付款'!T17:$AH17),'2024年-挂账付款'!T17,IF('2024年-挂账付款'!$AX17-SUM('2024年-挂账付款'!U17:$AH17)&gt;0,'2024年-挂账付款'!$AX17-SUM('2024年-挂账付款'!U17:$AH17),0))</f>
        <v>0</v>
      </c>
      <c r="X17" s="44">
        <f>IF('2024年-挂账付款'!$AX17&gt;=SUM('2024年-挂账付款'!U17:$AH17),'2024年-挂账付款'!U17,IF('2024年-挂账付款'!$AX17-SUM('2024年-挂账付款'!V17:$AH17)&gt;0,'2024年-挂账付款'!$AX17-SUM('2024年-挂账付款'!V17:$AH17),0))</f>
        <v>0</v>
      </c>
      <c r="Y17" s="44">
        <f>IF('2024年-挂账付款'!$AX17&gt;=SUM('2024年-挂账付款'!V17:$AH17),'2024年-挂账付款'!V17,IF('2024年-挂账付款'!$AX17-SUM('2024年-挂账付款'!W17:$AH17)&gt;0,'2024年-挂账付款'!$AX17-SUM('2024年-挂账付款'!W17:$AH17),0))</f>
        <v>0</v>
      </c>
      <c r="Z17" s="44">
        <f>IF('2024年-挂账付款'!$AX17&gt;=SUM('2024年-挂账付款'!W17:$AH17),'2024年-挂账付款'!W17,IF('2024年-挂账付款'!$AX17-SUM('2024年-挂账付款'!X17:$AH17)&gt;0,'2024年-挂账付款'!$AX17-SUM('2024年-挂账付款'!X17:$AH17),0))</f>
        <v>0</v>
      </c>
      <c r="AA17" s="44">
        <f>IF('2024年-挂账付款'!$AX17&gt;=SUM('2024年-挂账付款'!X17:$AH17),'2024年-挂账付款'!X17,IF('2024年-挂账付款'!$AX17-SUM('2024年-挂账付款'!Y17:$AH17)&gt;0,'2024年-挂账付款'!$AX17-SUM('2024年-挂账付款'!Y17:$AH17),0))</f>
        <v>0</v>
      </c>
      <c r="AB17" s="44">
        <f>IF('2024年-挂账付款'!$AX17&gt;=SUM('2024年-挂账付款'!Y17:$AH17),'2024年-挂账付款'!Y17,IF('2024年-挂账付款'!$AX17-SUM('2024年-挂账付款'!Z17:$AH17)&gt;0,'2024年-挂账付款'!$AX17-SUM('2024年-挂账付款'!Z17:$AH17),0))</f>
        <v>0</v>
      </c>
      <c r="AC17" s="44">
        <f>IF('2024年-挂账付款'!$AX17&gt;=SUM('2024年-挂账付款'!Z17:$AH17),'2024年-挂账付款'!Z17,IF('2024年-挂账付款'!$AX17-SUM('2024年-挂账付款'!AA17:$AH17)&gt;0,'2024年-挂账付款'!$AX17-SUM('2024年-挂账付款'!AA17:$AH17),0))</f>
        <v>0</v>
      </c>
      <c r="AD17" s="44">
        <f>IF('2024年-挂账付款'!$AX17&gt;=SUM('2024年-挂账付款'!AA17:$AH17),'2024年-挂账付款'!AA17,IF('2024年-挂账付款'!$AX17-SUM('2024年-挂账付款'!AB17:$AH17)&gt;0,'2024年-挂账付款'!$AX17-SUM('2024年-挂账付款'!AB17:$AH17),0))</f>
        <v>0</v>
      </c>
      <c r="AE17" s="44">
        <f>IF('2024年-挂账付款'!$AX17&gt;=SUM('2024年-挂账付款'!AB17:$AH17),'2024年-挂账付款'!AB17,IF('2024年-挂账付款'!$AX17-SUM('2024年-挂账付款'!AC17:$AH17)&gt;0,'2024年-挂账付款'!$AX17-SUM('2024年-挂账付款'!AC17:$AH17),0))</f>
        <v>0</v>
      </c>
      <c r="AF17" s="44">
        <f>IF('2024年-挂账付款'!$AX17&gt;=SUM('2024年-挂账付款'!AC17:$AH17),'2024年-挂账付款'!AC17,IF('2024年-挂账付款'!$AX17-SUM('2024年-挂账付款'!AD17:$AH17)&gt;0,'2024年-挂账付款'!$AX17-SUM('2024年-挂账付款'!AD17:$AH17),0))</f>
        <v>0</v>
      </c>
      <c r="AG17" s="44">
        <f>IF('2024年-挂账付款'!$AX17&gt;=SUM('2024年-挂账付款'!AD17:$AH17),'2024年-挂账付款'!AD17,IF('2024年-挂账付款'!$AX17-SUM('2024年-挂账付款'!AE17:$AH17)&gt;0,'2024年-挂账付款'!$AX17-SUM('2024年-挂账付款'!AE17:$AH17),0))</f>
        <v>0</v>
      </c>
      <c r="AH17" s="44">
        <f>IF('2024年-挂账付款'!$AX17&gt;=SUM('2024年-挂账付款'!AE17:$AH17),'2024年-挂账付款'!AE17,IF('2024年-挂账付款'!$AX17-SUM('2024年-挂账付款'!AF17:$AH17)&gt;0,'2024年-挂账付款'!$AX17-SUM('2024年-挂账付款'!AF17:$AH17),0))</f>
        <v>0</v>
      </c>
      <c r="AI17" s="44">
        <f>IF('2024年-挂账付款'!$AX17&gt;=SUM('2024年-挂账付款'!AF17:$AH17),'2024年-挂账付款'!AF17,IF('2024年-挂账付款'!$AX17-SUM('2024年-挂账付款'!AG17:$AH17)&gt;0,'2024年-挂账付款'!$AX17-SUM('2024年-挂账付款'!AG17:$AH17),0))</f>
        <v>0</v>
      </c>
      <c r="AJ17" s="44">
        <f>IF('2024年-挂账付款'!$AX17&gt;=SUM('2024年-挂账付款'!AG17:$AH17),'2024年-挂账付款'!AG17,IF('2024年-挂账付款'!$AX17-SUM('2024年-挂账付款'!AH17:$AH17)&gt;0,'2024年-挂账付款'!$AX17-SUM('2024年-挂账付款'!AH17:$AH17),0))</f>
        <v>0</v>
      </c>
      <c r="AK17" s="44">
        <f>IF('2024年-挂账付款'!$AX17&gt;=SUM('2024年-挂账付款'!AH17:$AH17),'2024年-挂账付款'!AH17,IF('2024年-挂账付款'!$AX17-SUM('2024年-挂账付款'!$AH17:AI17)&gt;0,'2024年-挂账付款'!$AX17-SUM('2024年-挂账付款'!$AH17:AI17),0))</f>
        <v>0</v>
      </c>
      <c r="AL17" s="88"/>
      <c r="AM17" s="89"/>
      <c r="AN17" s="86">
        <f t="shared" si="0"/>
        <v>0</v>
      </c>
      <c r="AO17" s="91"/>
      <c r="AP17" s="10">
        <f>'2024年-挂账付款'!AX17</f>
        <v>0</v>
      </c>
      <c r="AQ17" s="101">
        <f t="shared" si="2"/>
        <v>0</v>
      </c>
    </row>
    <row r="18" s="10" customFormat="1" ht="24.05" customHeight="1" spans="2:43">
      <c r="B18" s="48" t="s">
        <v>81</v>
      </c>
      <c r="C18" s="46" t="s">
        <v>295</v>
      </c>
      <c r="D18" s="46" t="s">
        <v>296</v>
      </c>
      <c r="E18" s="41">
        <v>60</v>
      </c>
      <c r="F18" s="42">
        <f t="shared" si="3"/>
        <v>0</v>
      </c>
      <c r="G18" s="43" t="str">
        <f t="shared" si="1"/>
        <v>0</v>
      </c>
      <c r="H18" s="44" t="str">
        <f>IF('2024年-挂账付款'!$AX18&gt;=SUM('2024年-挂账付款'!E18:$AH18),'2024年-挂账付款'!E18,IF('2024年-挂账付款'!$AX18-SUM('2024年-挂账付款'!F18:$AH18)&gt;0,'2024年-挂账付款'!$AX18-SUM('2024年-挂账付款'!F18:$AH18),0))</f>
        <v/>
      </c>
      <c r="I18" s="44" t="str">
        <f>IF('2024年-挂账付款'!$AX18&gt;=SUM('2024年-挂账付款'!F18:$AH18),'2024年-挂账付款'!F18,IF('2024年-挂账付款'!$AX18-SUM('2024年-挂账付款'!G18:$AH18)&gt;0,'2024年-挂账付款'!$AX18-SUM('2024年-挂账付款'!G18:$AH18),0))</f>
        <v/>
      </c>
      <c r="J18" s="44" t="str">
        <f>IF('2024年-挂账付款'!$AX18&gt;=SUM('2024年-挂账付款'!G18:$AH18),'2024年-挂账付款'!G18,IF('2024年-挂账付款'!$AX18-SUM('2024年-挂账付款'!H18:$AH18)&gt;0,'2024年-挂账付款'!$AX18-SUM('2024年-挂账付款'!H18:$AH18),0))</f>
        <v/>
      </c>
      <c r="K18" s="44">
        <f>IF('2024年-挂账付款'!$AX18&gt;=SUM('2024年-挂账付款'!H18:$AH18),'2024年-挂账付款'!H18,IF('2024年-挂账付款'!$AX18-SUM('2024年-挂账付款'!I18:$AH18)&gt;0,'2024年-挂账付款'!$AX18-SUM('2024年-挂账付款'!I18:$AH18),0))</f>
        <v>0</v>
      </c>
      <c r="L18" s="44">
        <f>IF('2024年-挂账付款'!$AX18&gt;=SUM('2024年-挂账付款'!I18:$AH18),'2024年-挂账付款'!I18,IF('2024年-挂账付款'!$AX18-SUM('2024年-挂账付款'!J18:$AH18)&gt;0,'2024年-挂账付款'!$AX18-SUM('2024年-挂账付款'!J18:$AH18),0))</f>
        <v>0</v>
      </c>
      <c r="M18" s="44" t="str">
        <f>IF('2024年-挂账付款'!$AX18&gt;=SUM('2024年-挂账付款'!J18:$AH18),'2024年-挂账付款'!J18,IF('2024年-挂账付款'!$AX18-SUM('2024年-挂账付款'!K18:$AH18)&gt;0,'2024年-挂账付款'!$AX18-SUM('2024年-挂账付款'!K18:$AH18),0))</f>
        <v/>
      </c>
      <c r="N18" s="44">
        <f>IF('2024年-挂账付款'!$AX18&gt;=SUM('2024年-挂账付款'!K18:$AH18),'2024年-挂账付款'!K18,IF('2024年-挂账付款'!$AX18-SUM('2024年-挂账付款'!L18:$AH18)&gt;0,'2024年-挂账付款'!$AX18-SUM('2024年-挂账付款'!L18:$AH18),0))</f>
        <v>0</v>
      </c>
      <c r="O18" s="44">
        <f>IF('2024年-挂账付款'!$AX18&gt;=SUM('2024年-挂账付款'!L18:$AH18),'2024年-挂账付款'!L18,IF('2024年-挂账付款'!$AX18-SUM('2024年-挂账付款'!M18:$AH18)&gt;0,'2024年-挂账付款'!$AX18-SUM('2024年-挂账付款'!M18:$AH18),0))</f>
        <v>0</v>
      </c>
      <c r="P18" s="44">
        <f>IF('2024年-挂账付款'!$AX18&gt;=SUM('2024年-挂账付款'!M18:$AH18),'2024年-挂账付款'!M18,IF('2024年-挂账付款'!$AX18-SUM('2024年-挂账付款'!N18:$AH18)&gt;0,'2024年-挂账付款'!$AX18-SUM('2024年-挂账付款'!N18:$AH18),0))</f>
        <v>0</v>
      </c>
      <c r="Q18" s="44">
        <f>IF('2024年-挂账付款'!$AX18&gt;=SUM('2024年-挂账付款'!N18:$AH18),'2024年-挂账付款'!N18,IF('2024年-挂账付款'!$AX18-SUM('2024年-挂账付款'!O18:$AH18)&gt;0,'2024年-挂账付款'!$AX18-SUM('2024年-挂账付款'!O18:$AH18),0))</f>
        <v>0</v>
      </c>
      <c r="R18" s="44">
        <f>IF('2024年-挂账付款'!$AX18&gt;=SUM('2024年-挂账付款'!O18:$AH18),'2024年-挂账付款'!O18,IF('2024年-挂账付款'!$AX18-SUM('2024年-挂账付款'!P18:$AH18)&gt;0,'2024年-挂账付款'!$AX18-SUM('2024年-挂账付款'!P18:$AH18),0))</f>
        <v>0</v>
      </c>
      <c r="S18" s="44">
        <f>IF('2024年-挂账付款'!$AX18&gt;=SUM('2024年-挂账付款'!P18:$AH18),'2024年-挂账付款'!P18,IF('2024年-挂账付款'!$AX18-SUM('2024年-挂账付款'!Q18:$AH18)&gt;0,'2024年-挂账付款'!$AX18-SUM('2024年-挂账付款'!Q18:$AH18),0))</f>
        <v>0</v>
      </c>
      <c r="T18" s="44">
        <f>IF('2024年-挂账付款'!$AX18&gt;=SUM('2024年-挂账付款'!Q18:$AH18),'2024年-挂账付款'!Q18,IF('2024年-挂账付款'!$AX18-SUM('2024年-挂账付款'!R18:$AH18)&gt;0,'2024年-挂账付款'!$AX18-SUM('2024年-挂账付款'!R18:$AH18),0))</f>
        <v>0</v>
      </c>
      <c r="U18" s="44">
        <f>IF('2024年-挂账付款'!$AX18&gt;=SUM('2024年-挂账付款'!R18:$AH18),'2024年-挂账付款'!R18,IF('2024年-挂账付款'!$AX18-SUM('2024年-挂账付款'!S18:$AH18)&gt;0,'2024年-挂账付款'!$AX18-SUM('2024年-挂账付款'!S18:$AH18),0))</f>
        <v>0</v>
      </c>
      <c r="V18" s="44">
        <f>IF('2024年-挂账付款'!$AX18&gt;=SUM('2024年-挂账付款'!S18:$AH18),'2024年-挂账付款'!S18,IF('2024年-挂账付款'!$AX18-SUM('2024年-挂账付款'!T18:$AH18)&gt;0,'2024年-挂账付款'!$AX18-SUM('2024年-挂账付款'!T18:$AH18),0))</f>
        <v>0</v>
      </c>
      <c r="W18" s="44">
        <f>IF('2024年-挂账付款'!$AX18&gt;=SUM('2024年-挂账付款'!T18:$AH18),'2024年-挂账付款'!T18,IF('2024年-挂账付款'!$AX18-SUM('2024年-挂账付款'!U18:$AH18)&gt;0,'2024年-挂账付款'!$AX18-SUM('2024年-挂账付款'!U18:$AH18),0))</f>
        <v>0</v>
      </c>
      <c r="X18" s="44">
        <f>IF('2024年-挂账付款'!$AX18&gt;=SUM('2024年-挂账付款'!U18:$AH18),'2024年-挂账付款'!U18,IF('2024年-挂账付款'!$AX18-SUM('2024年-挂账付款'!V18:$AH18)&gt;0,'2024年-挂账付款'!$AX18-SUM('2024年-挂账付款'!V18:$AH18),0))</f>
        <v>0</v>
      </c>
      <c r="Y18" s="44">
        <f>IF('2024年-挂账付款'!$AX18&gt;=SUM('2024年-挂账付款'!V18:$AH18),'2024年-挂账付款'!V18,IF('2024年-挂账付款'!$AX18-SUM('2024年-挂账付款'!W18:$AH18)&gt;0,'2024年-挂账付款'!$AX18-SUM('2024年-挂账付款'!W18:$AH18),0))</f>
        <v>0</v>
      </c>
      <c r="Z18" s="44">
        <f>IF('2024年-挂账付款'!$AX18&gt;=SUM('2024年-挂账付款'!W18:$AH18),'2024年-挂账付款'!W18,IF('2024年-挂账付款'!$AX18-SUM('2024年-挂账付款'!X18:$AH18)&gt;0,'2024年-挂账付款'!$AX18-SUM('2024年-挂账付款'!X18:$AH18),0))</f>
        <v>0</v>
      </c>
      <c r="AA18" s="44">
        <f>IF('2024年-挂账付款'!$AX18&gt;=SUM('2024年-挂账付款'!X18:$AH18),'2024年-挂账付款'!X18,IF('2024年-挂账付款'!$AX18-SUM('2024年-挂账付款'!Y18:$AH18)&gt;0,'2024年-挂账付款'!$AX18-SUM('2024年-挂账付款'!Y18:$AH18),0))</f>
        <v>0</v>
      </c>
      <c r="AB18" s="44">
        <f>IF('2024年-挂账付款'!$AX18&gt;=SUM('2024年-挂账付款'!Y18:$AH18),'2024年-挂账付款'!Y18,IF('2024年-挂账付款'!$AX18-SUM('2024年-挂账付款'!Z18:$AH18)&gt;0,'2024年-挂账付款'!$AX18-SUM('2024年-挂账付款'!Z18:$AH18),0))</f>
        <v>0</v>
      </c>
      <c r="AC18" s="44">
        <f>IF('2024年-挂账付款'!$AX18&gt;=SUM('2024年-挂账付款'!Z18:$AH18),'2024年-挂账付款'!Z18,IF('2024年-挂账付款'!$AX18-SUM('2024年-挂账付款'!AA18:$AH18)&gt;0,'2024年-挂账付款'!$AX18-SUM('2024年-挂账付款'!AA18:$AH18),0))</f>
        <v>0</v>
      </c>
      <c r="AD18" s="44">
        <f>IF('2024年-挂账付款'!$AX18&gt;=SUM('2024年-挂账付款'!AA18:$AH18),'2024年-挂账付款'!AA18,IF('2024年-挂账付款'!$AX18-SUM('2024年-挂账付款'!AB18:$AH18)&gt;0,'2024年-挂账付款'!$AX18-SUM('2024年-挂账付款'!AB18:$AH18),0))</f>
        <v>0</v>
      </c>
      <c r="AE18" s="44">
        <f>IF('2024年-挂账付款'!$AX18&gt;=SUM('2024年-挂账付款'!AB18:$AH18),'2024年-挂账付款'!AB18,IF('2024年-挂账付款'!$AX18-SUM('2024年-挂账付款'!AC18:$AH18)&gt;0,'2024年-挂账付款'!$AX18-SUM('2024年-挂账付款'!AC18:$AH18),0))</f>
        <v>0</v>
      </c>
      <c r="AF18" s="44">
        <f>IF('2024年-挂账付款'!$AX18&gt;=SUM('2024年-挂账付款'!AC18:$AH18),'2024年-挂账付款'!AC18,IF('2024年-挂账付款'!$AX18-SUM('2024年-挂账付款'!AD18:$AH18)&gt;0,'2024年-挂账付款'!$AX18-SUM('2024年-挂账付款'!AD18:$AH18),0))</f>
        <v>0</v>
      </c>
      <c r="AG18" s="44">
        <f>IF('2024年-挂账付款'!$AX18&gt;=SUM('2024年-挂账付款'!AD18:$AH18),'2024年-挂账付款'!AD18,IF('2024年-挂账付款'!$AX18-SUM('2024年-挂账付款'!AE18:$AH18)&gt;0,'2024年-挂账付款'!$AX18-SUM('2024年-挂账付款'!AE18:$AH18),0))</f>
        <v>0</v>
      </c>
      <c r="AH18" s="44">
        <f>IF('2024年-挂账付款'!$AX18&gt;=SUM('2024年-挂账付款'!AE18:$AH18),'2024年-挂账付款'!AE18,IF('2024年-挂账付款'!$AX18-SUM('2024年-挂账付款'!AF18:$AH18)&gt;0,'2024年-挂账付款'!$AX18-SUM('2024年-挂账付款'!AF18:$AH18),0))</f>
        <v>0</v>
      </c>
      <c r="AI18" s="44">
        <f>IF('2024年-挂账付款'!$AX18&gt;=SUM('2024年-挂账付款'!AF18:$AH18),'2024年-挂账付款'!AF18,IF('2024年-挂账付款'!$AX18-SUM('2024年-挂账付款'!AG18:$AH18)&gt;0,'2024年-挂账付款'!$AX18-SUM('2024年-挂账付款'!AG18:$AH18),0))</f>
        <v>0</v>
      </c>
      <c r="AJ18" s="44">
        <f>IF('2024年-挂账付款'!$AX18&gt;=SUM('2024年-挂账付款'!AG18:$AH18),'2024年-挂账付款'!AG18,IF('2024年-挂账付款'!$AX18-SUM('2024年-挂账付款'!AH18:$AH18)&gt;0,'2024年-挂账付款'!$AX18-SUM('2024年-挂账付款'!AH18:$AH18),0))</f>
        <v>0</v>
      </c>
      <c r="AK18" s="44">
        <f>IF('2024年-挂账付款'!$AX18&gt;=SUM('2024年-挂账付款'!AH18:$AH18),'2024年-挂账付款'!AH18,IF('2024年-挂账付款'!$AX18-SUM('2024年-挂账付款'!$AH18:AI18)&gt;0,'2024年-挂账付款'!$AX18-SUM('2024年-挂账付款'!$AH18:AI18),0))</f>
        <v>0</v>
      </c>
      <c r="AL18" s="88"/>
      <c r="AM18" s="90"/>
      <c r="AN18" s="91"/>
      <c r="AO18" s="91"/>
      <c r="AP18" s="10">
        <f>'2024年-挂账付款'!AX18</f>
        <v>0</v>
      </c>
      <c r="AQ18" s="101">
        <f t="shared" si="2"/>
        <v>0</v>
      </c>
    </row>
    <row r="19" s="10" customFormat="1" ht="24.05" customHeight="1" spans="2:43">
      <c r="B19" s="48" t="s">
        <v>81</v>
      </c>
      <c r="C19" s="46" t="s">
        <v>318</v>
      </c>
      <c r="D19" s="46" t="s">
        <v>319</v>
      </c>
      <c r="E19" s="41">
        <v>60</v>
      </c>
      <c r="F19" s="42">
        <f t="shared" si="3"/>
        <v>0</v>
      </c>
      <c r="G19" s="43" t="str">
        <f t="shared" si="1"/>
        <v>0</v>
      </c>
      <c r="H19" s="44" t="str">
        <f>IF('2024年-挂账付款'!$AX19&gt;=SUM('2024年-挂账付款'!E19:$AH19),'2024年-挂账付款'!E19,IF('2024年-挂账付款'!$AX19-SUM('2024年-挂账付款'!F19:$AH19)&gt;0,'2024年-挂账付款'!$AX19-SUM('2024年-挂账付款'!F19:$AH19),0))</f>
        <v/>
      </c>
      <c r="I19" s="44" t="str">
        <f>IF('2024年-挂账付款'!$AX19&gt;=SUM('2024年-挂账付款'!F19:$AH19),'2024年-挂账付款'!F19,IF('2024年-挂账付款'!$AX19-SUM('2024年-挂账付款'!G19:$AH19)&gt;0,'2024年-挂账付款'!$AX19-SUM('2024年-挂账付款'!G19:$AH19),0))</f>
        <v/>
      </c>
      <c r="J19" s="44" t="str">
        <f>IF('2024年-挂账付款'!$AX19&gt;=SUM('2024年-挂账付款'!G19:$AH19),'2024年-挂账付款'!G19,IF('2024年-挂账付款'!$AX19-SUM('2024年-挂账付款'!H19:$AH19)&gt;0,'2024年-挂账付款'!$AX19-SUM('2024年-挂账付款'!H19:$AH19),0))</f>
        <v/>
      </c>
      <c r="K19" s="44">
        <f>IF('2024年-挂账付款'!$AX19&gt;=SUM('2024年-挂账付款'!H19:$AH19),'2024年-挂账付款'!H19,IF('2024年-挂账付款'!$AX19-SUM('2024年-挂账付款'!I19:$AH19)&gt;0,'2024年-挂账付款'!$AX19-SUM('2024年-挂账付款'!I19:$AH19),0))</f>
        <v>0</v>
      </c>
      <c r="L19" s="44">
        <f>IF('2024年-挂账付款'!$AX19&gt;=SUM('2024年-挂账付款'!I19:$AH19),'2024年-挂账付款'!I19,IF('2024年-挂账付款'!$AX19-SUM('2024年-挂账付款'!J19:$AH19)&gt;0,'2024年-挂账付款'!$AX19-SUM('2024年-挂账付款'!J19:$AH19),0))</f>
        <v>0</v>
      </c>
      <c r="M19" s="44" t="str">
        <f>IF('2024年-挂账付款'!$AX19&gt;=SUM('2024年-挂账付款'!J19:$AH19),'2024年-挂账付款'!J19,IF('2024年-挂账付款'!$AX19-SUM('2024年-挂账付款'!K19:$AH19)&gt;0,'2024年-挂账付款'!$AX19-SUM('2024年-挂账付款'!K19:$AH19),0))</f>
        <v/>
      </c>
      <c r="N19" s="44">
        <f>IF('2024年-挂账付款'!$AX19&gt;=SUM('2024年-挂账付款'!K19:$AH19),'2024年-挂账付款'!K19,IF('2024年-挂账付款'!$AX19-SUM('2024年-挂账付款'!L19:$AH19)&gt;0,'2024年-挂账付款'!$AX19-SUM('2024年-挂账付款'!L19:$AH19),0))</f>
        <v>0</v>
      </c>
      <c r="O19" s="44">
        <f>IF('2024年-挂账付款'!$AX19&gt;=SUM('2024年-挂账付款'!L19:$AH19),'2024年-挂账付款'!L19,IF('2024年-挂账付款'!$AX19-SUM('2024年-挂账付款'!M19:$AH19)&gt;0,'2024年-挂账付款'!$AX19-SUM('2024年-挂账付款'!M19:$AH19),0))</f>
        <v>0</v>
      </c>
      <c r="P19" s="44">
        <f>IF('2024年-挂账付款'!$AX19&gt;=SUM('2024年-挂账付款'!M19:$AH19),'2024年-挂账付款'!M19,IF('2024年-挂账付款'!$AX19-SUM('2024年-挂账付款'!N19:$AH19)&gt;0,'2024年-挂账付款'!$AX19-SUM('2024年-挂账付款'!N19:$AH19),0))</f>
        <v>0</v>
      </c>
      <c r="Q19" s="44">
        <f>IF('2024年-挂账付款'!$AX19&gt;=SUM('2024年-挂账付款'!N19:$AH19),'2024年-挂账付款'!N19,IF('2024年-挂账付款'!$AX19-SUM('2024年-挂账付款'!O19:$AH19)&gt;0,'2024年-挂账付款'!$AX19-SUM('2024年-挂账付款'!O19:$AH19),0))</f>
        <v>0</v>
      </c>
      <c r="R19" s="44">
        <f>IF('2024年-挂账付款'!$AX19&gt;=SUM('2024年-挂账付款'!O19:$AH19),'2024年-挂账付款'!O19,IF('2024年-挂账付款'!$AX19-SUM('2024年-挂账付款'!P19:$AH19)&gt;0,'2024年-挂账付款'!$AX19-SUM('2024年-挂账付款'!P19:$AH19),0))</f>
        <v>0</v>
      </c>
      <c r="S19" s="44">
        <f>IF('2024年-挂账付款'!$AX19&gt;=SUM('2024年-挂账付款'!P19:$AH19),'2024年-挂账付款'!P19,IF('2024年-挂账付款'!$AX19-SUM('2024年-挂账付款'!Q19:$AH19)&gt;0,'2024年-挂账付款'!$AX19-SUM('2024年-挂账付款'!Q19:$AH19),0))</f>
        <v>0</v>
      </c>
      <c r="T19" s="44">
        <f>IF('2024年-挂账付款'!$AX19&gt;=SUM('2024年-挂账付款'!Q19:$AH19),'2024年-挂账付款'!Q19,IF('2024年-挂账付款'!$AX19-SUM('2024年-挂账付款'!R19:$AH19)&gt;0,'2024年-挂账付款'!$AX19-SUM('2024年-挂账付款'!R19:$AH19),0))</f>
        <v>0</v>
      </c>
      <c r="U19" s="44">
        <f>IF('2024年-挂账付款'!$AX19&gt;=SUM('2024年-挂账付款'!R19:$AH19),'2024年-挂账付款'!R19,IF('2024年-挂账付款'!$AX19-SUM('2024年-挂账付款'!S19:$AH19)&gt;0,'2024年-挂账付款'!$AX19-SUM('2024年-挂账付款'!S19:$AH19),0))</f>
        <v>0</v>
      </c>
      <c r="V19" s="44">
        <f>IF('2024年-挂账付款'!$AX19&gt;=SUM('2024年-挂账付款'!S19:$AH19),'2024年-挂账付款'!S19,IF('2024年-挂账付款'!$AX19-SUM('2024年-挂账付款'!T19:$AH19)&gt;0,'2024年-挂账付款'!$AX19-SUM('2024年-挂账付款'!T19:$AH19),0))</f>
        <v>0</v>
      </c>
      <c r="W19" s="44">
        <f>IF('2024年-挂账付款'!$AX19&gt;=SUM('2024年-挂账付款'!T19:$AH19),'2024年-挂账付款'!T19,IF('2024年-挂账付款'!$AX19-SUM('2024年-挂账付款'!U19:$AH19)&gt;0,'2024年-挂账付款'!$AX19-SUM('2024年-挂账付款'!U19:$AH19),0))</f>
        <v>0</v>
      </c>
      <c r="X19" s="44">
        <f>IF('2024年-挂账付款'!$AX19&gt;=SUM('2024年-挂账付款'!U19:$AH19),'2024年-挂账付款'!U19,IF('2024年-挂账付款'!$AX19-SUM('2024年-挂账付款'!V19:$AH19)&gt;0,'2024年-挂账付款'!$AX19-SUM('2024年-挂账付款'!V19:$AH19),0))</f>
        <v>0</v>
      </c>
      <c r="Y19" s="44">
        <f>IF('2024年-挂账付款'!$AX19&gt;=SUM('2024年-挂账付款'!V19:$AH19),'2024年-挂账付款'!V19,IF('2024年-挂账付款'!$AX19-SUM('2024年-挂账付款'!W19:$AH19)&gt;0,'2024年-挂账付款'!$AX19-SUM('2024年-挂账付款'!W19:$AH19),0))</f>
        <v>0</v>
      </c>
      <c r="Z19" s="44">
        <f>IF('2024年-挂账付款'!$AX19&gt;=SUM('2024年-挂账付款'!W19:$AH19),'2024年-挂账付款'!W19,IF('2024年-挂账付款'!$AX19-SUM('2024年-挂账付款'!X19:$AH19)&gt;0,'2024年-挂账付款'!$AX19-SUM('2024年-挂账付款'!X19:$AH19),0))</f>
        <v>0</v>
      </c>
      <c r="AA19" s="44">
        <f>IF('2024年-挂账付款'!$AX19&gt;=SUM('2024年-挂账付款'!X19:$AH19),'2024年-挂账付款'!X19,IF('2024年-挂账付款'!$AX19-SUM('2024年-挂账付款'!Y19:$AH19)&gt;0,'2024年-挂账付款'!$AX19-SUM('2024年-挂账付款'!Y19:$AH19),0))</f>
        <v>0</v>
      </c>
      <c r="AB19" s="44">
        <f>IF('2024年-挂账付款'!$AX19&gt;=SUM('2024年-挂账付款'!Y19:$AH19),'2024年-挂账付款'!Y19,IF('2024年-挂账付款'!$AX19-SUM('2024年-挂账付款'!Z19:$AH19)&gt;0,'2024年-挂账付款'!$AX19-SUM('2024年-挂账付款'!Z19:$AH19),0))</f>
        <v>0</v>
      </c>
      <c r="AC19" s="44">
        <f>IF('2024年-挂账付款'!$AX19&gt;=SUM('2024年-挂账付款'!Z19:$AH19),'2024年-挂账付款'!Z19,IF('2024年-挂账付款'!$AX19-SUM('2024年-挂账付款'!AA19:$AH19)&gt;0,'2024年-挂账付款'!$AX19-SUM('2024年-挂账付款'!AA19:$AH19),0))</f>
        <v>0</v>
      </c>
      <c r="AD19" s="44">
        <f>IF('2024年-挂账付款'!$AX19&gt;=SUM('2024年-挂账付款'!AA19:$AH19),'2024年-挂账付款'!AA19,IF('2024年-挂账付款'!$AX19-SUM('2024年-挂账付款'!AB19:$AH19)&gt;0,'2024年-挂账付款'!$AX19-SUM('2024年-挂账付款'!AB19:$AH19),0))</f>
        <v>0</v>
      </c>
      <c r="AE19" s="44">
        <f>IF('2024年-挂账付款'!$AX19&gt;=SUM('2024年-挂账付款'!AB19:$AH19),'2024年-挂账付款'!AB19,IF('2024年-挂账付款'!$AX19-SUM('2024年-挂账付款'!AC19:$AH19)&gt;0,'2024年-挂账付款'!$AX19-SUM('2024年-挂账付款'!AC19:$AH19),0))</f>
        <v>0</v>
      </c>
      <c r="AF19" s="44">
        <f>IF('2024年-挂账付款'!$AX19&gt;=SUM('2024年-挂账付款'!AC19:$AH19),'2024年-挂账付款'!AC19,IF('2024年-挂账付款'!$AX19-SUM('2024年-挂账付款'!AD19:$AH19)&gt;0,'2024年-挂账付款'!$AX19-SUM('2024年-挂账付款'!AD19:$AH19),0))</f>
        <v>0</v>
      </c>
      <c r="AG19" s="44">
        <f>IF('2024年-挂账付款'!$AX19&gt;=SUM('2024年-挂账付款'!AD19:$AH19),'2024年-挂账付款'!AD19,IF('2024年-挂账付款'!$AX19-SUM('2024年-挂账付款'!AE19:$AH19)&gt;0,'2024年-挂账付款'!$AX19-SUM('2024年-挂账付款'!AE19:$AH19),0))</f>
        <v>0</v>
      </c>
      <c r="AH19" s="44">
        <f>IF('2024年-挂账付款'!$AX19&gt;=SUM('2024年-挂账付款'!AE19:$AH19),'2024年-挂账付款'!AE19,IF('2024年-挂账付款'!$AX19-SUM('2024年-挂账付款'!AF19:$AH19)&gt;0,'2024年-挂账付款'!$AX19-SUM('2024年-挂账付款'!AF19:$AH19),0))</f>
        <v>0</v>
      </c>
      <c r="AI19" s="44">
        <f>IF('2024年-挂账付款'!$AX19&gt;=SUM('2024年-挂账付款'!AF19:$AH19),'2024年-挂账付款'!AF19,IF('2024年-挂账付款'!$AX19-SUM('2024年-挂账付款'!AG19:$AH19)&gt;0,'2024年-挂账付款'!$AX19-SUM('2024年-挂账付款'!AG19:$AH19),0))</f>
        <v>0</v>
      </c>
      <c r="AJ19" s="44">
        <f>IF('2024年-挂账付款'!$AX19&gt;=SUM('2024年-挂账付款'!AG19:$AH19),'2024年-挂账付款'!AG19,IF('2024年-挂账付款'!$AX19-SUM('2024年-挂账付款'!AH19:$AH19)&gt;0,'2024年-挂账付款'!$AX19-SUM('2024年-挂账付款'!AH19:$AH19),0))</f>
        <v>0</v>
      </c>
      <c r="AK19" s="44">
        <f>IF('2024年-挂账付款'!$AX19&gt;=SUM('2024年-挂账付款'!AH19:$AH19),'2024年-挂账付款'!AH19,IF('2024年-挂账付款'!$AX19-SUM('2024年-挂账付款'!$AH19:AI19)&gt;0,'2024年-挂账付款'!$AX19-SUM('2024年-挂账付款'!$AH19:AI19),0))</f>
        <v>0</v>
      </c>
      <c r="AL19" s="88"/>
      <c r="AM19" s="89"/>
      <c r="AN19" s="86">
        <f t="shared" ref="AN19:AN49" si="4">SUM(T19:Y19)/6*0.8</f>
        <v>0</v>
      </c>
      <c r="AO19" s="91"/>
      <c r="AP19" s="10">
        <f>'2024年-挂账付款'!AX19</f>
        <v>0</v>
      </c>
      <c r="AQ19" s="101">
        <f t="shared" si="2"/>
        <v>0</v>
      </c>
    </row>
    <row r="20" s="10" customFormat="1" ht="24.05" customHeight="1" spans="2:43">
      <c r="B20" s="48" t="s">
        <v>81</v>
      </c>
      <c r="C20" s="46" t="s">
        <v>90</v>
      </c>
      <c r="D20" s="46" t="s">
        <v>91</v>
      </c>
      <c r="E20" s="41">
        <v>90</v>
      </c>
      <c r="F20" s="42">
        <f t="shared" ref="F20:F55" si="5">IF(SUM(H20:V20)&gt;0,SUM(H20:V20),0)</f>
        <v>114643</v>
      </c>
      <c r="G20" s="43">
        <f t="shared" si="1"/>
        <v>264557.84</v>
      </c>
      <c r="H20" s="44">
        <f>IF('2024年-挂账付款'!$AX20&gt;=SUM('2024年-挂账付款'!E20:$AH20),'2024年-挂账付款'!E20,IF('2024年-挂账付款'!$AX20-SUM('2024年-挂账付款'!F20:$AH20)&gt;0,'2024年-挂账付款'!$AX20-SUM('2024年-挂账付款'!F20:$AH20),0))</f>
        <v>0</v>
      </c>
      <c r="I20" s="44">
        <f>IF('2024年-挂账付款'!$AX20&gt;=SUM('2024年-挂账付款'!F20:$AH20),'2024年-挂账付款'!F20,IF('2024年-挂账付款'!$AX20-SUM('2024年-挂账付款'!G20:$AH20)&gt;0,'2024年-挂账付款'!$AX20-SUM('2024年-挂账付款'!G20:$AH20),0))</f>
        <v>0</v>
      </c>
      <c r="J20" s="44">
        <f>IF('2024年-挂账付款'!$AX20&gt;=SUM('2024年-挂账付款'!G20:$AH20),'2024年-挂账付款'!G20,IF('2024年-挂账付款'!$AX20-SUM('2024年-挂账付款'!H20:$AH20)&gt;0,'2024年-挂账付款'!$AX20-SUM('2024年-挂账付款'!H20:$AH20),0))</f>
        <v>0</v>
      </c>
      <c r="K20" s="44">
        <f>IF('2024年-挂账付款'!$AX20&gt;=SUM('2024年-挂账付款'!H20:$AH20),'2024年-挂账付款'!H20,IF('2024年-挂账付款'!$AX20-SUM('2024年-挂账付款'!I20:$AH20)&gt;0,'2024年-挂账付款'!$AX20-SUM('2024年-挂账付款'!I20:$AH20),0))</f>
        <v>8535.99999999997</v>
      </c>
      <c r="L20" s="44">
        <f>IF('2024年-挂账付款'!$AX20&gt;=SUM('2024年-挂账付款'!I20:$AH20),'2024年-挂账付款'!I20,IF('2024年-挂账付款'!$AX20-SUM('2024年-挂账付款'!J20:$AH20)&gt;0,'2024年-挂账付款'!$AX20-SUM('2024年-挂账付款'!J20:$AH20),0))</f>
        <v>19097</v>
      </c>
      <c r="M20" s="44">
        <f>IF('2024年-挂账付款'!$AX20&gt;=SUM('2024年-挂账付款'!J20:$AH20),'2024年-挂账付款'!J20,IF('2024年-挂账付款'!$AX20-SUM('2024年-挂账付款'!K20:$AH20)&gt;0,'2024年-挂账付款'!$AX20-SUM('2024年-挂账付款'!K20:$AH20),0))</f>
        <v>0</v>
      </c>
      <c r="N20" s="44">
        <f>IF('2024年-挂账付款'!$AX20&gt;=SUM('2024年-挂账付款'!K20:$AH20),'2024年-挂账付款'!K20,IF('2024年-挂账付款'!$AX20-SUM('2024年-挂账付款'!L20:$AH20)&gt;0,'2024年-挂账付款'!$AX20-SUM('2024年-挂账付款'!L20:$AH20),0))</f>
        <v>49042</v>
      </c>
      <c r="O20" s="44">
        <f>IF('2024年-挂账付款'!$AX20&gt;=SUM('2024年-挂账付款'!L20:$AH20),'2024年-挂账付款'!L20,IF('2024年-挂账付款'!$AX20-SUM('2024年-挂账付款'!M20:$AH20)&gt;0,'2024年-挂账付款'!$AX20-SUM('2024年-挂账付款'!M20:$AH20),0))</f>
        <v>0</v>
      </c>
      <c r="P20" s="44">
        <f>IF('2024年-挂账付款'!$AX20&gt;=SUM('2024年-挂账付款'!M20:$AH20),'2024年-挂账付款'!M20,IF('2024年-挂账付款'!$AX20-SUM('2024年-挂账付款'!N20:$AH20)&gt;0,'2024年-挂账付款'!$AX20-SUM('2024年-挂账付款'!N20:$AH20),0))</f>
        <v>0</v>
      </c>
      <c r="Q20" s="44">
        <f>IF('2024年-挂账付款'!$AX20&gt;=SUM('2024年-挂账付款'!N20:$AH20),'2024年-挂账付款'!N20,IF('2024年-挂账付款'!$AX20-SUM('2024年-挂账付款'!O20:$AH20)&gt;0,'2024年-挂账付款'!$AX20-SUM('2024年-挂账付款'!O20:$AH20),0))</f>
        <v>0</v>
      </c>
      <c r="R20" s="44">
        <f>IF('2024年-挂账付款'!$AX20&gt;=SUM('2024年-挂账付款'!O20:$AH20),'2024年-挂账付款'!O20,IF('2024年-挂账付款'!$AX20-SUM('2024年-挂账付款'!P20:$AH20)&gt;0,'2024年-挂账付款'!$AX20-SUM('2024年-挂账付款'!P20:$AH20),0))</f>
        <v>21696</v>
      </c>
      <c r="S20" s="44">
        <f>IF('2024年-挂账付款'!$AX20&gt;=SUM('2024年-挂账付款'!P20:$AH20),'2024年-挂账付款'!P20,IF('2024年-挂账付款'!$AX20-SUM('2024年-挂账付款'!Q20:$AH20)&gt;0,'2024年-挂账付款'!$AX20-SUM('2024年-挂账付款'!Q20:$AH20),0))</f>
        <v>0</v>
      </c>
      <c r="T20" s="44">
        <f>IF('2024年-挂账付款'!$AX20&gt;=SUM('2024年-挂账付款'!Q20:$AH20),'2024年-挂账付款'!Q20,IF('2024年-挂账付款'!$AX20-SUM('2024年-挂账付款'!R20:$AH20)&gt;0,'2024年-挂账付款'!$AX20-SUM('2024年-挂账付款'!R20:$AH20),0))</f>
        <v>16272</v>
      </c>
      <c r="U20" s="44">
        <f>IF('2024年-挂账付款'!$AX20&gt;=SUM('2024年-挂账付款'!R20:$AH20),'2024年-挂账付款'!R20,IF('2024年-挂账付款'!$AX20-SUM('2024年-挂账付款'!S20:$AH20)&gt;0,'2024年-挂账付款'!$AX20-SUM('2024年-挂账付款'!S20:$AH20),0))</f>
        <v>0</v>
      </c>
      <c r="V20" s="44">
        <f>IF('2024年-挂账付款'!$AX20&gt;=SUM('2024年-挂账付款'!S20:$AH20),'2024年-挂账付款'!S20,IF('2024年-挂账付款'!$AX20-SUM('2024年-挂账付款'!T20:$AH20)&gt;0,'2024年-挂账付款'!$AX20-SUM('2024年-挂账付款'!T20:$AH20),0))</f>
        <v>0</v>
      </c>
      <c r="W20" s="44">
        <f>IF('2024年-挂账付款'!$AX20&gt;=SUM('2024年-挂账付款'!T20:$AH20),'2024年-挂账付款'!T20,IF('2024年-挂账付款'!$AX20-SUM('2024年-挂账付款'!U20:$AH20)&gt;0,'2024年-挂账付款'!$AX20-SUM('2024年-挂账付款'!U20:$AH20),0))</f>
        <v>0</v>
      </c>
      <c r="X20" s="44">
        <f>IF('2024年-挂账付款'!$AX20&gt;=SUM('2024年-挂账付款'!U20:$AH20),'2024年-挂账付款'!U20,IF('2024年-挂账付款'!$AX20-SUM('2024年-挂账付款'!V20:$AH20)&gt;0,'2024年-挂账付款'!$AX20-SUM('2024年-挂账付款'!V20:$AH20),0))</f>
        <v>0</v>
      </c>
      <c r="Y20" s="44">
        <f>IF('2024年-挂账付款'!$AX20&gt;=SUM('2024年-挂账付款'!V20:$AH20),'2024年-挂账付款'!V20,IF('2024年-挂账付款'!$AX20-SUM('2024年-挂账付款'!W20:$AH20)&gt;0,'2024年-挂账付款'!$AX20-SUM('2024年-挂账付款'!W20:$AH20),0))</f>
        <v>149914.84</v>
      </c>
      <c r="Z20" s="44">
        <f>IF('2024年-挂账付款'!$AX20&gt;=SUM('2024年-挂账付款'!W20:$AH20),'2024年-挂账付款'!W20,IF('2024年-挂账付款'!$AX20-SUM('2024年-挂账付款'!X20:$AH20)&gt;0,'2024年-挂账付款'!$AX20-SUM('2024年-挂账付款'!X20:$AH20),0))</f>
        <v>0</v>
      </c>
      <c r="AA20" s="44">
        <f>IF('2024年-挂账付款'!$AX20&gt;=SUM('2024年-挂账付款'!X20:$AH20),'2024年-挂账付款'!X20,IF('2024年-挂账付款'!$AX20-SUM('2024年-挂账付款'!Y20:$AH20)&gt;0,'2024年-挂账付款'!$AX20-SUM('2024年-挂账付款'!Y20:$AH20),0))</f>
        <v>0</v>
      </c>
      <c r="AB20" s="44">
        <f>IF('2024年-挂账付款'!$AX20&gt;=SUM('2024年-挂账付款'!Y20:$AH20),'2024年-挂账付款'!Y20,IF('2024年-挂账付款'!$AX20-SUM('2024年-挂账付款'!Z20:$AH20)&gt;0,'2024年-挂账付款'!$AX20-SUM('2024年-挂账付款'!Z20:$AH20),0))</f>
        <v>0</v>
      </c>
      <c r="AC20" s="44">
        <f>IF('2024年-挂账付款'!$AX20&gt;=SUM('2024年-挂账付款'!Z20:$AH20),'2024年-挂账付款'!Z20,IF('2024年-挂账付款'!$AX20-SUM('2024年-挂账付款'!AA20:$AH20)&gt;0,'2024年-挂账付款'!$AX20-SUM('2024年-挂账付款'!AA20:$AH20),0))</f>
        <v>0</v>
      </c>
      <c r="AD20" s="44">
        <f>IF('2024年-挂账付款'!$AX20&gt;=SUM('2024年-挂账付款'!AA20:$AH20),'2024年-挂账付款'!AA20,IF('2024年-挂账付款'!$AX20-SUM('2024年-挂账付款'!AB20:$AH20)&gt;0,'2024年-挂账付款'!$AX20-SUM('2024年-挂账付款'!AB20:$AH20),0))</f>
        <v>0</v>
      </c>
      <c r="AE20" s="44">
        <f>IF('2024年-挂账付款'!$AX20&gt;=SUM('2024年-挂账付款'!AB20:$AH20),'2024年-挂账付款'!AB20,IF('2024年-挂账付款'!$AX20-SUM('2024年-挂账付款'!AC20:$AH20)&gt;0,'2024年-挂账付款'!$AX20-SUM('2024年-挂账付款'!AC20:$AH20),0))</f>
        <v>0</v>
      </c>
      <c r="AF20" s="44">
        <f>IF('2024年-挂账付款'!$AX20&gt;=SUM('2024年-挂账付款'!AC20:$AH20),'2024年-挂账付款'!AC20,IF('2024年-挂账付款'!$AX20-SUM('2024年-挂账付款'!AD20:$AH20)&gt;0,'2024年-挂账付款'!$AX20-SUM('2024年-挂账付款'!AD20:$AH20),0))</f>
        <v>0</v>
      </c>
      <c r="AG20" s="44">
        <f>IF('2024年-挂账付款'!$AX20&gt;=SUM('2024年-挂账付款'!AD20:$AH20),'2024年-挂账付款'!AD20,IF('2024年-挂账付款'!$AX20-SUM('2024年-挂账付款'!AE20:$AH20)&gt;0,'2024年-挂账付款'!$AX20-SUM('2024年-挂账付款'!AE20:$AH20),0))</f>
        <v>0</v>
      </c>
      <c r="AH20" s="44">
        <f>IF('2024年-挂账付款'!$AX20&gt;=SUM('2024年-挂账付款'!AE20:$AH20),'2024年-挂账付款'!AE20,IF('2024年-挂账付款'!$AX20-SUM('2024年-挂账付款'!AF20:$AH20)&gt;0,'2024年-挂账付款'!$AX20-SUM('2024年-挂账付款'!AF20:$AH20),0))</f>
        <v>0</v>
      </c>
      <c r="AI20" s="44">
        <f>IF('2024年-挂账付款'!$AX20&gt;=SUM('2024年-挂账付款'!AF20:$AH20),'2024年-挂账付款'!AF20,IF('2024年-挂账付款'!$AX20-SUM('2024年-挂账付款'!AG20:$AH20)&gt;0,'2024年-挂账付款'!$AX20-SUM('2024年-挂账付款'!AG20:$AH20),0))</f>
        <v>0</v>
      </c>
      <c r="AJ20" s="44">
        <f>IF('2024年-挂账付款'!$AX20&gt;=SUM('2024年-挂账付款'!AG20:$AH20),'2024年-挂账付款'!AG20,IF('2024年-挂账付款'!$AX20-SUM('2024年-挂账付款'!AH20:$AH20)&gt;0,'2024年-挂账付款'!$AX20-SUM('2024年-挂账付款'!AH20:$AH20),0))</f>
        <v>0</v>
      </c>
      <c r="AK20" s="44">
        <f>IF('2024年-挂账付款'!$AX20&gt;=SUM('2024年-挂账付款'!AH20:$AH20),'2024年-挂账付款'!AH20,IF('2024年-挂账付款'!$AX20-SUM('2024年-挂账付款'!$AH20:AI20)&gt;0,'2024年-挂账付款'!$AX20-SUM('2024年-挂账付款'!$AH20:AI20),0))</f>
        <v>0</v>
      </c>
      <c r="AL20" s="88" t="s">
        <v>426</v>
      </c>
      <c r="AM20" s="89"/>
      <c r="AN20" s="86">
        <f t="shared" si="4"/>
        <v>22158.2453333333</v>
      </c>
      <c r="AO20" s="91"/>
      <c r="AP20" s="10">
        <f>'2024年-挂账付款'!AX20</f>
        <v>264557.84</v>
      </c>
      <c r="AQ20" s="101">
        <f t="shared" si="2"/>
        <v>0</v>
      </c>
    </row>
    <row r="21" s="10" customFormat="1" ht="24.05" customHeight="1" spans="2:43">
      <c r="B21" s="48" t="s">
        <v>81</v>
      </c>
      <c r="C21" s="46" t="s">
        <v>92</v>
      </c>
      <c r="D21" s="46" t="s">
        <v>93</v>
      </c>
      <c r="E21" s="49">
        <v>90</v>
      </c>
      <c r="F21" s="42">
        <f t="shared" si="5"/>
        <v>24472.9</v>
      </c>
      <c r="G21" s="43">
        <f t="shared" si="1"/>
        <v>31962.54</v>
      </c>
      <c r="H21" s="44">
        <f>IF('2024年-挂账付款'!$AX21&gt;=SUM('2024年-挂账付款'!E21:$AH21),'2024年-挂账付款'!E21,IF('2024年-挂账付款'!$AX21-SUM('2024年-挂账付款'!F21:$AH21)&gt;0,'2024年-挂账付款'!$AX21-SUM('2024年-挂账付款'!F21:$AH21),0))</f>
        <v>0</v>
      </c>
      <c r="I21" s="44">
        <f>IF('2024年-挂账付款'!$AX21&gt;=SUM('2024年-挂账付款'!F21:$AH21),'2024年-挂账付款'!F21,IF('2024年-挂账付款'!$AX21-SUM('2024年-挂账付款'!G21:$AH21)&gt;0,'2024年-挂账付款'!$AX21-SUM('2024年-挂账付款'!G21:$AH21),0))</f>
        <v>0</v>
      </c>
      <c r="J21" s="44">
        <f>IF('2024年-挂账付款'!$AX21&gt;=SUM('2024年-挂账付款'!G21:$AH21),'2024年-挂账付款'!G21,IF('2024年-挂账付款'!$AX21-SUM('2024年-挂账付款'!H21:$AH21)&gt;0,'2024年-挂账付款'!$AX21-SUM('2024年-挂账付款'!H21:$AH21),0))</f>
        <v>0</v>
      </c>
      <c r="K21" s="44">
        <f>IF('2024年-挂账付款'!$AX21&gt;=SUM('2024年-挂账付款'!H21:$AH21),'2024年-挂账付款'!H21,IF('2024年-挂账付款'!$AX21-SUM('2024年-挂账付款'!I21:$AH21)&gt;0,'2024年-挂账付款'!$AX21-SUM('2024年-挂账付款'!I21:$AH21),0))</f>
        <v>0</v>
      </c>
      <c r="L21" s="44">
        <f>IF('2024年-挂账付款'!$AX21&gt;=SUM('2024年-挂账付款'!I21:$AH21),'2024年-挂账付款'!I21,IF('2024年-挂账付款'!$AX21-SUM('2024年-挂账付款'!J21:$AH21)&gt;0,'2024年-挂账付款'!$AX21-SUM('2024年-挂账付款'!J21:$AH21),0))</f>
        <v>0</v>
      </c>
      <c r="M21" s="44">
        <f>IF('2024年-挂账付款'!$AX21&gt;=SUM('2024年-挂账付款'!J21:$AH21),'2024年-挂账付款'!J21,IF('2024年-挂账付款'!$AX21-SUM('2024年-挂账付款'!K21:$AH21)&gt;0,'2024年-挂账付款'!$AX21-SUM('2024年-挂账付款'!K21:$AH21),0))</f>
        <v>0</v>
      </c>
      <c r="N21" s="44">
        <f>IF('2024年-挂账付款'!$AX21&gt;=SUM('2024年-挂账付款'!K21:$AH21),'2024年-挂账付款'!K21,IF('2024年-挂账付款'!$AX21-SUM('2024年-挂账付款'!L21:$AH21)&gt;0,'2024年-挂账付款'!$AX21-SUM('2024年-挂账付款'!L21:$AH21),0))</f>
        <v>0</v>
      </c>
      <c r="O21" s="44">
        <f>IF('2024年-挂账付款'!$AX21&gt;=SUM('2024年-挂账付款'!L21:$AH21),'2024年-挂账付款'!L21,IF('2024年-挂账付款'!$AX21-SUM('2024年-挂账付款'!M21:$AH21)&gt;0,'2024年-挂账付款'!$AX21-SUM('2024年-挂账付款'!M21:$AH21),0))</f>
        <v>0</v>
      </c>
      <c r="P21" s="44">
        <f>IF('2024年-挂账付款'!$AX21&gt;=SUM('2024年-挂账付款'!M21:$AH21),'2024年-挂账付款'!M21,IF('2024年-挂账付款'!$AX21-SUM('2024年-挂账付款'!N21:$AH21)&gt;0,'2024年-挂账付款'!$AX21-SUM('2024年-挂账付款'!N21:$AH21),0))</f>
        <v>0</v>
      </c>
      <c r="Q21" s="44">
        <f>IF('2024年-挂账付款'!$AX21&gt;=SUM('2024年-挂账付款'!N21:$AH21),'2024年-挂账付款'!N21,IF('2024年-挂账付款'!$AX21-SUM('2024年-挂账付款'!O21:$AH21)&gt;0,'2024年-挂账付款'!$AX21-SUM('2024年-挂账付款'!O21:$AH21),0))</f>
        <v>0</v>
      </c>
      <c r="R21" s="44">
        <f>IF('2024年-挂账付款'!$AX21&gt;=SUM('2024年-挂账付款'!O21:$AH21),'2024年-挂账付款'!O21,IF('2024年-挂账付款'!$AX21-SUM('2024年-挂账付款'!P21:$AH21)&gt;0,'2024年-挂账付款'!$AX21-SUM('2024年-挂账付款'!P21:$AH21),0))</f>
        <v>0</v>
      </c>
      <c r="S21" s="44">
        <f>IF('2024年-挂账付款'!$AX21&gt;=SUM('2024年-挂账付款'!P21:$AH21),'2024年-挂账付款'!P21,IF('2024年-挂账付款'!$AX21-SUM('2024年-挂账付款'!Q21:$AH21)&gt;0,'2024年-挂账付款'!$AX21-SUM('2024年-挂账付款'!Q21:$AH21),0))</f>
        <v>11764.92</v>
      </c>
      <c r="T21" s="44">
        <f>IF('2024年-挂账付款'!$AX21&gt;=SUM('2024年-挂账付款'!Q21:$AH21),'2024年-挂账付款'!Q21,IF('2024年-挂账付款'!$AX21-SUM('2024年-挂账付款'!R21:$AH21)&gt;0,'2024年-挂账付款'!$AX21-SUM('2024年-挂账付款'!R21:$AH21),0))</f>
        <v>12265.02</v>
      </c>
      <c r="U21" s="44">
        <f>IF('2024年-挂账付款'!$AX21&gt;=SUM('2024年-挂账付款'!R21:$AH21),'2024年-挂账付款'!R21,IF('2024年-挂账付款'!$AX21-SUM('2024年-挂账付款'!S21:$AH21)&gt;0,'2024年-挂账付款'!$AX21-SUM('2024年-挂账付款'!S21:$AH21),0))</f>
        <v>442.96</v>
      </c>
      <c r="V21" s="44">
        <f>IF('2024年-挂账付款'!$AX21&gt;=SUM('2024年-挂账付款'!S21:$AH21),'2024年-挂账付款'!S21,IF('2024年-挂账付款'!$AX21-SUM('2024年-挂账付款'!T21:$AH21)&gt;0,'2024年-挂账付款'!$AX21-SUM('2024年-挂账付款'!T21:$AH21),0))</f>
        <v>0</v>
      </c>
      <c r="W21" s="44">
        <f>IF('2024年-挂账付款'!$AX21&gt;=SUM('2024年-挂账付款'!T21:$AH21),'2024年-挂账付款'!T21,IF('2024年-挂账付款'!$AX21-SUM('2024年-挂账付款'!U21:$AH21)&gt;0,'2024年-挂账付款'!$AX21-SUM('2024年-挂账付款'!U21:$AH21),0))</f>
        <v>7268.16</v>
      </c>
      <c r="X21" s="44">
        <f>IF('2024年-挂账付款'!$AX21&gt;=SUM('2024年-挂账付款'!U21:$AH21),'2024年-挂账付款'!U21,IF('2024年-挂账付款'!$AX21-SUM('2024年-挂账付款'!V21:$AH21)&gt;0,'2024年-挂账付款'!$AX21-SUM('2024年-挂账付款'!V21:$AH21),0))</f>
        <v>221.48</v>
      </c>
      <c r="Y21" s="44">
        <f>IF('2024年-挂账付款'!$AX21&gt;=SUM('2024年-挂账付款'!V21:$AH21),'2024年-挂账付款'!V21,IF('2024年-挂账付款'!$AX21-SUM('2024年-挂账付款'!W21:$AH21)&gt;0,'2024年-挂账付款'!$AX21-SUM('2024年-挂账付款'!W21:$AH21),0))</f>
        <v>0</v>
      </c>
      <c r="Z21" s="44">
        <f>IF('2024年-挂账付款'!$AX21&gt;=SUM('2024年-挂账付款'!W21:$AH21),'2024年-挂账付款'!W21,IF('2024年-挂账付款'!$AX21-SUM('2024年-挂账付款'!X21:$AH21)&gt;0,'2024年-挂账付款'!$AX21-SUM('2024年-挂账付款'!X21:$AH21),0))</f>
        <v>0</v>
      </c>
      <c r="AA21" s="44">
        <f>IF('2024年-挂账付款'!$AX21&gt;=SUM('2024年-挂账付款'!X21:$AH21),'2024年-挂账付款'!X21,IF('2024年-挂账付款'!$AX21-SUM('2024年-挂账付款'!Y21:$AH21)&gt;0,'2024年-挂账付款'!$AX21-SUM('2024年-挂账付款'!Y21:$AH21),0))</f>
        <v>0</v>
      </c>
      <c r="AB21" s="44">
        <f>IF('2024年-挂账付款'!$AX21&gt;=SUM('2024年-挂账付款'!Y21:$AH21),'2024年-挂账付款'!Y21,IF('2024年-挂账付款'!$AX21-SUM('2024年-挂账付款'!Z21:$AH21)&gt;0,'2024年-挂账付款'!$AX21-SUM('2024年-挂账付款'!Z21:$AH21),0))</f>
        <v>0</v>
      </c>
      <c r="AC21" s="44">
        <f>IF('2024年-挂账付款'!$AX21&gt;=SUM('2024年-挂账付款'!Z21:$AH21),'2024年-挂账付款'!Z21,IF('2024年-挂账付款'!$AX21-SUM('2024年-挂账付款'!AA21:$AH21)&gt;0,'2024年-挂账付款'!$AX21-SUM('2024年-挂账付款'!AA21:$AH21),0))</f>
        <v>0</v>
      </c>
      <c r="AD21" s="44">
        <f>IF('2024年-挂账付款'!$AX21&gt;=SUM('2024年-挂账付款'!AA21:$AH21),'2024年-挂账付款'!AA21,IF('2024年-挂账付款'!$AX21-SUM('2024年-挂账付款'!AB21:$AH21)&gt;0,'2024年-挂账付款'!$AX21-SUM('2024年-挂账付款'!AB21:$AH21),0))</f>
        <v>0</v>
      </c>
      <c r="AE21" s="44">
        <f>IF('2024年-挂账付款'!$AX21&gt;=SUM('2024年-挂账付款'!AB21:$AH21),'2024年-挂账付款'!AB21,IF('2024年-挂账付款'!$AX21-SUM('2024年-挂账付款'!AC21:$AH21)&gt;0,'2024年-挂账付款'!$AX21-SUM('2024年-挂账付款'!AC21:$AH21),0))</f>
        <v>0</v>
      </c>
      <c r="AF21" s="44">
        <f>IF('2024年-挂账付款'!$AX21&gt;=SUM('2024年-挂账付款'!AC21:$AH21),'2024年-挂账付款'!AC21,IF('2024年-挂账付款'!$AX21-SUM('2024年-挂账付款'!AD21:$AH21)&gt;0,'2024年-挂账付款'!$AX21-SUM('2024年-挂账付款'!AD21:$AH21),0))</f>
        <v>0</v>
      </c>
      <c r="AG21" s="44">
        <f>IF('2024年-挂账付款'!$AX21&gt;=SUM('2024年-挂账付款'!AD21:$AH21),'2024年-挂账付款'!AD21,IF('2024年-挂账付款'!$AX21-SUM('2024年-挂账付款'!AE21:$AH21)&gt;0,'2024年-挂账付款'!$AX21-SUM('2024年-挂账付款'!AE21:$AH21),0))</f>
        <v>0</v>
      </c>
      <c r="AH21" s="44">
        <f>IF('2024年-挂账付款'!$AX21&gt;=SUM('2024年-挂账付款'!AE21:$AH21),'2024年-挂账付款'!AE21,IF('2024年-挂账付款'!$AX21-SUM('2024年-挂账付款'!AF21:$AH21)&gt;0,'2024年-挂账付款'!$AX21-SUM('2024年-挂账付款'!AF21:$AH21),0))</f>
        <v>0</v>
      </c>
      <c r="AI21" s="44">
        <f>IF('2024年-挂账付款'!$AX21&gt;=SUM('2024年-挂账付款'!AF21:$AH21),'2024年-挂账付款'!AF21,IF('2024年-挂账付款'!$AX21-SUM('2024年-挂账付款'!AG21:$AH21)&gt;0,'2024年-挂账付款'!$AX21-SUM('2024年-挂账付款'!AG21:$AH21),0))</f>
        <v>0</v>
      </c>
      <c r="AJ21" s="44">
        <f>IF('2024年-挂账付款'!$AX21&gt;=SUM('2024年-挂账付款'!AG21:$AH21),'2024年-挂账付款'!AG21,IF('2024年-挂账付款'!$AX21-SUM('2024年-挂账付款'!AH21:$AH21)&gt;0,'2024年-挂账付款'!$AX21-SUM('2024年-挂账付款'!AH21:$AH21),0))</f>
        <v>0</v>
      </c>
      <c r="AK21" s="44">
        <f>IF('2024年-挂账付款'!$AX21&gt;=SUM('2024年-挂账付款'!AH21:$AH21),'2024年-挂账付款'!AH21,IF('2024年-挂账付款'!$AX21-SUM('2024年-挂账付款'!$AH21:AI21)&gt;0,'2024年-挂账付款'!$AX21-SUM('2024年-挂账付款'!$AH21:AI21),0))</f>
        <v>0</v>
      </c>
      <c r="AL21" s="88" t="s">
        <v>426</v>
      </c>
      <c r="AM21" s="89"/>
      <c r="AN21" s="86">
        <f t="shared" si="4"/>
        <v>2693.016</v>
      </c>
      <c r="AO21" s="91"/>
      <c r="AP21" s="10">
        <f>'2024年-挂账付款'!AX21</f>
        <v>31962.54</v>
      </c>
      <c r="AQ21" s="101">
        <f t="shared" si="2"/>
        <v>0</v>
      </c>
    </row>
    <row r="22" s="10" customFormat="1" ht="24.05" customHeight="1" spans="2:43">
      <c r="B22" s="48" t="s">
        <v>81</v>
      </c>
      <c r="C22" s="46" t="s">
        <v>105</v>
      </c>
      <c r="D22" s="46" t="s">
        <v>106</v>
      </c>
      <c r="E22" s="49">
        <v>90</v>
      </c>
      <c r="F22" s="42">
        <f t="shared" si="5"/>
        <v>0</v>
      </c>
      <c r="G22" s="43">
        <f t="shared" si="1"/>
        <v>251530.39</v>
      </c>
      <c r="H22" s="44">
        <f>IF('2024年-挂账付款'!$AX22&gt;=SUM('2024年-挂账付款'!E22:$AH22),'2024年-挂账付款'!E22,IF('2024年-挂账付款'!$AX22-SUM('2024年-挂账付款'!F22:$AH22)&gt;0,'2024年-挂账付款'!$AX22-SUM('2024年-挂账付款'!F22:$AH22),0))</f>
        <v>0</v>
      </c>
      <c r="I22" s="44">
        <f>IF('2024年-挂账付款'!$AX22&gt;=SUM('2024年-挂账付款'!F22:$AH22),'2024年-挂账付款'!F22,IF('2024年-挂账付款'!$AX22-SUM('2024年-挂账付款'!G22:$AH22)&gt;0,'2024年-挂账付款'!$AX22-SUM('2024年-挂账付款'!G22:$AH22),0))</f>
        <v>0</v>
      </c>
      <c r="J22" s="44">
        <f>IF('2024年-挂账付款'!$AX22&gt;=SUM('2024年-挂账付款'!G22:$AH22),'2024年-挂账付款'!G22,IF('2024年-挂账付款'!$AX22-SUM('2024年-挂账付款'!H22:$AH22)&gt;0,'2024年-挂账付款'!$AX22-SUM('2024年-挂账付款'!H22:$AH22),0))</f>
        <v>0</v>
      </c>
      <c r="K22" s="44">
        <f>IF('2024年-挂账付款'!$AX22&gt;=SUM('2024年-挂账付款'!H22:$AH22),'2024年-挂账付款'!H22,IF('2024年-挂账付款'!$AX22-SUM('2024年-挂账付款'!I22:$AH22)&gt;0,'2024年-挂账付款'!$AX22-SUM('2024年-挂账付款'!I22:$AH22),0))</f>
        <v>0</v>
      </c>
      <c r="L22" s="44">
        <f>IF('2024年-挂账付款'!$AX22&gt;=SUM('2024年-挂账付款'!I22:$AH22),'2024年-挂账付款'!I22,IF('2024年-挂账付款'!$AX22-SUM('2024年-挂账付款'!J22:$AH22)&gt;0,'2024年-挂账付款'!$AX22-SUM('2024年-挂账付款'!J22:$AH22),0))</f>
        <v>0</v>
      </c>
      <c r="M22" s="44">
        <f>IF('2024年-挂账付款'!$AX22&gt;=SUM('2024年-挂账付款'!J22:$AH22),'2024年-挂账付款'!J22,IF('2024年-挂账付款'!$AX22-SUM('2024年-挂账付款'!K22:$AH22)&gt;0,'2024年-挂账付款'!$AX22-SUM('2024年-挂账付款'!K22:$AH22),0))</f>
        <v>0</v>
      </c>
      <c r="N22" s="44">
        <f>IF('2024年-挂账付款'!$AX22&gt;=SUM('2024年-挂账付款'!K22:$AH22),'2024年-挂账付款'!K22,IF('2024年-挂账付款'!$AX22-SUM('2024年-挂账付款'!L22:$AH22)&gt;0,'2024年-挂账付款'!$AX22-SUM('2024年-挂账付款'!L22:$AH22),0))</f>
        <v>0</v>
      </c>
      <c r="O22" s="44">
        <f>IF('2024年-挂账付款'!$AX22&gt;=SUM('2024年-挂账付款'!L22:$AH22),'2024年-挂账付款'!L22,IF('2024年-挂账付款'!$AX22-SUM('2024年-挂账付款'!M22:$AH22)&gt;0,'2024年-挂账付款'!$AX22-SUM('2024年-挂账付款'!M22:$AH22),0))</f>
        <v>0</v>
      </c>
      <c r="P22" s="44">
        <f>IF('2024年-挂账付款'!$AX22&gt;=SUM('2024年-挂账付款'!M22:$AH22),'2024年-挂账付款'!M22,IF('2024年-挂账付款'!$AX22-SUM('2024年-挂账付款'!N22:$AH22)&gt;0,'2024年-挂账付款'!$AX22-SUM('2024年-挂账付款'!N22:$AH22),0))</f>
        <v>0</v>
      </c>
      <c r="Q22" s="44">
        <f>IF('2024年-挂账付款'!$AX22&gt;=SUM('2024年-挂账付款'!N22:$AH22),'2024年-挂账付款'!N22,IF('2024年-挂账付款'!$AX22-SUM('2024年-挂账付款'!O22:$AH22)&gt;0,'2024年-挂账付款'!$AX22-SUM('2024年-挂账付款'!O22:$AH22),0))</f>
        <v>0</v>
      </c>
      <c r="R22" s="44">
        <f>IF('2024年-挂账付款'!$AX22&gt;=SUM('2024年-挂账付款'!O22:$AH22),'2024年-挂账付款'!O22,IF('2024年-挂账付款'!$AX22-SUM('2024年-挂账付款'!P22:$AH22)&gt;0,'2024年-挂账付款'!$AX22-SUM('2024年-挂账付款'!P22:$AH22),0))</f>
        <v>0</v>
      </c>
      <c r="S22" s="44">
        <f>IF('2024年-挂账付款'!$AX22&gt;=SUM('2024年-挂账付款'!P22:$AH22),'2024年-挂账付款'!P22,IF('2024年-挂账付款'!$AX22-SUM('2024年-挂账付款'!Q22:$AH22)&gt;0,'2024年-挂账付款'!$AX22-SUM('2024年-挂账付款'!Q22:$AH22),0))</f>
        <v>0</v>
      </c>
      <c r="T22" s="44">
        <f>IF('2024年-挂账付款'!$AX22&gt;=SUM('2024年-挂账付款'!Q22:$AH22),'2024年-挂账付款'!Q22,IF('2024年-挂账付款'!$AX22-SUM('2024年-挂账付款'!R22:$AH22)&gt;0,'2024年-挂账付款'!$AX22-SUM('2024年-挂账付款'!R22:$AH22),0))</f>
        <v>0</v>
      </c>
      <c r="U22" s="44">
        <f>IF('2024年-挂账付款'!$AX22&gt;=SUM('2024年-挂账付款'!R22:$AH22),'2024年-挂账付款'!R22,IF('2024年-挂账付款'!$AX22-SUM('2024年-挂账付款'!S22:$AH22)&gt;0,'2024年-挂账付款'!$AX22-SUM('2024年-挂账付款'!S22:$AH22),0))</f>
        <v>0</v>
      </c>
      <c r="V22" s="44">
        <f>IF('2024年-挂账付款'!$AX22&gt;=SUM('2024年-挂账付款'!S22:$AH22),'2024年-挂账付款'!S22,IF('2024年-挂账付款'!$AX22-SUM('2024年-挂账付款'!T22:$AH22)&gt;0,'2024年-挂账付款'!$AX22-SUM('2024年-挂账付款'!T22:$AH22),0))</f>
        <v>0</v>
      </c>
      <c r="W22" s="44">
        <f>IF('2024年-挂账付款'!$AX22&gt;=SUM('2024年-挂账付款'!T22:$AH22),'2024年-挂账付款'!T22,IF('2024年-挂账付款'!$AX22-SUM('2024年-挂账付款'!U22:$AH22)&gt;0,'2024年-挂账付款'!$AX22-SUM('2024年-挂账付款'!U22:$AH22),0))</f>
        <v>96404.5699999999</v>
      </c>
      <c r="X22" s="44">
        <f>IF('2024年-挂账付款'!$AX22&gt;=SUM('2024年-挂账付款'!U22:$AH22),'2024年-挂账付款'!U22,IF('2024年-挂账付款'!$AX22-SUM('2024年-挂账付款'!V22:$AH22)&gt;0,'2024年-挂账付款'!$AX22-SUM('2024年-挂账付款'!V22:$AH22),0))</f>
        <v>68031.5</v>
      </c>
      <c r="Y22" s="44">
        <f>IF('2024年-挂账付款'!$AX22&gt;=SUM('2024年-挂账付款'!V22:$AH22),'2024年-挂账付款'!V22,IF('2024年-挂账付款'!$AX22-SUM('2024年-挂账付款'!W22:$AH22)&gt;0,'2024年-挂账付款'!$AX22-SUM('2024年-挂账付款'!W22:$AH22),0))</f>
        <v>87094.32</v>
      </c>
      <c r="Z22" s="44">
        <f>IF('2024年-挂账付款'!$AX22&gt;=SUM('2024年-挂账付款'!W22:$AH22),'2024年-挂账付款'!W22,IF('2024年-挂账付款'!$AX22-SUM('2024年-挂账付款'!X22:$AH22)&gt;0,'2024年-挂账付款'!$AX22-SUM('2024年-挂账付款'!X22:$AH22),0))</f>
        <v>119486.02</v>
      </c>
      <c r="AA22" s="44">
        <f>IF('2024年-挂账付款'!$AX22&gt;=SUM('2024年-挂账付款'!X22:$AH22),'2024年-挂账付款'!X22,IF('2024年-挂账付款'!$AX22-SUM('2024年-挂账付款'!Y22:$AH22)&gt;0,'2024年-挂账付款'!$AX22-SUM('2024年-挂账付款'!Y22:$AH22),0))</f>
        <v>153201.31</v>
      </c>
      <c r="AB22" s="44">
        <f>IF('2024年-挂账付款'!$AX22&gt;=SUM('2024年-挂账付款'!Y22:$AH22),'2024年-挂账付款'!Y22,IF('2024年-挂账付款'!$AX22-SUM('2024年-挂账付款'!Z22:$AH22)&gt;0,'2024年-挂账付款'!$AX22-SUM('2024年-挂账付款'!Z22:$AH22),0))</f>
        <v>0</v>
      </c>
      <c r="AC22" s="44">
        <f>IF('2024年-挂账付款'!$AX22&gt;=SUM('2024年-挂账付款'!Z22:$AH22),'2024年-挂账付款'!Z22,IF('2024年-挂账付款'!$AX22-SUM('2024年-挂账付款'!AA22:$AH22)&gt;0,'2024年-挂账付款'!$AX22-SUM('2024年-挂账付款'!AA22:$AH22),0))</f>
        <v>0</v>
      </c>
      <c r="AD22" s="44">
        <f>IF('2024年-挂账付款'!$AX22&gt;=SUM('2024年-挂账付款'!AA22:$AH22),'2024年-挂账付款'!AA22,IF('2024年-挂账付款'!$AX22-SUM('2024年-挂账付款'!AB22:$AH22)&gt;0,'2024年-挂账付款'!$AX22-SUM('2024年-挂账付款'!AB22:$AH22),0))</f>
        <v>0</v>
      </c>
      <c r="AE22" s="44">
        <f>IF('2024年-挂账付款'!$AX22&gt;=SUM('2024年-挂账付款'!AB22:$AH22),'2024年-挂账付款'!AB22,IF('2024年-挂账付款'!$AX22-SUM('2024年-挂账付款'!AC22:$AH22)&gt;0,'2024年-挂账付款'!$AX22-SUM('2024年-挂账付款'!AC22:$AH22),0))</f>
        <v>0</v>
      </c>
      <c r="AF22" s="44">
        <f>IF('2024年-挂账付款'!$AX22&gt;=SUM('2024年-挂账付款'!AC22:$AH22),'2024年-挂账付款'!AC22,IF('2024年-挂账付款'!$AX22-SUM('2024年-挂账付款'!AD22:$AH22)&gt;0,'2024年-挂账付款'!$AX22-SUM('2024年-挂账付款'!AD22:$AH22),0))</f>
        <v>0</v>
      </c>
      <c r="AG22" s="44">
        <f>IF('2024年-挂账付款'!$AX22&gt;=SUM('2024年-挂账付款'!AD22:$AH22),'2024年-挂账付款'!AD22,IF('2024年-挂账付款'!$AX22-SUM('2024年-挂账付款'!AE22:$AH22)&gt;0,'2024年-挂账付款'!$AX22-SUM('2024年-挂账付款'!AE22:$AH22),0))</f>
        <v>0</v>
      </c>
      <c r="AH22" s="44">
        <f>IF('2024年-挂账付款'!$AX22&gt;=SUM('2024年-挂账付款'!AE22:$AH22),'2024年-挂账付款'!AE22,IF('2024年-挂账付款'!$AX22-SUM('2024年-挂账付款'!AF22:$AH22)&gt;0,'2024年-挂账付款'!$AX22-SUM('2024年-挂账付款'!AF22:$AH22),0))</f>
        <v>0</v>
      </c>
      <c r="AI22" s="44">
        <f>IF('2024年-挂账付款'!$AX22&gt;=SUM('2024年-挂账付款'!AF22:$AH22),'2024年-挂账付款'!AF22,IF('2024年-挂账付款'!$AX22-SUM('2024年-挂账付款'!AG22:$AH22)&gt;0,'2024年-挂账付款'!$AX22-SUM('2024年-挂账付款'!AG22:$AH22),0))</f>
        <v>0</v>
      </c>
      <c r="AJ22" s="44">
        <f>IF('2024年-挂账付款'!$AX22&gt;=SUM('2024年-挂账付款'!AG22:$AH22),'2024年-挂账付款'!AG22,IF('2024年-挂账付款'!$AX22-SUM('2024年-挂账付款'!AH22:$AH22)&gt;0,'2024年-挂账付款'!$AX22-SUM('2024年-挂账付款'!AH22:$AH22),0))</f>
        <v>0</v>
      </c>
      <c r="AK22" s="44">
        <f>IF('2024年-挂账付款'!$AX22&gt;=SUM('2024年-挂账付款'!AH22:$AH22),'2024年-挂账付款'!AH22,IF('2024年-挂账付款'!$AX22-SUM('2024年-挂账付款'!$AH22:AI22)&gt;0,'2024年-挂账付款'!$AX22-SUM('2024年-挂账付款'!$AH22:AI22),0))</f>
        <v>0</v>
      </c>
      <c r="AL22" s="88" t="s">
        <v>426</v>
      </c>
      <c r="AM22" s="89"/>
      <c r="AN22" s="86">
        <f t="shared" si="4"/>
        <v>33537.3853333333</v>
      </c>
      <c r="AO22" s="91"/>
      <c r="AP22" s="10">
        <f>'2024年-挂账付款'!AX22</f>
        <v>524217.72</v>
      </c>
      <c r="AQ22" s="101">
        <f t="shared" si="2"/>
        <v>-272687.33</v>
      </c>
    </row>
    <row r="23" s="10" customFormat="1" ht="24.05" customHeight="1" spans="2:43">
      <c r="B23" s="48" t="s">
        <v>81</v>
      </c>
      <c r="C23" s="46" t="s">
        <v>112</v>
      </c>
      <c r="D23" s="46" t="s">
        <v>113</v>
      </c>
      <c r="E23" s="49">
        <v>90</v>
      </c>
      <c r="F23" s="42">
        <f t="shared" si="5"/>
        <v>214874.96</v>
      </c>
      <c r="G23" s="43">
        <f t="shared" si="1"/>
        <v>350296.93</v>
      </c>
      <c r="H23" s="44">
        <f>IF('2024年-挂账付款'!$AX23&gt;=SUM('2024年-挂账付款'!E23:$AH23),'2024年-挂账付款'!E23,IF('2024年-挂账付款'!$AX23-SUM('2024年-挂账付款'!F23:$AH23)&gt;0,'2024年-挂账付款'!$AX23-SUM('2024年-挂账付款'!F23:$AH23),0))</f>
        <v>0</v>
      </c>
      <c r="I23" s="44">
        <f>IF('2024年-挂账付款'!$AX23&gt;=SUM('2024年-挂账付款'!F23:$AH23),'2024年-挂账付款'!F23,IF('2024年-挂账付款'!$AX23-SUM('2024年-挂账付款'!G23:$AH23)&gt;0,'2024年-挂账付款'!$AX23-SUM('2024年-挂账付款'!G23:$AH23),0))</f>
        <v>0</v>
      </c>
      <c r="J23" s="44">
        <f>IF('2024年-挂账付款'!$AX23&gt;=SUM('2024年-挂账付款'!G23:$AH23),'2024年-挂账付款'!G23,IF('2024年-挂账付款'!$AX23-SUM('2024年-挂账付款'!H23:$AH23)&gt;0,'2024年-挂账付款'!$AX23-SUM('2024年-挂账付款'!H23:$AH23),0))</f>
        <v>0</v>
      </c>
      <c r="K23" s="44">
        <f>IF('2024年-挂账付款'!$AX23&gt;=SUM('2024年-挂账付款'!H23:$AH23),'2024年-挂账付款'!H23,IF('2024年-挂账付款'!$AX23-SUM('2024年-挂账付款'!I23:$AH23)&gt;0,'2024年-挂账付款'!$AX23-SUM('2024年-挂账付款'!I23:$AH23),0))</f>
        <v>0</v>
      </c>
      <c r="L23" s="44">
        <f>IF('2024年-挂账付款'!$AX23&gt;=SUM('2024年-挂账付款'!I23:$AH23),'2024年-挂账付款'!I23,IF('2024年-挂账付款'!$AX23-SUM('2024年-挂账付款'!J23:$AH23)&gt;0,'2024年-挂账付款'!$AX23-SUM('2024年-挂账付款'!J23:$AH23),0))</f>
        <v>0</v>
      </c>
      <c r="M23" s="44">
        <f>IF('2024年-挂账付款'!$AX23&gt;=SUM('2024年-挂账付款'!J23:$AH23),'2024年-挂账付款'!J23,IF('2024年-挂账付款'!$AX23-SUM('2024年-挂账付款'!K23:$AH23)&gt;0,'2024年-挂账付款'!$AX23-SUM('2024年-挂账付款'!K23:$AH23),0))</f>
        <v>0</v>
      </c>
      <c r="N23" s="44">
        <f>IF('2024年-挂账付款'!$AX23&gt;=SUM('2024年-挂账付款'!K23:$AH23),'2024年-挂账付款'!K23,IF('2024年-挂账付款'!$AX23-SUM('2024年-挂账付款'!L23:$AH23)&gt;0,'2024年-挂账付款'!$AX23-SUM('2024年-挂账付款'!L23:$AH23),0))</f>
        <v>0</v>
      </c>
      <c r="O23" s="44">
        <f>IF('2024年-挂账付款'!$AX23&gt;=SUM('2024年-挂账付款'!L23:$AH23),'2024年-挂账付款'!L23,IF('2024年-挂账付款'!$AX23-SUM('2024年-挂账付款'!M23:$AH23)&gt;0,'2024年-挂账付款'!$AX23-SUM('2024年-挂账付款'!M23:$AH23),0))</f>
        <v>125279.13</v>
      </c>
      <c r="P23" s="44">
        <f>IF('2024年-挂账付款'!$AX23&gt;=SUM('2024年-挂账付款'!M23:$AH23),'2024年-挂账付款'!M23,IF('2024年-挂账付款'!$AX23-SUM('2024年-挂账付款'!N23:$AH23)&gt;0,'2024年-挂账付款'!$AX23-SUM('2024年-挂账付款'!N23:$AH23),0))</f>
        <v>0</v>
      </c>
      <c r="Q23" s="44">
        <f>IF('2024年-挂账付款'!$AX23&gt;=SUM('2024年-挂账付款'!N23:$AH23),'2024年-挂账付款'!N23,IF('2024年-挂账付款'!$AX23-SUM('2024年-挂账付款'!O23:$AH23)&gt;0,'2024年-挂账付款'!$AX23-SUM('2024年-挂账付款'!O23:$AH23),0))</f>
        <v>0</v>
      </c>
      <c r="R23" s="44">
        <f>IF('2024年-挂账付款'!$AX23&gt;=SUM('2024年-挂账付款'!O23:$AH23),'2024年-挂账付款'!O23,IF('2024年-挂账付款'!$AX23-SUM('2024年-挂账付款'!P23:$AH23)&gt;0,'2024年-挂账付款'!$AX23-SUM('2024年-挂账付款'!P23:$AH23),0))</f>
        <v>0</v>
      </c>
      <c r="S23" s="44">
        <f>IF('2024年-挂账付款'!$AX23&gt;=SUM('2024年-挂账付款'!P23:$AH23),'2024年-挂账付款'!P23,IF('2024年-挂账付款'!$AX23-SUM('2024年-挂账付款'!Q23:$AH23)&gt;0,'2024年-挂账付款'!$AX23-SUM('2024年-挂账付款'!Q23:$AH23),0))</f>
        <v>0</v>
      </c>
      <c r="T23" s="44">
        <f>IF('2024年-挂账付款'!$AX23&gt;=SUM('2024年-挂账付款'!Q23:$AH23),'2024年-挂账付款'!Q23,IF('2024年-挂账付款'!$AX23-SUM('2024年-挂账付款'!R23:$AH23)&gt;0,'2024年-挂账付款'!$AX23-SUM('2024年-挂账付款'!R23:$AH23),0))</f>
        <v>89595.83</v>
      </c>
      <c r="U23" s="44">
        <f>IF('2024年-挂账付款'!$AX23&gt;=SUM('2024年-挂账付款'!R23:$AH23),'2024年-挂账付款'!R23,IF('2024年-挂账付款'!$AX23-SUM('2024年-挂账付款'!S23:$AH23)&gt;0,'2024年-挂账付款'!$AX23-SUM('2024年-挂账付款'!S23:$AH23),0))</f>
        <v>0</v>
      </c>
      <c r="V23" s="44">
        <f>IF('2024年-挂账付款'!$AX23&gt;=SUM('2024年-挂账付款'!S23:$AH23),'2024年-挂账付款'!S23,IF('2024年-挂账付款'!$AX23-SUM('2024年-挂账付款'!T23:$AH23)&gt;0,'2024年-挂账付款'!$AX23-SUM('2024年-挂账付款'!T23:$AH23),0))</f>
        <v>0</v>
      </c>
      <c r="W23" s="44">
        <f>IF('2024年-挂账付款'!$AX23&gt;=SUM('2024年-挂账付款'!T23:$AH23),'2024年-挂账付款'!T23,IF('2024年-挂账付款'!$AX23-SUM('2024年-挂账付款'!U23:$AH23)&gt;0,'2024年-挂账付款'!$AX23-SUM('2024年-挂账付款'!U23:$AH23),0))</f>
        <v>0</v>
      </c>
      <c r="X23" s="44">
        <f>IF('2024年-挂账付款'!$AX23&gt;=SUM('2024年-挂账付款'!U23:$AH23),'2024年-挂账付款'!U23,IF('2024年-挂账付款'!$AX23-SUM('2024年-挂账付款'!V23:$AH23)&gt;0,'2024年-挂账付款'!$AX23-SUM('2024年-挂账付款'!V23:$AH23),0))</f>
        <v>0</v>
      </c>
      <c r="Y23" s="44">
        <f>IF('2024年-挂账付款'!$AX23&gt;=SUM('2024年-挂账付款'!V23:$AH23),'2024年-挂账付款'!V23,IF('2024年-挂账付款'!$AX23-SUM('2024年-挂账付款'!W23:$AH23)&gt;0,'2024年-挂账付款'!$AX23-SUM('2024年-挂账付款'!W23:$AH23),0))</f>
        <v>135421.97</v>
      </c>
      <c r="Z23" s="44">
        <f>IF('2024年-挂账付款'!$AX23&gt;=SUM('2024年-挂账付款'!W23:$AH23),'2024年-挂账付款'!W23,IF('2024年-挂账付款'!$AX23-SUM('2024年-挂账付款'!X23:$AH23)&gt;0,'2024年-挂账付款'!$AX23-SUM('2024年-挂账付款'!X23:$AH23),0))</f>
        <v>0</v>
      </c>
      <c r="AA23" s="44">
        <f>IF('2024年-挂账付款'!$AX23&gt;=SUM('2024年-挂账付款'!X23:$AH23),'2024年-挂账付款'!X23,IF('2024年-挂账付款'!$AX23-SUM('2024年-挂账付款'!Y23:$AH23)&gt;0,'2024年-挂账付款'!$AX23-SUM('2024年-挂账付款'!Y23:$AH23),0))</f>
        <v>0</v>
      </c>
      <c r="AB23" s="44">
        <f>IF('2024年-挂账付款'!$AX23&gt;=SUM('2024年-挂账付款'!Y23:$AH23),'2024年-挂账付款'!Y23,IF('2024年-挂账付款'!$AX23-SUM('2024年-挂账付款'!Z23:$AH23)&gt;0,'2024年-挂账付款'!$AX23-SUM('2024年-挂账付款'!Z23:$AH23),0))</f>
        <v>0</v>
      </c>
      <c r="AC23" s="44">
        <f>IF('2024年-挂账付款'!$AX23&gt;=SUM('2024年-挂账付款'!Z23:$AH23),'2024年-挂账付款'!Z23,IF('2024年-挂账付款'!$AX23-SUM('2024年-挂账付款'!AA23:$AH23)&gt;0,'2024年-挂账付款'!$AX23-SUM('2024年-挂账付款'!AA23:$AH23),0))</f>
        <v>0</v>
      </c>
      <c r="AD23" s="44">
        <f>IF('2024年-挂账付款'!$AX23&gt;=SUM('2024年-挂账付款'!AA23:$AH23),'2024年-挂账付款'!AA23,IF('2024年-挂账付款'!$AX23-SUM('2024年-挂账付款'!AB23:$AH23)&gt;0,'2024年-挂账付款'!$AX23-SUM('2024年-挂账付款'!AB23:$AH23),0))</f>
        <v>0</v>
      </c>
      <c r="AE23" s="44">
        <f>IF('2024年-挂账付款'!$AX23&gt;=SUM('2024年-挂账付款'!AB23:$AH23),'2024年-挂账付款'!AB23,IF('2024年-挂账付款'!$AX23-SUM('2024年-挂账付款'!AC23:$AH23)&gt;0,'2024年-挂账付款'!$AX23-SUM('2024年-挂账付款'!AC23:$AH23),0))</f>
        <v>0</v>
      </c>
      <c r="AF23" s="44">
        <f>IF('2024年-挂账付款'!$AX23&gt;=SUM('2024年-挂账付款'!AC23:$AH23),'2024年-挂账付款'!AC23,IF('2024年-挂账付款'!$AX23-SUM('2024年-挂账付款'!AD23:$AH23)&gt;0,'2024年-挂账付款'!$AX23-SUM('2024年-挂账付款'!AD23:$AH23),0))</f>
        <v>0</v>
      </c>
      <c r="AG23" s="44">
        <f>IF('2024年-挂账付款'!$AX23&gt;=SUM('2024年-挂账付款'!AD23:$AH23),'2024年-挂账付款'!AD23,IF('2024年-挂账付款'!$AX23-SUM('2024年-挂账付款'!AE23:$AH23)&gt;0,'2024年-挂账付款'!$AX23-SUM('2024年-挂账付款'!AE23:$AH23),0))</f>
        <v>0</v>
      </c>
      <c r="AH23" s="44">
        <f>IF('2024年-挂账付款'!$AX23&gt;=SUM('2024年-挂账付款'!AE23:$AH23),'2024年-挂账付款'!AE23,IF('2024年-挂账付款'!$AX23-SUM('2024年-挂账付款'!AF23:$AH23)&gt;0,'2024年-挂账付款'!$AX23-SUM('2024年-挂账付款'!AF23:$AH23),0))</f>
        <v>0</v>
      </c>
      <c r="AI23" s="44">
        <f>IF('2024年-挂账付款'!$AX23&gt;=SUM('2024年-挂账付款'!AF23:$AH23),'2024年-挂账付款'!AF23,IF('2024年-挂账付款'!$AX23-SUM('2024年-挂账付款'!AG23:$AH23)&gt;0,'2024年-挂账付款'!$AX23-SUM('2024年-挂账付款'!AG23:$AH23),0))</f>
        <v>0</v>
      </c>
      <c r="AJ23" s="44">
        <f>IF('2024年-挂账付款'!$AX23&gt;=SUM('2024年-挂账付款'!AG23:$AH23),'2024年-挂账付款'!AG23,IF('2024年-挂账付款'!$AX23-SUM('2024年-挂账付款'!AH23:$AH23)&gt;0,'2024年-挂账付款'!$AX23-SUM('2024年-挂账付款'!AH23:$AH23),0))</f>
        <v>0</v>
      </c>
      <c r="AK23" s="44">
        <f>IF('2024年-挂账付款'!$AX23&gt;=SUM('2024年-挂账付款'!AH23:$AH23),'2024年-挂账付款'!AH23,IF('2024年-挂账付款'!$AX23-SUM('2024年-挂账付款'!$AH23:AI23)&gt;0,'2024年-挂账付款'!$AX23-SUM('2024年-挂账付款'!$AH23:AI23),0))</f>
        <v>0</v>
      </c>
      <c r="AL23" s="88" t="s">
        <v>426</v>
      </c>
      <c r="AM23" s="89"/>
      <c r="AN23" s="86">
        <f t="shared" si="4"/>
        <v>30002.3733333333</v>
      </c>
      <c r="AO23" s="91"/>
      <c r="AP23" s="10">
        <f>'2024年-挂账付款'!AX23</f>
        <v>350296.93</v>
      </c>
      <c r="AQ23" s="101">
        <f t="shared" si="2"/>
        <v>0</v>
      </c>
    </row>
    <row r="24" s="10" customFormat="1" ht="24.05" customHeight="1" spans="2:43">
      <c r="B24" s="48" t="s">
        <v>81</v>
      </c>
      <c r="C24" s="46" t="s">
        <v>215</v>
      </c>
      <c r="D24" s="46" t="s">
        <v>216</v>
      </c>
      <c r="E24" s="47">
        <v>90</v>
      </c>
      <c r="F24" s="42">
        <f t="shared" si="5"/>
        <v>120640.88</v>
      </c>
      <c r="G24" s="43">
        <f t="shared" si="1"/>
        <v>142072.46</v>
      </c>
      <c r="H24" s="44">
        <f>IF('2024年-挂账付款'!$AX24&gt;=SUM('2024年-挂账付款'!E24:$AH24),'2024年-挂账付款'!E24,IF('2024年-挂账付款'!$AX24-SUM('2024年-挂账付款'!F24:$AH24)&gt;0,'2024年-挂账付款'!$AX24-SUM('2024年-挂账付款'!F24:$AH24),0))</f>
        <v>0</v>
      </c>
      <c r="I24" s="44">
        <f>IF('2024年-挂账付款'!$AX24&gt;=SUM('2024年-挂账付款'!F24:$AH24),'2024年-挂账付款'!F24,IF('2024年-挂账付款'!$AX24-SUM('2024年-挂账付款'!G24:$AH24)&gt;0,'2024年-挂账付款'!$AX24-SUM('2024年-挂账付款'!G24:$AH24),0))</f>
        <v>0</v>
      </c>
      <c r="J24" s="44">
        <f>IF('2024年-挂账付款'!$AX24&gt;=SUM('2024年-挂账付款'!G24:$AH24),'2024年-挂账付款'!G24,IF('2024年-挂账付款'!$AX24-SUM('2024年-挂账付款'!H24:$AH24)&gt;0,'2024年-挂账付款'!$AX24-SUM('2024年-挂账付款'!H24:$AH24),0))</f>
        <v>0</v>
      </c>
      <c r="K24" s="44">
        <f>IF('2024年-挂账付款'!$AX24&gt;=SUM('2024年-挂账付款'!H24:$AH24),'2024年-挂账付款'!H24,IF('2024年-挂账付款'!$AX24-SUM('2024年-挂账付款'!I24:$AH24)&gt;0,'2024年-挂账付款'!$AX24-SUM('2024年-挂账付款'!I24:$AH24),0))</f>
        <v>0</v>
      </c>
      <c r="L24" s="44">
        <f>IF('2024年-挂账付款'!$AX24&gt;=SUM('2024年-挂账付款'!I24:$AH24),'2024年-挂账付款'!I24,IF('2024年-挂账付款'!$AX24-SUM('2024年-挂账付款'!J24:$AH24)&gt;0,'2024年-挂账付款'!$AX24-SUM('2024年-挂账付款'!J24:$AH24),0))</f>
        <v>0</v>
      </c>
      <c r="M24" s="44">
        <f>IF('2024年-挂账付款'!$AX24&gt;=SUM('2024年-挂账付款'!J24:$AH24),'2024年-挂账付款'!J24,IF('2024年-挂账付款'!$AX24-SUM('2024年-挂账付款'!K24:$AH24)&gt;0,'2024年-挂账付款'!$AX24-SUM('2024年-挂账付款'!K24:$AH24),0))</f>
        <v>0</v>
      </c>
      <c r="N24" s="44">
        <f>IF('2024年-挂账付款'!$AX24&gt;=SUM('2024年-挂账付款'!K24:$AH24),'2024年-挂账付款'!K24,IF('2024年-挂账付款'!$AX24-SUM('2024年-挂账付款'!L24:$AH24)&gt;0,'2024年-挂账付款'!$AX24-SUM('2024年-挂账付款'!L24:$AH24),0))</f>
        <v>0</v>
      </c>
      <c r="O24" s="44">
        <f>IF('2024年-挂账付款'!$AX24&gt;=SUM('2024年-挂账付款'!L24:$AH24),'2024年-挂账付款'!L24,IF('2024年-挂账付款'!$AX24-SUM('2024年-挂账付款'!M24:$AH24)&gt;0,'2024年-挂账付款'!$AX24-SUM('2024年-挂账付款'!M24:$AH24),0))</f>
        <v>0</v>
      </c>
      <c r="P24" s="44">
        <f>IF('2024年-挂账付款'!$AX24&gt;=SUM('2024年-挂账付款'!M24:$AH24),'2024年-挂账付款'!M24,IF('2024年-挂账付款'!$AX24-SUM('2024年-挂账付款'!N24:$AH24)&gt;0,'2024年-挂账付款'!$AX24-SUM('2024年-挂账付款'!N24:$AH24),0))</f>
        <v>9418.41000000003</v>
      </c>
      <c r="Q24" s="44">
        <f>IF('2024年-挂账付款'!$AX24&gt;=SUM('2024年-挂账付款'!N24:$AH24),'2024年-挂账付款'!N24,IF('2024年-挂账付款'!$AX24-SUM('2024年-挂账付款'!O24:$AH24)&gt;0,'2024年-挂账付款'!$AX24-SUM('2024年-挂账付款'!O24:$AH24),0))</f>
        <v>0</v>
      </c>
      <c r="R24" s="44">
        <f>IF('2024年-挂账付款'!$AX24&gt;=SUM('2024年-挂账付款'!O24:$AH24),'2024年-挂账付款'!O24,IF('2024年-挂账付款'!$AX24-SUM('2024年-挂账付款'!P24:$AH24)&gt;0,'2024年-挂账付款'!$AX24-SUM('2024年-挂账付款'!P24:$AH24),0))</f>
        <v>36679.8</v>
      </c>
      <c r="S24" s="44">
        <f>IF('2024年-挂账付款'!$AX24&gt;=SUM('2024年-挂账付款'!P24:$AH24),'2024年-挂账付款'!P24,IF('2024年-挂账付款'!$AX24-SUM('2024年-挂账付款'!Q24:$AH24)&gt;0,'2024年-挂账付款'!$AX24-SUM('2024年-挂账付款'!Q24:$AH24),0))</f>
        <v>0</v>
      </c>
      <c r="T24" s="44">
        <f>IF('2024年-挂账付款'!$AX24&gt;=SUM('2024年-挂账付款'!Q24:$AH24),'2024年-挂账付款'!Q24,IF('2024年-挂账付款'!$AX24-SUM('2024年-挂账付款'!R24:$AH24)&gt;0,'2024年-挂账付款'!$AX24-SUM('2024年-挂账付款'!R24:$AH24),0))</f>
        <v>71506.4</v>
      </c>
      <c r="U24" s="44">
        <f>IF('2024年-挂账付款'!$AX24&gt;=SUM('2024年-挂账付款'!R24:$AH24),'2024年-挂账付款'!R24,IF('2024年-挂账付款'!$AX24-SUM('2024年-挂账付款'!S24:$AH24)&gt;0,'2024年-挂账付款'!$AX24-SUM('2024年-挂账付款'!S24:$AH24),0))</f>
        <v>0</v>
      </c>
      <c r="V24" s="44">
        <f>IF('2024年-挂账付款'!$AX24&gt;=SUM('2024年-挂账付款'!S24:$AH24),'2024年-挂账付款'!S24,IF('2024年-挂账付款'!$AX24-SUM('2024年-挂账付款'!T24:$AH24)&gt;0,'2024年-挂账付款'!$AX24-SUM('2024年-挂账付款'!T24:$AH24),0))</f>
        <v>3036.27</v>
      </c>
      <c r="W24" s="44">
        <f>IF('2024年-挂账付款'!$AX24&gt;=SUM('2024年-挂账付款'!T24:$AH24),'2024年-挂账付款'!T24,IF('2024年-挂账付款'!$AX24-SUM('2024年-挂账付款'!U24:$AH24)&gt;0,'2024年-挂账付款'!$AX24-SUM('2024年-挂账付款'!U24:$AH24),0))</f>
        <v>0</v>
      </c>
      <c r="X24" s="44">
        <f>IF('2024年-挂账付款'!$AX24&gt;=SUM('2024年-挂账付款'!U24:$AH24),'2024年-挂账付款'!U24,IF('2024年-挂账付款'!$AX24-SUM('2024年-挂账付款'!V24:$AH24)&gt;0,'2024年-挂账付款'!$AX24-SUM('2024年-挂账付款'!V24:$AH24),0))</f>
        <v>21431.58</v>
      </c>
      <c r="Y24" s="44">
        <f>IF('2024年-挂账付款'!$AX24&gt;=SUM('2024年-挂账付款'!V24:$AH24),'2024年-挂账付款'!V24,IF('2024年-挂账付款'!$AX24-SUM('2024年-挂账付款'!W24:$AH24)&gt;0,'2024年-挂账付款'!$AX24-SUM('2024年-挂账付款'!W24:$AH24),0))</f>
        <v>0</v>
      </c>
      <c r="Z24" s="44">
        <f>IF('2024年-挂账付款'!$AX24&gt;=SUM('2024年-挂账付款'!W24:$AH24),'2024年-挂账付款'!W24,IF('2024年-挂账付款'!$AX24-SUM('2024年-挂账付款'!X24:$AH24)&gt;0,'2024年-挂账付款'!$AX24-SUM('2024年-挂账付款'!X24:$AH24),0))</f>
        <v>0</v>
      </c>
      <c r="AA24" s="44">
        <f>IF('2024年-挂账付款'!$AX24&gt;=SUM('2024年-挂账付款'!X24:$AH24),'2024年-挂账付款'!X24,IF('2024年-挂账付款'!$AX24-SUM('2024年-挂账付款'!Y24:$AH24)&gt;0,'2024年-挂账付款'!$AX24-SUM('2024年-挂账付款'!Y24:$AH24),0))</f>
        <v>18339.9</v>
      </c>
      <c r="AB24" s="44">
        <f>IF('2024年-挂账付款'!$AX24&gt;=SUM('2024年-挂账付款'!Y24:$AH24),'2024年-挂账付款'!Y24,IF('2024年-挂账付款'!$AX24-SUM('2024年-挂账付款'!Z24:$AH24)&gt;0,'2024年-挂账付款'!$AX24-SUM('2024年-挂账付款'!Z24:$AH24),0))</f>
        <v>0</v>
      </c>
      <c r="AC24" s="44">
        <f>IF('2024年-挂账付款'!$AX24&gt;=SUM('2024年-挂账付款'!Z24:$AH24),'2024年-挂账付款'!Z24,IF('2024年-挂账付款'!$AX24-SUM('2024年-挂账付款'!AA24:$AH24)&gt;0,'2024年-挂账付款'!$AX24-SUM('2024年-挂账付款'!AA24:$AH24),0))</f>
        <v>0</v>
      </c>
      <c r="AD24" s="44">
        <f>IF('2024年-挂账付款'!$AX24&gt;=SUM('2024年-挂账付款'!AA24:$AH24),'2024年-挂账付款'!AA24,IF('2024年-挂账付款'!$AX24-SUM('2024年-挂账付款'!AB24:$AH24)&gt;0,'2024年-挂账付款'!$AX24-SUM('2024年-挂账付款'!AB24:$AH24),0))</f>
        <v>0</v>
      </c>
      <c r="AE24" s="44">
        <f>IF('2024年-挂账付款'!$AX24&gt;=SUM('2024年-挂账付款'!AB24:$AH24),'2024年-挂账付款'!AB24,IF('2024年-挂账付款'!$AX24-SUM('2024年-挂账付款'!AC24:$AH24)&gt;0,'2024年-挂账付款'!$AX24-SUM('2024年-挂账付款'!AC24:$AH24),0))</f>
        <v>0</v>
      </c>
      <c r="AF24" s="44">
        <f>IF('2024年-挂账付款'!$AX24&gt;=SUM('2024年-挂账付款'!AC24:$AH24),'2024年-挂账付款'!AC24,IF('2024年-挂账付款'!$AX24-SUM('2024年-挂账付款'!AD24:$AH24)&gt;0,'2024年-挂账付款'!$AX24-SUM('2024年-挂账付款'!AD24:$AH24),0))</f>
        <v>0</v>
      </c>
      <c r="AG24" s="44">
        <f>IF('2024年-挂账付款'!$AX24&gt;=SUM('2024年-挂账付款'!AD24:$AH24),'2024年-挂账付款'!AD24,IF('2024年-挂账付款'!$AX24-SUM('2024年-挂账付款'!AE24:$AH24)&gt;0,'2024年-挂账付款'!$AX24-SUM('2024年-挂账付款'!AE24:$AH24),0))</f>
        <v>0</v>
      </c>
      <c r="AH24" s="44">
        <f>IF('2024年-挂账付款'!$AX24&gt;=SUM('2024年-挂账付款'!AE24:$AH24),'2024年-挂账付款'!AE24,IF('2024年-挂账付款'!$AX24-SUM('2024年-挂账付款'!AF24:$AH24)&gt;0,'2024年-挂账付款'!$AX24-SUM('2024年-挂账付款'!AF24:$AH24),0))</f>
        <v>0</v>
      </c>
      <c r="AI24" s="44">
        <f>IF('2024年-挂账付款'!$AX24&gt;=SUM('2024年-挂账付款'!AF24:$AH24),'2024年-挂账付款'!AF24,IF('2024年-挂账付款'!$AX24-SUM('2024年-挂账付款'!AG24:$AH24)&gt;0,'2024年-挂账付款'!$AX24-SUM('2024年-挂账付款'!AG24:$AH24),0))</f>
        <v>0</v>
      </c>
      <c r="AJ24" s="44">
        <f>IF('2024年-挂账付款'!$AX24&gt;=SUM('2024年-挂账付款'!AG24:$AH24),'2024年-挂账付款'!AG24,IF('2024年-挂账付款'!$AX24-SUM('2024年-挂账付款'!AH24:$AH24)&gt;0,'2024年-挂账付款'!$AX24-SUM('2024年-挂账付款'!AH24:$AH24),0))</f>
        <v>0</v>
      </c>
      <c r="AK24" s="44">
        <f>IF('2024年-挂账付款'!$AX24&gt;=SUM('2024年-挂账付款'!AH24:$AH24),'2024年-挂账付款'!AH24,IF('2024年-挂账付款'!$AX24-SUM('2024年-挂账付款'!$AH24:AI24)&gt;0,'2024年-挂账付款'!$AX24-SUM('2024年-挂账付款'!$AH24:AI24),0))</f>
        <v>0</v>
      </c>
      <c r="AL24" s="84" t="s">
        <v>426</v>
      </c>
      <c r="AM24" s="85"/>
      <c r="AN24" s="86">
        <f t="shared" si="4"/>
        <v>12796.5666666667</v>
      </c>
      <c r="AO24" s="91"/>
      <c r="AP24" s="10">
        <f>'2024年-挂账付款'!AX24</f>
        <v>160412.36</v>
      </c>
      <c r="AQ24" s="101">
        <f t="shared" si="2"/>
        <v>-18339.9</v>
      </c>
    </row>
    <row r="25" s="10" customFormat="1" ht="24.05" customHeight="1" spans="2:43">
      <c r="B25" s="48" t="s">
        <v>81</v>
      </c>
      <c r="C25" s="46" t="s">
        <v>230</v>
      </c>
      <c r="D25" s="46" t="s">
        <v>231</v>
      </c>
      <c r="E25" s="41">
        <v>90</v>
      </c>
      <c r="F25" s="42">
        <f t="shared" si="5"/>
        <v>0</v>
      </c>
      <c r="G25" s="43" t="str">
        <f t="shared" si="1"/>
        <v>0</v>
      </c>
      <c r="H25" s="44">
        <f>IF('2024年-挂账付款'!$AX25&gt;=SUM('2024年-挂账付款'!E25:$AH25),'2024年-挂账付款'!E25,IF('2024年-挂账付款'!$AX25-SUM('2024年-挂账付款'!F25:$AH25)&gt;0,'2024年-挂账付款'!$AX25-SUM('2024年-挂账付款'!F25:$AH25),0))</f>
        <v>0</v>
      </c>
      <c r="I25" s="44">
        <f>IF('2024年-挂账付款'!$AX25&gt;=SUM('2024年-挂账付款'!F25:$AH25),'2024年-挂账付款'!F25,IF('2024年-挂账付款'!$AX25-SUM('2024年-挂账付款'!G25:$AH25)&gt;0,'2024年-挂账付款'!$AX25-SUM('2024年-挂账付款'!G25:$AH25),0))</f>
        <v>0</v>
      </c>
      <c r="J25" s="44">
        <f>IF('2024年-挂账付款'!$AX25&gt;=SUM('2024年-挂账付款'!G25:$AH25),'2024年-挂账付款'!G25,IF('2024年-挂账付款'!$AX25-SUM('2024年-挂账付款'!H25:$AH25)&gt;0,'2024年-挂账付款'!$AX25-SUM('2024年-挂账付款'!H25:$AH25),0))</f>
        <v>0</v>
      </c>
      <c r="K25" s="44">
        <f>IF('2024年-挂账付款'!$AX25&gt;=SUM('2024年-挂账付款'!H25:$AH25),'2024年-挂账付款'!H25,IF('2024年-挂账付款'!$AX25-SUM('2024年-挂账付款'!I25:$AH25)&gt;0,'2024年-挂账付款'!$AX25-SUM('2024年-挂账付款'!I25:$AH25),0))</f>
        <v>0</v>
      </c>
      <c r="L25" s="44">
        <f>IF('2024年-挂账付款'!$AX25&gt;=SUM('2024年-挂账付款'!I25:$AH25),'2024年-挂账付款'!I25,IF('2024年-挂账付款'!$AX25-SUM('2024年-挂账付款'!J25:$AH25)&gt;0,'2024年-挂账付款'!$AX25-SUM('2024年-挂账付款'!J25:$AH25),0))</f>
        <v>0</v>
      </c>
      <c r="M25" s="44">
        <f>IF('2024年-挂账付款'!$AX25&gt;=SUM('2024年-挂账付款'!J25:$AH25),'2024年-挂账付款'!J25,IF('2024年-挂账付款'!$AX25-SUM('2024年-挂账付款'!K25:$AH25)&gt;0,'2024年-挂账付款'!$AX25-SUM('2024年-挂账付款'!K25:$AH25),0))</f>
        <v>0</v>
      </c>
      <c r="N25" s="44">
        <f>IF('2024年-挂账付款'!$AX25&gt;=SUM('2024年-挂账付款'!K25:$AH25),'2024年-挂账付款'!K25,IF('2024年-挂账付款'!$AX25-SUM('2024年-挂账付款'!L25:$AH25)&gt;0,'2024年-挂账付款'!$AX25-SUM('2024年-挂账付款'!L25:$AH25),0))</f>
        <v>0</v>
      </c>
      <c r="O25" s="44">
        <f>IF('2024年-挂账付款'!$AX25&gt;=SUM('2024年-挂账付款'!L25:$AH25),'2024年-挂账付款'!L25,IF('2024年-挂账付款'!$AX25-SUM('2024年-挂账付款'!M25:$AH25)&gt;0,'2024年-挂账付款'!$AX25-SUM('2024年-挂账付款'!M25:$AH25),0))</f>
        <v>0</v>
      </c>
      <c r="P25" s="44">
        <f>IF('2024年-挂账付款'!$AX25&gt;=SUM('2024年-挂账付款'!M25:$AH25),'2024年-挂账付款'!M25,IF('2024年-挂账付款'!$AX25-SUM('2024年-挂账付款'!N25:$AH25)&gt;0,'2024年-挂账付款'!$AX25-SUM('2024年-挂账付款'!N25:$AH25),0))</f>
        <v>0</v>
      </c>
      <c r="Q25" s="44">
        <f>IF('2024年-挂账付款'!$AX25&gt;=SUM('2024年-挂账付款'!N25:$AH25),'2024年-挂账付款'!N25,IF('2024年-挂账付款'!$AX25-SUM('2024年-挂账付款'!O25:$AH25)&gt;0,'2024年-挂账付款'!$AX25-SUM('2024年-挂账付款'!O25:$AH25),0))</f>
        <v>0</v>
      </c>
      <c r="R25" s="44">
        <f>IF('2024年-挂账付款'!$AX25&gt;=SUM('2024年-挂账付款'!O25:$AH25),'2024年-挂账付款'!O25,IF('2024年-挂账付款'!$AX25-SUM('2024年-挂账付款'!P25:$AH25)&gt;0,'2024年-挂账付款'!$AX25-SUM('2024年-挂账付款'!P25:$AH25),0))</f>
        <v>0</v>
      </c>
      <c r="S25" s="44">
        <f>IF('2024年-挂账付款'!$AX25&gt;=SUM('2024年-挂账付款'!P25:$AH25),'2024年-挂账付款'!P25,IF('2024年-挂账付款'!$AX25-SUM('2024年-挂账付款'!Q25:$AH25)&gt;0,'2024年-挂账付款'!$AX25-SUM('2024年-挂账付款'!Q25:$AH25),0))</f>
        <v>0</v>
      </c>
      <c r="T25" s="44">
        <f>IF('2024年-挂账付款'!$AX25&gt;=SUM('2024年-挂账付款'!Q25:$AH25),'2024年-挂账付款'!Q25,IF('2024年-挂账付款'!$AX25-SUM('2024年-挂账付款'!R25:$AH25)&gt;0,'2024年-挂账付款'!$AX25-SUM('2024年-挂账付款'!R25:$AH25),0))</f>
        <v>0</v>
      </c>
      <c r="U25" s="44">
        <f>IF('2024年-挂账付款'!$AX25&gt;=SUM('2024年-挂账付款'!R25:$AH25),'2024年-挂账付款'!R25,IF('2024年-挂账付款'!$AX25-SUM('2024年-挂账付款'!S25:$AH25)&gt;0,'2024年-挂账付款'!$AX25-SUM('2024年-挂账付款'!S25:$AH25),0))</f>
        <v>0</v>
      </c>
      <c r="V25" s="44">
        <f>IF('2024年-挂账付款'!$AX25&gt;=SUM('2024年-挂账付款'!S25:$AH25),'2024年-挂账付款'!S25,IF('2024年-挂账付款'!$AX25-SUM('2024年-挂账付款'!T25:$AH25)&gt;0,'2024年-挂账付款'!$AX25-SUM('2024年-挂账付款'!T25:$AH25),0))</f>
        <v>0</v>
      </c>
      <c r="W25" s="44">
        <f>IF('2024年-挂账付款'!$AX25&gt;=SUM('2024年-挂账付款'!T25:$AH25),'2024年-挂账付款'!T25,IF('2024年-挂账付款'!$AX25-SUM('2024年-挂账付款'!U25:$AH25)&gt;0,'2024年-挂账付款'!$AX25-SUM('2024年-挂账付款'!U25:$AH25),0))</f>
        <v>0</v>
      </c>
      <c r="X25" s="44">
        <f>IF('2024年-挂账付款'!$AX25&gt;=SUM('2024年-挂账付款'!U25:$AH25),'2024年-挂账付款'!U25,IF('2024年-挂账付款'!$AX25-SUM('2024年-挂账付款'!V25:$AH25)&gt;0,'2024年-挂账付款'!$AX25-SUM('2024年-挂账付款'!V25:$AH25),0))</f>
        <v>0</v>
      </c>
      <c r="Y25" s="44">
        <f>IF('2024年-挂账付款'!$AX25&gt;=SUM('2024年-挂账付款'!V25:$AH25),'2024年-挂账付款'!V25,IF('2024年-挂账付款'!$AX25-SUM('2024年-挂账付款'!W25:$AH25)&gt;0,'2024年-挂账付款'!$AX25-SUM('2024年-挂账付款'!W25:$AH25),0))</f>
        <v>0</v>
      </c>
      <c r="Z25" s="44">
        <f>IF('2024年-挂账付款'!$AX25&gt;=SUM('2024年-挂账付款'!W25:$AH25),'2024年-挂账付款'!W25,IF('2024年-挂账付款'!$AX25-SUM('2024年-挂账付款'!X25:$AH25)&gt;0,'2024年-挂账付款'!$AX25-SUM('2024年-挂账付款'!X25:$AH25),0))</f>
        <v>281727.26</v>
      </c>
      <c r="AA25" s="44">
        <f>IF('2024年-挂账付款'!$AX25&gt;=SUM('2024年-挂账付款'!X25:$AH25),'2024年-挂账付款'!X25,IF('2024年-挂账付款'!$AX25-SUM('2024年-挂账付款'!Y25:$AH25)&gt;0,'2024年-挂账付款'!$AX25-SUM('2024年-挂账付款'!Y25:$AH25),0))</f>
        <v>369938.84</v>
      </c>
      <c r="AB25" s="44">
        <f>IF('2024年-挂账付款'!$AX25&gt;=SUM('2024年-挂账付款'!Y25:$AH25),'2024年-挂账付款'!Y25,IF('2024年-挂账付款'!$AX25-SUM('2024年-挂账付款'!Z25:$AH25)&gt;0,'2024年-挂账付款'!$AX25-SUM('2024年-挂账付款'!Z25:$AH25),0))</f>
        <v>0</v>
      </c>
      <c r="AC25" s="44">
        <f>IF('2024年-挂账付款'!$AX25&gt;=SUM('2024年-挂账付款'!Z25:$AH25),'2024年-挂账付款'!Z25,IF('2024年-挂账付款'!$AX25-SUM('2024年-挂账付款'!AA25:$AH25)&gt;0,'2024年-挂账付款'!$AX25-SUM('2024年-挂账付款'!AA25:$AH25),0))</f>
        <v>0</v>
      </c>
      <c r="AD25" s="44">
        <f>IF('2024年-挂账付款'!$AX25&gt;=SUM('2024年-挂账付款'!AA25:$AH25),'2024年-挂账付款'!AA25,IF('2024年-挂账付款'!$AX25-SUM('2024年-挂账付款'!AB25:$AH25)&gt;0,'2024年-挂账付款'!$AX25-SUM('2024年-挂账付款'!AB25:$AH25),0))</f>
        <v>0</v>
      </c>
      <c r="AE25" s="44">
        <f>IF('2024年-挂账付款'!$AX25&gt;=SUM('2024年-挂账付款'!AB25:$AH25),'2024年-挂账付款'!AB25,IF('2024年-挂账付款'!$AX25-SUM('2024年-挂账付款'!AC25:$AH25)&gt;0,'2024年-挂账付款'!$AX25-SUM('2024年-挂账付款'!AC25:$AH25),0))</f>
        <v>0</v>
      </c>
      <c r="AF25" s="44">
        <f>IF('2024年-挂账付款'!$AX25&gt;=SUM('2024年-挂账付款'!AC25:$AH25),'2024年-挂账付款'!AC25,IF('2024年-挂账付款'!$AX25-SUM('2024年-挂账付款'!AD25:$AH25)&gt;0,'2024年-挂账付款'!$AX25-SUM('2024年-挂账付款'!AD25:$AH25),0))</f>
        <v>0</v>
      </c>
      <c r="AG25" s="44">
        <f>IF('2024年-挂账付款'!$AX25&gt;=SUM('2024年-挂账付款'!AD25:$AH25),'2024年-挂账付款'!AD25,IF('2024年-挂账付款'!$AX25-SUM('2024年-挂账付款'!AE25:$AH25)&gt;0,'2024年-挂账付款'!$AX25-SUM('2024年-挂账付款'!AE25:$AH25),0))</f>
        <v>0</v>
      </c>
      <c r="AH25" s="44">
        <f>IF('2024年-挂账付款'!$AX25&gt;=SUM('2024年-挂账付款'!AE25:$AH25),'2024年-挂账付款'!AE25,IF('2024年-挂账付款'!$AX25-SUM('2024年-挂账付款'!AF25:$AH25)&gt;0,'2024年-挂账付款'!$AX25-SUM('2024年-挂账付款'!AF25:$AH25),0))</f>
        <v>0</v>
      </c>
      <c r="AI25" s="44">
        <f>IF('2024年-挂账付款'!$AX25&gt;=SUM('2024年-挂账付款'!AF25:$AH25),'2024年-挂账付款'!AF25,IF('2024年-挂账付款'!$AX25-SUM('2024年-挂账付款'!AG25:$AH25)&gt;0,'2024年-挂账付款'!$AX25-SUM('2024年-挂账付款'!AG25:$AH25),0))</f>
        <v>0</v>
      </c>
      <c r="AJ25" s="44">
        <f>IF('2024年-挂账付款'!$AX25&gt;=SUM('2024年-挂账付款'!AG25:$AH25),'2024年-挂账付款'!AG25,IF('2024年-挂账付款'!$AX25-SUM('2024年-挂账付款'!AH25:$AH25)&gt;0,'2024年-挂账付款'!$AX25-SUM('2024年-挂账付款'!AH25:$AH25),0))</f>
        <v>0</v>
      </c>
      <c r="AK25" s="44">
        <f>IF('2024年-挂账付款'!$AX25&gt;=SUM('2024年-挂账付款'!AH25:$AH25),'2024年-挂账付款'!AH25,IF('2024年-挂账付款'!$AX25-SUM('2024年-挂账付款'!$AH25:AI25)&gt;0,'2024年-挂账付款'!$AX25-SUM('2024年-挂账付款'!$AH25:AI25),0))</f>
        <v>0</v>
      </c>
      <c r="AL25" s="88" t="s">
        <v>426</v>
      </c>
      <c r="AM25" s="89" t="s">
        <v>480</v>
      </c>
      <c r="AN25" s="86">
        <f t="shared" si="4"/>
        <v>0</v>
      </c>
      <c r="AO25" s="91"/>
      <c r="AP25" s="10">
        <f>'2024年-挂账付款'!AX25</f>
        <v>651666.1</v>
      </c>
      <c r="AQ25" s="101">
        <f t="shared" si="2"/>
        <v>-651666.1</v>
      </c>
    </row>
    <row r="26" s="10" customFormat="1" ht="24.05" customHeight="1" spans="2:43">
      <c r="B26" s="45" t="s">
        <v>81</v>
      </c>
      <c r="C26" s="46" t="s">
        <v>271</v>
      </c>
      <c r="D26" s="46" t="s">
        <v>272</v>
      </c>
      <c r="E26" s="47">
        <v>90</v>
      </c>
      <c r="F26" s="42">
        <f t="shared" si="5"/>
        <v>6222.04999999999</v>
      </c>
      <c r="G26" s="43">
        <f t="shared" si="1"/>
        <v>16581.89</v>
      </c>
      <c r="H26" s="44">
        <f>IF('2024年-挂账付款'!$AX26&gt;=SUM('2024年-挂账付款'!E26:$AH26),'2024年-挂账付款'!E26,IF('2024年-挂账付款'!$AX26-SUM('2024年-挂账付款'!F26:$AH26)&gt;0,'2024年-挂账付款'!$AX26-SUM('2024年-挂账付款'!F26:$AH26),0))</f>
        <v>0</v>
      </c>
      <c r="I26" s="44">
        <f>IF('2024年-挂账付款'!$AX26&gt;=SUM('2024年-挂账付款'!F26:$AH26),'2024年-挂账付款'!F26,IF('2024年-挂账付款'!$AX26-SUM('2024年-挂账付款'!G26:$AH26)&gt;0,'2024年-挂账付款'!$AX26-SUM('2024年-挂账付款'!G26:$AH26),0))</f>
        <v>0</v>
      </c>
      <c r="J26" s="44">
        <f>IF('2024年-挂账付款'!$AX26&gt;=SUM('2024年-挂账付款'!G26:$AH26),'2024年-挂账付款'!G26,IF('2024年-挂账付款'!$AX26-SUM('2024年-挂账付款'!H26:$AH26)&gt;0,'2024年-挂账付款'!$AX26-SUM('2024年-挂账付款'!H26:$AH26),0))</f>
        <v>0</v>
      </c>
      <c r="K26" s="44">
        <f>IF('2024年-挂账付款'!$AX26&gt;=SUM('2024年-挂账付款'!H26:$AH26),'2024年-挂账付款'!H26,IF('2024年-挂账付款'!$AX26-SUM('2024年-挂账付款'!I26:$AH26)&gt;0,'2024年-挂账付款'!$AX26-SUM('2024年-挂账付款'!I26:$AH26),0))</f>
        <v>0</v>
      </c>
      <c r="L26" s="44">
        <f>IF('2024年-挂账付款'!$AX26&gt;=SUM('2024年-挂账付款'!I26:$AH26),'2024年-挂账付款'!I26,IF('2024年-挂账付款'!$AX26-SUM('2024年-挂账付款'!J26:$AH26)&gt;0,'2024年-挂账付款'!$AX26-SUM('2024年-挂账付款'!J26:$AH26),0))</f>
        <v>0</v>
      </c>
      <c r="M26" s="44">
        <f>IF('2024年-挂账付款'!$AX26&gt;=SUM('2024年-挂账付款'!J26:$AH26),'2024年-挂账付款'!J26,IF('2024年-挂账付款'!$AX26-SUM('2024年-挂账付款'!K26:$AH26)&gt;0,'2024年-挂账付款'!$AX26-SUM('2024年-挂账付款'!K26:$AH26),0))</f>
        <v>0</v>
      </c>
      <c r="N26" s="44">
        <f>IF('2024年-挂账付款'!$AX26&gt;=SUM('2024年-挂账付款'!K26:$AH26),'2024年-挂账付款'!K26,IF('2024年-挂账付款'!$AX26-SUM('2024年-挂账付款'!L26:$AH26)&gt;0,'2024年-挂账付款'!$AX26-SUM('2024年-挂账付款'!L26:$AH26),0))</f>
        <v>0</v>
      </c>
      <c r="O26" s="44">
        <f>IF('2024年-挂账付款'!$AX26&gt;=SUM('2024年-挂账付款'!L26:$AH26),'2024年-挂账付款'!L26,IF('2024年-挂账付款'!$AX26-SUM('2024年-挂账付款'!M26:$AH26)&gt;0,'2024年-挂账付款'!$AX26-SUM('2024年-挂账付款'!M26:$AH26),0))</f>
        <v>0</v>
      </c>
      <c r="P26" s="44">
        <f>IF('2024年-挂账付款'!$AX26&gt;=SUM('2024年-挂账付款'!M26:$AH26),'2024年-挂账付款'!M26,IF('2024年-挂账付款'!$AX26-SUM('2024年-挂账付款'!N26:$AH26)&gt;0,'2024年-挂账付款'!$AX26-SUM('2024年-挂账付款'!N26:$AH26),0))</f>
        <v>0</v>
      </c>
      <c r="Q26" s="44">
        <f>IF('2024年-挂账付款'!$AX26&gt;=SUM('2024年-挂账付款'!N26:$AH26),'2024年-挂账付款'!N26,IF('2024年-挂账付款'!$AX26-SUM('2024年-挂账付款'!O26:$AH26)&gt;0,'2024年-挂账付款'!$AX26-SUM('2024年-挂账付款'!O26:$AH26),0))</f>
        <v>0</v>
      </c>
      <c r="R26" s="44">
        <f>IF('2024年-挂账付款'!$AX26&gt;=SUM('2024年-挂账付款'!O26:$AH26),'2024年-挂账付款'!O26,IF('2024年-挂账付款'!$AX26-SUM('2024年-挂账付款'!P26:$AH26)&gt;0,'2024年-挂账付款'!$AX26-SUM('2024年-挂账付款'!P26:$AH26),0))</f>
        <v>0</v>
      </c>
      <c r="S26" s="44">
        <f>IF('2024年-挂账付款'!$AX26&gt;=SUM('2024年-挂账付款'!P26:$AH26),'2024年-挂账付款'!P26,IF('2024年-挂账付款'!$AX26-SUM('2024年-挂账付款'!Q26:$AH26)&gt;0,'2024年-挂账付款'!$AX26-SUM('2024年-挂账付款'!Q26:$AH26),0))</f>
        <v>0</v>
      </c>
      <c r="T26" s="44">
        <f>IF('2024年-挂账付款'!$AX26&gt;=SUM('2024年-挂账付款'!Q26:$AH26),'2024年-挂账付款'!Q26,IF('2024年-挂账付款'!$AX26-SUM('2024年-挂账付款'!R26:$AH26)&gt;0,'2024年-挂账付款'!$AX26-SUM('2024年-挂账付款'!R26:$AH26),0))</f>
        <v>0</v>
      </c>
      <c r="U26" s="44">
        <f>IF('2024年-挂账付款'!$AX26&gt;=SUM('2024年-挂账付款'!R26:$AH26),'2024年-挂账付款'!R26,IF('2024年-挂账付款'!$AX26-SUM('2024年-挂账付款'!S26:$AH26)&gt;0,'2024年-挂账付款'!$AX26-SUM('2024年-挂账付款'!S26:$AH26),0))</f>
        <v>6222.04999999999</v>
      </c>
      <c r="V26" s="44">
        <f>IF('2024年-挂账付款'!$AX26&gt;=SUM('2024年-挂账付款'!S26:$AH26),'2024年-挂账付款'!S26,IF('2024年-挂账付款'!$AX26-SUM('2024年-挂账付款'!T26:$AH26)&gt;0,'2024年-挂账付款'!$AX26-SUM('2024年-挂账付款'!T26:$AH26),0))</f>
        <v>0</v>
      </c>
      <c r="W26" s="44">
        <f>IF('2024年-挂账付款'!$AX26&gt;=SUM('2024年-挂账付款'!T26:$AH26),'2024年-挂账付款'!T26,IF('2024年-挂账付款'!$AX26-SUM('2024年-挂账付款'!U26:$AH26)&gt;0,'2024年-挂账付款'!$AX26-SUM('2024年-挂账付款'!U26:$AH26),0))</f>
        <v>10359.84</v>
      </c>
      <c r="X26" s="44">
        <f>IF('2024年-挂账付款'!$AX26&gt;=SUM('2024年-挂账付款'!U26:$AH26),'2024年-挂账付款'!U26,IF('2024年-挂账付款'!$AX26-SUM('2024年-挂账付款'!V26:$AH26)&gt;0,'2024年-挂账付款'!$AX26-SUM('2024年-挂账付款'!V26:$AH26),0))</f>
        <v>0</v>
      </c>
      <c r="Y26" s="44">
        <f>IF('2024年-挂账付款'!$AX26&gt;=SUM('2024年-挂账付款'!V26:$AH26),'2024年-挂账付款'!V26,IF('2024年-挂账付款'!$AX26-SUM('2024年-挂账付款'!W26:$AH26)&gt;0,'2024年-挂账付款'!$AX26-SUM('2024年-挂账付款'!W26:$AH26),0))</f>
        <v>0</v>
      </c>
      <c r="Z26" s="44">
        <f>IF('2024年-挂账付款'!$AX26&gt;=SUM('2024年-挂账付款'!W26:$AH26),'2024年-挂账付款'!W26,IF('2024年-挂账付款'!$AX26-SUM('2024年-挂账付款'!X26:$AH26)&gt;0,'2024年-挂账付款'!$AX26-SUM('2024年-挂账付款'!X26:$AH26),0))</f>
        <v>0</v>
      </c>
      <c r="AA26" s="44">
        <f>IF('2024年-挂账付款'!$AX26&gt;=SUM('2024年-挂账付款'!X26:$AH26),'2024年-挂账付款'!X26,IF('2024年-挂账付款'!$AX26-SUM('2024年-挂账付款'!Y26:$AH26)&gt;0,'2024年-挂账付款'!$AX26-SUM('2024年-挂账付款'!Y26:$AH26),0))</f>
        <v>0</v>
      </c>
      <c r="AB26" s="44">
        <f>IF('2024年-挂账付款'!$AX26&gt;=SUM('2024年-挂账付款'!Y26:$AH26),'2024年-挂账付款'!Y26,IF('2024年-挂账付款'!$AX26-SUM('2024年-挂账付款'!Z26:$AH26)&gt;0,'2024年-挂账付款'!$AX26-SUM('2024年-挂账付款'!Z26:$AH26),0))</f>
        <v>0</v>
      </c>
      <c r="AC26" s="44">
        <f>IF('2024年-挂账付款'!$AX26&gt;=SUM('2024年-挂账付款'!Z26:$AH26),'2024年-挂账付款'!Z26,IF('2024年-挂账付款'!$AX26-SUM('2024年-挂账付款'!AA26:$AH26)&gt;0,'2024年-挂账付款'!$AX26-SUM('2024年-挂账付款'!AA26:$AH26),0))</f>
        <v>0</v>
      </c>
      <c r="AD26" s="44">
        <f>IF('2024年-挂账付款'!$AX26&gt;=SUM('2024年-挂账付款'!AA26:$AH26),'2024年-挂账付款'!AA26,IF('2024年-挂账付款'!$AX26-SUM('2024年-挂账付款'!AB26:$AH26)&gt;0,'2024年-挂账付款'!$AX26-SUM('2024年-挂账付款'!AB26:$AH26),0))</f>
        <v>0</v>
      </c>
      <c r="AE26" s="44">
        <f>IF('2024年-挂账付款'!$AX26&gt;=SUM('2024年-挂账付款'!AB26:$AH26),'2024年-挂账付款'!AB26,IF('2024年-挂账付款'!$AX26-SUM('2024年-挂账付款'!AC26:$AH26)&gt;0,'2024年-挂账付款'!$AX26-SUM('2024年-挂账付款'!AC26:$AH26),0))</f>
        <v>0</v>
      </c>
      <c r="AF26" s="44">
        <f>IF('2024年-挂账付款'!$AX26&gt;=SUM('2024年-挂账付款'!AC26:$AH26),'2024年-挂账付款'!AC26,IF('2024年-挂账付款'!$AX26-SUM('2024年-挂账付款'!AD26:$AH26)&gt;0,'2024年-挂账付款'!$AX26-SUM('2024年-挂账付款'!AD26:$AH26),0))</f>
        <v>0</v>
      </c>
      <c r="AG26" s="44">
        <f>IF('2024年-挂账付款'!$AX26&gt;=SUM('2024年-挂账付款'!AD26:$AH26),'2024年-挂账付款'!AD26,IF('2024年-挂账付款'!$AX26-SUM('2024年-挂账付款'!AE26:$AH26)&gt;0,'2024年-挂账付款'!$AX26-SUM('2024年-挂账付款'!AE26:$AH26),0))</f>
        <v>0</v>
      </c>
      <c r="AH26" s="44">
        <f>IF('2024年-挂账付款'!$AX26&gt;=SUM('2024年-挂账付款'!AE26:$AH26),'2024年-挂账付款'!AE26,IF('2024年-挂账付款'!$AX26-SUM('2024年-挂账付款'!AF26:$AH26)&gt;0,'2024年-挂账付款'!$AX26-SUM('2024年-挂账付款'!AF26:$AH26),0))</f>
        <v>0</v>
      </c>
      <c r="AI26" s="44">
        <f>IF('2024年-挂账付款'!$AX26&gt;=SUM('2024年-挂账付款'!AF26:$AH26),'2024年-挂账付款'!AF26,IF('2024年-挂账付款'!$AX26-SUM('2024年-挂账付款'!AG26:$AH26)&gt;0,'2024年-挂账付款'!$AX26-SUM('2024年-挂账付款'!AG26:$AH26),0))</f>
        <v>0</v>
      </c>
      <c r="AJ26" s="44">
        <f>IF('2024年-挂账付款'!$AX26&gt;=SUM('2024年-挂账付款'!AG26:$AH26),'2024年-挂账付款'!AG26,IF('2024年-挂账付款'!$AX26-SUM('2024年-挂账付款'!AH26:$AH26)&gt;0,'2024年-挂账付款'!$AX26-SUM('2024年-挂账付款'!AH26:$AH26),0))</f>
        <v>0</v>
      </c>
      <c r="AK26" s="44">
        <f>IF('2024年-挂账付款'!$AX26&gt;=SUM('2024年-挂账付款'!AH26:$AH26),'2024年-挂账付款'!AH26,IF('2024年-挂账付款'!$AX26-SUM('2024年-挂账付款'!$AH26:AI26)&gt;0,'2024年-挂账付款'!$AX26-SUM('2024年-挂账付款'!$AH26:AI26),0))</f>
        <v>0</v>
      </c>
      <c r="AL26" s="84" t="s">
        <v>426</v>
      </c>
      <c r="AM26" s="85"/>
      <c r="AN26" s="86">
        <f t="shared" si="4"/>
        <v>2210.91866666667</v>
      </c>
      <c r="AO26" s="91"/>
      <c r="AP26" s="10">
        <f>'2024年-挂账付款'!AX26</f>
        <v>16581.89</v>
      </c>
      <c r="AQ26" s="101">
        <f t="shared" si="2"/>
        <v>0</v>
      </c>
    </row>
    <row r="27" s="10" customFormat="1" ht="24.05" customHeight="1" spans="2:43">
      <c r="B27" s="45" t="s">
        <v>81</v>
      </c>
      <c r="C27" s="46"/>
      <c r="D27" s="46" t="s">
        <v>333</v>
      </c>
      <c r="E27" s="41">
        <v>90</v>
      </c>
      <c r="F27" s="42">
        <f t="shared" si="5"/>
        <v>0</v>
      </c>
      <c r="G27" s="43">
        <f t="shared" si="1"/>
        <v>250693.63</v>
      </c>
      <c r="H27" s="44">
        <f>IF('2024年-挂账付款'!$AX27&gt;=SUM('2024年-挂账付款'!E27:$AH27),'2024年-挂账付款'!E27,IF('2024年-挂账付款'!$AX27-SUM('2024年-挂账付款'!F27:$AH27)&gt;0,'2024年-挂账付款'!$AX27-SUM('2024年-挂账付款'!F27:$AH27),0))</f>
        <v>0</v>
      </c>
      <c r="I27" s="44">
        <f>IF('2024年-挂账付款'!$AX27&gt;=SUM('2024年-挂账付款'!F27:$AH27),'2024年-挂账付款'!F27,IF('2024年-挂账付款'!$AX27-SUM('2024年-挂账付款'!G27:$AH27)&gt;0,'2024年-挂账付款'!$AX27-SUM('2024年-挂账付款'!G27:$AH27),0))</f>
        <v>0</v>
      </c>
      <c r="J27" s="44">
        <f>IF('2024年-挂账付款'!$AX27&gt;=SUM('2024年-挂账付款'!G27:$AH27),'2024年-挂账付款'!G27,IF('2024年-挂账付款'!$AX27-SUM('2024年-挂账付款'!H27:$AH27)&gt;0,'2024年-挂账付款'!$AX27-SUM('2024年-挂账付款'!H27:$AH27),0))</f>
        <v>0</v>
      </c>
      <c r="K27" s="44">
        <f>IF('2024年-挂账付款'!$AX27&gt;=SUM('2024年-挂账付款'!H27:$AH27),'2024年-挂账付款'!H27,IF('2024年-挂账付款'!$AX27-SUM('2024年-挂账付款'!I27:$AH27)&gt;0,'2024年-挂账付款'!$AX27-SUM('2024年-挂账付款'!I27:$AH27),0))</f>
        <v>0</v>
      </c>
      <c r="L27" s="44">
        <f>IF('2024年-挂账付款'!$AX27&gt;=SUM('2024年-挂账付款'!I27:$AH27),'2024年-挂账付款'!I27,IF('2024年-挂账付款'!$AX27-SUM('2024年-挂账付款'!J27:$AH27)&gt;0,'2024年-挂账付款'!$AX27-SUM('2024年-挂账付款'!J27:$AH27),0))</f>
        <v>0</v>
      </c>
      <c r="M27" s="44">
        <f>IF('2024年-挂账付款'!$AX27&gt;=SUM('2024年-挂账付款'!J27:$AH27),'2024年-挂账付款'!J27,IF('2024年-挂账付款'!$AX27-SUM('2024年-挂账付款'!K27:$AH27)&gt;0,'2024年-挂账付款'!$AX27-SUM('2024年-挂账付款'!K27:$AH27),0))</f>
        <v>0</v>
      </c>
      <c r="N27" s="44">
        <f>IF('2024年-挂账付款'!$AX27&gt;=SUM('2024年-挂账付款'!K27:$AH27),'2024年-挂账付款'!K27,IF('2024年-挂账付款'!$AX27-SUM('2024年-挂账付款'!L27:$AH27)&gt;0,'2024年-挂账付款'!$AX27-SUM('2024年-挂账付款'!L27:$AH27),0))</f>
        <v>0</v>
      </c>
      <c r="O27" s="44">
        <f>IF('2024年-挂账付款'!$AX27&gt;=SUM('2024年-挂账付款'!L27:$AH27),'2024年-挂账付款'!L27,IF('2024年-挂账付款'!$AX27-SUM('2024年-挂账付款'!M27:$AH27)&gt;0,'2024年-挂账付款'!$AX27-SUM('2024年-挂账付款'!M27:$AH27),0))</f>
        <v>0</v>
      </c>
      <c r="P27" s="44">
        <f>IF('2024年-挂账付款'!$AX27&gt;=SUM('2024年-挂账付款'!M27:$AH27),'2024年-挂账付款'!M27,IF('2024年-挂账付款'!$AX27-SUM('2024年-挂账付款'!N27:$AH27)&gt;0,'2024年-挂账付款'!$AX27-SUM('2024年-挂账付款'!N27:$AH27),0))</f>
        <v>0</v>
      </c>
      <c r="Q27" s="44">
        <f>IF('2024年-挂账付款'!$AX27&gt;=SUM('2024年-挂账付款'!N27:$AH27),'2024年-挂账付款'!N27,IF('2024年-挂账付款'!$AX27-SUM('2024年-挂账付款'!O27:$AH27)&gt;0,'2024年-挂账付款'!$AX27-SUM('2024年-挂账付款'!O27:$AH27),0))</f>
        <v>0</v>
      </c>
      <c r="R27" s="44">
        <f>IF('2024年-挂账付款'!$AX27&gt;=SUM('2024年-挂账付款'!O27:$AH27),'2024年-挂账付款'!O27,IF('2024年-挂账付款'!$AX27-SUM('2024年-挂账付款'!P27:$AH27)&gt;0,'2024年-挂账付款'!$AX27-SUM('2024年-挂账付款'!P27:$AH27),0))</f>
        <v>0</v>
      </c>
      <c r="S27" s="44">
        <f>IF('2024年-挂账付款'!$AX27&gt;=SUM('2024年-挂账付款'!P27:$AH27),'2024年-挂账付款'!P27,IF('2024年-挂账付款'!$AX27-SUM('2024年-挂账付款'!Q27:$AH27)&gt;0,'2024年-挂账付款'!$AX27-SUM('2024年-挂账付款'!Q27:$AH27),0))</f>
        <v>0</v>
      </c>
      <c r="T27" s="44">
        <f>IF('2024年-挂账付款'!$AX27&gt;=SUM('2024年-挂账付款'!Q27:$AH27),'2024年-挂账付款'!Q27,IF('2024年-挂账付款'!$AX27-SUM('2024年-挂账付款'!R27:$AH27)&gt;0,'2024年-挂账付款'!$AX27-SUM('2024年-挂账付款'!R27:$AH27),0))</f>
        <v>0</v>
      </c>
      <c r="U27" s="44">
        <f>IF('2024年-挂账付款'!$AX27&gt;=SUM('2024年-挂账付款'!R27:$AH27),'2024年-挂账付款'!R27,IF('2024年-挂账付款'!$AX27-SUM('2024年-挂账付款'!S27:$AH27)&gt;0,'2024年-挂账付款'!$AX27-SUM('2024年-挂账付款'!S27:$AH27),0))</f>
        <v>0</v>
      </c>
      <c r="V27" s="44">
        <f>IF('2024年-挂账付款'!$AX27&gt;=SUM('2024年-挂账付款'!S27:$AH27),'2024年-挂账付款'!S27,IF('2024年-挂账付款'!$AX27-SUM('2024年-挂账付款'!T27:$AH27)&gt;0,'2024年-挂账付款'!$AX27-SUM('2024年-挂账付款'!T27:$AH27),0))</f>
        <v>0</v>
      </c>
      <c r="W27" s="44">
        <f>IF('2024年-挂账付款'!$AX27&gt;=SUM('2024年-挂账付款'!T27:$AH27),'2024年-挂账付款'!T27,IF('2024年-挂账付款'!$AX27-SUM('2024年-挂账付款'!U27:$AH27)&gt;0,'2024年-挂账付款'!$AX27-SUM('2024年-挂账付款'!U27:$AH27),0))</f>
        <v>0</v>
      </c>
      <c r="X27" s="44">
        <f>IF('2024年-挂账付款'!$AX27&gt;=SUM('2024年-挂账付款'!U27:$AH27),'2024年-挂账付款'!U27,IF('2024年-挂账付款'!$AX27-SUM('2024年-挂账付款'!V27:$AH27)&gt;0,'2024年-挂账付款'!$AX27-SUM('2024年-挂账付款'!V27:$AH27),0))</f>
        <v>0</v>
      </c>
      <c r="Y27" s="44">
        <f>IF('2024年-挂账付款'!$AX27&gt;=SUM('2024年-挂账付款'!V27:$AH27),'2024年-挂账付款'!V27,IF('2024年-挂账付款'!$AX27-SUM('2024年-挂账付款'!W27:$AH27)&gt;0,'2024年-挂账付款'!$AX27-SUM('2024年-挂账付款'!W27:$AH27),0))</f>
        <v>250693.63</v>
      </c>
      <c r="Z27" s="44">
        <f>IF('2024年-挂账付款'!$AX27&gt;=SUM('2024年-挂账付款'!W27:$AH27),'2024年-挂账付款'!W27,IF('2024年-挂账付款'!$AX27-SUM('2024年-挂账付款'!X27:$AH27)&gt;0,'2024年-挂账付款'!$AX27-SUM('2024年-挂账付款'!X27:$AH27),0))</f>
        <v>637946.76</v>
      </c>
      <c r="AA27" s="44">
        <f>IF('2024年-挂账付款'!$AX27&gt;=SUM('2024年-挂账付款'!X27:$AH27),'2024年-挂账付款'!X27,IF('2024年-挂账付款'!$AX27-SUM('2024年-挂账付款'!Y27:$AH27)&gt;0,'2024年-挂账付款'!$AX27-SUM('2024年-挂账付款'!Y27:$AH27),0))</f>
        <v>331607</v>
      </c>
      <c r="AB27" s="44">
        <f>IF('2024年-挂账付款'!$AX27&gt;=SUM('2024年-挂账付款'!Y27:$AH27),'2024年-挂账付款'!Y27,IF('2024年-挂账付款'!$AX27-SUM('2024年-挂账付款'!Z27:$AH27)&gt;0,'2024年-挂账付款'!$AX27-SUM('2024年-挂账付款'!Z27:$AH27),0))</f>
        <v>0</v>
      </c>
      <c r="AC27" s="44">
        <f>IF('2024年-挂账付款'!$AX27&gt;=SUM('2024年-挂账付款'!Z27:$AH27),'2024年-挂账付款'!Z27,IF('2024年-挂账付款'!$AX27-SUM('2024年-挂账付款'!AA27:$AH27)&gt;0,'2024年-挂账付款'!$AX27-SUM('2024年-挂账付款'!AA27:$AH27),0))</f>
        <v>0</v>
      </c>
      <c r="AD27" s="44">
        <f>IF('2024年-挂账付款'!$AX27&gt;=SUM('2024年-挂账付款'!AA27:$AH27),'2024年-挂账付款'!AA27,IF('2024年-挂账付款'!$AX27-SUM('2024年-挂账付款'!AB27:$AH27)&gt;0,'2024年-挂账付款'!$AX27-SUM('2024年-挂账付款'!AB27:$AH27),0))</f>
        <v>0</v>
      </c>
      <c r="AE27" s="44">
        <f>IF('2024年-挂账付款'!$AX27&gt;=SUM('2024年-挂账付款'!AB27:$AH27),'2024年-挂账付款'!AB27,IF('2024年-挂账付款'!$AX27-SUM('2024年-挂账付款'!AC27:$AH27)&gt;0,'2024年-挂账付款'!$AX27-SUM('2024年-挂账付款'!AC27:$AH27),0))</f>
        <v>0</v>
      </c>
      <c r="AF27" s="44">
        <f>IF('2024年-挂账付款'!$AX27&gt;=SUM('2024年-挂账付款'!AC27:$AH27),'2024年-挂账付款'!AC27,IF('2024年-挂账付款'!$AX27-SUM('2024年-挂账付款'!AD27:$AH27)&gt;0,'2024年-挂账付款'!$AX27-SUM('2024年-挂账付款'!AD27:$AH27),0))</f>
        <v>0</v>
      </c>
      <c r="AG27" s="44">
        <f>IF('2024年-挂账付款'!$AX27&gt;=SUM('2024年-挂账付款'!AD27:$AH27),'2024年-挂账付款'!AD27,IF('2024年-挂账付款'!$AX27-SUM('2024年-挂账付款'!AE27:$AH27)&gt;0,'2024年-挂账付款'!$AX27-SUM('2024年-挂账付款'!AE27:$AH27),0))</f>
        <v>0</v>
      </c>
      <c r="AH27" s="44">
        <f>IF('2024年-挂账付款'!$AX27&gt;=SUM('2024年-挂账付款'!AE27:$AH27),'2024年-挂账付款'!AE27,IF('2024年-挂账付款'!$AX27-SUM('2024年-挂账付款'!AF27:$AH27)&gt;0,'2024年-挂账付款'!$AX27-SUM('2024年-挂账付款'!AF27:$AH27),0))</f>
        <v>0</v>
      </c>
      <c r="AI27" s="44">
        <f>IF('2024年-挂账付款'!$AX27&gt;=SUM('2024年-挂账付款'!AF27:$AH27),'2024年-挂账付款'!AF27,IF('2024年-挂账付款'!$AX27-SUM('2024年-挂账付款'!AG27:$AH27)&gt;0,'2024年-挂账付款'!$AX27-SUM('2024年-挂账付款'!AG27:$AH27),0))</f>
        <v>0</v>
      </c>
      <c r="AJ27" s="44">
        <f>IF('2024年-挂账付款'!$AX27&gt;=SUM('2024年-挂账付款'!AG27:$AH27),'2024年-挂账付款'!AG27,IF('2024年-挂账付款'!$AX27-SUM('2024年-挂账付款'!AH27:$AH27)&gt;0,'2024年-挂账付款'!$AX27-SUM('2024年-挂账付款'!AH27:$AH27),0))</f>
        <v>0</v>
      </c>
      <c r="AK27" s="44">
        <f>IF('2024年-挂账付款'!$AX27&gt;=SUM('2024年-挂账付款'!AH27:$AH27),'2024年-挂账付款'!AH27,IF('2024年-挂账付款'!$AX27-SUM('2024年-挂账付款'!$AH27:AI27)&gt;0,'2024年-挂账付款'!$AX27-SUM('2024年-挂账付款'!$AH27:AI27),0))</f>
        <v>0</v>
      </c>
      <c r="AL27" s="88" t="s">
        <v>426</v>
      </c>
      <c r="AM27" s="89"/>
      <c r="AN27" s="86">
        <f t="shared" si="4"/>
        <v>33425.8173333334</v>
      </c>
      <c r="AO27" s="91"/>
      <c r="AP27" s="10">
        <f>'2024年-挂账付款'!AX27</f>
        <v>1220247.39</v>
      </c>
      <c r="AQ27" s="101">
        <f t="shared" si="2"/>
        <v>-969553.76</v>
      </c>
    </row>
    <row r="28" s="10" customFormat="1" ht="24.05" customHeight="1" spans="2:43">
      <c r="B28" s="45" t="s">
        <v>81</v>
      </c>
      <c r="C28" s="46" t="s">
        <v>136</v>
      </c>
      <c r="D28" s="46" t="s">
        <v>137</v>
      </c>
      <c r="E28" s="47">
        <v>90</v>
      </c>
      <c r="F28" s="42">
        <f t="shared" si="5"/>
        <v>209406.19</v>
      </c>
      <c r="G28" s="43">
        <f t="shared" si="1"/>
        <v>301257.19</v>
      </c>
      <c r="H28" s="44">
        <f>IF('2024年-挂账付款'!$AX28&gt;=SUM('2024年-挂账付款'!E28:$AH28),'2024年-挂账付款'!E28,IF('2024年-挂账付款'!$AX28-SUM('2024年-挂账付款'!F28:$AH28)&gt;0,'2024年-挂账付款'!$AX28-SUM('2024年-挂账付款'!F28:$AH28),0))</f>
        <v>0</v>
      </c>
      <c r="I28" s="44">
        <f>IF('2024年-挂账付款'!$AX28&gt;=SUM('2024年-挂账付款'!F28:$AH28),'2024年-挂账付款'!F28,IF('2024年-挂账付款'!$AX28-SUM('2024年-挂账付款'!G28:$AH28)&gt;0,'2024年-挂账付款'!$AX28-SUM('2024年-挂账付款'!G28:$AH28),0))</f>
        <v>0</v>
      </c>
      <c r="J28" s="44">
        <f>IF('2024年-挂账付款'!$AX28&gt;=SUM('2024年-挂账付款'!G28:$AH28),'2024年-挂账付款'!G28,IF('2024年-挂账付款'!$AX28-SUM('2024年-挂账付款'!H28:$AH28)&gt;0,'2024年-挂账付款'!$AX28-SUM('2024年-挂账付款'!H28:$AH28),0))</f>
        <v>0</v>
      </c>
      <c r="K28" s="44">
        <f>IF('2024年-挂账付款'!$AX28&gt;=SUM('2024年-挂账付款'!H28:$AH28),'2024年-挂账付款'!H28,IF('2024年-挂账付款'!$AX28-SUM('2024年-挂账付款'!I28:$AH28)&gt;0,'2024年-挂账付款'!$AX28-SUM('2024年-挂账付款'!I28:$AH28),0))</f>
        <v>0</v>
      </c>
      <c r="L28" s="44">
        <f>IF('2024年-挂账付款'!$AX28&gt;=SUM('2024年-挂账付款'!I28:$AH28),'2024年-挂账付款'!I28,IF('2024年-挂账付款'!$AX28-SUM('2024年-挂账付款'!J28:$AH28)&gt;0,'2024年-挂账付款'!$AX28-SUM('2024年-挂账付款'!J28:$AH28),0))</f>
        <v>0</v>
      </c>
      <c r="M28" s="44">
        <f>IF('2024年-挂账付款'!$AX28&gt;=SUM('2024年-挂账付款'!J28:$AH28),'2024年-挂账付款'!J28,IF('2024年-挂账付款'!$AX28-SUM('2024年-挂账付款'!K28:$AH28)&gt;0,'2024年-挂账付款'!$AX28-SUM('2024年-挂账付款'!K28:$AH28),0))</f>
        <v>0</v>
      </c>
      <c r="N28" s="44">
        <f>IF('2024年-挂账付款'!$AX28&gt;=SUM('2024年-挂账付款'!K28:$AH28),'2024年-挂账付款'!K28,IF('2024年-挂账付款'!$AX28-SUM('2024年-挂账付款'!L28:$AH28)&gt;0,'2024年-挂账付款'!$AX28-SUM('2024年-挂账付款'!L28:$AH28),0))</f>
        <v>0</v>
      </c>
      <c r="O28" s="44">
        <f>IF('2024年-挂账付款'!$AX28&gt;=SUM('2024年-挂账付款'!L28:$AH28),'2024年-挂账付款'!L28,IF('2024年-挂账付款'!$AX28-SUM('2024年-挂账付款'!M28:$AH28)&gt;0,'2024年-挂账付款'!$AX28-SUM('2024年-挂账付款'!M28:$AH28),0))</f>
        <v>0</v>
      </c>
      <c r="P28" s="44">
        <f>IF('2024年-挂账付款'!$AX28&gt;=SUM('2024年-挂账付款'!M28:$AH28),'2024年-挂账付款'!M28,IF('2024年-挂账付款'!$AX28-SUM('2024年-挂账付款'!N28:$AH28)&gt;0,'2024年-挂账付款'!$AX28-SUM('2024年-挂账付款'!N28:$AH28),0))</f>
        <v>0</v>
      </c>
      <c r="Q28" s="44">
        <f>IF('2024年-挂账付款'!$AX28&gt;=SUM('2024年-挂账付款'!N28:$AH28),'2024年-挂账付款'!N28,IF('2024年-挂账付款'!$AX28-SUM('2024年-挂账付款'!O28:$AH28)&gt;0,'2024年-挂账付款'!$AX28-SUM('2024年-挂账付款'!O28:$AH28),0))</f>
        <v>24135.1300000002</v>
      </c>
      <c r="R28" s="44">
        <f>IF('2024年-挂账付款'!$AX28&gt;=SUM('2024年-挂账付款'!O28:$AH28),'2024年-挂账付款'!O28,IF('2024年-挂账付款'!$AX28-SUM('2024年-挂账付款'!P28:$AH28)&gt;0,'2024年-挂账付款'!$AX28-SUM('2024年-挂账付款'!P28:$AH28),0))</f>
        <v>47545.77</v>
      </c>
      <c r="S28" s="44">
        <f>IF('2024年-挂账付款'!$AX28&gt;=SUM('2024年-挂账付款'!P28:$AH28),'2024年-挂账付款'!P28,IF('2024年-挂账付款'!$AX28-SUM('2024年-挂账付款'!Q28:$AH28)&gt;0,'2024年-挂账付款'!$AX28-SUM('2024年-挂账付款'!Q28:$AH28),0))</f>
        <v>0</v>
      </c>
      <c r="T28" s="44">
        <f>IF('2024年-挂账付款'!$AX28&gt;=SUM('2024年-挂账付款'!Q28:$AH28),'2024年-挂账付款'!Q28,IF('2024年-挂账付款'!$AX28-SUM('2024年-挂账付款'!R28:$AH28)&gt;0,'2024年-挂账付款'!$AX28-SUM('2024年-挂账付款'!R28:$AH28),0))</f>
        <v>91824.79</v>
      </c>
      <c r="U28" s="44">
        <f>IF('2024年-挂账付款'!$AX28&gt;=SUM('2024年-挂账付款'!R28:$AH28),'2024年-挂账付款'!R28,IF('2024年-挂账付款'!$AX28-SUM('2024年-挂账付款'!S28:$AH28)&gt;0,'2024年-挂账付款'!$AX28-SUM('2024年-挂账付款'!S28:$AH28),0))</f>
        <v>0</v>
      </c>
      <c r="V28" s="44">
        <f>IF('2024年-挂账付款'!$AX28&gt;=SUM('2024年-挂账付款'!S28:$AH28),'2024年-挂账付款'!S28,IF('2024年-挂账付款'!$AX28-SUM('2024年-挂账付款'!T28:$AH28)&gt;0,'2024年-挂账付款'!$AX28-SUM('2024年-挂账付款'!T28:$AH28),0))</f>
        <v>45900.5</v>
      </c>
      <c r="W28" s="44">
        <f>IF('2024年-挂账付款'!$AX28&gt;=SUM('2024年-挂账付款'!T28:$AH28),'2024年-挂账付款'!T28,IF('2024年-挂账付款'!$AX28-SUM('2024年-挂账付款'!U28:$AH28)&gt;0,'2024年-挂账付款'!$AX28-SUM('2024年-挂账付款'!U28:$AH28),0))</f>
        <v>45864.8</v>
      </c>
      <c r="X28" s="44">
        <f>IF('2024年-挂账付款'!$AX28&gt;=SUM('2024年-挂账付款'!U28:$AH28),'2024年-挂账付款'!U28,IF('2024年-挂账付款'!$AX28-SUM('2024年-挂账付款'!V28:$AH28)&gt;0,'2024年-挂账付款'!$AX28-SUM('2024年-挂账付款'!V28:$AH28),0))</f>
        <v>45986.2</v>
      </c>
      <c r="Y28" s="44">
        <f>IF('2024年-挂账付款'!$AX28&gt;=SUM('2024年-挂账付款'!V28:$AH28),'2024年-挂账付款'!V28,IF('2024年-挂账付款'!$AX28-SUM('2024年-挂账付款'!W28:$AH28)&gt;0,'2024年-挂账付款'!$AX28-SUM('2024年-挂账付款'!W28:$AH28),0))</f>
        <v>0</v>
      </c>
      <c r="Z28" s="44">
        <f>IF('2024年-挂账付款'!$AX28&gt;=SUM('2024年-挂账付款'!W28:$AH28),'2024年-挂账付款'!W28,IF('2024年-挂账付款'!$AX28-SUM('2024年-挂账付款'!X28:$AH28)&gt;0,'2024年-挂账付款'!$AX28-SUM('2024年-挂账付款'!X28:$AH28),0))</f>
        <v>0</v>
      </c>
      <c r="AA28" s="44">
        <f>IF('2024年-挂账付款'!$AX28&gt;=SUM('2024年-挂账付款'!X28:$AH28),'2024年-挂账付款'!X28,IF('2024年-挂账付款'!$AX28-SUM('2024年-挂账付款'!Y28:$AH28)&gt;0,'2024年-挂账付款'!$AX28-SUM('2024年-挂账付款'!Y28:$AH28),0))</f>
        <v>0</v>
      </c>
      <c r="AB28" s="44">
        <f>IF('2024年-挂账付款'!$AX28&gt;=SUM('2024年-挂账付款'!Y28:$AH28),'2024年-挂账付款'!Y28,IF('2024年-挂账付款'!$AX28-SUM('2024年-挂账付款'!Z28:$AH28)&gt;0,'2024年-挂账付款'!$AX28-SUM('2024年-挂账付款'!Z28:$AH28),0))</f>
        <v>0</v>
      </c>
      <c r="AC28" s="44">
        <f>IF('2024年-挂账付款'!$AX28&gt;=SUM('2024年-挂账付款'!Z28:$AH28),'2024年-挂账付款'!Z28,IF('2024年-挂账付款'!$AX28-SUM('2024年-挂账付款'!AA28:$AH28)&gt;0,'2024年-挂账付款'!$AX28-SUM('2024年-挂账付款'!AA28:$AH28),0))</f>
        <v>0</v>
      </c>
      <c r="AD28" s="44">
        <f>IF('2024年-挂账付款'!$AX28&gt;=SUM('2024年-挂账付款'!AA28:$AH28),'2024年-挂账付款'!AA28,IF('2024年-挂账付款'!$AX28-SUM('2024年-挂账付款'!AB28:$AH28)&gt;0,'2024年-挂账付款'!$AX28-SUM('2024年-挂账付款'!AB28:$AH28),0))</f>
        <v>0</v>
      </c>
      <c r="AE28" s="44">
        <f>IF('2024年-挂账付款'!$AX28&gt;=SUM('2024年-挂账付款'!AB28:$AH28),'2024年-挂账付款'!AB28,IF('2024年-挂账付款'!$AX28-SUM('2024年-挂账付款'!AC28:$AH28)&gt;0,'2024年-挂账付款'!$AX28-SUM('2024年-挂账付款'!AC28:$AH28),0))</f>
        <v>0</v>
      </c>
      <c r="AF28" s="44">
        <f>IF('2024年-挂账付款'!$AX28&gt;=SUM('2024年-挂账付款'!AC28:$AH28),'2024年-挂账付款'!AC28,IF('2024年-挂账付款'!$AX28-SUM('2024年-挂账付款'!AD28:$AH28)&gt;0,'2024年-挂账付款'!$AX28-SUM('2024年-挂账付款'!AD28:$AH28),0))</f>
        <v>0</v>
      </c>
      <c r="AG28" s="44">
        <f>IF('2024年-挂账付款'!$AX28&gt;=SUM('2024年-挂账付款'!AD28:$AH28),'2024年-挂账付款'!AD28,IF('2024年-挂账付款'!$AX28-SUM('2024年-挂账付款'!AE28:$AH28)&gt;0,'2024年-挂账付款'!$AX28-SUM('2024年-挂账付款'!AE28:$AH28),0))</f>
        <v>0</v>
      </c>
      <c r="AH28" s="44">
        <f>IF('2024年-挂账付款'!$AX28&gt;=SUM('2024年-挂账付款'!AE28:$AH28),'2024年-挂账付款'!AE28,IF('2024年-挂账付款'!$AX28-SUM('2024年-挂账付款'!AF28:$AH28)&gt;0,'2024年-挂账付款'!$AX28-SUM('2024年-挂账付款'!AF28:$AH28),0))</f>
        <v>0</v>
      </c>
      <c r="AI28" s="44">
        <f>IF('2024年-挂账付款'!$AX28&gt;=SUM('2024年-挂账付款'!AF28:$AH28),'2024年-挂账付款'!AF28,IF('2024年-挂账付款'!$AX28-SUM('2024年-挂账付款'!AG28:$AH28)&gt;0,'2024年-挂账付款'!$AX28-SUM('2024年-挂账付款'!AG28:$AH28),0))</f>
        <v>0</v>
      </c>
      <c r="AJ28" s="44">
        <f>IF('2024年-挂账付款'!$AX28&gt;=SUM('2024年-挂账付款'!AG28:$AH28),'2024年-挂账付款'!AG28,IF('2024年-挂账付款'!$AX28-SUM('2024年-挂账付款'!AH28:$AH28)&gt;0,'2024年-挂账付款'!$AX28-SUM('2024年-挂账付款'!AH28:$AH28),0))</f>
        <v>0</v>
      </c>
      <c r="AK28" s="44">
        <f>IF('2024年-挂账付款'!$AX28&gt;=SUM('2024年-挂账付款'!AH28:$AH28),'2024年-挂账付款'!AH28,IF('2024年-挂账付款'!$AX28-SUM('2024年-挂账付款'!$AH28:AI28)&gt;0,'2024年-挂账付款'!$AX28-SUM('2024年-挂账付款'!$AH28:AI28),0))</f>
        <v>0</v>
      </c>
      <c r="AL28" s="88" t="s">
        <v>426</v>
      </c>
      <c r="AM28" s="89"/>
      <c r="AN28" s="86">
        <f t="shared" si="4"/>
        <v>30610.172</v>
      </c>
      <c r="AO28" s="91"/>
      <c r="AP28" s="10">
        <f>'2024年-挂账付款'!AX28</f>
        <v>301257.19</v>
      </c>
      <c r="AQ28" s="101">
        <f t="shared" si="2"/>
        <v>0</v>
      </c>
    </row>
    <row r="29" s="10" customFormat="1" ht="24.05" customHeight="1" spans="2:43">
      <c r="B29" s="45" t="s">
        <v>81</v>
      </c>
      <c r="C29" s="46" t="s">
        <v>217</v>
      </c>
      <c r="D29" s="46" t="s">
        <v>223</v>
      </c>
      <c r="E29" s="47">
        <v>90</v>
      </c>
      <c r="F29" s="42">
        <f t="shared" si="5"/>
        <v>10883.9</v>
      </c>
      <c r="G29" s="43">
        <f t="shared" si="1"/>
        <v>29867.9</v>
      </c>
      <c r="H29" s="44">
        <f>IF('2024年-挂账付款'!$AX29&gt;=SUM('2024年-挂账付款'!E29:$AH29),'2024年-挂账付款'!E29,IF('2024年-挂账付款'!$AX29-SUM('2024年-挂账付款'!F29:$AH29)&gt;0,'2024年-挂账付款'!$AX29-SUM('2024年-挂账付款'!F29:$AH29),0))</f>
        <v>0</v>
      </c>
      <c r="I29" s="44">
        <f>IF('2024年-挂账付款'!$AX29&gt;=SUM('2024年-挂账付款'!F29:$AH29),'2024年-挂账付款'!F29,IF('2024年-挂账付款'!$AX29-SUM('2024年-挂账付款'!G29:$AH29)&gt;0,'2024年-挂账付款'!$AX29-SUM('2024年-挂账付款'!G29:$AH29),0))</f>
        <v>0</v>
      </c>
      <c r="J29" s="44">
        <f>IF('2024年-挂账付款'!$AX29&gt;=SUM('2024年-挂账付款'!G29:$AH29),'2024年-挂账付款'!G29,IF('2024年-挂账付款'!$AX29-SUM('2024年-挂账付款'!H29:$AH29)&gt;0,'2024年-挂账付款'!$AX29-SUM('2024年-挂账付款'!H29:$AH29),0))</f>
        <v>0</v>
      </c>
      <c r="K29" s="44">
        <f>IF('2024年-挂账付款'!$AX29&gt;=SUM('2024年-挂账付款'!H29:$AH29),'2024年-挂账付款'!H29,IF('2024年-挂账付款'!$AX29-SUM('2024年-挂账付款'!I29:$AH29)&gt;0,'2024年-挂账付款'!$AX29-SUM('2024年-挂账付款'!I29:$AH29),0))</f>
        <v>0</v>
      </c>
      <c r="L29" s="44">
        <f>IF('2024年-挂账付款'!$AX29&gt;=SUM('2024年-挂账付款'!I29:$AH29),'2024年-挂账付款'!I29,IF('2024年-挂账付款'!$AX29-SUM('2024年-挂账付款'!J29:$AH29)&gt;0,'2024年-挂账付款'!$AX29-SUM('2024年-挂账付款'!J29:$AH29),0))</f>
        <v>0</v>
      </c>
      <c r="M29" s="44">
        <f>IF('2024年-挂账付款'!$AX29&gt;=SUM('2024年-挂账付款'!J29:$AH29),'2024年-挂账付款'!J29,IF('2024年-挂账付款'!$AX29-SUM('2024年-挂账付款'!K29:$AH29)&gt;0,'2024年-挂账付款'!$AX29-SUM('2024年-挂账付款'!K29:$AH29),0))</f>
        <v>0</v>
      </c>
      <c r="N29" s="44">
        <f>IF('2024年-挂账付款'!$AX29&gt;=SUM('2024年-挂账付款'!K29:$AH29),'2024年-挂账付款'!K29,IF('2024年-挂账付款'!$AX29-SUM('2024年-挂账付款'!L29:$AH29)&gt;0,'2024年-挂账付款'!$AX29-SUM('2024年-挂账付款'!L29:$AH29),0))</f>
        <v>0</v>
      </c>
      <c r="O29" s="44">
        <f>IF('2024年-挂账付款'!$AX29&gt;=SUM('2024年-挂账付款'!L29:$AH29),'2024年-挂账付款'!L29,IF('2024年-挂账付款'!$AX29-SUM('2024年-挂账付款'!M29:$AH29)&gt;0,'2024年-挂账付款'!$AX29-SUM('2024年-挂账付款'!M29:$AH29),0))</f>
        <v>0</v>
      </c>
      <c r="P29" s="44">
        <f>IF('2024年-挂账付款'!$AX29&gt;=SUM('2024年-挂账付款'!M29:$AH29),'2024年-挂账付款'!M29,IF('2024年-挂账付款'!$AX29-SUM('2024年-挂账付款'!N29:$AH29)&gt;0,'2024年-挂账付款'!$AX29-SUM('2024年-挂账付款'!N29:$AH29),0))</f>
        <v>0</v>
      </c>
      <c r="Q29" s="44">
        <f>IF('2024年-挂账付款'!$AX29&gt;=SUM('2024年-挂账付款'!N29:$AH29),'2024年-挂账付款'!N29,IF('2024年-挂账付款'!$AX29-SUM('2024年-挂账付款'!O29:$AH29)&gt;0,'2024年-挂账付款'!$AX29-SUM('2024年-挂账付款'!O29:$AH29),0))</f>
        <v>0</v>
      </c>
      <c r="R29" s="44">
        <f>IF('2024年-挂账付款'!$AX29&gt;=SUM('2024年-挂账付款'!O29:$AH29),'2024年-挂账付款'!O29,IF('2024年-挂账付款'!$AX29-SUM('2024年-挂账付款'!P29:$AH29)&gt;0,'2024年-挂账付款'!$AX29-SUM('2024年-挂账付款'!P29:$AH29),0))</f>
        <v>0</v>
      </c>
      <c r="S29" s="44">
        <f>IF('2024年-挂账付款'!$AX29&gt;=SUM('2024年-挂账付款'!P29:$AH29),'2024年-挂账付款'!P29,IF('2024年-挂账付款'!$AX29-SUM('2024年-挂账付款'!Q29:$AH29)&gt;0,'2024年-挂账付款'!$AX29-SUM('2024年-挂账付款'!Q29:$AH29),0))</f>
        <v>0</v>
      </c>
      <c r="T29" s="44">
        <f>IF('2024年-挂账付款'!$AX29&gt;=SUM('2024年-挂账付款'!Q29:$AH29),'2024年-挂账付款'!Q29,IF('2024年-挂账付款'!$AX29-SUM('2024年-挂账付款'!R29:$AH29)&gt;0,'2024年-挂账付款'!$AX29-SUM('2024年-挂账付款'!R29:$AH29),0))</f>
        <v>1391.89999999999</v>
      </c>
      <c r="U29" s="44">
        <f>IF('2024年-挂账付款'!$AX29&gt;=SUM('2024年-挂账付款'!R29:$AH29),'2024年-挂账付款'!R29,IF('2024年-挂账付款'!$AX29-SUM('2024年-挂账付款'!S29:$AH29)&gt;0,'2024年-挂账付款'!$AX29-SUM('2024年-挂账付款'!S29:$AH29),0))</f>
        <v>4746</v>
      </c>
      <c r="V29" s="44">
        <f>IF('2024年-挂账付款'!$AX29&gt;=SUM('2024年-挂账付款'!S29:$AH29),'2024年-挂账付款'!S29,IF('2024年-挂账付款'!$AX29-SUM('2024年-挂账付款'!T29:$AH29)&gt;0,'2024年-挂账付款'!$AX29-SUM('2024年-挂账付款'!T29:$AH29),0))</f>
        <v>4746</v>
      </c>
      <c r="W29" s="44">
        <f>IF('2024年-挂账付款'!$AX29&gt;=SUM('2024年-挂账付款'!T29:$AH29),'2024年-挂账付款'!T29,IF('2024年-挂账付款'!$AX29-SUM('2024年-挂账付款'!U29:$AH29)&gt;0,'2024年-挂账付款'!$AX29-SUM('2024年-挂账付款'!U29:$AH29),0))</f>
        <v>9492</v>
      </c>
      <c r="X29" s="44">
        <f>IF('2024年-挂账付款'!$AX29&gt;=SUM('2024年-挂账付款'!U29:$AH29),'2024年-挂账付款'!U29,IF('2024年-挂账付款'!$AX29-SUM('2024年-挂账付款'!V29:$AH29)&gt;0,'2024年-挂账付款'!$AX29-SUM('2024年-挂账付款'!V29:$AH29),0))</f>
        <v>4746</v>
      </c>
      <c r="Y29" s="44">
        <f>IF('2024年-挂账付款'!$AX29&gt;=SUM('2024年-挂账付款'!V29:$AH29),'2024年-挂账付款'!V29,IF('2024年-挂账付款'!$AX29-SUM('2024年-挂账付款'!W29:$AH29)&gt;0,'2024年-挂账付款'!$AX29-SUM('2024年-挂账付款'!W29:$AH29),0))</f>
        <v>4746</v>
      </c>
      <c r="Z29" s="44">
        <f>IF('2024年-挂账付款'!$AX29&gt;=SUM('2024年-挂账付款'!W29:$AH29),'2024年-挂账付款'!W29,IF('2024年-挂账付款'!$AX29-SUM('2024年-挂账付款'!X29:$AH29)&gt;0,'2024年-挂账付款'!$AX29-SUM('2024年-挂账付款'!X29:$AH29),0))</f>
        <v>0</v>
      </c>
      <c r="AA29" s="44">
        <f>IF('2024年-挂账付款'!$AX29&gt;=SUM('2024年-挂账付款'!X29:$AH29),'2024年-挂账付款'!X29,IF('2024年-挂账付款'!$AX29-SUM('2024年-挂账付款'!Y29:$AH29)&gt;0,'2024年-挂账付款'!$AX29-SUM('2024年-挂账付款'!Y29:$AH29),0))</f>
        <v>0</v>
      </c>
      <c r="AB29" s="44">
        <f>IF('2024年-挂账付款'!$AX29&gt;=SUM('2024年-挂账付款'!Y29:$AH29),'2024年-挂账付款'!Y29,IF('2024年-挂账付款'!$AX29-SUM('2024年-挂账付款'!Z29:$AH29)&gt;0,'2024年-挂账付款'!$AX29-SUM('2024年-挂账付款'!Z29:$AH29),0))</f>
        <v>0</v>
      </c>
      <c r="AC29" s="44">
        <f>IF('2024年-挂账付款'!$AX29&gt;=SUM('2024年-挂账付款'!Z29:$AH29),'2024年-挂账付款'!Z29,IF('2024年-挂账付款'!$AX29-SUM('2024年-挂账付款'!AA29:$AH29)&gt;0,'2024年-挂账付款'!$AX29-SUM('2024年-挂账付款'!AA29:$AH29),0))</f>
        <v>0</v>
      </c>
      <c r="AD29" s="44">
        <f>IF('2024年-挂账付款'!$AX29&gt;=SUM('2024年-挂账付款'!AA29:$AH29),'2024年-挂账付款'!AA29,IF('2024年-挂账付款'!$AX29-SUM('2024年-挂账付款'!AB29:$AH29)&gt;0,'2024年-挂账付款'!$AX29-SUM('2024年-挂账付款'!AB29:$AH29),0))</f>
        <v>0</v>
      </c>
      <c r="AE29" s="44">
        <f>IF('2024年-挂账付款'!$AX29&gt;=SUM('2024年-挂账付款'!AB29:$AH29),'2024年-挂账付款'!AB29,IF('2024年-挂账付款'!$AX29-SUM('2024年-挂账付款'!AC29:$AH29)&gt;0,'2024年-挂账付款'!$AX29-SUM('2024年-挂账付款'!AC29:$AH29),0))</f>
        <v>0</v>
      </c>
      <c r="AF29" s="44">
        <f>IF('2024年-挂账付款'!$AX29&gt;=SUM('2024年-挂账付款'!AC29:$AH29),'2024年-挂账付款'!AC29,IF('2024年-挂账付款'!$AX29-SUM('2024年-挂账付款'!AD29:$AH29)&gt;0,'2024年-挂账付款'!$AX29-SUM('2024年-挂账付款'!AD29:$AH29),0))</f>
        <v>0</v>
      </c>
      <c r="AG29" s="44">
        <f>IF('2024年-挂账付款'!$AX29&gt;=SUM('2024年-挂账付款'!AD29:$AH29),'2024年-挂账付款'!AD29,IF('2024年-挂账付款'!$AX29-SUM('2024年-挂账付款'!AE29:$AH29)&gt;0,'2024年-挂账付款'!$AX29-SUM('2024年-挂账付款'!AE29:$AH29),0))</f>
        <v>0</v>
      </c>
      <c r="AH29" s="44">
        <f>IF('2024年-挂账付款'!$AX29&gt;=SUM('2024年-挂账付款'!AE29:$AH29),'2024年-挂账付款'!AE29,IF('2024年-挂账付款'!$AX29-SUM('2024年-挂账付款'!AF29:$AH29)&gt;0,'2024年-挂账付款'!$AX29-SUM('2024年-挂账付款'!AF29:$AH29),0))</f>
        <v>0</v>
      </c>
      <c r="AI29" s="44">
        <f>IF('2024年-挂账付款'!$AX29&gt;=SUM('2024年-挂账付款'!AF29:$AH29),'2024年-挂账付款'!AF29,IF('2024年-挂账付款'!$AX29-SUM('2024年-挂账付款'!AG29:$AH29)&gt;0,'2024年-挂账付款'!$AX29-SUM('2024年-挂账付款'!AG29:$AH29),0))</f>
        <v>0</v>
      </c>
      <c r="AJ29" s="44">
        <f>IF('2024年-挂账付款'!$AX29&gt;=SUM('2024年-挂账付款'!AG29:$AH29),'2024年-挂账付款'!AG29,IF('2024年-挂账付款'!$AX29-SUM('2024年-挂账付款'!AH29:$AH29)&gt;0,'2024年-挂账付款'!$AX29-SUM('2024年-挂账付款'!AH29:$AH29),0))</f>
        <v>0</v>
      </c>
      <c r="AK29" s="44">
        <f>IF('2024年-挂账付款'!$AX29&gt;=SUM('2024年-挂账付款'!AH29:$AH29),'2024年-挂账付款'!AH29,IF('2024年-挂账付款'!$AX29-SUM('2024年-挂账付款'!$AH29:AI29)&gt;0,'2024年-挂账付款'!$AX29-SUM('2024年-挂账付款'!$AH29:AI29),0))</f>
        <v>0</v>
      </c>
      <c r="AL29" s="88" t="s">
        <v>426</v>
      </c>
      <c r="AM29" s="89"/>
      <c r="AN29" s="86">
        <f t="shared" si="4"/>
        <v>3982.38666666667</v>
      </c>
      <c r="AO29" s="91"/>
      <c r="AP29" s="10">
        <f>'2024年-挂账付款'!AX29</f>
        <v>29867.9</v>
      </c>
      <c r="AQ29" s="101">
        <f t="shared" si="2"/>
        <v>0</v>
      </c>
    </row>
    <row r="30" s="10" customFormat="1" ht="24.05" customHeight="1" spans="2:43">
      <c r="B30" s="45" t="s">
        <v>81</v>
      </c>
      <c r="C30" s="46" t="s">
        <v>224</v>
      </c>
      <c r="D30" s="46" t="s">
        <v>225</v>
      </c>
      <c r="E30" s="41">
        <v>90</v>
      </c>
      <c r="F30" s="42">
        <f t="shared" si="5"/>
        <v>287213.58</v>
      </c>
      <c r="G30" s="43">
        <f t="shared" si="1"/>
        <v>408228.44</v>
      </c>
      <c r="H30" s="44">
        <f>IF('2024年-挂账付款'!$AX30&gt;=SUM('2024年-挂账付款'!E30:$AH30),'2024年-挂账付款'!E30,IF('2024年-挂账付款'!$AX30-SUM('2024年-挂账付款'!F30:$AH30)&gt;0,'2024年-挂账付款'!$AX30-SUM('2024年-挂账付款'!F30:$AH30),0))</f>
        <v>0</v>
      </c>
      <c r="I30" s="44">
        <f>IF('2024年-挂账付款'!$AX30&gt;=SUM('2024年-挂账付款'!F30:$AH30),'2024年-挂账付款'!F30,IF('2024年-挂账付款'!$AX30-SUM('2024年-挂账付款'!G30:$AH30)&gt;0,'2024年-挂账付款'!$AX30-SUM('2024年-挂账付款'!G30:$AH30),0))</f>
        <v>0</v>
      </c>
      <c r="J30" s="44">
        <f>IF('2024年-挂账付款'!$AX30&gt;=SUM('2024年-挂账付款'!G30:$AH30),'2024年-挂账付款'!G30,IF('2024年-挂账付款'!$AX30-SUM('2024年-挂账付款'!H30:$AH30)&gt;0,'2024年-挂账付款'!$AX30-SUM('2024年-挂账付款'!H30:$AH30),0))</f>
        <v>0</v>
      </c>
      <c r="K30" s="44">
        <f>IF('2024年-挂账付款'!$AX30&gt;=SUM('2024年-挂账付款'!H30:$AH30),'2024年-挂账付款'!H30,IF('2024年-挂账付款'!$AX30-SUM('2024年-挂账付款'!I30:$AH30)&gt;0,'2024年-挂账付款'!$AX30-SUM('2024年-挂账付款'!I30:$AH30),0))</f>
        <v>0</v>
      </c>
      <c r="L30" s="44">
        <f>IF('2024年-挂账付款'!$AX30&gt;=SUM('2024年-挂账付款'!I30:$AH30),'2024年-挂账付款'!I30,IF('2024年-挂账付款'!$AX30-SUM('2024年-挂账付款'!J30:$AH30)&gt;0,'2024年-挂账付款'!$AX30-SUM('2024年-挂账付款'!J30:$AH30),0))</f>
        <v>0</v>
      </c>
      <c r="M30" s="44">
        <f>IF('2024年-挂账付款'!$AX30&gt;=SUM('2024年-挂账付款'!J30:$AH30),'2024年-挂账付款'!J30,IF('2024年-挂账付款'!$AX30-SUM('2024年-挂账付款'!K30:$AH30)&gt;0,'2024年-挂账付款'!$AX30-SUM('2024年-挂账付款'!K30:$AH30),0))</f>
        <v>0</v>
      </c>
      <c r="N30" s="44">
        <f>IF('2024年-挂账付款'!$AX30&gt;=SUM('2024年-挂账付款'!K30:$AH30),'2024年-挂账付款'!K30,IF('2024年-挂账付款'!$AX30-SUM('2024年-挂账付款'!L30:$AH30)&gt;0,'2024年-挂账付款'!$AX30-SUM('2024年-挂账付款'!L30:$AH30),0))</f>
        <v>0</v>
      </c>
      <c r="O30" s="44">
        <f>IF('2024年-挂账付款'!$AX30&gt;=SUM('2024年-挂账付款'!L30:$AH30),'2024年-挂账付款'!L30,IF('2024年-挂账付款'!$AX30-SUM('2024年-挂账付款'!M30:$AH30)&gt;0,'2024年-挂账付款'!$AX30-SUM('2024年-挂账付款'!M30:$AH30),0))</f>
        <v>35408.67</v>
      </c>
      <c r="P30" s="44">
        <f>IF('2024年-挂账付款'!$AX30&gt;=SUM('2024年-挂账付款'!M30:$AH30),'2024年-挂账付款'!M30,IF('2024年-挂账付款'!$AX30-SUM('2024年-挂账付款'!N30:$AH30)&gt;0,'2024年-挂账付款'!$AX30-SUM('2024年-挂账付款'!N30:$AH30),0))</f>
        <v>0</v>
      </c>
      <c r="Q30" s="44">
        <f>IF('2024年-挂账付款'!$AX30&gt;=SUM('2024年-挂账付款'!N30:$AH30),'2024年-挂账付款'!N30,IF('2024年-挂账付款'!$AX30-SUM('2024年-挂账付款'!O30:$AH30)&gt;0,'2024年-挂账付款'!$AX30-SUM('2024年-挂账付款'!O30:$AH30),0))</f>
        <v>0</v>
      </c>
      <c r="R30" s="44">
        <f>IF('2024年-挂账付款'!$AX30&gt;=SUM('2024年-挂账付款'!O30:$AH30),'2024年-挂账付款'!O30,IF('2024年-挂账付款'!$AX30-SUM('2024年-挂账付款'!P30:$AH30)&gt;0,'2024年-挂账付款'!$AX30-SUM('2024年-挂账付款'!P30:$AH30),0))</f>
        <v>0</v>
      </c>
      <c r="S30" s="44">
        <f>IF('2024年-挂账付款'!$AX30&gt;=SUM('2024年-挂账付款'!P30:$AH30),'2024年-挂账付款'!P30,IF('2024年-挂账付款'!$AX30-SUM('2024年-挂账付款'!Q30:$AH30)&gt;0,'2024年-挂账付款'!$AX30-SUM('2024年-挂账付款'!Q30:$AH30),0))</f>
        <v>0</v>
      </c>
      <c r="T30" s="44">
        <f>IF('2024年-挂账付款'!$AX30&gt;=SUM('2024年-挂账付款'!Q30:$AH30),'2024年-挂账付款'!Q30,IF('2024年-挂账付款'!$AX30-SUM('2024年-挂账付款'!R30:$AH30)&gt;0,'2024年-挂账付款'!$AX30-SUM('2024年-挂账付款'!R30:$AH30),0))</f>
        <v>251804.91</v>
      </c>
      <c r="U30" s="44">
        <f>IF('2024年-挂账付款'!$AX30&gt;=SUM('2024年-挂账付款'!R30:$AH30),'2024年-挂账付款'!R30,IF('2024年-挂账付款'!$AX30-SUM('2024年-挂账付款'!S30:$AH30)&gt;0,'2024年-挂账付款'!$AX30-SUM('2024年-挂账付款'!S30:$AH30),0))</f>
        <v>0</v>
      </c>
      <c r="V30" s="44">
        <f>IF('2024年-挂账付款'!$AX30&gt;=SUM('2024年-挂账付款'!S30:$AH30),'2024年-挂账付款'!S30,IF('2024年-挂账付款'!$AX30-SUM('2024年-挂账付款'!T30:$AH30)&gt;0,'2024年-挂账付款'!$AX30-SUM('2024年-挂账付款'!T30:$AH30),0))</f>
        <v>0</v>
      </c>
      <c r="W30" s="44">
        <f>IF('2024年-挂账付款'!$AX30&gt;=SUM('2024年-挂账付款'!T30:$AH30),'2024年-挂账付款'!T30,IF('2024年-挂账付款'!$AX30-SUM('2024年-挂账付款'!U30:$AH30)&gt;0,'2024年-挂账付款'!$AX30-SUM('2024年-挂账付款'!U30:$AH30),0))</f>
        <v>0</v>
      </c>
      <c r="X30" s="44">
        <f>IF('2024年-挂账付款'!$AX30&gt;=SUM('2024年-挂账付款'!U30:$AH30),'2024年-挂账付款'!U30,IF('2024年-挂账付款'!$AX30-SUM('2024年-挂账付款'!V30:$AH30)&gt;0,'2024年-挂账付款'!$AX30-SUM('2024年-挂账付款'!V30:$AH30),0))</f>
        <v>0</v>
      </c>
      <c r="Y30" s="44">
        <f>IF('2024年-挂账付款'!$AX30&gt;=SUM('2024年-挂账付款'!V30:$AH30),'2024年-挂账付款'!V30,IF('2024年-挂账付款'!$AX30-SUM('2024年-挂账付款'!W30:$AH30)&gt;0,'2024年-挂账付款'!$AX30-SUM('2024年-挂账付款'!W30:$AH30),0))</f>
        <v>121014.86</v>
      </c>
      <c r="Z30" s="44">
        <f>IF('2024年-挂账付款'!$AX30&gt;=SUM('2024年-挂账付款'!W30:$AH30),'2024年-挂账付款'!W30,IF('2024年-挂账付款'!$AX30-SUM('2024年-挂账付款'!X30:$AH30)&gt;0,'2024年-挂账付款'!$AX30-SUM('2024年-挂账付款'!X30:$AH30),0))</f>
        <v>0</v>
      </c>
      <c r="AA30" s="44">
        <f>IF('2024年-挂账付款'!$AX30&gt;=SUM('2024年-挂账付款'!X30:$AH30),'2024年-挂账付款'!X30,IF('2024年-挂账付款'!$AX30-SUM('2024年-挂账付款'!Y30:$AH30)&gt;0,'2024年-挂账付款'!$AX30-SUM('2024年-挂账付款'!Y30:$AH30),0))</f>
        <v>0</v>
      </c>
      <c r="AB30" s="44">
        <f>IF('2024年-挂账付款'!$AX30&gt;=SUM('2024年-挂账付款'!Y30:$AH30),'2024年-挂账付款'!Y30,IF('2024年-挂账付款'!$AX30-SUM('2024年-挂账付款'!Z30:$AH30)&gt;0,'2024年-挂账付款'!$AX30-SUM('2024年-挂账付款'!Z30:$AH30),0))</f>
        <v>0</v>
      </c>
      <c r="AC30" s="44">
        <f>IF('2024年-挂账付款'!$AX30&gt;=SUM('2024年-挂账付款'!Z30:$AH30),'2024年-挂账付款'!Z30,IF('2024年-挂账付款'!$AX30-SUM('2024年-挂账付款'!AA30:$AH30)&gt;0,'2024年-挂账付款'!$AX30-SUM('2024年-挂账付款'!AA30:$AH30),0))</f>
        <v>0</v>
      </c>
      <c r="AD30" s="44">
        <f>IF('2024年-挂账付款'!$AX30&gt;=SUM('2024年-挂账付款'!AA30:$AH30),'2024年-挂账付款'!AA30,IF('2024年-挂账付款'!$AX30-SUM('2024年-挂账付款'!AB30:$AH30)&gt;0,'2024年-挂账付款'!$AX30-SUM('2024年-挂账付款'!AB30:$AH30),0))</f>
        <v>0</v>
      </c>
      <c r="AE30" s="44">
        <f>IF('2024年-挂账付款'!$AX30&gt;=SUM('2024年-挂账付款'!AB30:$AH30),'2024年-挂账付款'!AB30,IF('2024年-挂账付款'!$AX30-SUM('2024年-挂账付款'!AC30:$AH30)&gt;0,'2024年-挂账付款'!$AX30-SUM('2024年-挂账付款'!AC30:$AH30),0))</f>
        <v>0</v>
      </c>
      <c r="AF30" s="44">
        <f>IF('2024年-挂账付款'!$AX30&gt;=SUM('2024年-挂账付款'!AC30:$AH30),'2024年-挂账付款'!AC30,IF('2024年-挂账付款'!$AX30-SUM('2024年-挂账付款'!AD30:$AH30)&gt;0,'2024年-挂账付款'!$AX30-SUM('2024年-挂账付款'!AD30:$AH30),0))</f>
        <v>0</v>
      </c>
      <c r="AG30" s="44">
        <f>IF('2024年-挂账付款'!$AX30&gt;=SUM('2024年-挂账付款'!AD30:$AH30),'2024年-挂账付款'!AD30,IF('2024年-挂账付款'!$AX30-SUM('2024年-挂账付款'!AE30:$AH30)&gt;0,'2024年-挂账付款'!$AX30-SUM('2024年-挂账付款'!AE30:$AH30),0))</f>
        <v>0</v>
      </c>
      <c r="AH30" s="44">
        <f>IF('2024年-挂账付款'!$AX30&gt;=SUM('2024年-挂账付款'!AE30:$AH30),'2024年-挂账付款'!AE30,IF('2024年-挂账付款'!$AX30-SUM('2024年-挂账付款'!AF30:$AH30)&gt;0,'2024年-挂账付款'!$AX30-SUM('2024年-挂账付款'!AF30:$AH30),0))</f>
        <v>0</v>
      </c>
      <c r="AI30" s="44">
        <f>IF('2024年-挂账付款'!$AX30&gt;=SUM('2024年-挂账付款'!AF30:$AH30),'2024年-挂账付款'!AF30,IF('2024年-挂账付款'!$AX30-SUM('2024年-挂账付款'!AG30:$AH30)&gt;0,'2024年-挂账付款'!$AX30-SUM('2024年-挂账付款'!AG30:$AH30),0))</f>
        <v>0</v>
      </c>
      <c r="AJ30" s="44">
        <f>IF('2024年-挂账付款'!$AX30&gt;=SUM('2024年-挂账付款'!AG30:$AH30),'2024年-挂账付款'!AG30,IF('2024年-挂账付款'!$AX30-SUM('2024年-挂账付款'!AH30:$AH30)&gt;0,'2024年-挂账付款'!$AX30-SUM('2024年-挂账付款'!AH30:$AH30),0))</f>
        <v>0</v>
      </c>
      <c r="AK30" s="44">
        <f>IF('2024年-挂账付款'!$AX30&gt;=SUM('2024年-挂账付款'!AH30:$AH30),'2024年-挂账付款'!AH30,IF('2024年-挂账付款'!$AX30-SUM('2024年-挂账付款'!$AH30:AI30)&gt;0,'2024年-挂账付款'!$AX30-SUM('2024年-挂账付款'!$AH30:AI30),0))</f>
        <v>0</v>
      </c>
      <c r="AL30" s="88" t="s">
        <v>426</v>
      </c>
      <c r="AM30" s="89"/>
      <c r="AN30" s="86">
        <f t="shared" si="4"/>
        <v>49709.3026666667</v>
      </c>
      <c r="AO30" s="91"/>
      <c r="AP30" s="10">
        <f>'2024年-挂账付款'!AX30</f>
        <v>408228.44</v>
      </c>
      <c r="AQ30" s="101">
        <f t="shared" si="2"/>
        <v>0</v>
      </c>
    </row>
    <row r="31" s="11" customFormat="1" ht="24.05" customHeight="1" spans="2:43">
      <c r="B31" s="50" t="s">
        <v>81</v>
      </c>
      <c r="C31" s="51" t="s">
        <v>186</v>
      </c>
      <c r="D31" s="51" t="s">
        <v>187</v>
      </c>
      <c r="E31" s="52">
        <v>90</v>
      </c>
      <c r="F31" s="53">
        <f t="shared" si="5"/>
        <v>0</v>
      </c>
      <c r="G31" s="54" t="str">
        <f t="shared" si="1"/>
        <v>0</v>
      </c>
      <c r="H31" s="44" t="str">
        <f>IF('2024年-挂账付款'!$AX31&gt;=SUM('2024年-挂账付款'!E31:$AH31),'2024年-挂账付款'!E31,IF('2024年-挂账付款'!$AX31-SUM('2024年-挂账付款'!F31:$AH31)&gt;0,'2024年-挂账付款'!$AX31-SUM('2024年-挂账付款'!F31:$AH31),0))</f>
        <v/>
      </c>
      <c r="I31" s="44" t="str">
        <f>IF('2024年-挂账付款'!$AX31&gt;=SUM('2024年-挂账付款'!F31:$AH31),'2024年-挂账付款'!F31,IF('2024年-挂账付款'!$AX31-SUM('2024年-挂账付款'!G31:$AH31)&gt;0,'2024年-挂账付款'!$AX31-SUM('2024年-挂账付款'!G31:$AH31),0))</f>
        <v/>
      </c>
      <c r="J31" s="44" t="str">
        <f>IF('2024年-挂账付款'!$AX31&gt;=SUM('2024年-挂账付款'!G31:$AH31),'2024年-挂账付款'!G31,IF('2024年-挂账付款'!$AX31-SUM('2024年-挂账付款'!H31:$AH31)&gt;0,'2024年-挂账付款'!$AX31-SUM('2024年-挂账付款'!H31:$AH31),0))</f>
        <v/>
      </c>
      <c r="K31" s="44">
        <f>IF('2024年-挂账付款'!$AX31&gt;=SUM('2024年-挂账付款'!H31:$AH31),'2024年-挂账付款'!H31,IF('2024年-挂账付款'!$AX31-SUM('2024年-挂账付款'!I31:$AH31)&gt;0,'2024年-挂账付款'!$AX31-SUM('2024年-挂账付款'!I31:$AH31),0))</f>
        <v>0</v>
      </c>
      <c r="L31" s="44">
        <f>IF('2024年-挂账付款'!$AX31&gt;=SUM('2024年-挂账付款'!I31:$AH31),'2024年-挂账付款'!I31,IF('2024年-挂账付款'!$AX31-SUM('2024年-挂账付款'!J31:$AH31)&gt;0,'2024年-挂账付款'!$AX31-SUM('2024年-挂账付款'!J31:$AH31),0))</f>
        <v>0</v>
      </c>
      <c r="M31" s="44" t="str">
        <f>IF('2024年-挂账付款'!$AX31&gt;=SUM('2024年-挂账付款'!J31:$AH31),'2024年-挂账付款'!J31,IF('2024年-挂账付款'!$AX31-SUM('2024年-挂账付款'!K31:$AH31)&gt;0,'2024年-挂账付款'!$AX31-SUM('2024年-挂账付款'!K31:$AH31),0))</f>
        <v/>
      </c>
      <c r="N31" s="44">
        <f>IF('2024年-挂账付款'!$AX31&gt;=SUM('2024年-挂账付款'!K31:$AH31),'2024年-挂账付款'!K31,IF('2024年-挂账付款'!$AX31-SUM('2024年-挂账付款'!L31:$AH31)&gt;0,'2024年-挂账付款'!$AX31-SUM('2024年-挂账付款'!L31:$AH31),0))</f>
        <v>0</v>
      </c>
      <c r="O31" s="44">
        <f>IF('2024年-挂账付款'!$AX31&gt;=SUM('2024年-挂账付款'!L31:$AH31),'2024年-挂账付款'!L31,IF('2024年-挂账付款'!$AX31-SUM('2024年-挂账付款'!M31:$AH31)&gt;0,'2024年-挂账付款'!$AX31-SUM('2024年-挂账付款'!M31:$AH31),0))</f>
        <v>0</v>
      </c>
      <c r="P31" s="44">
        <f>IF('2024年-挂账付款'!$AX31&gt;=SUM('2024年-挂账付款'!M31:$AH31),'2024年-挂账付款'!M31,IF('2024年-挂账付款'!$AX31-SUM('2024年-挂账付款'!N31:$AH31)&gt;0,'2024年-挂账付款'!$AX31-SUM('2024年-挂账付款'!N31:$AH31),0))</f>
        <v>0</v>
      </c>
      <c r="Q31" s="44">
        <f>IF('2024年-挂账付款'!$AX31&gt;=SUM('2024年-挂账付款'!N31:$AH31),'2024年-挂账付款'!N31,IF('2024年-挂账付款'!$AX31-SUM('2024年-挂账付款'!O31:$AH31)&gt;0,'2024年-挂账付款'!$AX31-SUM('2024年-挂账付款'!O31:$AH31),0))</f>
        <v>0</v>
      </c>
      <c r="R31" s="44">
        <f>IF('2024年-挂账付款'!$AX31&gt;=SUM('2024年-挂账付款'!O31:$AH31),'2024年-挂账付款'!O31,IF('2024年-挂账付款'!$AX31-SUM('2024年-挂账付款'!P31:$AH31)&gt;0,'2024年-挂账付款'!$AX31-SUM('2024年-挂账付款'!P31:$AH31),0))</f>
        <v>0</v>
      </c>
      <c r="S31" s="44">
        <f>IF('2024年-挂账付款'!$AX31&gt;=SUM('2024年-挂账付款'!P31:$AH31),'2024年-挂账付款'!P31,IF('2024年-挂账付款'!$AX31-SUM('2024年-挂账付款'!Q31:$AH31)&gt;0,'2024年-挂账付款'!$AX31-SUM('2024年-挂账付款'!Q31:$AH31),0))</f>
        <v>0</v>
      </c>
      <c r="T31" s="44">
        <f>IF('2024年-挂账付款'!$AX31&gt;=SUM('2024年-挂账付款'!Q31:$AH31),'2024年-挂账付款'!Q31,IF('2024年-挂账付款'!$AX31-SUM('2024年-挂账付款'!R31:$AH31)&gt;0,'2024年-挂账付款'!$AX31-SUM('2024年-挂账付款'!R31:$AH31),0))</f>
        <v>0</v>
      </c>
      <c r="U31" s="44">
        <f>IF('2024年-挂账付款'!$AX31&gt;=SUM('2024年-挂账付款'!R31:$AH31),'2024年-挂账付款'!R31,IF('2024年-挂账付款'!$AX31-SUM('2024年-挂账付款'!S31:$AH31)&gt;0,'2024年-挂账付款'!$AX31-SUM('2024年-挂账付款'!S31:$AH31),0))</f>
        <v>0</v>
      </c>
      <c r="V31" s="44">
        <f>IF('2024年-挂账付款'!$AX31&gt;=SUM('2024年-挂账付款'!S31:$AH31),'2024年-挂账付款'!S31,IF('2024年-挂账付款'!$AX31-SUM('2024年-挂账付款'!T31:$AH31)&gt;0,'2024年-挂账付款'!$AX31-SUM('2024年-挂账付款'!T31:$AH31),0))</f>
        <v>0</v>
      </c>
      <c r="W31" s="44">
        <f>IF('2024年-挂账付款'!$AX31&gt;=SUM('2024年-挂账付款'!T31:$AH31),'2024年-挂账付款'!T31,IF('2024年-挂账付款'!$AX31-SUM('2024年-挂账付款'!U31:$AH31)&gt;0,'2024年-挂账付款'!$AX31-SUM('2024年-挂账付款'!U31:$AH31),0))</f>
        <v>0</v>
      </c>
      <c r="X31" s="44">
        <f>IF('2024年-挂账付款'!$AX31&gt;=SUM('2024年-挂账付款'!U31:$AH31),'2024年-挂账付款'!U31,IF('2024年-挂账付款'!$AX31-SUM('2024年-挂账付款'!V31:$AH31)&gt;0,'2024年-挂账付款'!$AX31-SUM('2024年-挂账付款'!V31:$AH31),0))</f>
        <v>0</v>
      </c>
      <c r="Y31" s="44">
        <f>IF('2024年-挂账付款'!$AX31&gt;=SUM('2024年-挂账付款'!V31:$AH31),'2024年-挂账付款'!V31,IF('2024年-挂账付款'!$AX31-SUM('2024年-挂账付款'!W31:$AH31)&gt;0,'2024年-挂账付款'!$AX31-SUM('2024年-挂账付款'!W31:$AH31),0))</f>
        <v>0</v>
      </c>
      <c r="Z31" s="44">
        <f>IF('2024年-挂账付款'!$AX31&gt;=SUM('2024年-挂账付款'!W31:$AH31),'2024年-挂账付款'!W31,IF('2024年-挂账付款'!$AX31-SUM('2024年-挂账付款'!X31:$AH31)&gt;0,'2024年-挂账付款'!$AX31-SUM('2024年-挂账付款'!X31:$AH31),0))</f>
        <v>650754.56</v>
      </c>
      <c r="AA31" s="44">
        <f>IF('2024年-挂账付款'!$AX31&gt;=SUM('2024年-挂账付款'!X31:$AH31),'2024年-挂账付款'!X31,IF('2024年-挂账付款'!$AX31-SUM('2024年-挂账付款'!Y31:$AH31)&gt;0,'2024年-挂账付款'!$AX31-SUM('2024年-挂账付款'!Y31:$AH31),0))</f>
        <v>707392.11</v>
      </c>
      <c r="AB31" s="44">
        <f>IF('2024年-挂账付款'!$AX31&gt;=SUM('2024年-挂账付款'!Y31:$AH31),'2024年-挂账付款'!Y31,IF('2024年-挂账付款'!$AX31-SUM('2024年-挂账付款'!Z31:$AH31)&gt;0,'2024年-挂账付款'!$AX31-SUM('2024年-挂账付款'!Z31:$AH31),0))</f>
        <v>0</v>
      </c>
      <c r="AC31" s="44">
        <f>IF('2024年-挂账付款'!$AX31&gt;=SUM('2024年-挂账付款'!Z31:$AH31),'2024年-挂账付款'!Z31,IF('2024年-挂账付款'!$AX31-SUM('2024年-挂账付款'!AA31:$AH31)&gt;0,'2024年-挂账付款'!$AX31-SUM('2024年-挂账付款'!AA31:$AH31),0))</f>
        <v>0</v>
      </c>
      <c r="AD31" s="44">
        <f>IF('2024年-挂账付款'!$AX31&gt;=SUM('2024年-挂账付款'!AA31:$AH31),'2024年-挂账付款'!AA31,IF('2024年-挂账付款'!$AX31-SUM('2024年-挂账付款'!AB31:$AH31)&gt;0,'2024年-挂账付款'!$AX31-SUM('2024年-挂账付款'!AB31:$AH31),0))</f>
        <v>0</v>
      </c>
      <c r="AE31" s="44">
        <f>IF('2024年-挂账付款'!$AX31&gt;=SUM('2024年-挂账付款'!AB31:$AH31),'2024年-挂账付款'!AB31,IF('2024年-挂账付款'!$AX31-SUM('2024年-挂账付款'!AC31:$AH31)&gt;0,'2024年-挂账付款'!$AX31-SUM('2024年-挂账付款'!AC31:$AH31),0))</f>
        <v>0</v>
      </c>
      <c r="AF31" s="44">
        <f>IF('2024年-挂账付款'!$AX31&gt;=SUM('2024年-挂账付款'!AC31:$AH31),'2024年-挂账付款'!AC31,IF('2024年-挂账付款'!$AX31-SUM('2024年-挂账付款'!AD31:$AH31)&gt;0,'2024年-挂账付款'!$AX31-SUM('2024年-挂账付款'!AD31:$AH31),0))</f>
        <v>0</v>
      </c>
      <c r="AG31" s="44">
        <f>IF('2024年-挂账付款'!$AX31&gt;=SUM('2024年-挂账付款'!AD31:$AH31),'2024年-挂账付款'!AD31,IF('2024年-挂账付款'!$AX31-SUM('2024年-挂账付款'!AE31:$AH31)&gt;0,'2024年-挂账付款'!$AX31-SUM('2024年-挂账付款'!AE31:$AH31),0))</f>
        <v>0</v>
      </c>
      <c r="AH31" s="44">
        <f>IF('2024年-挂账付款'!$AX31&gt;=SUM('2024年-挂账付款'!AE31:$AH31),'2024年-挂账付款'!AE31,IF('2024年-挂账付款'!$AX31-SUM('2024年-挂账付款'!AF31:$AH31)&gt;0,'2024年-挂账付款'!$AX31-SUM('2024年-挂账付款'!AF31:$AH31),0))</f>
        <v>0</v>
      </c>
      <c r="AI31" s="44">
        <f>IF('2024年-挂账付款'!$AX31&gt;=SUM('2024年-挂账付款'!AF31:$AH31),'2024年-挂账付款'!AF31,IF('2024年-挂账付款'!$AX31-SUM('2024年-挂账付款'!AG31:$AH31)&gt;0,'2024年-挂账付款'!$AX31-SUM('2024年-挂账付款'!AG31:$AH31),0))</f>
        <v>0</v>
      </c>
      <c r="AJ31" s="44">
        <f>IF('2024年-挂账付款'!$AX31&gt;=SUM('2024年-挂账付款'!AG31:$AH31),'2024年-挂账付款'!AG31,IF('2024年-挂账付款'!$AX31-SUM('2024年-挂账付款'!AH31:$AH31)&gt;0,'2024年-挂账付款'!$AX31-SUM('2024年-挂账付款'!AH31:$AH31),0))</f>
        <v>0</v>
      </c>
      <c r="AK31" s="44">
        <f>IF('2024年-挂账付款'!$AX31&gt;=SUM('2024年-挂账付款'!AH31:$AH31),'2024年-挂账付款'!AH31,IF('2024年-挂账付款'!$AX31-SUM('2024年-挂账付款'!$AH31:AI31)&gt;0,'2024年-挂账付款'!$AX31-SUM('2024年-挂账付款'!$AH31:AI31),0))</f>
        <v>0</v>
      </c>
      <c r="AL31" s="92" t="s">
        <v>429</v>
      </c>
      <c r="AM31" s="93"/>
      <c r="AN31" s="94">
        <f t="shared" si="4"/>
        <v>0</v>
      </c>
      <c r="AO31" s="102"/>
      <c r="AP31" s="11">
        <f>'2024年-挂账付款'!AX31</f>
        <v>1358146.67</v>
      </c>
      <c r="AQ31" s="103">
        <f t="shared" si="2"/>
        <v>-1358146.67</v>
      </c>
    </row>
    <row r="32" s="10" customFormat="1" ht="24.05" customHeight="1" spans="2:43">
      <c r="B32" s="45" t="s">
        <v>81</v>
      </c>
      <c r="C32" s="46" t="s">
        <v>114</v>
      </c>
      <c r="D32" s="46" t="s">
        <v>115</v>
      </c>
      <c r="E32" s="41">
        <v>90</v>
      </c>
      <c r="F32" s="42">
        <f t="shared" si="5"/>
        <v>129956.39</v>
      </c>
      <c r="G32" s="43">
        <f t="shared" si="1"/>
        <v>286151.98</v>
      </c>
      <c r="H32" s="44">
        <f>IF('2024年-挂账付款'!$AX32&gt;=SUM('2024年-挂账付款'!E32:$AH32),'2024年-挂账付款'!E32,IF('2024年-挂账付款'!$AX32-SUM('2024年-挂账付款'!F32:$AH32)&gt;0,'2024年-挂账付款'!$AX32-SUM('2024年-挂账付款'!F32:$AH32),0))</f>
        <v>0</v>
      </c>
      <c r="I32" s="44">
        <f>IF('2024年-挂账付款'!$AX32&gt;=SUM('2024年-挂账付款'!F32:$AH32),'2024年-挂账付款'!F32,IF('2024年-挂账付款'!$AX32-SUM('2024年-挂账付款'!G32:$AH32)&gt;0,'2024年-挂账付款'!$AX32-SUM('2024年-挂账付款'!G32:$AH32),0))</f>
        <v>0</v>
      </c>
      <c r="J32" s="44">
        <f>IF('2024年-挂账付款'!$AX32&gt;=SUM('2024年-挂账付款'!G32:$AH32),'2024年-挂账付款'!G32,IF('2024年-挂账付款'!$AX32-SUM('2024年-挂账付款'!H32:$AH32)&gt;0,'2024年-挂账付款'!$AX32-SUM('2024年-挂账付款'!H32:$AH32),0))</f>
        <v>0</v>
      </c>
      <c r="K32" s="44">
        <f>IF('2024年-挂账付款'!$AX32&gt;=SUM('2024年-挂账付款'!H32:$AH32),'2024年-挂账付款'!H32,IF('2024年-挂账付款'!$AX32-SUM('2024年-挂账付款'!I32:$AH32)&gt;0,'2024年-挂账付款'!$AX32-SUM('2024年-挂账付款'!I32:$AH32),0))</f>
        <v>0</v>
      </c>
      <c r="L32" s="44">
        <f>IF('2024年-挂账付款'!$AX32&gt;=SUM('2024年-挂账付款'!I32:$AH32),'2024年-挂账付款'!I32,IF('2024年-挂账付款'!$AX32-SUM('2024年-挂账付款'!J32:$AH32)&gt;0,'2024年-挂账付款'!$AX32-SUM('2024年-挂账付款'!J32:$AH32),0))</f>
        <v>0</v>
      </c>
      <c r="M32" s="44">
        <f>IF('2024年-挂账付款'!$AX32&gt;=SUM('2024年-挂账付款'!J32:$AH32),'2024年-挂账付款'!J32,IF('2024年-挂账付款'!$AX32-SUM('2024年-挂账付款'!K32:$AH32)&gt;0,'2024年-挂账付款'!$AX32-SUM('2024年-挂账付款'!K32:$AH32),0))</f>
        <v>0</v>
      </c>
      <c r="N32" s="44">
        <f>IF('2024年-挂账付款'!$AX32&gt;=SUM('2024年-挂账付款'!K32:$AH32),'2024年-挂账付款'!K32,IF('2024年-挂账付款'!$AX32-SUM('2024年-挂账付款'!L32:$AH32)&gt;0,'2024年-挂账付款'!$AX32-SUM('2024年-挂账付款'!L32:$AH32),0))</f>
        <v>0</v>
      </c>
      <c r="O32" s="44">
        <f>IF('2024年-挂账付款'!$AX32&gt;=SUM('2024年-挂账付款'!L32:$AH32),'2024年-挂账付款'!L32,IF('2024年-挂账付款'!$AX32-SUM('2024年-挂账付款'!M32:$AH32)&gt;0,'2024年-挂账付款'!$AX32-SUM('2024年-挂账付款'!M32:$AH32),0))</f>
        <v>0</v>
      </c>
      <c r="P32" s="44">
        <f>IF('2024年-挂账付款'!$AX32&gt;=SUM('2024年-挂账付款'!M32:$AH32),'2024年-挂账付款'!M32,IF('2024年-挂账付款'!$AX32-SUM('2024年-挂账付款'!N32:$AH32)&gt;0,'2024年-挂账付款'!$AX32-SUM('2024年-挂账付款'!N32:$AH32),0))</f>
        <v>0</v>
      </c>
      <c r="Q32" s="44">
        <f>IF('2024年-挂账付款'!$AX32&gt;=SUM('2024年-挂账付款'!N32:$AH32),'2024年-挂账付款'!N32,IF('2024年-挂账付款'!$AX32-SUM('2024年-挂账付款'!O32:$AH32)&gt;0,'2024年-挂账付款'!$AX32-SUM('2024年-挂账付款'!O32:$AH32),0))</f>
        <v>0</v>
      </c>
      <c r="R32" s="44">
        <f>IF('2024年-挂账付款'!$AX32&gt;=SUM('2024年-挂账付款'!O32:$AH32),'2024年-挂账付款'!O32,IF('2024年-挂账付款'!$AX32-SUM('2024年-挂账付款'!P32:$AH32)&gt;0,'2024年-挂账付款'!$AX32-SUM('2024年-挂账付款'!P32:$AH32),0))</f>
        <v>0</v>
      </c>
      <c r="S32" s="44">
        <f>IF('2024年-挂账付款'!$AX32&gt;=SUM('2024年-挂账付款'!P32:$AH32),'2024年-挂账付款'!P32,IF('2024年-挂账付款'!$AX32-SUM('2024年-挂账付款'!Q32:$AH32)&gt;0,'2024年-挂账付款'!$AX32-SUM('2024年-挂账付款'!Q32:$AH32),0))</f>
        <v>0</v>
      </c>
      <c r="T32" s="44">
        <f>IF('2024年-挂账付款'!$AX32&gt;=SUM('2024年-挂账付款'!Q32:$AH32),'2024年-挂账付款'!Q32,IF('2024年-挂账付款'!$AX32-SUM('2024年-挂账付款'!R32:$AH32)&gt;0,'2024年-挂账付款'!$AX32-SUM('2024年-挂账付款'!R32:$AH32),0))</f>
        <v>67095.6200000001</v>
      </c>
      <c r="U32" s="44">
        <f>IF('2024年-挂账付款'!$AX32&gt;=SUM('2024年-挂账付款'!R32:$AH32),'2024年-挂账付款'!R32,IF('2024年-挂账付款'!$AX32-SUM('2024年-挂账付款'!S32:$AH32)&gt;0,'2024年-挂账付款'!$AX32-SUM('2024年-挂账付款'!S32:$AH32),0))</f>
        <v>28309.89</v>
      </c>
      <c r="V32" s="44">
        <f>IF('2024年-挂账付款'!$AX32&gt;=SUM('2024年-挂账付款'!S32:$AH32),'2024年-挂账付款'!S32,IF('2024年-挂账付款'!$AX32-SUM('2024年-挂账付款'!T32:$AH32)&gt;0,'2024年-挂账付款'!$AX32-SUM('2024年-挂账付款'!T32:$AH32),0))</f>
        <v>34550.88</v>
      </c>
      <c r="W32" s="44">
        <f>IF('2024年-挂账付款'!$AX32&gt;=SUM('2024年-挂账付款'!T32:$AH32),'2024年-挂账付款'!T32,IF('2024年-挂账付款'!$AX32-SUM('2024年-挂账付款'!U32:$AH32)&gt;0,'2024年-挂账付款'!$AX32-SUM('2024年-挂账付款'!U32:$AH32),0))</f>
        <v>63985.57</v>
      </c>
      <c r="X32" s="44">
        <f>IF('2024年-挂账付款'!$AX32&gt;=SUM('2024年-挂账付款'!U32:$AH32),'2024年-挂账付款'!U32,IF('2024年-挂账付款'!$AX32-SUM('2024年-挂账付款'!V32:$AH32)&gt;0,'2024年-挂账付款'!$AX32-SUM('2024年-挂账付款'!V32:$AH32),0))</f>
        <v>48271.56</v>
      </c>
      <c r="Y32" s="44">
        <f>IF('2024年-挂账付款'!$AX32&gt;=SUM('2024年-挂账付款'!V32:$AH32),'2024年-挂账付款'!V32,IF('2024年-挂账付款'!$AX32-SUM('2024年-挂账付款'!W32:$AH32)&gt;0,'2024年-挂账付款'!$AX32-SUM('2024年-挂账付款'!W32:$AH32),0))</f>
        <v>43938.46</v>
      </c>
      <c r="Z32" s="44">
        <f>IF('2024年-挂账付款'!$AX32&gt;=SUM('2024年-挂账付款'!W32:$AH32),'2024年-挂账付款'!W32,IF('2024年-挂账付款'!$AX32-SUM('2024年-挂账付款'!X32:$AH32)&gt;0,'2024年-挂账付款'!$AX32-SUM('2024年-挂账付款'!X32:$AH32),0))</f>
        <v>115133.22</v>
      </c>
      <c r="AA32" s="44">
        <f>IF('2024年-挂账付款'!$AX32&gt;=SUM('2024年-挂账付款'!X32:$AH32),'2024年-挂账付款'!X32,IF('2024年-挂账付款'!$AX32-SUM('2024年-挂账付款'!Y32:$AH32)&gt;0,'2024年-挂账付款'!$AX32-SUM('2024年-挂账付款'!Y32:$AH32),0))</f>
        <v>122926.14</v>
      </c>
      <c r="AB32" s="44">
        <f>IF('2024年-挂账付款'!$AX32&gt;=SUM('2024年-挂账付款'!Y32:$AH32),'2024年-挂账付款'!Y32,IF('2024年-挂账付款'!$AX32-SUM('2024年-挂账付款'!Z32:$AH32)&gt;0,'2024年-挂账付款'!$AX32-SUM('2024年-挂账付款'!Z32:$AH32),0))</f>
        <v>0</v>
      </c>
      <c r="AC32" s="44">
        <f>IF('2024年-挂账付款'!$AX32&gt;=SUM('2024年-挂账付款'!Z32:$AH32),'2024年-挂账付款'!Z32,IF('2024年-挂账付款'!$AX32-SUM('2024年-挂账付款'!AA32:$AH32)&gt;0,'2024年-挂账付款'!$AX32-SUM('2024年-挂账付款'!AA32:$AH32),0))</f>
        <v>0</v>
      </c>
      <c r="AD32" s="44">
        <f>IF('2024年-挂账付款'!$AX32&gt;=SUM('2024年-挂账付款'!AA32:$AH32),'2024年-挂账付款'!AA32,IF('2024年-挂账付款'!$AX32-SUM('2024年-挂账付款'!AB32:$AH32)&gt;0,'2024年-挂账付款'!$AX32-SUM('2024年-挂账付款'!AB32:$AH32),0))</f>
        <v>0</v>
      </c>
      <c r="AE32" s="44">
        <f>IF('2024年-挂账付款'!$AX32&gt;=SUM('2024年-挂账付款'!AB32:$AH32),'2024年-挂账付款'!AB32,IF('2024年-挂账付款'!$AX32-SUM('2024年-挂账付款'!AC32:$AH32)&gt;0,'2024年-挂账付款'!$AX32-SUM('2024年-挂账付款'!AC32:$AH32),0))</f>
        <v>0</v>
      </c>
      <c r="AF32" s="44">
        <f>IF('2024年-挂账付款'!$AX32&gt;=SUM('2024年-挂账付款'!AC32:$AH32),'2024年-挂账付款'!AC32,IF('2024年-挂账付款'!$AX32-SUM('2024年-挂账付款'!AD32:$AH32)&gt;0,'2024年-挂账付款'!$AX32-SUM('2024年-挂账付款'!AD32:$AH32),0))</f>
        <v>0</v>
      </c>
      <c r="AG32" s="44">
        <f>IF('2024年-挂账付款'!$AX32&gt;=SUM('2024年-挂账付款'!AD32:$AH32),'2024年-挂账付款'!AD32,IF('2024年-挂账付款'!$AX32-SUM('2024年-挂账付款'!AE32:$AH32)&gt;0,'2024年-挂账付款'!$AX32-SUM('2024年-挂账付款'!AE32:$AH32),0))</f>
        <v>0</v>
      </c>
      <c r="AH32" s="44">
        <f>IF('2024年-挂账付款'!$AX32&gt;=SUM('2024年-挂账付款'!AE32:$AH32),'2024年-挂账付款'!AE32,IF('2024年-挂账付款'!$AX32-SUM('2024年-挂账付款'!AF32:$AH32)&gt;0,'2024年-挂账付款'!$AX32-SUM('2024年-挂账付款'!AF32:$AH32),0))</f>
        <v>0</v>
      </c>
      <c r="AI32" s="44">
        <f>IF('2024年-挂账付款'!$AX32&gt;=SUM('2024年-挂账付款'!AF32:$AH32),'2024年-挂账付款'!AF32,IF('2024年-挂账付款'!$AX32-SUM('2024年-挂账付款'!AG32:$AH32)&gt;0,'2024年-挂账付款'!$AX32-SUM('2024年-挂账付款'!AG32:$AH32),0))</f>
        <v>0</v>
      </c>
      <c r="AJ32" s="44">
        <f>IF('2024年-挂账付款'!$AX32&gt;=SUM('2024年-挂账付款'!AG32:$AH32),'2024年-挂账付款'!AG32,IF('2024年-挂账付款'!$AX32-SUM('2024年-挂账付款'!AH32:$AH32)&gt;0,'2024年-挂账付款'!$AX32-SUM('2024年-挂账付款'!AH32:$AH32),0))</f>
        <v>0</v>
      </c>
      <c r="AK32" s="44">
        <f>IF('2024年-挂账付款'!$AX32&gt;=SUM('2024年-挂账付款'!AH32:$AH32),'2024年-挂账付款'!AH32,IF('2024年-挂账付款'!$AX32-SUM('2024年-挂账付款'!$AH32:AI32)&gt;0,'2024年-挂账付款'!$AX32-SUM('2024年-挂账付款'!$AH32:AI32),0))</f>
        <v>0</v>
      </c>
      <c r="AL32" s="88" t="s">
        <v>427</v>
      </c>
      <c r="AM32" s="89"/>
      <c r="AN32" s="86">
        <f t="shared" si="4"/>
        <v>38153.5973333333</v>
      </c>
      <c r="AO32" s="91"/>
      <c r="AP32" s="10">
        <f>'2024年-挂账付款'!AX32</f>
        <v>524211.34</v>
      </c>
      <c r="AQ32" s="101">
        <f t="shared" si="2"/>
        <v>-238059.36</v>
      </c>
    </row>
    <row r="33" s="10" customFormat="1" ht="24.05" customHeight="1" spans="2:43">
      <c r="B33" s="45" t="s">
        <v>81</v>
      </c>
      <c r="C33" s="46" t="s">
        <v>287</v>
      </c>
      <c r="D33" s="46" t="s">
        <v>288</v>
      </c>
      <c r="E33" s="41">
        <v>90</v>
      </c>
      <c r="F33" s="42">
        <f t="shared" si="5"/>
        <v>0</v>
      </c>
      <c r="G33" s="43">
        <f t="shared" si="1"/>
        <v>126042.33</v>
      </c>
      <c r="H33" s="44">
        <f>IF('2024年-挂账付款'!$AX33&gt;=SUM('2024年-挂账付款'!E33:$AH33),'2024年-挂账付款'!E33,IF('2024年-挂账付款'!$AX33-SUM('2024年-挂账付款'!F33:$AH33)&gt;0,'2024年-挂账付款'!$AX33-SUM('2024年-挂账付款'!F33:$AH33),0))</f>
        <v>0</v>
      </c>
      <c r="I33" s="44">
        <f>IF('2024年-挂账付款'!$AX33&gt;=SUM('2024年-挂账付款'!F33:$AH33),'2024年-挂账付款'!F33,IF('2024年-挂账付款'!$AX33-SUM('2024年-挂账付款'!G33:$AH33)&gt;0,'2024年-挂账付款'!$AX33-SUM('2024年-挂账付款'!G33:$AH33),0))</f>
        <v>0</v>
      </c>
      <c r="J33" s="44">
        <f>IF('2024年-挂账付款'!$AX33&gt;=SUM('2024年-挂账付款'!G33:$AH33),'2024年-挂账付款'!G33,IF('2024年-挂账付款'!$AX33-SUM('2024年-挂账付款'!H33:$AH33)&gt;0,'2024年-挂账付款'!$AX33-SUM('2024年-挂账付款'!H33:$AH33),0))</f>
        <v>0</v>
      </c>
      <c r="K33" s="44">
        <f>IF('2024年-挂账付款'!$AX33&gt;=SUM('2024年-挂账付款'!H33:$AH33),'2024年-挂账付款'!H33,IF('2024年-挂账付款'!$AX33-SUM('2024年-挂账付款'!I33:$AH33)&gt;0,'2024年-挂账付款'!$AX33-SUM('2024年-挂账付款'!I33:$AH33),0))</f>
        <v>0</v>
      </c>
      <c r="L33" s="44">
        <f>IF('2024年-挂账付款'!$AX33&gt;=SUM('2024年-挂账付款'!I33:$AH33),'2024年-挂账付款'!I33,IF('2024年-挂账付款'!$AX33-SUM('2024年-挂账付款'!J33:$AH33)&gt;0,'2024年-挂账付款'!$AX33-SUM('2024年-挂账付款'!J33:$AH33),0))</f>
        <v>0</v>
      </c>
      <c r="M33" s="44">
        <f>IF('2024年-挂账付款'!$AX33&gt;=SUM('2024年-挂账付款'!J33:$AH33),'2024年-挂账付款'!J33,IF('2024年-挂账付款'!$AX33-SUM('2024年-挂账付款'!K33:$AH33)&gt;0,'2024年-挂账付款'!$AX33-SUM('2024年-挂账付款'!K33:$AH33),0))</f>
        <v>0</v>
      </c>
      <c r="N33" s="44">
        <f>IF('2024年-挂账付款'!$AX33&gt;=SUM('2024年-挂账付款'!K33:$AH33),'2024年-挂账付款'!K33,IF('2024年-挂账付款'!$AX33-SUM('2024年-挂账付款'!L33:$AH33)&gt;0,'2024年-挂账付款'!$AX33-SUM('2024年-挂账付款'!L33:$AH33),0))</f>
        <v>0</v>
      </c>
      <c r="O33" s="44">
        <f>IF('2024年-挂账付款'!$AX33&gt;=SUM('2024年-挂账付款'!L33:$AH33),'2024年-挂账付款'!L33,IF('2024年-挂账付款'!$AX33-SUM('2024年-挂账付款'!M33:$AH33)&gt;0,'2024年-挂账付款'!$AX33-SUM('2024年-挂账付款'!M33:$AH33),0))</f>
        <v>0</v>
      </c>
      <c r="P33" s="44">
        <f>IF('2024年-挂账付款'!$AX33&gt;=SUM('2024年-挂账付款'!M33:$AH33),'2024年-挂账付款'!M33,IF('2024年-挂账付款'!$AX33-SUM('2024年-挂账付款'!N33:$AH33)&gt;0,'2024年-挂账付款'!$AX33-SUM('2024年-挂账付款'!N33:$AH33),0))</f>
        <v>0</v>
      </c>
      <c r="Q33" s="44">
        <f>IF('2024年-挂账付款'!$AX33&gt;=SUM('2024年-挂账付款'!N33:$AH33),'2024年-挂账付款'!N33,IF('2024年-挂账付款'!$AX33-SUM('2024年-挂账付款'!O33:$AH33)&gt;0,'2024年-挂账付款'!$AX33-SUM('2024年-挂账付款'!O33:$AH33),0))</f>
        <v>0</v>
      </c>
      <c r="R33" s="44">
        <f>IF('2024年-挂账付款'!$AX33&gt;=SUM('2024年-挂账付款'!O33:$AH33),'2024年-挂账付款'!O33,IF('2024年-挂账付款'!$AX33-SUM('2024年-挂账付款'!P33:$AH33)&gt;0,'2024年-挂账付款'!$AX33-SUM('2024年-挂账付款'!P33:$AH33),0))</f>
        <v>0</v>
      </c>
      <c r="S33" s="44">
        <f>IF('2024年-挂账付款'!$AX33&gt;=SUM('2024年-挂账付款'!P33:$AH33),'2024年-挂账付款'!P33,IF('2024年-挂账付款'!$AX33-SUM('2024年-挂账付款'!Q33:$AH33)&gt;0,'2024年-挂账付款'!$AX33-SUM('2024年-挂账付款'!Q33:$AH33),0))</f>
        <v>0</v>
      </c>
      <c r="T33" s="44">
        <f>IF('2024年-挂账付款'!$AX33&gt;=SUM('2024年-挂账付款'!Q33:$AH33),'2024年-挂账付款'!Q33,IF('2024年-挂账付款'!$AX33-SUM('2024年-挂账付款'!R33:$AH33)&gt;0,'2024年-挂账付款'!$AX33-SUM('2024年-挂账付款'!R33:$AH33),0))</f>
        <v>0</v>
      </c>
      <c r="U33" s="44">
        <f>IF('2024年-挂账付款'!$AX33&gt;=SUM('2024年-挂账付款'!R33:$AH33),'2024年-挂账付款'!R33,IF('2024年-挂账付款'!$AX33-SUM('2024年-挂账付款'!S33:$AH33)&gt;0,'2024年-挂账付款'!$AX33-SUM('2024年-挂账付款'!S33:$AH33),0))</f>
        <v>0</v>
      </c>
      <c r="V33" s="44">
        <f>IF('2024年-挂账付款'!$AX33&gt;=SUM('2024年-挂账付款'!S33:$AH33),'2024年-挂账付款'!S33,IF('2024年-挂账付款'!$AX33-SUM('2024年-挂账付款'!T33:$AH33)&gt;0,'2024年-挂账付款'!$AX33-SUM('2024年-挂账付款'!T33:$AH33),0))</f>
        <v>0</v>
      </c>
      <c r="W33" s="44">
        <f>IF('2024年-挂账付款'!$AX33&gt;=SUM('2024年-挂账付款'!T33:$AH33),'2024年-挂账付款'!T33,IF('2024年-挂账付款'!$AX33-SUM('2024年-挂账付款'!U33:$AH33)&gt;0,'2024年-挂账付款'!$AX33-SUM('2024年-挂账付款'!U33:$AH33),0))</f>
        <v>63871.99</v>
      </c>
      <c r="X33" s="44">
        <f>IF('2024年-挂账付款'!$AX33&gt;=SUM('2024年-挂账付款'!U33:$AH33),'2024年-挂账付款'!U33,IF('2024年-挂账付款'!$AX33-SUM('2024年-挂账付款'!V33:$AH33)&gt;0,'2024年-挂账付款'!$AX33-SUM('2024年-挂账付款'!V33:$AH33),0))</f>
        <v>0</v>
      </c>
      <c r="Y33" s="44">
        <f>IF('2024年-挂账付款'!$AX33&gt;=SUM('2024年-挂账付款'!V33:$AH33),'2024年-挂账付款'!V33,IF('2024年-挂账付款'!$AX33-SUM('2024年-挂账付款'!W33:$AH33)&gt;0,'2024年-挂账付款'!$AX33-SUM('2024年-挂账付款'!W33:$AH33),0))</f>
        <v>62170.34</v>
      </c>
      <c r="Z33" s="44">
        <f>IF('2024年-挂账付款'!$AX33&gt;=SUM('2024年-挂账付款'!W33:$AH33),'2024年-挂账付款'!W33,IF('2024年-挂账付款'!$AX33-SUM('2024年-挂账付款'!X33:$AH33)&gt;0,'2024年-挂账付款'!$AX33-SUM('2024年-挂账付款'!X33:$AH33),0))</f>
        <v>134023.65</v>
      </c>
      <c r="AA33" s="44">
        <f>IF('2024年-挂账付款'!$AX33&gt;=SUM('2024年-挂账付款'!X33:$AH33),'2024年-挂账付款'!X33,IF('2024年-挂账付款'!$AX33-SUM('2024年-挂账付款'!Y33:$AH33)&gt;0,'2024年-挂账付款'!$AX33-SUM('2024年-挂账付款'!Y33:$AH33),0))</f>
        <v>0</v>
      </c>
      <c r="AB33" s="44">
        <f>IF('2024年-挂账付款'!$AX33&gt;=SUM('2024年-挂账付款'!Y33:$AH33),'2024年-挂账付款'!Y33,IF('2024年-挂账付款'!$AX33-SUM('2024年-挂账付款'!Z33:$AH33)&gt;0,'2024年-挂账付款'!$AX33-SUM('2024年-挂账付款'!Z33:$AH33),0))</f>
        <v>0</v>
      </c>
      <c r="AC33" s="44">
        <f>IF('2024年-挂账付款'!$AX33&gt;=SUM('2024年-挂账付款'!Z33:$AH33),'2024年-挂账付款'!Z33,IF('2024年-挂账付款'!$AX33-SUM('2024年-挂账付款'!AA33:$AH33)&gt;0,'2024年-挂账付款'!$AX33-SUM('2024年-挂账付款'!AA33:$AH33),0))</f>
        <v>0</v>
      </c>
      <c r="AD33" s="44">
        <f>IF('2024年-挂账付款'!$AX33&gt;=SUM('2024年-挂账付款'!AA33:$AH33),'2024年-挂账付款'!AA33,IF('2024年-挂账付款'!$AX33-SUM('2024年-挂账付款'!AB33:$AH33)&gt;0,'2024年-挂账付款'!$AX33-SUM('2024年-挂账付款'!AB33:$AH33),0))</f>
        <v>0</v>
      </c>
      <c r="AE33" s="44">
        <f>IF('2024年-挂账付款'!$AX33&gt;=SUM('2024年-挂账付款'!AB33:$AH33),'2024年-挂账付款'!AB33,IF('2024年-挂账付款'!$AX33-SUM('2024年-挂账付款'!AC33:$AH33)&gt;0,'2024年-挂账付款'!$AX33-SUM('2024年-挂账付款'!AC33:$AH33),0))</f>
        <v>0</v>
      </c>
      <c r="AF33" s="44">
        <f>IF('2024年-挂账付款'!$AX33&gt;=SUM('2024年-挂账付款'!AC33:$AH33),'2024年-挂账付款'!AC33,IF('2024年-挂账付款'!$AX33-SUM('2024年-挂账付款'!AD33:$AH33)&gt;0,'2024年-挂账付款'!$AX33-SUM('2024年-挂账付款'!AD33:$AH33),0))</f>
        <v>0</v>
      </c>
      <c r="AG33" s="44">
        <f>IF('2024年-挂账付款'!$AX33&gt;=SUM('2024年-挂账付款'!AD33:$AH33),'2024年-挂账付款'!AD33,IF('2024年-挂账付款'!$AX33-SUM('2024年-挂账付款'!AE33:$AH33)&gt;0,'2024年-挂账付款'!$AX33-SUM('2024年-挂账付款'!AE33:$AH33),0))</f>
        <v>0</v>
      </c>
      <c r="AH33" s="44">
        <f>IF('2024年-挂账付款'!$AX33&gt;=SUM('2024年-挂账付款'!AE33:$AH33),'2024年-挂账付款'!AE33,IF('2024年-挂账付款'!$AX33-SUM('2024年-挂账付款'!AF33:$AH33)&gt;0,'2024年-挂账付款'!$AX33-SUM('2024年-挂账付款'!AF33:$AH33),0))</f>
        <v>0</v>
      </c>
      <c r="AI33" s="44">
        <f>IF('2024年-挂账付款'!$AX33&gt;=SUM('2024年-挂账付款'!AF33:$AH33),'2024年-挂账付款'!AF33,IF('2024年-挂账付款'!$AX33-SUM('2024年-挂账付款'!AG33:$AH33)&gt;0,'2024年-挂账付款'!$AX33-SUM('2024年-挂账付款'!AG33:$AH33),0))</f>
        <v>0</v>
      </c>
      <c r="AJ33" s="44">
        <f>IF('2024年-挂账付款'!$AX33&gt;=SUM('2024年-挂账付款'!AG33:$AH33),'2024年-挂账付款'!AG33,IF('2024年-挂账付款'!$AX33-SUM('2024年-挂账付款'!AH33:$AH33)&gt;0,'2024年-挂账付款'!$AX33-SUM('2024年-挂账付款'!AH33:$AH33),0))</f>
        <v>0</v>
      </c>
      <c r="AK33" s="44">
        <f>IF('2024年-挂账付款'!$AX33&gt;=SUM('2024年-挂账付款'!AH33:$AH33),'2024年-挂账付款'!AH33,IF('2024年-挂账付款'!$AX33-SUM('2024年-挂账付款'!$AH33:AI33)&gt;0,'2024年-挂账付款'!$AX33-SUM('2024年-挂账付款'!$AH33:AI33),0))</f>
        <v>0</v>
      </c>
      <c r="AL33" s="88" t="s">
        <v>428</v>
      </c>
      <c r="AM33" s="90"/>
      <c r="AN33" s="86">
        <f t="shared" si="4"/>
        <v>16805.644</v>
      </c>
      <c r="AO33" s="91"/>
      <c r="AP33" s="10">
        <f>'2024年-挂账付款'!AX33</f>
        <v>260065.98</v>
      </c>
      <c r="AQ33" s="101">
        <f t="shared" si="2"/>
        <v>-134023.65</v>
      </c>
    </row>
    <row r="34" s="11" customFormat="1" ht="24.05" customHeight="1" spans="2:43">
      <c r="B34" s="50" t="s">
        <v>81</v>
      </c>
      <c r="C34" s="51" t="s">
        <v>289</v>
      </c>
      <c r="D34" s="51" t="s">
        <v>290</v>
      </c>
      <c r="E34" s="52">
        <v>90</v>
      </c>
      <c r="F34" s="53">
        <f t="shared" si="5"/>
        <v>329747.45</v>
      </c>
      <c r="G34" s="54">
        <f t="shared" si="1"/>
        <v>543515.92</v>
      </c>
      <c r="H34" s="44" t="str">
        <f>IF('2024年-挂账付款'!$AX34&gt;=SUM('2024年-挂账付款'!E34:$AH34),'2024年-挂账付款'!E34,IF('2024年-挂账付款'!$AX34-SUM('2024年-挂账付款'!F34:$AH34)&gt;0,'2024年-挂账付款'!$AX34-SUM('2024年-挂账付款'!F34:$AH34),0))</f>
        <v/>
      </c>
      <c r="I34" s="44" t="str">
        <f>IF('2024年-挂账付款'!$AX34&gt;=SUM('2024年-挂账付款'!F34:$AH34),'2024年-挂账付款'!F34,IF('2024年-挂账付款'!$AX34-SUM('2024年-挂账付款'!G34:$AH34)&gt;0,'2024年-挂账付款'!$AX34-SUM('2024年-挂账付款'!G34:$AH34),0))</f>
        <v/>
      </c>
      <c r="J34" s="44" t="str">
        <f>IF('2024年-挂账付款'!$AX34&gt;=SUM('2024年-挂账付款'!G34:$AH34),'2024年-挂账付款'!G34,IF('2024年-挂账付款'!$AX34-SUM('2024年-挂账付款'!H34:$AH34)&gt;0,'2024年-挂账付款'!$AX34-SUM('2024年-挂账付款'!H34:$AH34),0))</f>
        <v/>
      </c>
      <c r="K34" s="44">
        <f>IF('2024年-挂账付款'!$AX34&gt;=SUM('2024年-挂账付款'!H34:$AH34),'2024年-挂账付款'!H34,IF('2024年-挂账付款'!$AX34-SUM('2024年-挂账付款'!I34:$AH34)&gt;0,'2024年-挂账付款'!$AX34-SUM('2024年-挂账付款'!I34:$AH34),0))</f>
        <v>0</v>
      </c>
      <c r="L34" s="44">
        <f>IF('2024年-挂账付款'!$AX34&gt;=SUM('2024年-挂账付款'!I34:$AH34),'2024年-挂账付款'!I34,IF('2024年-挂账付款'!$AX34-SUM('2024年-挂账付款'!J34:$AH34)&gt;0,'2024年-挂账付款'!$AX34-SUM('2024年-挂账付款'!J34:$AH34),0))</f>
        <v>0</v>
      </c>
      <c r="M34" s="44" t="str">
        <f>IF('2024年-挂账付款'!$AX34&gt;=SUM('2024年-挂账付款'!J34:$AH34),'2024年-挂账付款'!J34,IF('2024年-挂账付款'!$AX34-SUM('2024年-挂账付款'!K34:$AH34)&gt;0,'2024年-挂账付款'!$AX34-SUM('2024年-挂账付款'!K34:$AH34),0))</f>
        <v/>
      </c>
      <c r="N34" s="44">
        <f>IF('2024年-挂账付款'!$AX34&gt;=SUM('2024年-挂账付款'!K34:$AH34),'2024年-挂账付款'!K34,IF('2024年-挂账付款'!$AX34-SUM('2024年-挂账付款'!L34:$AH34)&gt;0,'2024年-挂账付款'!$AX34-SUM('2024年-挂账付款'!L34:$AH34),0))</f>
        <v>0</v>
      </c>
      <c r="O34" s="44">
        <f>IF('2024年-挂账付款'!$AX34&gt;=SUM('2024年-挂账付款'!L34:$AH34),'2024年-挂账付款'!L34,IF('2024年-挂账付款'!$AX34-SUM('2024年-挂账付款'!M34:$AH34)&gt;0,'2024年-挂账付款'!$AX34-SUM('2024年-挂账付款'!M34:$AH34),0))</f>
        <v>0</v>
      </c>
      <c r="P34" s="44">
        <f>IF('2024年-挂账付款'!$AX34&gt;=SUM('2024年-挂账付款'!M34:$AH34),'2024年-挂账付款'!M34,IF('2024年-挂账付款'!$AX34-SUM('2024年-挂账付款'!N34:$AH34)&gt;0,'2024年-挂账付款'!$AX34-SUM('2024年-挂账付款'!N34:$AH34),0))</f>
        <v>156897.18</v>
      </c>
      <c r="Q34" s="44">
        <f>IF('2024年-挂账付款'!$AX34&gt;=SUM('2024年-挂账付款'!N34:$AH34),'2024年-挂账付款'!N34,IF('2024年-挂账付款'!$AX34-SUM('2024年-挂账付款'!O34:$AH34)&gt;0,'2024年-挂账付款'!$AX34-SUM('2024年-挂账付款'!O34:$AH34),0))</f>
        <v>40061.43</v>
      </c>
      <c r="R34" s="44">
        <f>IF('2024年-挂账付款'!$AX34&gt;=SUM('2024年-挂账付款'!O34:$AH34),'2024年-挂账付款'!O34,IF('2024年-挂账付款'!$AX34-SUM('2024年-挂账付款'!P34:$AH34)&gt;0,'2024年-挂账付款'!$AX34-SUM('2024年-挂账付款'!P34:$AH34),0))</f>
        <v>24892.05</v>
      </c>
      <c r="S34" s="44">
        <f>IF('2024年-挂账付款'!$AX34&gt;=SUM('2024年-挂账付款'!P34:$AH34),'2024年-挂账付款'!P34,IF('2024年-挂账付款'!$AX34-SUM('2024年-挂账付款'!Q34:$AH34)&gt;0,'2024年-挂账付款'!$AX34-SUM('2024年-挂账付款'!Q34:$AH34),0))</f>
        <v>12725.95</v>
      </c>
      <c r="T34" s="44">
        <f>IF('2024年-挂账付款'!$AX34&gt;=SUM('2024年-挂账付款'!Q34:$AH34),'2024年-挂账付款'!Q34,IF('2024年-挂账付款'!$AX34-SUM('2024年-挂账付款'!R34:$AH34)&gt;0,'2024年-挂账付款'!$AX34-SUM('2024年-挂账付款'!R34:$AH34),0))</f>
        <v>95100.09</v>
      </c>
      <c r="U34" s="44">
        <f>IF('2024年-挂账付款'!$AX34&gt;=SUM('2024年-挂账付款'!R34:$AH34),'2024年-挂账付款'!R34,IF('2024年-挂账付款'!$AX34-SUM('2024年-挂账付款'!S34:$AH34)&gt;0,'2024年-挂账付款'!$AX34-SUM('2024年-挂账付款'!S34:$AH34),0))</f>
        <v>0</v>
      </c>
      <c r="V34" s="44">
        <f>IF('2024年-挂账付款'!$AX34&gt;=SUM('2024年-挂账付款'!S34:$AH34),'2024年-挂账付款'!S34,IF('2024年-挂账付款'!$AX34-SUM('2024年-挂账付款'!T34:$AH34)&gt;0,'2024年-挂账付款'!$AX34-SUM('2024年-挂账付款'!T34:$AH34),0))</f>
        <v>70.75</v>
      </c>
      <c r="W34" s="44">
        <f>IF('2024年-挂账付款'!$AX34&gt;=SUM('2024年-挂账付款'!T34:$AH34),'2024年-挂账付款'!T34,IF('2024年-挂账付款'!$AX34-SUM('2024年-挂账付款'!U34:$AH34)&gt;0,'2024年-挂账付款'!$AX34-SUM('2024年-挂账付款'!U34:$AH34),0))</f>
        <v>120886.07</v>
      </c>
      <c r="X34" s="44">
        <f>IF('2024年-挂账付款'!$AX34&gt;=SUM('2024年-挂账付款'!U34:$AH34),'2024年-挂账付款'!U34,IF('2024年-挂账付款'!$AX34-SUM('2024年-挂账付款'!V34:$AH34)&gt;0,'2024年-挂账付款'!$AX34-SUM('2024年-挂账付款'!V34:$AH34),0))</f>
        <v>66283.25</v>
      </c>
      <c r="Y34" s="44">
        <f>IF('2024年-挂账付款'!$AX34&gt;=SUM('2024年-挂账付款'!V34:$AH34),'2024年-挂账付款'!V34,IF('2024年-挂账付款'!$AX34-SUM('2024年-挂账付款'!W34:$AH34)&gt;0,'2024年-挂账付款'!$AX34-SUM('2024年-挂账付款'!W34:$AH34),0))</f>
        <v>26599.15</v>
      </c>
      <c r="Z34" s="44">
        <f>IF('2024年-挂账付款'!$AX34&gt;=SUM('2024年-挂账付款'!W34:$AH34),'2024年-挂账付款'!W34,IF('2024年-挂账付款'!$AX34-SUM('2024年-挂账付款'!X34:$AH34)&gt;0,'2024年-挂账付款'!$AX34-SUM('2024年-挂账付款'!X34:$AH34),0))</f>
        <v>0</v>
      </c>
      <c r="AA34" s="44">
        <f>IF('2024年-挂账付款'!$AX34&gt;=SUM('2024年-挂账付款'!X34:$AH34),'2024年-挂账付款'!X34,IF('2024年-挂账付款'!$AX34-SUM('2024年-挂账付款'!Y34:$AH34)&gt;0,'2024年-挂账付款'!$AX34-SUM('2024年-挂账付款'!Y34:$AH34),0))</f>
        <v>0</v>
      </c>
      <c r="AB34" s="44">
        <f>IF('2024年-挂账付款'!$AX34&gt;=SUM('2024年-挂账付款'!Y34:$AH34),'2024年-挂账付款'!Y34,IF('2024年-挂账付款'!$AX34-SUM('2024年-挂账付款'!Z34:$AH34)&gt;0,'2024年-挂账付款'!$AX34-SUM('2024年-挂账付款'!Z34:$AH34),0))</f>
        <v>0</v>
      </c>
      <c r="AC34" s="44">
        <f>IF('2024年-挂账付款'!$AX34&gt;=SUM('2024年-挂账付款'!Z34:$AH34),'2024年-挂账付款'!Z34,IF('2024年-挂账付款'!$AX34-SUM('2024年-挂账付款'!AA34:$AH34)&gt;0,'2024年-挂账付款'!$AX34-SUM('2024年-挂账付款'!AA34:$AH34),0))</f>
        <v>0</v>
      </c>
      <c r="AD34" s="44">
        <f>IF('2024年-挂账付款'!$AX34&gt;=SUM('2024年-挂账付款'!AA34:$AH34),'2024年-挂账付款'!AA34,IF('2024年-挂账付款'!$AX34-SUM('2024年-挂账付款'!AB34:$AH34)&gt;0,'2024年-挂账付款'!$AX34-SUM('2024年-挂账付款'!AB34:$AH34),0))</f>
        <v>0</v>
      </c>
      <c r="AE34" s="44">
        <f>IF('2024年-挂账付款'!$AX34&gt;=SUM('2024年-挂账付款'!AB34:$AH34),'2024年-挂账付款'!AB34,IF('2024年-挂账付款'!$AX34-SUM('2024年-挂账付款'!AC34:$AH34)&gt;0,'2024年-挂账付款'!$AX34-SUM('2024年-挂账付款'!AC34:$AH34),0))</f>
        <v>0</v>
      </c>
      <c r="AF34" s="44">
        <f>IF('2024年-挂账付款'!$AX34&gt;=SUM('2024年-挂账付款'!AC34:$AH34),'2024年-挂账付款'!AC34,IF('2024年-挂账付款'!$AX34-SUM('2024年-挂账付款'!AD34:$AH34)&gt;0,'2024年-挂账付款'!$AX34-SUM('2024年-挂账付款'!AD34:$AH34),0))</f>
        <v>0</v>
      </c>
      <c r="AG34" s="44">
        <f>IF('2024年-挂账付款'!$AX34&gt;=SUM('2024年-挂账付款'!AD34:$AH34),'2024年-挂账付款'!AD34,IF('2024年-挂账付款'!$AX34-SUM('2024年-挂账付款'!AE34:$AH34)&gt;0,'2024年-挂账付款'!$AX34-SUM('2024年-挂账付款'!AE34:$AH34),0))</f>
        <v>0</v>
      </c>
      <c r="AH34" s="44">
        <f>IF('2024年-挂账付款'!$AX34&gt;=SUM('2024年-挂账付款'!AE34:$AH34),'2024年-挂账付款'!AE34,IF('2024年-挂账付款'!$AX34-SUM('2024年-挂账付款'!AF34:$AH34)&gt;0,'2024年-挂账付款'!$AX34-SUM('2024年-挂账付款'!AF34:$AH34),0))</f>
        <v>0</v>
      </c>
      <c r="AI34" s="44">
        <f>IF('2024年-挂账付款'!$AX34&gt;=SUM('2024年-挂账付款'!AF34:$AH34),'2024年-挂账付款'!AF34,IF('2024年-挂账付款'!$AX34-SUM('2024年-挂账付款'!AG34:$AH34)&gt;0,'2024年-挂账付款'!$AX34-SUM('2024年-挂账付款'!AG34:$AH34),0))</f>
        <v>0</v>
      </c>
      <c r="AJ34" s="44">
        <f>IF('2024年-挂账付款'!$AX34&gt;=SUM('2024年-挂账付款'!AG34:$AH34),'2024年-挂账付款'!AG34,IF('2024年-挂账付款'!$AX34-SUM('2024年-挂账付款'!AH34:$AH34)&gt;0,'2024年-挂账付款'!$AX34-SUM('2024年-挂账付款'!AH34:$AH34),0))</f>
        <v>0</v>
      </c>
      <c r="AK34" s="44">
        <f>IF('2024年-挂账付款'!$AX34&gt;=SUM('2024年-挂账付款'!AH34:$AH34),'2024年-挂账付款'!AH34,IF('2024年-挂账付款'!$AX34-SUM('2024年-挂账付款'!$AH34:AI34)&gt;0,'2024年-挂账付款'!$AX34-SUM('2024年-挂账付款'!$AH34:AI34),0))</f>
        <v>0</v>
      </c>
      <c r="AL34" s="92" t="s">
        <v>428</v>
      </c>
      <c r="AM34" s="95"/>
      <c r="AN34" s="94">
        <f t="shared" si="4"/>
        <v>41191.908</v>
      </c>
      <c r="AO34" s="102"/>
      <c r="AP34" s="11">
        <f>'2024年-挂账付款'!AX34</f>
        <v>543515.92</v>
      </c>
      <c r="AQ34" s="103">
        <f t="shared" si="2"/>
        <v>0</v>
      </c>
    </row>
    <row r="35" s="10" customFormat="1" ht="24.05" customHeight="1" spans="2:43">
      <c r="B35" s="45" t="s">
        <v>81</v>
      </c>
      <c r="C35" s="46" t="s">
        <v>293</v>
      </c>
      <c r="D35" s="46" t="s">
        <v>294</v>
      </c>
      <c r="E35" s="41">
        <v>90</v>
      </c>
      <c r="F35" s="42">
        <f t="shared" si="5"/>
        <v>10174.03</v>
      </c>
      <c r="G35" s="43">
        <f t="shared" si="1"/>
        <v>218950.31</v>
      </c>
      <c r="H35" s="44">
        <f>IF('2024年-挂账付款'!$AX35&gt;=SUM('2024年-挂账付款'!E35:$AH35),'2024年-挂账付款'!E35,IF('2024年-挂账付款'!$AX35-SUM('2024年-挂账付款'!F35:$AH35)&gt;0,'2024年-挂账付款'!$AX35-SUM('2024年-挂账付款'!F35:$AH35),0))</f>
        <v>0</v>
      </c>
      <c r="I35" s="44">
        <f>IF('2024年-挂账付款'!$AX35&gt;=SUM('2024年-挂账付款'!F35:$AH35),'2024年-挂账付款'!F35,IF('2024年-挂账付款'!$AX35-SUM('2024年-挂账付款'!G35:$AH35)&gt;0,'2024年-挂账付款'!$AX35-SUM('2024年-挂账付款'!G35:$AH35),0))</f>
        <v>0</v>
      </c>
      <c r="J35" s="44">
        <f>IF('2024年-挂账付款'!$AX35&gt;=SUM('2024年-挂账付款'!G35:$AH35),'2024年-挂账付款'!G35,IF('2024年-挂账付款'!$AX35-SUM('2024年-挂账付款'!H35:$AH35)&gt;0,'2024年-挂账付款'!$AX35-SUM('2024年-挂账付款'!H35:$AH35),0))</f>
        <v>0</v>
      </c>
      <c r="K35" s="44">
        <f>IF('2024年-挂账付款'!$AX35&gt;=SUM('2024年-挂账付款'!H35:$AH35),'2024年-挂账付款'!H35,IF('2024年-挂账付款'!$AX35-SUM('2024年-挂账付款'!I35:$AH35)&gt;0,'2024年-挂账付款'!$AX35-SUM('2024年-挂账付款'!I35:$AH35),0))</f>
        <v>0</v>
      </c>
      <c r="L35" s="44">
        <f>IF('2024年-挂账付款'!$AX35&gt;=SUM('2024年-挂账付款'!I35:$AH35),'2024年-挂账付款'!I35,IF('2024年-挂账付款'!$AX35-SUM('2024年-挂账付款'!J35:$AH35)&gt;0,'2024年-挂账付款'!$AX35-SUM('2024年-挂账付款'!J35:$AH35),0))</f>
        <v>0</v>
      </c>
      <c r="M35" s="44">
        <f>IF('2024年-挂账付款'!$AX35&gt;=SUM('2024年-挂账付款'!J35:$AH35),'2024年-挂账付款'!J35,IF('2024年-挂账付款'!$AX35-SUM('2024年-挂账付款'!K35:$AH35)&gt;0,'2024年-挂账付款'!$AX35-SUM('2024年-挂账付款'!K35:$AH35),0))</f>
        <v>0</v>
      </c>
      <c r="N35" s="44">
        <f>IF('2024年-挂账付款'!$AX35&gt;=SUM('2024年-挂账付款'!K35:$AH35),'2024年-挂账付款'!K35,IF('2024年-挂账付款'!$AX35-SUM('2024年-挂账付款'!L35:$AH35)&gt;0,'2024年-挂账付款'!$AX35-SUM('2024年-挂账付款'!L35:$AH35),0))</f>
        <v>0</v>
      </c>
      <c r="O35" s="44">
        <f>IF('2024年-挂账付款'!$AX35&gt;=SUM('2024年-挂账付款'!L35:$AH35),'2024年-挂账付款'!L35,IF('2024年-挂账付款'!$AX35-SUM('2024年-挂账付款'!M35:$AH35)&gt;0,'2024年-挂账付款'!$AX35-SUM('2024年-挂账付款'!M35:$AH35),0))</f>
        <v>0</v>
      </c>
      <c r="P35" s="44">
        <f>IF('2024年-挂账付款'!$AX35&gt;=SUM('2024年-挂账付款'!M35:$AH35),'2024年-挂账付款'!M35,IF('2024年-挂账付款'!$AX35-SUM('2024年-挂账付款'!N35:$AH35)&gt;0,'2024年-挂账付款'!$AX35-SUM('2024年-挂账付款'!N35:$AH35),0))</f>
        <v>0</v>
      </c>
      <c r="Q35" s="44">
        <f>IF('2024年-挂账付款'!$AX35&gt;=SUM('2024年-挂账付款'!N35:$AH35),'2024年-挂账付款'!N35,IF('2024年-挂账付款'!$AX35-SUM('2024年-挂账付款'!O35:$AH35)&gt;0,'2024年-挂账付款'!$AX35-SUM('2024年-挂账付款'!O35:$AH35),0))</f>
        <v>0</v>
      </c>
      <c r="R35" s="44">
        <f>IF('2024年-挂账付款'!$AX35&gt;=SUM('2024年-挂账付款'!O35:$AH35),'2024年-挂账付款'!O35,IF('2024年-挂账付款'!$AX35-SUM('2024年-挂账付款'!P35:$AH35)&gt;0,'2024年-挂账付款'!$AX35-SUM('2024年-挂账付款'!P35:$AH35),0))</f>
        <v>0</v>
      </c>
      <c r="S35" s="44">
        <f>IF('2024年-挂账付款'!$AX35&gt;=SUM('2024年-挂账付款'!P35:$AH35),'2024年-挂账付款'!P35,IF('2024年-挂账付款'!$AX35-SUM('2024年-挂账付款'!Q35:$AH35)&gt;0,'2024年-挂账付款'!$AX35-SUM('2024年-挂账付款'!Q35:$AH35),0))</f>
        <v>0</v>
      </c>
      <c r="T35" s="44">
        <f>IF('2024年-挂账付款'!$AX35&gt;=SUM('2024年-挂账付款'!Q35:$AH35),'2024年-挂账付款'!Q35,IF('2024年-挂账付款'!$AX35-SUM('2024年-挂账付款'!R35:$AH35)&gt;0,'2024年-挂账付款'!$AX35-SUM('2024年-挂账付款'!R35:$AH35),0))</f>
        <v>0</v>
      </c>
      <c r="U35" s="44">
        <f>IF('2024年-挂账付款'!$AX35&gt;=SUM('2024年-挂账付款'!R35:$AH35),'2024年-挂账付款'!R35,IF('2024年-挂账付款'!$AX35-SUM('2024年-挂账付款'!S35:$AH35)&gt;0,'2024年-挂账付款'!$AX35-SUM('2024年-挂账付款'!S35:$AH35),0))</f>
        <v>0</v>
      </c>
      <c r="V35" s="44">
        <f>IF('2024年-挂账付款'!$AX35&gt;=SUM('2024年-挂账付款'!S35:$AH35),'2024年-挂账付款'!S35,IF('2024年-挂账付款'!$AX35-SUM('2024年-挂账付款'!T35:$AH35)&gt;0,'2024年-挂账付款'!$AX35-SUM('2024年-挂账付款'!T35:$AH35),0))</f>
        <v>10174.03</v>
      </c>
      <c r="W35" s="44">
        <f>IF('2024年-挂账付款'!$AX35&gt;=SUM('2024年-挂账付款'!T35:$AH35),'2024年-挂账付款'!T35,IF('2024年-挂账付款'!$AX35-SUM('2024年-挂账付款'!U35:$AH35)&gt;0,'2024年-挂账付款'!$AX35-SUM('2024年-挂账付款'!U35:$AH35),0))</f>
        <v>0</v>
      </c>
      <c r="X35" s="44">
        <f>IF('2024年-挂账付款'!$AX35&gt;=SUM('2024年-挂账付款'!U35:$AH35),'2024年-挂账付款'!U35,IF('2024年-挂账付款'!$AX35-SUM('2024年-挂账付款'!V35:$AH35)&gt;0,'2024年-挂账付款'!$AX35-SUM('2024年-挂账付款'!V35:$AH35),0))</f>
        <v>72024.12</v>
      </c>
      <c r="Y35" s="44">
        <f>IF('2024年-挂账付款'!$AX35&gt;=SUM('2024年-挂账付款'!V35:$AH35),'2024年-挂账付款'!V35,IF('2024年-挂账付款'!$AX35-SUM('2024年-挂账付款'!W35:$AH35)&gt;0,'2024年-挂账付款'!$AX35-SUM('2024年-挂账付款'!W35:$AH35),0))</f>
        <v>136752.16</v>
      </c>
      <c r="Z35" s="44">
        <f>IF('2024年-挂账付款'!$AX35&gt;=SUM('2024年-挂账付款'!W35:$AH35),'2024年-挂账付款'!W35,IF('2024年-挂账付款'!$AX35-SUM('2024年-挂账付款'!X35:$AH35)&gt;0,'2024年-挂账付款'!$AX35-SUM('2024年-挂账付款'!X35:$AH35),0))</f>
        <v>217945.86</v>
      </c>
      <c r="AA35" s="44">
        <f>IF('2024年-挂账付款'!$AX35&gt;=SUM('2024年-挂账付款'!X35:$AH35),'2024年-挂账付款'!X35,IF('2024年-挂账付款'!$AX35-SUM('2024年-挂账付款'!Y35:$AH35)&gt;0,'2024年-挂账付款'!$AX35-SUM('2024年-挂账付款'!Y35:$AH35),0))</f>
        <v>111567.15</v>
      </c>
      <c r="AB35" s="44">
        <f>IF('2024年-挂账付款'!$AX35&gt;=SUM('2024年-挂账付款'!Y35:$AH35),'2024年-挂账付款'!Y35,IF('2024年-挂账付款'!$AX35-SUM('2024年-挂账付款'!Z35:$AH35)&gt;0,'2024年-挂账付款'!$AX35-SUM('2024年-挂账付款'!Z35:$AH35),0))</f>
        <v>4397.56</v>
      </c>
      <c r="AC35" s="44">
        <f>IF('2024年-挂账付款'!$AX35&gt;=SUM('2024年-挂账付款'!Z35:$AH35),'2024年-挂账付款'!Z35,IF('2024年-挂账付款'!$AX35-SUM('2024年-挂账付款'!AA35:$AH35)&gt;0,'2024年-挂账付款'!$AX35-SUM('2024年-挂账付款'!AA35:$AH35),0))</f>
        <v>0</v>
      </c>
      <c r="AD35" s="44">
        <f>IF('2024年-挂账付款'!$AX35&gt;=SUM('2024年-挂账付款'!AA35:$AH35),'2024年-挂账付款'!AA35,IF('2024年-挂账付款'!$AX35-SUM('2024年-挂账付款'!AB35:$AH35)&gt;0,'2024年-挂账付款'!$AX35-SUM('2024年-挂账付款'!AB35:$AH35),0))</f>
        <v>0</v>
      </c>
      <c r="AE35" s="44">
        <f>IF('2024年-挂账付款'!$AX35&gt;=SUM('2024年-挂账付款'!AB35:$AH35),'2024年-挂账付款'!AB35,IF('2024年-挂账付款'!$AX35-SUM('2024年-挂账付款'!AC35:$AH35)&gt;0,'2024年-挂账付款'!$AX35-SUM('2024年-挂账付款'!AC35:$AH35),0))</f>
        <v>0</v>
      </c>
      <c r="AF35" s="44">
        <f>IF('2024年-挂账付款'!$AX35&gt;=SUM('2024年-挂账付款'!AC35:$AH35),'2024年-挂账付款'!AC35,IF('2024年-挂账付款'!$AX35-SUM('2024年-挂账付款'!AD35:$AH35)&gt;0,'2024年-挂账付款'!$AX35-SUM('2024年-挂账付款'!AD35:$AH35),0))</f>
        <v>0</v>
      </c>
      <c r="AG35" s="44">
        <f>IF('2024年-挂账付款'!$AX35&gt;=SUM('2024年-挂账付款'!AD35:$AH35),'2024年-挂账付款'!AD35,IF('2024年-挂账付款'!$AX35-SUM('2024年-挂账付款'!AE35:$AH35)&gt;0,'2024年-挂账付款'!$AX35-SUM('2024年-挂账付款'!AE35:$AH35),0))</f>
        <v>0</v>
      </c>
      <c r="AH35" s="44">
        <f>IF('2024年-挂账付款'!$AX35&gt;=SUM('2024年-挂账付款'!AE35:$AH35),'2024年-挂账付款'!AE35,IF('2024年-挂账付款'!$AX35-SUM('2024年-挂账付款'!AF35:$AH35)&gt;0,'2024年-挂账付款'!$AX35-SUM('2024年-挂账付款'!AF35:$AH35),0))</f>
        <v>0</v>
      </c>
      <c r="AI35" s="44">
        <f>IF('2024年-挂账付款'!$AX35&gt;=SUM('2024年-挂账付款'!AF35:$AH35),'2024年-挂账付款'!AF35,IF('2024年-挂账付款'!$AX35-SUM('2024年-挂账付款'!AG35:$AH35)&gt;0,'2024年-挂账付款'!$AX35-SUM('2024年-挂账付款'!AG35:$AH35),0))</f>
        <v>0</v>
      </c>
      <c r="AJ35" s="44">
        <f>IF('2024年-挂账付款'!$AX35&gt;=SUM('2024年-挂账付款'!AG35:$AH35),'2024年-挂账付款'!AG35,IF('2024年-挂账付款'!$AX35-SUM('2024年-挂账付款'!AH35:$AH35)&gt;0,'2024年-挂账付款'!$AX35-SUM('2024年-挂账付款'!AH35:$AH35),0))</f>
        <v>0</v>
      </c>
      <c r="AK35" s="44">
        <f>IF('2024年-挂账付款'!$AX35&gt;=SUM('2024年-挂账付款'!AH35:$AH35),'2024年-挂账付款'!AH35,IF('2024年-挂账付款'!$AX35-SUM('2024年-挂账付款'!$AH35:AI35)&gt;0,'2024年-挂账付款'!$AX35-SUM('2024年-挂账付款'!$AH35:AI35),0))</f>
        <v>0</v>
      </c>
      <c r="AL35" s="88" t="s">
        <v>428</v>
      </c>
      <c r="AM35" s="90"/>
      <c r="AN35" s="86">
        <f t="shared" si="4"/>
        <v>29193.3746666667</v>
      </c>
      <c r="AO35" s="91"/>
      <c r="AP35" s="10">
        <f>'2024年-挂账付款'!AX35</f>
        <v>552860.88</v>
      </c>
      <c r="AQ35" s="101">
        <f t="shared" si="2"/>
        <v>-333910.57</v>
      </c>
    </row>
    <row r="36" s="10" customFormat="1" ht="24.05" customHeight="1" spans="2:43">
      <c r="B36" s="45" t="s">
        <v>81</v>
      </c>
      <c r="C36" s="46" t="s">
        <v>303</v>
      </c>
      <c r="D36" s="46" t="s">
        <v>304</v>
      </c>
      <c r="E36" s="41">
        <v>90</v>
      </c>
      <c r="F36" s="42">
        <f t="shared" si="5"/>
        <v>127990.48</v>
      </c>
      <c r="G36" s="43">
        <f t="shared" si="1"/>
        <v>127990.48</v>
      </c>
      <c r="H36" s="44">
        <f>IF('2024年-挂账付款'!$AX36&gt;=SUM('2024年-挂账付款'!E36:$AH36),'2024年-挂账付款'!E36,IF('2024年-挂账付款'!$AX36-SUM('2024年-挂账付款'!F36:$AH36)&gt;0,'2024年-挂账付款'!$AX36-SUM('2024年-挂账付款'!F36:$AH36),0))</f>
        <v>0</v>
      </c>
      <c r="I36" s="44">
        <f>IF('2024年-挂账付款'!$AX36&gt;=SUM('2024年-挂账付款'!F36:$AH36),'2024年-挂账付款'!F36,IF('2024年-挂账付款'!$AX36-SUM('2024年-挂账付款'!G36:$AH36)&gt;0,'2024年-挂账付款'!$AX36-SUM('2024年-挂账付款'!G36:$AH36),0))</f>
        <v>0</v>
      </c>
      <c r="J36" s="44">
        <f>IF('2024年-挂账付款'!$AX36&gt;=SUM('2024年-挂账付款'!G36:$AH36),'2024年-挂账付款'!G36,IF('2024年-挂账付款'!$AX36-SUM('2024年-挂账付款'!H36:$AH36)&gt;0,'2024年-挂账付款'!$AX36-SUM('2024年-挂账付款'!H36:$AH36),0))</f>
        <v>0</v>
      </c>
      <c r="K36" s="44">
        <f>IF('2024年-挂账付款'!$AX36&gt;=SUM('2024年-挂账付款'!H36:$AH36),'2024年-挂账付款'!H36,IF('2024年-挂账付款'!$AX36-SUM('2024年-挂账付款'!I36:$AH36)&gt;0,'2024年-挂账付款'!$AX36-SUM('2024年-挂账付款'!I36:$AH36),0))</f>
        <v>0</v>
      </c>
      <c r="L36" s="44">
        <f>IF('2024年-挂账付款'!$AX36&gt;=SUM('2024年-挂账付款'!I36:$AH36),'2024年-挂账付款'!I36,IF('2024年-挂账付款'!$AX36-SUM('2024年-挂账付款'!J36:$AH36)&gt;0,'2024年-挂账付款'!$AX36-SUM('2024年-挂账付款'!J36:$AH36),0))</f>
        <v>0</v>
      </c>
      <c r="M36" s="44">
        <f>IF('2024年-挂账付款'!$AX36&gt;=SUM('2024年-挂账付款'!J36:$AH36),'2024年-挂账付款'!J36,IF('2024年-挂账付款'!$AX36-SUM('2024年-挂账付款'!K36:$AH36)&gt;0,'2024年-挂账付款'!$AX36-SUM('2024年-挂账付款'!K36:$AH36),0))</f>
        <v>0</v>
      </c>
      <c r="N36" s="44">
        <f>IF('2024年-挂账付款'!$AX36&gt;=SUM('2024年-挂账付款'!K36:$AH36),'2024年-挂账付款'!K36,IF('2024年-挂账付款'!$AX36-SUM('2024年-挂账付款'!L36:$AH36)&gt;0,'2024年-挂账付款'!$AX36-SUM('2024年-挂账付款'!L36:$AH36),0))</f>
        <v>0</v>
      </c>
      <c r="O36" s="44">
        <f>IF('2024年-挂账付款'!$AX36&gt;=SUM('2024年-挂账付款'!L36:$AH36),'2024年-挂账付款'!L36,IF('2024年-挂账付款'!$AX36-SUM('2024年-挂账付款'!M36:$AH36)&gt;0,'2024年-挂账付款'!$AX36-SUM('2024年-挂账付款'!M36:$AH36),0))</f>
        <v>0</v>
      </c>
      <c r="P36" s="44">
        <f>IF('2024年-挂账付款'!$AX36&gt;=SUM('2024年-挂账付款'!M36:$AH36),'2024年-挂账付款'!M36,IF('2024年-挂账付款'!$AX36-SUM('2024年-挂账付款'!N36:$AH36)&gt;0,'2024年-挂账付款'!$AX36-SUM('2024年-挂账付款'!N36:$AH36),0))</f>
        <v>0</v>
      </c>
      <c r="Q36" s="44">
        <f>IF('2024年-挂账付款'!$AX36&gt;=SUM('2024年-挂账付款'!N36:$AH36),'2024年-挂账付款'!N36,IF('2024年-挂账付款'!$AX36-SUM('2024年-挂账付款'!O36:$AH36)&gt;0,'2024年-挂账付款'!$AX36-SUM('2024年-挂账付款'!O36:$AH36),0))</f>
        <v>0</v>
      </c>
      <c r="R36" s="44">
        <f>IF('2024年-挂账付款'!$AX36&gt;=SUM('2024年-挂账付款'!O36:$AH36),'2024年-挂账付款'!O36,IF('2024年-挂账付款'!$AX36-SUM('2024年-挂账付款'!P36:$AH36)&gt;0,'2024年-挂账付款'!$AX36-SUM('2024年-挂账付款'!P36:$AH36),0))</f>
        <v>82223.0800000001</v>
      </c>
      <c r="S36" s="44">
        <f>IF('2024年-挂账付款'!$AX36&gt;=SUM('2024年-挂账付款'!P36:$AH36),'2024年-挂账付款'!P36,IF('2024年-挂账付款'!$AX36-SUM('2024年-挂账付款'!Q36:$AH36)&gt;0,'2024年-挂账付款'!$AX36-SUM('2024年-挂账付款'!Q36:$AH36),0))</f>
        <v>0</v>
      </c>
      <c r="T36" s="44">
        <f>IF('2024年-挂账付款'!$AX36&gt;=SUM('2024年-挂账付款'!Q36:$AH36),'2024年-挂账付款'!Q36,IF('2024年-挂账付款'!$AX36-SUM('2024年-挂账付款'!R36:$AH36)&gt;0,'2024年-挂账付款'!$AX36-SUM('2024年-挂账付款'!R36:$AH36),0))</f>
        <v>0</v>
      </c>
      <c r="U36" s="44">
        <f>IF('2024年-挂账付款'!$AX36&gt;=SUM('2024年-挂账付款'!R36:$AH36),'2024年-挂账付款'!R36,IF('2024年-挂账付款'!$AX36-SUM('2024年-挂账付款'!S36:$AH36)&gt;0,'2024年-挂账付款'!$AX36-SUM('2024年-挂账付款'!S36:$AH36),0))</f>
        <v>0</v>
      </c>
      <c r="V36" s="44">
        <f>IF('2024年-挂账付款'!$AX36&gt;=SUM('2024年-挂账付款'!S36:$AH36),'2024年-挂账付款'!S36,IF('2024年-挂账付款'!$AX36-SUM('2024年-挂账付款'!T36:$AH36)&gt;0,'2024年-挂账付款'!$AX36-SUM('2024年-挂账付款'!T36:$AH36),0))</f>
        <v>45767.4</v>
      </c>
      <c r="W36" s="44">
        <f>IF('2024年-挂账付款'!$AX36&gt;=SUM('2024年-挂账付款'!T36:$AH36),'2024年-挂账付款'!T36,IF('2024年-挂账付款'!$AX36-SUM('2024年-挂账付款'!U36:$AH36)&gt;0,'2024年-挂账付款'!$AX36-SUM('2024年-挂账付款'!U36:$AH36),0))</f>
        <v>0</v>
      </c>
      <c r="X36" s="44">
        <f>IF('2024年-挂账付款'!$AX36&gt;=SUM('2024年-挂账付款'!U36:$AH36),'2024年-挂账付款'!U36,IF('2024年-挂账付款'!$AX36-SUM('2024年-挂账付款'!V36:$AH36)&gt;0,'2024年-挂账付款'!$AX36-SUM('2024年-挂账付款'!V36:$AH36),0))</f>
        <v>0</v>
      </c>
      <c r="Y36" s="44">
        <f>IF('2024年-挂账付款'!$AX36&gt;=SUM('2024年-挂账付款'!V36:$AH36),'2024年-挂账付款'!V36,IF('2024年-挂账付款'!$AX36-SUM('2024年-挂账付款'!W36:$AH36)&gt;0,'2024年-挂账付款'!$AX36-SUM('2024年-挂账付款'!W36:$AH36),0))</f>
        <v>0</v>
      </c>
      <c r="Z36" s="44">
        <f>IF('2024年-挂账付款'!$AX36&gt;=SUM('2024年-挂账付款'!W36:$AH36),'2024年-挂账付款'!W36,IF('2024年-挂账付款'!$AX36-SUM('2024年-挂账付款'!X36:$AH36)&gt;0,'2024年-挂账付款'!$AX36-SUM('2024年-挂账付款'!X36:$AH36),0))</f>
        <v>0</v>
      </c>
      <c r="AA36" s="44">
        <f>IF('2024年-挂账付款'!$AX36&gt;=SUM('2024年-挂账付款'!X36:$AH36),'2024年-挂账付款'!X36,IF('2024年-挂账付款'!$AX36-SUM('2024年-挂账付款'!Y36:$AH36)&gt;0,'2024年-挂账付款'!$AX36-SUM('2024年-挂账付款'!Y36:$AH36),0))</f>
        <v>142939.3</v>
      </c>
      <c r="AB36" s="44">
        <f>IF('2024年-挂账付款'!$AX36&gt;=SUM('2024年-挂账付款'!Y36:$AH36),'2024年-挂账付款'!Y36,IF('2024年-挂账付款'!$AX36-SUM('2024年-挂账付款'!Z36:$AH36)&gt;0,'2024年-挂账付款'!$AX36-SUM('2024年-挂账付款'!Z36:$AH36),0))</f>
        <v>16841.02</v>
      </c>
      <c r="AC36" s="44">
        <f>IF('2024年-挂账付款'!$AX36&gt;=SUM('2024年-挂账付款'!Z36:$AH36),'2024年-挂账付款'!Z36,IF('2024年-挂账付款'!$AX36-SUM('2024年-挂账付款'!AA36:$AH36)&gt;0,'2024年-挂账付款'!$AX36-SUM('2024年-挂账付款'!AA36:$AH36),0))</f>
        <v>0</v>
      </c>
      <c r="AD36" s="44">
        <f>IF('2024年-挂账付款'!$AX36&gt;=SUM('2024年-挂账付款'!AA36:$AH36),'2024年-挂账付款'!AA36,IF('2024年-挂账付款'!$AX36-SUM('2024年-挂账付款'!AB36:$AH36)&gt;0,'2024年-挂账付款'!$AX36-SUM('2024年-挂账付款'!AB36:$AH36),0))</f>
        <v>0</v>
      </c>
      <c r="AE36" s="44">
        <f>IF('2024年-挂账付款'!$AX36&gt;=SUM('2024年-挂账付款'!AB36:$AH36),'2024年-挂账付款'!AB36,IF('2024年-挂账付款'!$AX36-SUM('2024年-挂账付款'!AC36:$AH36)&gt;0,'2024年-挂账付款'!$AX36-SUM('2024年-挂账付款'!AC36:$AH36),0))</f>
        <v>0</v>
      </c>
      <c r="AF36" s="44">
        <f>IF('2024年-挂账付款'!$AX36&gt;=SUM('2024年-挂账付款'!AC36:$AH36),'2024年-挂账付款'!AC36,IF('2024年-挂账付款'!$AX36-SUM('2024年-挂账付款'!AD36:$AH36)&gt;0,'2024年-挂账付款'!$AX36-SUM('2024年-挂账付款'!AD36:$AH36),0))</f>
        <v>0</v>
      </c>
      <c r="AG36" s="44">
        <f>IF('2024年-挂账付款'!$AX36&gt;=SUM('2024年-挂账付款'!AD36:$AH36),'2024年-挂账付款'!AD36,IF('2024年-挂账付款'!$AX36-SUM('2024年-挂账付款'!AE36:$AH36)&gt;0,'2024年-挂账付款'!$AX36-SUM('2024年-挂账付款'!AE36:$AH36),0))</f>
        <v>0</v>
      </c>
      <c r="AH36" s="44">
        <f>IF('2024年-挂账付款'!$AX36&gt;=SUM('2024年-挂账付款'!AE36:$AH36),'2024年-挂账付款'!AE36,IF('2024年-挂账付款'!$AX36-SUM('2024年-挂账付款'!AF36:$AH36)&gt;0,'2024年-挂账付款'!$AX36-SUM('2024年-挂账付款'!AF36:$AH36),0))</f>
        <v>0</v>
      </c>
      <c r="AI36" s="44">
        <f>IF('2024年-挂账付款'!$AX36&gt;=SUM('2024年-挂账付款'!AF36:$AH36),'2024年-挂账付款'!AF36,IF('2024年-挂账付款'!$AX36-SUM('2024年-挂账付款'!AG36:$AH36)&gt;0,'2024年-挂账付款'!$AX36-SUM('2024年-挂账付款'!AG36:$AH36),0))</f>
        <v>0</v>
      </c>
      <c r="AJ36" s="44">
        <f>IF('2024年-挂账付款'!$AX36&gt;=SUM('2024年-挂账付款'!AG36:$AH36),'2024年-挂账付款'!AG36,IF('2024年-挂账付款'!$AX36-SUM('2024年-挂账付款'!AH36:$AH36)&gt;0,'2024年-挂账付款'!$AX36-SUM('2024年-挂账付款'!AH36:$AH36),0))</f>
        <v>0</v>
      </c>
      <c r="AK36" s="44">
        <f>IF('2024年-挂账付款'!$AX36&gt;=SUM('2024年-挂账付款'!AH36:$AH36),'2024年-挂账付款'!AH36,IF('2024年-挂账付款'!$AX36-SUM('2024年-挂账付款'!$AH36:AI36)&gt;0,'2024年-挂账付款'!$AX36-SUM('2024年-挂账付款'!$AH36:AI36),0))</f>
        <v>0</v>
      </c>
      <c r="AL36" s="88" t="s">
        <v>428</v>
      </c>
      <c r="AM36" s="89"/>
      <c r="AN36" s="86">
        <f t="shared" si="4"/>
        <v>6102.32</v>
      </c>
      <c r="AO36" s="91"/>
      <c r="AP36" s="10">
        <f>'2024年-挂账付款'!AX36</f>
        <v>287770.8</v>
      </c>
      <c r="AQ36" s="101">
        <f t="shared" si="2"/>
        <v>-159780.32</v>
      </c>
    </row>
    <row r="37" s="10" customFormat="1" ht="24.05" customHeight="1" spans="2:43">
      <c r="B37" s="45" t="s">
        <v>81</v>
      </c>
      <c r="C37" s="46" t="s">
        <v>306</v>
      </c>
      <c r="D37" s="46" t="s">
        <v>307</v>
      </c>
      <c r="E37" s="41">
        <v>90</v>
      </c>
      <c r="F37" s="42">
        <f t="shared" si="5"/>
        <v>7503.96</v>
      </c>
      <c r="G37" s="43">
        <f t="shared" si="1"/>
        <v>18728.25</v>
      </c>
      <c r="H37" s="44">
        <f>IF('2024年-挂账付款'!$AX37&gt;=SUM('2024年-挂账付款'!E37:$AH37),'2024年-挂账付款'!E37,IF('2024年-挂账付款'!$AX37-SUM('2024年-挂账付款'!F37:$AH37)&gt;0,'2024年-挂账付款'!$AX37-SUM('2024年-挂账付款'!F37:$AH37),0))</f>
        <v>0</v>
      </c>
      <c r="I37" s="44">
        <f>IF('2024年-挂账付款'!$AX37&gt;=SUM('2024年-挂账付款'!F37:$AH37),'2024年-挂账付款'!F37,IF('2024年-挂账付款'!$AX37-SUM('2024年-挂账付款'!G37:$AH37)&gt;0,'2024年-挂账付款'!$AX37-SUM('2024年-挂账付款'!G37:$AH37),0))</f>
        <v>0</v>
      </c>
      <c r="J37" s="44">
        <f>IF('2024年-挂账付款'!$AX37&gt;=SUM('2024年-挂账付款'!G37:$AH37),'2024年-挂账付款'!G37,IF('2024年-挂账付款'!$AX37-SUM('2024年-挂账付款'!H37:$AH37)&gt;0,'2024年-挂账付款'!$AX37-SUM('2024年-挂账付款'!H37:$AH37),0))</f>
        <v>0</v>
      </c>
      <c r="K37" s="44">
        <f>IF('2024年-挂账付款'!$AX37&gt;=SUM('2024年-挂账付款'!H37:$AH37),'2024年-挂账付款'!H37,IF('2024年-挂账付款'!$AX37-SUM('2024年-挂账付款'!I37:$AH37)&gt;0,'2024年-挂账付款'!$AX37-SUM('2024年-挂账付款'!I37:$AH37),0))</f>
        <v>0</v>
      </c>
      <c r="L37" s="44">
        <f>IF('2024年-挂账付款'!$AX37&gt;=SUM('2024年-挂账付款'!I37:$AH37),'2024年-挂账付款'!I37,IF('2024年-挂账付款'!$AX37-SUM('2024年-挂账付款'!J37:$AH37)&gt;0,'2024年-挂账付款'!$AX37-SUM('2024年-挂账付款'!J37:$AH37),0))</f>
        <v>0</v>
      </c>
      <c r="M37" s="44">
        <f>IF('2024年-挂账付款'!$AX37&gt;=SUM('2024年-挂账付款'!J37:$AH37),'2024年-挂账付款'!J37,IF('2024年-挂账付款'!$AX37-SUM('2024年-挂账付款'!K37:$AH37)&gt;0,'2024年-挂账付款'!$AX37-SUM('2024年-挂账付款'!K37:$AH37),0))</f>
        <v>0</v>
      </c>
      <c r="N37" s="44">
        <f>IF('2024年-挂账付款'!$AX37&gt;=SUM('2024年-挂账付款'!K37:$AH37),'2024年-挂账付款'!K37,IF('2024年-挂账付款'!$AX37-SUM('2024年-挂账付款'!L37:$AH37)&gt;0,'2024年-挂账付款'!$AX37-SUM('2024年-挂账付款'!L37:$AH37),0))</f>
        <v>0</v>
      </c>
      <c r="O37" s="44">
        <f>IF('2024年-挂账付款'!$AX37&gt;=SUM('2024年-挂账付款'!L37:$AH37),'2024年-挂账付款'!L37,IF('2024年-挂账付款'!$AX37-SUM('2024年-挂账付款'!M37:$AH37)&gt;0,'2024年-挂账付款'!$AX37-SUM('2024年-挂账付款'!M37:$AH37),0))</f>
        <v>0</v>
      </c>
      <c r="P37" s="44">
        <f>IF('2024年-挂账付款'!$AX37&gt;=SUM('2024年-挂账付款'!M37:$AH37),'2024年-挂账付款'!M37,IF('2024年-挂账付款'!$AX37-SUM('2024年-挂账付款'!N37:$AH37)&gt;0,'2024年-挂账付款'!$AX37-SUM('2024年-挂账付款'!N37:$AH37),0))</f>
        <v>0</v>
      </c>
      <c r="Q37" s="44">
        <f>IF('2024年-挂账付款'!$AX37&gt;=SUM('2024年-挂账付款'!N37:$AH37),'2024年-挂账付款'!N37,IF('2024年-挂账付款'!$AX37-SUM('2024年-挂账付款'!O37:$AH37)&gt;0,'2024年-挂账付款'!$AX37-SUM('2024年-挂账付款'!O37:$AH37),0))</f>
        <v>0</v>
      </c>
      <c r="R37" s="44">
        <f>IF('2024年-挂账付款'!$AX37&gt;=SUM('2024年-挂账付款'!O37:$AH37),'2024年-挂账付款'!O37,IF('2024年-挂账付款'!$AX37-SUM('2024年-挂账付款'!P37:$AH37)&gt;0,'2024年-挂账付款'!$AX37-SUM('2024年-挂账付款'!P37:$AH37),0))</f>
        <v>0</v>
      </c>
      <c r="S37" s="44">
        <f>IF('2024年-挂账付款'!$AX37&gt;=SUM('2024年-挂账付款'!P37:$AH37),'2024年-挂账付款'!P37,IF('2024年-挂账付款'!$AX37-SUM('2024年-挂账付款'!Q37:$AH37)&gt;0,'2024年-挂账付款'!$AX37-SUM('2024年-挂账付款'!Q37:$AH37),0))</f>
        <v>7503.96</v>
      </c>
      <c r="T37" s="44">
        <f>IF('2024年-挂账付款'!$AX37&gt;=SUM('2024年-挂账付款'!Q37:$AH37),'2024年-挂账付款'!Q37,IF('2024年-挂账付款'!$AX37-SUM('2024年-挂账付款'!R37:$AH37)&gt;0,'2024年-挂账付款'!$AX37-SUM('2024年-挂账付款'!R37:$AH37),0))</f>
        <v>0</v>
      </c>
      <c r="U37" s="44">
        <f>IF('2024年-挂账付款'!$AX37&gt;=SUM('2024年-挂账付款'!R37:$AH37),'2024年-挂账付款'!R37,IF('2024年-挂账付款'!$AX37-SUM('2024年-挂账付款'!S37:$AH37)&gt;0,'2024年-挂账付款'!$AX37-SUM('2024年-挂账付款'!S37:$AH37),0))</f>
        <v>0</v>
      </c>
      <c r="V37" s="44">
        <f>IF('2024年-挂账付款'!$AX37&gt;=SUM('2024年-挂账付款'!S37:$AH37),'2024年-挂账付款'!S37,IF('2024年-挂账付款'!$AX37-SUM('2024年-挂账付款'!T37:$AH37)&gt;0,'2024年-挂账付款'!$AX37-SUM('2024年-挂账付款'!T37:$AH37),0))</f>
        <v>0</v>
      </c>
      <c r="W37" s="44">
        <f>IF('2024年-挂账付款'!$AX37&gt;=SUM('2024年-挂账付款'!T37:$AH37),'2024年-挂账付款'!T37,IF('2024年-挂账付款'!$AX37-SUM('2024年-挂账付款'!U37:$AH37)&gt;0,'2024年-挂账付款'!$AX37-SUM('2024年-挂账付款'!U37:$AH37),0))</f>
        <v>11224.29</v>
      </c>
      <c r="X37" s="44">
        <f>IF('2024年-挂账付款'!$AX37&gt;=SUM('2024年-挂账付款'!U37:$AH37),'2024年-挂账付款'!U37,IF('2024年-挂账付款'!$AX37-SUM('2024年-挂账付款'!V37:$AH37)&gt;0,'2024年-挂账付款'!$AX37-SUM('2024年-挂账付款'!V37:$AH37),0))</f>
        <v>0</v>
      </c>
      <c r="Y37" s="44">
        <f>IF('2024年-挂账付款'!$AX37&gt;=SUM('2024年-挂账付款'!V37:$AH37),'2024年-挂账付款'!V37,IF('2024年-挂账付款'!$AX37-SUM('2024年-挂账付款'!W37:$AH37)&gt;0,'2024年-挂账付款'!$AX37-SUM('2024年-挂账付款'!W37:$AH37),0))</f>
        <v>0</v>
      </c>
      <c r="Z37" s="44">
        <f>IF('2024年-挂账付款'!$AX37&gt;=SUM('2024年-挂账付款'!W37:$AH37),'2024年-挂账付款'!W37,IF('2024年-挂账付款'!$AX37-SUM('2024年-挂账付款'!X37:$AH37)&gt;0,'2024年-挂账付款'!$AX37-SUM('2024年-挂账付款'!X37:$AH37),0))</f>
        <v>0</v>
      </c>
      <c r="AA37" s="44">
        <f>IF('2024年-挂账付款'!$AX37&gt;=SUM('2024年-挂账付款'!X37:$AH37),'2024年-挂账付款'!X37,IF('2024年-挂账付款'!$AX37-SUM('2024年-挂账付款'!Y37:$AH37)&gt;0,'2024年-挂账付款'!$AX37-SUM('2024年-挂账付款'!Y37:$AH37),0))</f>
        <v>4275.92</v>
      </c>
      <c r="AB37" s="44">
        <f>IF('2024年-挂账付款'!$AX37&gt;=SUM('2024年-挂账付款'!Y37:$AH37),'2024年-挂账付款'!Y37,IF('2024年-挂账付款'!$AX37-SUM('2024年-挂账付款'!Z37:$AH37)&gt;0,'2024年-挂账付款'!$AX37-SUM('2024年-挂账付款'!Z37:$AH37),0))</f>
        <v>0</v>
      </c>
      <c r="AC37" s="44">
        <f>IF('2024年-挂账付款'!$AX37&gt;=SUM('2024年-挂账付款'!Z37:$AH37),'2024年-挂账付款'!Z37,IF('2024年-挂账付款'!$AX37-SUM('2024年-挂账付款'!AA37:$AH37)&gt;0,'2024年-挂账付款'!$AX37-SUM('2024年-挂账付款'!AA37:$AH37),0))</f>
        <v>0</v>
      </c>
      <c r="AD37" s="44">
        <f>IF('2024年-挂账付款'!$AX37&gt;=SUM('2024年-挂账付款'!AA37:$AH37),'2024年-挂账付款'!AA37,IF('2024年-挂账付款'!$AX37-SUM('2024年-挂账付款'!AB37:$AH37)&gt;0,'2024年-挂账付款'!$AX37-SUM('2024年-挂账付款'!AB37:$AH37),0))</f>
        <v>0</v>
      </c>
      <c r="AE37" s="44">
        <f>IF('2024年-挂账付款'!$AX37&gt;=SUM('2024年-挂账付款'!AB37:$AH37),'2024年-挂账付款'!AB37,IF('2024年-挂账付款'!$AX37-SUM('2024年-挂账付款'!AC37:$AH37)&gt;0,'2024年-挂账付款'!$AX37-SUM('2024年-挂账付款'!AC37:$AH37),0))</f>
        <v>0</v>
      </c>
      <c r="AF37" s="44">
        <f>IF('2024年-挂账付款'!$AX37&gt;=SUM('2024年-挂账付款'!AC37:$AH37),'2024年-挂账付款'!AC37,IF('2024年-挂账付款'!$AX37-SUM('2024年-挂账付款'!AD37:$AH37)&gt;0,'2024年-挂账付款'!$AX37-SUM('2024年-挂账付款'!AD37:$AH37),0))</f>
        <v>0</v>
      </c>
      <c r="AG37" s="44">
        <f>IF('2024年-挂账付款'!$AX37&gt;=SUM('2024年-挂账付款'!AD37:$AH37),'2024年-挂账付款'!AD37,IF('2024年-挂账付款'!$AX37-SUM('2024年-挂账付款'!AE37:$AH37)&gt;0,'2024年-挂账付款'!$AX37-SUM('2024年-挂账付款'!AE37:$AH37),0))</f>
        <v>0</v>
      </c>
      <c r="AH37" s="44">
        <f>IF('2024年-挂账付款'!$AX37&gt;=SUM('2024年-挂账付款'!AE37:$AH37),'2024年-挂账付款'!AE37,IF('2024年-挂账付款'!$AX37-SUM('2024年-挂账付款'!AF37:$AH37)&gt;0,'2024年-挂账付款'!$AX37-SUM('2024年-挂账付款'!AF37:$AH37),0))</f>
        <v>0</v>
      </c>
      <c r="AI37" s="44">
        <f>IF('2024年-挂账付款'!$AX37&gt;=SUM('2024年-挂账付款'!AF37:$AH37),'2024年-挂账付款'!AF37,IF('2024年-挂账付款'!$AX37-SUM('2024年-挂账付款'!AG37:$AH37)&gt;0,'2024年-挂账付款'!$AX37-SUM('2024年-挂账付款'!AG37:$AH37),0))</f>
        <v>0</v>
      </c>
      <c r="AJ37" s="44">
        <f>IF('2024年-挂账付款'!$AX37&gt;=SUM('2024年-挂账付款'!AG37:$AH37),'2024年-挂账付款'!AG37,IF('2024年-挂账付款'!$AX37-SUM('2024年-挂账付款'!AH37:$AH37)&gt;0,'2024年-挂账付款'!$AX37-SUM('2024年-挂账付款'!AH37:$AH37),0))</f>
        <v>0</v>
      </c>
      <c r="AK37" s="44">
        <f>IF('2024年-挂账付款'!$AX37&gt;=SUM('2024年-挂账付款'!AH37:$AH37),'2024年-挂账付款'!AH37,IF('2024年-挂账付款'!$AX37-SUM('2024年-挂账付款'!$AH37:AI37)&gt;0,'2024年-挂账付款'!$AX37-SUM('2024年-挂账付款'!$AH37:AI37),0))</f>
        <v>0</v>
      </c>
      <c r="AL37" s="88" t="s">
        <v>428</v>
      </c>
      <c r="AM37" s="89"/>
      <c r="AN37" s="86">
        <f t="shared" si="4"/>
        <v>1496.572</v>
      </c>
      <c r="AO37" s="91"/>
      <c r="AP37" s="10">
        <f>'2024年-挂账付款'!AX37</f>
        <v>23004.17</v>
      </c>
      <c r="AQ37" s="101">
        <f t="shared" si="2"/>
        <v>-4275.92</v>
      </c>
    </row>
    <row r="38" s="10" customFormat="1" ht="24.05" customHeight="1" spans="2:43">
      <c r="B38" s="45" t="s">
        <v>81</v>
      </c>
      <c r="C38" s="46" t="s">
        <v>308</v>
      </c>
      <c r="D38" s="46" t="s">
        <v>309</v>
      </c>
      <c r="E38" s="41">
        <v>90</v>
      </c>
      <c r="F38" s="42">
        <f t="shared" si="5"/>
        <v>1865</v>
      </c>
      <c r="G38" s="43">
        <f t="shared" ref="G38:G60" si="6">IF(SUM(H38:Y38)&gt;0,SUM(H38:Y38),"0")</f>
        <v>1865</v>
      </c>
      <c r="H38" s="44">
        <f>IF('2024年-挂账付款'!$AX38&gt;=SUM('2024年-挂账付款'!E38:$AH38),'2024年-挂账付款'!E38,IF('2024年-挂账付款'!$AX38-SUM('2024年-挂账付款'!F38:$AH38)&gt;0,'2024年-挂账付款'!$AX38-SUM('2024年-挂账付款'!F38:$AH38),0))</f>
        <v>0</v>
      </c>
      <c r="I38" s="44">
        <f>IF('2024年-挂账付款'!$AX38&gt;=SUM('2024年-挂账付款'!F38:$AH38),'2024年-挂账付款'!F38,IF('2024年-挂账付款'!$AX38-SUM('2024年-挂账付款'!G38:$AH38)&gt;0,'2024年-挂账付款'!$AX38-SUM('2024年-挂账付款'!G38:$AH38),0))</f>
        <v>0</v>
      </c>
      <c r="J38" s="44">
        <f>IF('2024年-挂账付款'!$AX38&gt;=SUM('2024年-挂账付款'!G38:$AH38),'2024年-挂账付款'!G38,IF('2024年-挂账付款'!$AX38-SUM('2024年-挂账付款'!H38:$AH38)&gt;0,'2024年-挂账付款'!$AX38-SUM('2024年-挂账付款'!H38:$AH38),0))</f>
        <v>0</v>
      </c>
      <c r="K38" s="44">
        <f>IF('2024年-挂账付款'!$AX38&gt;=SUM('2024年-挂账付款'!H38:$AH38),'2024年-挂账付款'!H38,IF('2024年-挂账付款'!$AX38-SUM('2024年-挂账付款'!I38:$AH38)&gt;0,'2024年-挂账付款'!$AX38-SUM('2024年-挂账付款'!I38:$AH38),0))</f>
        <v>0</v>
      </c>
      <c r="L38" s="44">
        <f>IF('2024年-挂账付款'!$AX38&gt;=SUM('2024年-挂账付款'!I38:$AH38),'2024年-挂账付款'!I38,IF('2024年-挂账付款'!$AX38-SUM('2024年-挂账付款'!J38:$AH38)&gt;0,'2024年-挂账付款'!$AX38-SUM('2024年-挂账付款'!J38:$AH38),0))</f>
        <v>0</v>
      </c>
      <c r="M38" s="44">
        <f>IF('2024年-挂账付款'!$AX38&gt;=SUM('2024年-挂账付款'!J38:$AH38),'2024年-挂账付款'!J38,IF('2024年-挂账付款'!$AX38-SUM('2024年-挂账付款'!K38:$AH38)&gt;0,'2024年-挂账付款'!$AX38-SUM('2024年-挂账付款'!K38:$AH38),0))</f>
        <v>0</v>
      </c>
      <c r="N38" s="44">
        <f>IF('2024年-挂账付款'!$AX38&gt;=SUM('2024年-挂账付款'!K38:$AH38),'2024年-挂账付款'!K38,IF('2024年-挂账付款'!$AX38-SUM('2024年-挂账付款'!L38:$AH38)&gt;0,'2024年-挂账付款'!$AX38-SUM('2024年-挂账付款'!L38:$AH38),0))</f>
        <v>0</v>
      </c>
      <c r="O38" s="44">
        <f>IF('2024年-挂账付款'!$AX38&gt;=SUM('2024年-挂账付款'!L38:$AH38),'2024年-挂账付款'!L38,IF('2024年-挂账付款'!$AX38-SUM('2024年-挂账付款'!M38:$AH38)&gt;0,'2024年-挂账付款'!$AX38-SUM('2024年-挂账付款'!M38:$AH38),0))</f>
        <v>0</v>
      </c>
      <c r="P38" s="44">
        <f>IF('2024年-挂账付款'!$AX38&gt;=SUM('2024年-挂账付款'!M38:$AH38),'2024年-挂账付款'!M38,IF('2024年-挂账付款'!$AX38-SUM('2024年-挂账付款'!N38:$AH38)&gt;0,'2024年-挂账付款'!$AX38-SUM('2024年-挂账付款'!N38:$AH38),0))</f>
        <v>0</v>
      </c>
      <c r="Q38" s="44">
        <f>IF('2024年-挂账付款'!$AX38&gt;=SUM('2024年-挂账付款'!N38:$AH38),'2024年-挂账付款'!N38,IF('2024年-挂账付款'!$AX38-SUM('2024年-挂账付款'!O38:$AH38)&gt;0,'2024年-挂账付款'!$AX38-SUM('2024年-挂账付款'!O38:$AH38),0))</f>
        <v>0</v>
      </c>
      <c r="R38" s="44">
        <f>IF('2024年-挂账付款'!$AX38&gt;=SUM('2024年-挂账付款'!O38:$AH38),'2024年-挂账付款'!O38,IF('2024年-挂账付款'!$AX38-SUM('2024年-挂账付款'!P38:$AH38)&gt;0,'2024年-挂账付款'!$AX38-SUM('2024年-挂账付款'!P38:$AH38),0))</f>
        <v>0</v>
      </c>
      <c r="S38" s="44">
        <f>IF('2024年-挂账付款'!$AX38&gt;=SUM('2024年-挂账付款'!P38:$AH38),'2024年-挂账付款'!P38,IF('2024年-挂账付款'!$AX38-SUM('2024年-挂账付款'!Q38:$AH38)&gt;0,'2024年-挂账付款'!$AX38-SUM('2024年-挂账付款'!Q38:$AH38),0))</f>
        <v>1865</v>
      </c>
      <c r="T38" s="44">
        <f>IF('2024年-挂账付款'!$AX38&gt;=SUM('2024年-挂账付款'!Q38:$AH38),'2024年-挂账付款'!Q38,IF('2024年-挂账付款'!$AX38-SUM('2024年-挂账付款'!R38:$AH38)&gt;0,'2024年-挂账付款'!$AX38-SUM('2024年-挂账付款'!R38:$AH38),0))</f>
        <v>0</v>
      </c>
      <c r="U38" s="44">
        <f>IF('2024年-挂账付款'!$AX38&gt;=SUM('2024年-挂账付款'!R38:$AH38),'2024年-挂账付款'!R38,IF('2024年-挂账付款'!$AX38-SUM('2024年-挂账付款'!S38:$AH38)&gt;0,'2024年-挂账付款'!$AX38-SUM('2024年-挂账付款'!S38:$AH38),0))</f>
        <v>0</v>
      </c>
      <c r="V38" s="44">
        <f>IF('2024年-挂账付款'!$AX38&gt;=SUM('2024年-挂账付款'!S38:$AH38),'2024年-挂账付款'!S38,IF('2024年-挂账付款'!$AX38-SUM('2024年-挂账付款'!T38:$AH38)&gt;0,'2024年-挂账付款'!$AX38-SUM('2024年-挂账付款'!T38:$AH38),0))</f>
        <v>0</v>
      </c>
      <c r="W38" s="44">
        <f>IF('2024年-挂账付款'!$AX38&gt;=SUM('2024年-挂账付款'!T38:$AH38),'2024年-挂账付款'!T38,IF('2024年-挂账付款'!$AX38-SUM('2024年-挂账付款'!U38:$AH38)&gt;0,'2024年-挂账付款'!$AX38-SUM('2024年-挂账付款'!U38:$AH38),0))</f>
        <v>0</v>
      </c>
      <c r="X38" s="44">
        <f>IF('2024年-挂账付款'!$AX38&gt;=SUM('2024年-挂账付款'!U38:$AH38),'2024年-挂账付款'!U38,IF('2024年-挂账付款'!$AX38-SUM('2024年-挂账付款'!V38:$AH38)&gt;0,'2024年-挂账付款'!$AX38-SUM('2024年-挂账付款'!V38:$AH38),0))</f>
        <v>0</v>
      </c>
      <c r="Y38" s="44">
        <f>IF('2024年-挂账付款'!$AX38&gt;=SUM('2024年-挂账付款'!V38:$AH38),'2024年-挂账付款'!V38,IF('2024年-挂账付款'!$AX38-SUM('2024年-挂账付款'!W38:$AH38)&gt;0,'2024年-挂账付款'!$AX38-SUM('2024年-挂账付款'!W38:$AH38),0))</f>
        <v>0</v>
      </c>
      <c r="Z38" s="44">
        <f>IF('2024年-挂账付款'!$AX38&gt;=SUM('2024年-挂账付款'!W38:$AH38),'2024年-挂账付款'!W38,IF('2024年-挂账付款'!$AX38-SUM('2024年-挂账付款'!X38:$AH38)&gt;0,'2024年-挂账付款'!$AX38-SUM('2024年-挂账付款'!X38:$AH38),0))</f>
        <v>16618.91</v>
      </c>
      <c r="AA38" s="44">
        <f>IF('2024年-挂账付款'!$AX38&gt;=SUM('2024年-挂账付款'!X38:$AH38),'2024年-挂账付款'!X38,IF('2024年-挂账付款'!$AX38-SUM('2024年-挂账付款'!Y38:$AH38)&gt;0,'2024年-挂账付款'!$AX38-SUM('2024年-挂账付款'!Y38:$AH38),0))</f>
        <v>0</v>
      </c>
      <c r="AB38" s="44">
        <f>IF('2024年-挂账付款'!$AX38&gt;=SUM('2024年-挂账付款'!Y38:$AH38),'2024年-挂账付款'!Y38,IF('2024年-挂账付款'!$AX38-SUM('2024年-挂账付款'!Z38:$AH38)&gt;0,'2024年-挂账付款'!$AX38-SUM('2024年-挂账付款'!Z38:$AH38),0))</f>
        <v>1271.25</v>
      </c>
      <c r="AC38" s="44">
        <f>IF('2024年-挂账付款'!$AX38&gt;=SUM('2024年-挂账付款'!Z38:$AH38),'2024年-挂账付款'!Z38,IF('2024年-挂账付款'!$AX38-SUM('2024年-挂账付款'!AA38:$AH38)&gt;0,'2024年-挂账付款'!$AX38-SUM('2024年-挂账付款'!AA38:$AH38),0))</f>
        <v>0</v>
      </c>
      <c r="AD38" s="44">
        <f>IF('2024年-挂账付款'!$AX38&gt;=SUM('2024年-挂账付款'!AA38:$AH38),'2024年-挂账付款'!AA38,IF('2024年-挂账付款'!$AX38-SUM('2024年-挂账付款'!AB38:$AH38)&gt;0,'2024年-挂账付款'!$AX38-SUM('2024年-挂账付款'!AB38:$AH38),0))</f>
        <v>0</v>
      </c>
      <c r="AE38" s="44">
        <f>IF('2024年-挂账付款'!$AX38&gt;=SUM('2024年-挂账付款'!AB38:$AH38),'2024年-挂账付款'!AB38,IF('2024年-挂账付款'!$AX38-SUM('2024年-挂账付款'!AC38:$AH38)&gt;0,'2024年-挂账付款'!$AX38-SUM('2024年-挂账付款'!AC38:$AH38),0))</f>
        <v>0</v>
      </c>
      <c r="AF38" s="44">
        <f>IF('2024年-挂账付款'!$AX38&gt;=SUM('2024年-挂账付款'!AC38:$AH38),'2024年-挂账付款'!AC38,IF('2024年-挂账付款'!$AX38-SUM('2024年-挂账付款'!AD38:$AH38)&gt;0,'2024年-挂账付款'!$AX38-SUM('2024年-挂账付款'!AD38:$AH38),0))</f>
        <v>0</v>
      </c>
      <c r="AG38" s="44">
        <f>IF('2024年-挂账付款'!$AX38&gt;=SUM('2024年-挂账付款'!AD38:$AH38),'2024年-挂账付款'!AD38,IF('2024年-挂账付款'!$AX38-SUM('2024年-挂账付款'!AE38:$AH38)&gt;0,'2024年-挂账付款'!$AX38-SUM('2024年-挂账付款'!AE38:$AH38),0))</f>
        <v>0</v>
      </c>
      <c r="AH38" s="44">
        <f>IF('2024年-挂账付款'!$AX38&gt;=SUM('2024年-挂账付款'!AE38:$AH38),'2024年-挂账付款'!AE38,IF('2024年-挂账付款'!$AX38-SUM('2024年-挂账付款'!AF38:$AH38)&gt;0,'2024年-挂账付款'!$AX38-SUM('2024年-挂账付款'!AF38:$AH38),0))</f>
        <v>0</v>
      </c>
      <c r="AI38" s="44">
        <f>IF('2024年-挂账付款'!$AX38&gt;=SUM('2024年-挂账付款'!AF38:$AH38),'2024年-挂账付款'!AF38,IF('2024年-挂账付款'!$AX38-SUM('2024年-挂账付款'!AG38:$AH38)&gt;0,'2024年-挂账付款'!$AX38-SUM('2024年-挂账付款'!AG38:$AH38),0))</f>
        <v>0</v>
      </c>
      <c r="AJ38" s="44">
        <f>IF('2024年-挂账付款'!$AX38&gt;=SUM('2024年-挂账付款'!AG38:$AH38),'2024年-挂账付款'!AG38,IF('2024年-挂账付款'!$AX38-SUM('2024年-挂账付款'!AH38:$AH38)&gt;0,'2024年-挂账付款'!$AX38-SUM('2024年-挂账付款'!AH38:$AH38),0))</f>
        <v>0</v>
      </c>
      <c r="AK38" s="44">
        <f>IF('2024年-挂账付款'!$AX38&gt;=SUM('2024年-挂账付款'!AH38:$AH38),'2024年-挂账付款'!AH38,IF('2024年-挂账付款'!$AX38-SUM('2024年-挂账付款'!$AH38:AI38)&gt;0,'2024年-挂账付款'!$AX38-SUM('2024年-挂账付款'!$AH38:AI38),0))</f>
        <v>0</v>
      </c>
      <c r="AL38" s="88" t="s">
        <v>428</v>
      </c>
      <c r="AM38" s="90"/>
      <c r="AN38" s="86">
        <f t="shared" si="4"/>
        <v>0</v>
      </c>
      <c r="AO38" s="91"/>
      <c r="AP38" s="10">
        <f>'2024年-挂账付款'!AX38</f>
        <v>19755.16</v>
      </c>
      <c r="AQ38" s="101">
        <f t="shared" ref="AQ38:AQ61" si="7">G38-AP38</f>
        <v>-17890.16</v>
      </c>
    </row>
    <row r="39" s="10" customFormat="1" ht="24.05" customHeight="1" spans="2:43">
      <c r="B39" s="45" t="s">
        <v>81</v>
      </c>
      <c r="C39" s="46" t="s">
        <v>314</v>
      </c>
      <c r="D39" s="46" t="s">
        <v>315</v>
      </c>
      <c r="E39" s="41">
        <v>90</v>
      </c>
      <c r="F39" s="42">
        <f t="shared" si="5"/>
        <v>130843.68</v>
      </c>
      <c r="G39" s="43">
        <f t="shared" si="6"/>
        <v>233529.04</v>
      </c>
      <c r="H39" s="44">
        <f>IF('2024年-挂账付款'!$AX39&gt;=SUM('2024年-挂账付款'!E39:$AH39),'2024年-挂账付款'!E39,IF('2024年-挂账付款'!$AX39-SUM('2024年-挂账付款'!F39:$AH39)&gt;0,'2024年-挂账付款'!$AX39-SUM('2024年-挂账付款'!F39:$AH39),0))</f>
        <v>0</v>
      </c>
      <c r="I39" s="44">
        <f>IF('2024年-挂账付款'!$AX39&gt;=SUM('2024年-挂账付款'!F39:$AH39),'2024年-挂账付款'!F39,IF('2024年-挂账付款'!$AX39-SUM('2024年-挂账付款'!G39:$AH39)&gt;0,'2024年-挂账付款'!$AX39-SUM('2024年-挂账付款'!G39:$AH39),0))</f>
        <v>0</v>
      </c>
      <c r="J39" s="44" t="str">
        <f>IF('2024年-挂账付款'!$AX39&gt;=SUM('2024年-挂账付款'!G39:$AH39),'2024年-挂账付款'!G39,IF('2024年-挂账付款'!$AX39-SUM('2024年-挂账付款'!H39:$AH39)&gt;0,'2024年-挂账付款'!$AX39-SUM('2024年-挂账付款'!H39:$AH39),0))</f>
        <v/>
      </c>
      <c r="K39" s="44">
        <f>IF('2024年-挂账付款'!$AX39&gt;=SUM('2024年-挂账付款'!H39:$AH39),'2024年-挂账付款'!H39,IF('2024年-挂账付款'!$AX39-SUM('2024年-挂账付款'!I39:$AH39)&gt;0,'2024年-挂账付款'!$AX39-SUM('2024年-挂账付款'!I39:$AH39),0))</f>
        <v>0</v>
      </c>
      <c r="L39" s="44">
        <f>IF('2024年-挂账付款'!$AX39&gt;=SUM('2024年-挂账付款'!I39:$AH39),'2024年-挂账付款'!I39,IF('2024年-挂账付款'!$AX39-SUM('2024年-挂账付款'!J39:$AH39)&gt;0,'2024年-挂账付款'!$AX39-SUM('2024年-挂账付款'!J39:$AH39),0))</f>
        <v>0</v>
      </c>
      <c r="M39" s="44" t="str">
        <f>IF('2024年-挂账付款'!$AX39&gt;=SUM('2024年-挂账付款'!J39:$AH39),'2024年-挂账付款'!J39,IF('2024年-挂账付款'!$AX39-SUM('2024年-挂账付款'!K39:$AH39)&gt;0,'2024年-挂账付款'!$AX39-SUM('2024年-挂账付款'!K39:$AH39),0))</f>
        <v/>
      </c>
      <c r="N39" s="44">
        <f>IF('2024年-挂账付款'!$AX39&gt;=SUM('2024年-挂账付款'!K39:$AH39),'2024年-挂账付款'!K39,IF('2024年-挂账付款'!$AX39-SUM('2024年-挂账付款'!L39:$AH39)&gt;0,'2024年-挂账付款'!$AX39-SUM('2024年-挂账付款'!L39:$AH39),0))</f>
        <v>0</v>
      </c>
      <c r="O39" s="44">
        <f>IF('2024年-挂账付款'!$AX39&gt;=SUM('2024年-挂账付款'!L39:$AH39),'2024年-挂账付款'!L39,IF('2024年-挂账付款'!$AX39-SUM('2024年-挂账付款'!M39:$AH39)&gt;0,'2024年-挂账付款'!$AX39-SUM('2024年-挂账付款'!M39:$AH39),0))</f>
        <v>0</v>
      </c>
      <c r="P39" s="44">
        <f>IF('2024年-挂账付款'!$AX39&gt;=SUM('2024年-挂账付款'!M39:$AH39),'2024年-挂账付款'!M39,IF('2024年-挂账付款'!$AX39-SUM('2024年-挂账付款'!N39:$AH39)&gt;0,'2024年-挂账付款'!$AX39-SUM('2024年-挂账付款'!N39:$AH39),0))</f>
        <v>0</v>
      </c>
      <c r="Q39" s="44">
        <f>IF('2024年-挂账付款'!$AX39&gt;=SUM('2024年-挂账付款'!N39:$AH39),'2024年-挂账付款'!N39,IF('2024年-挂账付款'!$AX39-SUM('2024年-挂账付款'!O39:$AH39)&gt;0,'2024年-挂账付款'!$AX39-SUM('2024年-挂账付款'!O39:$AH39),0))</f>
        <v>0</v>
      </c>
      <c r="R39" s="44">
        <f>IF('2024年-挂账付款'!$AX39&gt;=SUM('2024年-挂账付款'!O39:$AH39),'2024年-挂账付款'!O39,IF('2024年-挂账付款'!$AX39-SUM('2024年-挂账付款'!P39:$AH39)&gt;0,'2024年-挂账付款'!$AX39-SUM('2024年-挂账付款'!P39:$AH39),0))</f>
        <v>65285.6</v>
      </c>
      <c r="S39" s="44">
        <f>IF('2024年-挂账付款'!$AX39&gt;=SUM('2024年-挂账付款'!P39:$AH39),'2024年-挂账付款'!P39,IF('2024年-挂账付款'!$AX39-SUM('2024年-挂账付款'!Q39:$AH39)&gt;0,'2024年-挂账付款'!$AX39-SUM('2024年-挂账付款'!Q39:$AH39),0))</f>
        <v>65558.08</v>
      </c>
      <c r="T39" s="44">
        <f>IF('2024年-挂账付款'!$AX39&gt;=SUM('2024年-挂账付款'!Q39:$AH39),'2024年-挂账付款'!Q39,IF('2024年-挂账付款'!$AX39-SUM('2024年-挂账付款'!R39:$AH39)&gt;0,'2024年-挂账付款'!$AX39-SUM('2024年-挂账付款'!R39:$AH39),0))</f>
        <v>0</v>
      </c>
      <c r="U39" s="44">
        <f>IF('2024年-挂账付款'!$AX39&gt;=SUM('2024年-挂账付款'!R39:$AH39),'2024年-挂账付款'!R39,IF('2024年-挂账付款'!$AX39-SUM('2024年-挂账付款'!S39:$AH39)&gt;0,'2024年-挂账付款'!$AX39-SUM('2024年-挂账付款'!S39:$AH39),0))</f>
        <v>0</v>
      </c>
      <c r="V39" s="44">
        <f>IF('2024年-挂账付款'!$AX39&gt;=SUM('2024年-挂账付款'!S39:$AH39),'2024年-挂账付款'!S39,IF('2024年-挂账付款'!$AX39-SUM('2024年-挂账付款'!T39:$AH39)&gt;0,'2024年-挂账付款'!$AX39-SUM('2024年-挂账付款'!T39:$AH39),0))</f>
        <v>0</v>
      </c>
      <c r="W39" s="44">
        <f>IF('2024年-挂账付款'!$AX39&gt;=SUM('2024年-挂账付款'!T39:$AH39),'2024年-挂账付款'!T39,IF('2024年-挂账付款'!$AX39-SUM('2024年-挂账付款'!U39:$AH39)&gt;0,'2024年-挂账付款'!$AX39-SUM('2024年-挂账付款'!U39:$AH39),0))</f>
        <v>15905.88</v>
      </c>
      <c r="X39" s="44">
        <f>IF('2024年-挂账付款'!$AX39&gt;=SUM('2024年-挂账付款'!U39:$AH39),'2024年-挂账付款'!U39,IF('2024年-挂账付款'!$AX39-SUM('2024年-挂账付款'!V39:$AH39)&gt;0,'2024年-挂账付款'!$AX39-SUM('2024年-挂账付款'!V39:$AH39),0))</f>
        <v>0</v>
      </c>
      <c r="Y39" s="44">
        <f>IF('2024年-挂账付款'!$AX39&gt;=SUM('2024年-挂账付款'!V39:$AH39),'2024年-挂账付款'!V39,IF('2024年-挂账付款'!$AX39-SUM('2024年-挂账付款'!W39:$AH39)&gt;0,'2024年-挂账付款'!$AX39-SUM('2024年-挂账付款'!W39:$AH39),0))</f>
        <v>86779.48</v>
      </c>
      <c r="Z39" s="44">
        <f>IF('2024年-挂账付款'!$AX39&gt;=SUM('2024年-挂账付款'!W39:$AH39),'2024年-挂账付款'!W39,IF('2024年-挂账付款'!$AX39-SUM('2024年-挂账付款'!X39:$AH39)&gt;0,'2024年-挂账付款'!$AX39-SUM('2024年-挂账付款'!X39:$AH39),0))</f>
        <v>53155.2</v>
      </c>
      <c r="AA39" s="44">
        <f>IF('2024年-挂账付款'!$AX39&gt;=SUM('2024年-挂账付款'!X39:$AH39),'2024年-挂账付款'!X39,IF('2024年-挂账付款'!$AX39-SUM('2024年-挂账付款'!Y39:$AH39)&gt;0,'2024年-挂账付款'!$AX39-SUM('2024年-挂账付款'!Y39:$AH39),0))</f>
        <v>0</v>
      </c>
      <c r="AB39" s="44">
        <f>IF('2024年-挂账付款'!$AX39&gt;=SUM('2024年-挂账付款'!Y39:$AH39),'2024年-挂账付款'!Y39,IF('2024年-挂账付款'!$AX39-SUM('2024年-挂账付款'!Z39:$AH39)&gt;0,'2024年-挂账付款'!$AX39-SUM('2024年-挂账付款'!Z39:$AH39),0))</f>
        <v>0</v>
      </c>
      <c r="AC39" s="44">
        <f>IF('2024年-挂账付款'!$AX39&gt;=SUM('2024年-挂账付款'!Z39:$AH39),'2024年-挂账付款'!Z39,IF('2024年-挂账付款'!$AX39-SUM('2024年-挂账付款'!AA39:$AH39)&gt;0,'2024年-挂账付款'!$AX39-SUM('2024年-挂账付款'!AA39:$AH39),0))</f>
        <v>0</v>
      </c>
      <c r="AD39" s="44">
        <f>IF('2024年-挂账付款'!$AX39&gt;=SUM('2024年-挂账付款'!AA39:$AH39),'2024年-挂账付款'!AA39,IF('2024年-挂账付款'!$AX39-SUM('2024年-挂账付款'!AB39:$AH39)&gt;0,'2024年-挂账付款'!$AX39-SUM('2024年-挂账付款'!AB39:$AH39),0))</f>
        <v>0</v>
      </c>
      <c r="AE39" s="44">
        <f>IF('2024年-挂账付款'!$AX39&gt;=SUM('2024年-挂账付款'!AB39:$AH39),'2024年-挂账付款'!AB39,IF('2024年-挂账付款'!$AX39-SUM('2024年-挂账付款'!AC39:$AH39)&gt;0,'2024年-挂账付款'!$AX39-SUM('2024年-挂账付款'!AC39:$AH39),0))</f>
        <v>0</v>
      </c>
      <c r="AF39" s="44">
        <f>IF('2024年-挂账付款'!$AX39&gt;=SUM('2024年-挂账付款'!AC39:$AH39),'2024年-挂账付款'!AC39,IF('2024年-挂账付款'!$AX39-SUM('2024年-挂账付款'!AD39:$AH39)&gt;0,'2024年-挂账付款'!$AX39-SUM('2024年-挂账付款'!AD39:$AH39),0))</f>
        <v>0</v>
      </c>
      <c r="AG39" s="44">
        <f>IF('2024年-挂账付款'!$AX39&gt;=SUM('2024年-挂账付款'!AD39:$AH39),'2024年-挂账付款'!AD39,IF('2024年-挂账付款'!$AX39-SUM('2024年-挂账付款'!AE39:$AH39)&gt;0,'2024年-挂账付款'!$AX39-SUM('2024年-挂账付款'!AE39:$AH39),0))</f>
        <v>0</v>
      </c>
      <c r="AH39" s="44">
        <f>IF('2024年-挂账付款'!$AX39&gt;=SUM('2024年-挂账付款'!AE39:$AH39),'2024年-挂账付款'!AE39,IF('2024年-挂账付款'!$AX39-SUM('2024年-挂账付款'!AF39:$AH39)&gt;0,'2024年-挂账付款'!$AX39-SUM('2024年-挂账付款'!AF39:$AH39),0))</f>
        <v>0</v>
      </c>
      <c r="AI39" s="44">
        <f>IF('2024年-挂账付款'!$AX39&gt;=SUM('2024年-挂账付款'!AF39:$AH39),'2024年-挂账付款'!AF39,IF('2024年-挂账付款'!$AX39-SUM('2024年-挂账付款'!AG39:$AH39)&gt;0,'2024年-挂账付款'!$AX39-SUM('2024年-挂账付款'!AG39:$AH39),0))</f>
        <v>0</v>
      </c>
      <c r="AJ39" s="44">
        <f>IF('2024年-挂账付款'!$AX39&gt;=SUM('2024年-挂账付款'!AG39:$AH39),'2024年-挂账付款'!AG39,IF('2024年-挂账付款'!$AX39-SUM('2024年-挂账付款'!AH39:$AH39)&gt;0,'2024年-挂账付款'!$AX39-SUM('2024年-挂账付款'!AH39:$AH39),0))</f>
        <v>0</v>
      </c>
      <c r="AK39" s="44">
        <f>IF('2024年-挂账付款'!$AX39&gt;=SUM('2024年-挂账付款'!AH39:$AH39),'2024年-挂账付款'!AH39,IF('2024年-挂账付款'!$AX39-SUM('2024年-挂账付款'!$AH39:AI39)&gt;0,'2024年-挂账付款'!$AX39-SUM('2024年-挂账付款'!$AH39:AI39),0))</f>
        <v>0</v>
      </c>
      <c r="AL39" s="88" t="s">
        <v>428</v>
      </c>
      <c r="AM39" s="89"/>
      <c r="AN39" s="86">
        <f t="shared" si="4"/>
        <v>13691.3813333333</v>
      </c>
      <c r="AO39" s="91"/>
      <c r="AP39" s="10">
        <f>'2024年-挂账付款'!AX39</f>
        <v>286684.24</v>
      </c>
      <c r="AQ39" s="101">
        <f t="shared" si="7"/>
        <v>-53155.2</v>
      </c>
    </row>
    <row r="40" s="10" customFormat="1" ht="24.05" customHeight="1" spans="2:43">
      <c r="B40" s="45" t="s">
        <v>81</v>
      </c>
      <c r="C40" s="46" t="s">
        <v>316</v>
      </c>
      <c r="D40" s="46" t="s">
        <v>317</v>
      </c>
      <c r="E40" s="41">
        <v>90</v>
      </c>
      <c r="F40" s="42">
        <f t="shared" si="5"/>
        <v>2815.34</v>
      </c>
      <c r="G40" s="43">
        <f t="shared" si="6"/>
        <v>2815.34</v>
      </c>
      <c r="H40" s="44" t="str">
        <f>IF('2024年-挂账付款'!$AX40&gt;=SUM('2024年-挂账付款'!E40:$AH40),'2024年-挂账付款'!E40,IF('2024年-挂账付款'!$AX40-SUM('2024年-挂账付款'!F40:$AH40)&gt;0,'2024年-挂账付款'!$AX40-SUM('2024年-挂账付款'!F40:$AH40),0))</f>
        <v/>
      </c>
      <c r="I40" s="44" t="str">
        <f>IF('2024年-挂账付款'!$AX40&gt;=SUM('2024年-挂账付款'!F40:$AH40),'2024年-挂账付款'!F40,IF('2024年-挂账付款'!$AX40-SUM('2024年-挂账付款'!G40:$AH40)&gt;0,'2024年-挂账付款'!$AX40-SUM('2024年-挂账付款'!G40:$AH40),0))</f>
        <v/>
      </c>
      <c r="J40" s="44" t="str">
        <f>IF('2024年-挂账付款'!$AX40&gt;=SUM('2024年-挂账付款'!G40:$AH40),'2024年-挂账付款'!G40,IF('2024年-挂账付款'!$AX40-SUM('2024年-挂账付款'!H40:$AH40)&gt;0,'2024年-挂账付款'!$AX40-SUM('2024年-挂账付款'!H40:$AH40),0))</f>
        <v/>
      </c>
      <c r="K40" s="44">
        <f>IF('2024年-挂账付款'!$AX40&gt;=SUM('2024年-挂账付款'!H40:$AH40),'2024年-挂账付款'!H40,IF('2024年-挂账付款'!$AX40-SUM('2024年-挂账付款'!I40:$AH40)&gt;0,'2024年-挂账付款'!$AX40-SUM('2024年-挂账付款'!I40:$AH40),0))</f>
        <v>0</v>
      </c>
      <c r="L40" s="44">
        <f>IF('2024年-挂账付款'!$AX40&gt;=SUM('2024年-挂账付款'!I40:$AH40),'2024年-挂账付款'!I40,IF('2024年-挂账付款'!$AX40-SUM('2024年-挂账付款'!J40:$AH40)&gt;0,'2024年-挂账付款'!$AX40-SUM('2024年-挂账付款'!J40:$AH40),0))</f>
        <v>0</v>
      </c>
      <c r="M40" s="44" t="str">
        <f>IF('2024年-挂账付款'!$AX40&gt;=SUM('2024年-挂账付款'!J40:$AH40),'2024年-挂账付款'!J40,IF('2024年-挂账付款'!$AX40-SUM('2024年-挂账付款'!K40:$AH40)&gt;0,'2024年-挂账付款'!$AX40-SUM('2024年-挂账付款'!K40:$AH40),0))</f>
        <v/>
      </c>
      <c r="N40" s="44">
        <f>IF('2024年-挂账付款'!$AX40&gt;=SUM('2024年-挂账付款'!K40:$AH40),'2024年-挂账付款'!K40,IF('2024年-挂账付款'!$AX40-SUM('2024年-挂账付款'!L40:$AH40)&gt;0,'2024年-挂账付款'!$AX40-SUM('2024年-挂账付款'!L40:$AH40),0))</f>
        <v>0</v>
      </c>
      <c r="O40" s="44">
        <f>IF('2024年-挂账付款'!$AX40&gt;=SUM('2024年-挂账付款'!L40:$AH40),'2024年-挂账付款'!L40,IF('2024年-挂账付款'!$AX40-SUM('2024年-挂账付款'!M40:$AH40)&gt;0,'2024年-挂账付款'!$AX40-SUM('2024年-挂账付款'!M40:$AH40),0))</f>
        <v>0</v>
      </c>
      <c r="P40" s="44">
        <f>IF('2024年-挂账付款'!$AX40&gt;=SUM('2024年-挂账付款'!M40:$AH40),'2024年-挂账付款'!M40,IF('2024年-挂账付款'!$AX40-SUM('2024年-挂账付款'!N40:$AH40)&gt;0,'2024年-挂账付款'!$AX40-SUM('2024年-挂账付款'!N40:$AH40),0))</f>
        <v>0</v>
      </c>
      <c r="Q40" s="44">
        <f>IF('2024年-挂账付款'!$AX40&gt;=SUM('2024年-挂账付款'!N40:$AH40),'2024年-挂账付款'!N40,IF('2024年-挂账付款'!$AX40-SUM('2024年-挂账付款'!O40:$AH40)&gt;0,'2024年-挂账付款'!$AX40-SUM('2024年-挂账付款'!O40:$AH40),0))</f>
        <v>2815.34</v>
      </c>
      <c r="R40" s="44">
        <f>IF('2024年-挂账付款'!$AX40&gt;=SUM('2024年-挂账付款'!O40:$AH40),'2024年-挂账付款'!O40,IF('2024年-挂账付款'!$AX40-SUM('2024年-挂账付款'!P40:$AH40)&gt;0,'2024年-挂账付款'!$AX40-SUM('2024年-挂账付款'!P40:$AH40),0))</f>
        <v>0</v>
      </c>
      <c r="S40" s="44">
        <f>IF('2024年-挂账付款'!$AX40&gt;=SUM('2024年-挂账付款'!P40:$AH40),'2024年-挂账付款'!P40,IF('2024年-挂账付款'!$AX40-SUM('2024年-挂账付款'!Q40:$AH40)&gt;0,'2024年-挂账付款'!$AX40-SUM('2024年-挂账付款'!Q40:$AH40),0))</f>
        <v>0</v>
      </c>
      <c r="T40" s="44">
        <f>IF('2024年-挂账付款'!$AX40&gt;=SUM('2024年-挂账付款'!Q40:$AH40),'2024年-挂账付款'!Q40,IF('2024年-挂账付款'!$AX40-SUM('2024年-挂账付款'!R40:$AH40)&gt;0,'2024年-挂账付款'!$AX40-SUM('2024年-挂账付款'!R40:$AH40),0))</f>
        <v>0</v>
      </c>
      <c r="U40" s="44">
        <f>IF('2024年-挂账付款'!$AX40&gt;=SUM('2024年-挂账付款'!R40:$AH40),'2024年-挂账付款'!R40,IF('2024年-挂账付款'!$AX40-SUM('2024年-挂账付款'!S40:$AH40)&gt;0,'2024年-挂账付款'!$AX40-SUM('2024年-挂账付款'!S40:$AH40),0))</f>
        <v>0</v>
      </c>
      <c r="V40" s="44">
        <f>IF('2024年-挂账付款'!$AX40&gt;=SUM('2024年-挂账付款'!S40:$AH40),'2024年-挂账付款'!S40,IF('2024年-挂账付款'!$AX40-SUM('2024年-挂账付款'!T40:$AH40)&gt;0,'2024年-挂账付款'!$AX40-SUM('2024年-挂账付款'!T40:$AH40),0))</f>
        <v>0</v>
      </c>
      <c r="W40" s="44">
        <f>IF('2024年-挂账付款'!$AX40&gt;=SUM('2024年-挂账付款'!T40:$AH40),'2024年-挂账付款'!T40,IF('2024年-挂账付款'!$AX40-SUM('2024年-挂账付款'!U40:$AH40)&gt;0,'2024年-挂账付款'!$AX40-SUM('2024年-挂账付款'!U40:$AH40),0))</f>
        <v>0</v>
      </c>
      <c r="X40" s="44">
        <f>IF('2024年-挂账付款'!$AX40&gt;=SUM('2024年-挂账付款'!U40:$AH40),'2024年-挂账付款'!U40,IF('2024年-挂账付款'!$AX40-SUM('2024年-挂账付款'!V40:$AH40)&gt;0,'2024年-挂账付款'!$AX40-SUM('2024年-挂账付款'!V40:$AH40),0))</f>
        <v>0</v>
      </c>
      <c r="Y40" s="44">
        <f>IF('2024年-挂账付款'!$AX40&gt;=SUM('2024年-挂账付款'!V40:$AH40),'2024年-挂账付款'!V40,IF('2024年-挂账付款'!$AX40-SUM('2024年-挂账付款'!W40:$AH40)&gt;0,'2024年-挂账付款'!$AX40-SUM('2024年-挂账付款'!W40:$AH40),0))</f>
        <v>0</v>
      </c>
      <c r="Z40" s="44">
        <f>IF('2024年-挂账付款'!$AX40&gt;=SUM('2024年-挂账付款'!W40:$AH40),'2024年-挂账付款'!W40,IF('2024年-挂账付款'!$AX40-SUM('2024年-挂账付款'!X40:$AH40)&gt;0,'2024年-挂账付款'!$AX40-SUM('2024年-挂账付款'!X40:$AH40),0))</f>
        <v>0</v>
      </c>
      <c r="AA40" s="44">
        <f>IF('2024年-挂账付款'!$AX40&gt;=SUM('2024年-挂账付款'!X40:$AH40),'2024年-挂账付款'!X40,IF('2024年-挂账付款'!$AX40-SUM('2024年-挂账付款'!Y40:$AH40)&gt;0,'2024年-挂账付款'!$AX40-SUM('2024年-挂账付款'!Y40:$AH40),0))</f>
        <v>0</v>
      </c>
      <c r="AB40" s="44">
        <f>IF('2024年-挂账付款'!$AX40&gt;=SUM('2024年-挂账付款'!Y40:$AH40),'2024年-挂账付款'!Y40,IF('2024年-挂账付款'!$AX40-SUM('2024年-挂账付款'!Z40:$AH40)&gt;0,'2024年-挂账付款'!$AX40-SUM('2024年-挂账付款'!Z40:$AH40),0))</f>
        <v>0</v>
      </c>
      <c r="AC40" s="44">
        <f>IF('2024年-挂账付款'!$AX40&gt;=SUM('2024年-挂账付款'!Z40:$AH40),'2024年-挂账付款'!Z40,IF('2024年-挂账付款'!$AX40-SUM('2024年-挂账付款'!AA40:$AH40)&gt;0,'2024年-挂账付款'!$AX40-SUM('2024年-挂账付款'!AA40:$AH40),0))</f>
        <v>0</v>
      </c>
      <c r="AD40" s="44">
        <f>IF('2024年-挂账付款'!$AX40&gt;=SUM('2024年-挂账付款'!AA40:$AH40),'2024年-挂账付款'!AA40,IF('2024年-挂账付款'!$AX40-SUM('2024年-挂账付款'!AB40:$AH40)&gt;0,'2024年-挂账付款'!$AX40-SUM('2024年-挂账付款'!AB40:$AH40),0))</f>
        <v>0</v>
      </c>
      <c r="AE40" s="44">
        <f>IF('2024年-挂账付款'!$AX40&gt;=SUM('2024年-挂账付款'!AB40:$AH40),'2024年-挂账付款'!AB40,IF('2024年-挂账付款'!$AX40-SUM('2024年-挂账付款'!AC40:$AH40)&gt;0,'2024年-挂账付款'!$AX40-SUM('2024年-挂账付款'!AC40:$AH40),0))</f>
        <v>0</v>
      </c>
      <c r="AF40" s="44">
        <f>IF('2024年-挂账付款'!$AX40&gt;=SUM('2024年-挂账付款'!AC40:$AH40),'2024年-挂账付款'!AC40,IF('2024年-挂账付款'!$AX40-SUM('2024年-挂账付款'!AD40:$AH40)&gt;0,'2024年-挂账付款'!$AX40-SUM('2024年-挂账付款'!AD40:$AH40),0))</f>
        <v>0</v>
      </c>
      <c r="AG40" s="44">
        <f>IF('2024年-挂账付款'!$AX40&gt;=SUM('2024年-挂账付款'!AD40:$AH40),'2024年-挂账付款'!AD40,IF('2024年-挂账付款'!$AX40-SUM('2024年-挂账付款'!AE40:$AH40)&gt;0,'2024年-挂账付款'!$AX40-SUM('2024年-挂账付款'!AE40:$AH40),0))</f>
        <v>0</v>
      </c>
      <c r="AH40" s="44">
        <f>IF('2024年-挂账付款'!$AX40&gt;=SUM('2024年-挂账付款'!AE40:$AH40),'2024年-挂账付款'!AE40,IF('2024年-挂账付款'!$AX40-SUM('2024年-挂账付款'!AF40:$AH40)&gt;0,'2024年-挂账付款'!$AX40-SUM('2024年-挂账付款'!AF40:$AH40),0))</f>
        <v>0</v>
      </c>
      <c r="AI40" s="44">
        <f>IF('2024年-挂账付款'!$AX40&gt;=SUM('2024年-挂账付款'!AF40:$AH40),'2024年-挂账付款'!AF40,IF('2024年-挂账付款'!$AX40-SUM('2024年-挂账付款'!AG40:$AH40)&gt;0,'2024年-挂账付款'!$AX40-SUM('2024年-挂账付款'!AG40:$AH40),0))</f>
        <v>0</v>
      </c>
      <c r="AJ40" s="44">
        <f>IF('2024年-挂账付款'!$AX40&gt;=SUM('2024年-挂账付款'!AG40:$AH40),'2024年-挂账付款'!AG40,IF('2024年-挂账付款'!$AX40-SUM('2024年-挂账付款'!AH40:$AH40)&gt;0,'2024年-挂账付款'!$AX40-SUM('2024年-挂账付款'!AH40:$AH40),0))</f>
        <v>0</v>
      </c>
      <c r="AK40" s="44">
        <f>IF('2024年-挂账付款'!$AX40&gt;=SUM('2024年-挂账付款'!AH40:$AH40),'2024年-挂账付款'!AH40,IF('2024年-挂账付款'!$AX40-SUM('2024年-挂账付款'!$AH40:AI40)&gt;0,'2024年-挂账付款'!$AX40-SUM('2024年-挂账付款'!$AH40:AI40),0))</f>
        <v>0</v>
      </c>
      <c r="AL40" s="88" t="s">
        <v>428</v>
      </c>
      <c r="AM40" s="89"/>
      <c r="AN40" s="86">
        <f t="shared" si="4"/>
        <v>0</v>
      </c>
      <c r="AO40" s="91"/>
      <c r="AP40" s="10">
        <f>'2024年-挂账付款'!AX40</f>
        <v>2815.34</v>
      </c>
      <c r="AQ40" s="101">
        <f t="shared" si="7"/>
        <v>0</v>
      </c>
    </row>
    <row r="41" s="10" customFormat="1" ht="24.05" customHeight="1" spans="2:43">
      <c r="B41" s="45" t="s">
        <v>81</v>
      </c>
      <c r="C41" s="46" t="s">
        <v>322</v>
      </c>
      <c r="D41" s="46" t="s">
        <v>323</v>
      </c>
      <c r="E41" s="41">
        <v>90</v>
      </c>
      <c r="F41" s="42">
        <f t="shared" si="5"/>
        <v>170485.67</v>
      </c>
      <c r="G41" s="43">
        <f t="shared" si="6"/>
        <v>364195.92</v>
      </c>
      <c r="H41" s="44">
        <f>IF('2024年-挂账付款'!$AX41&gt;=SUM('2024年-挂账付款'!E41:$AH41),'2024年-挂账付款'!E41,IF('2024年-挂账付款'!$AX41-SUM('2024年-挂账付款'!F41:$AH41)&gt;0,'2024年-挂账付款'!$AX41-SUM('2024年-挂账付款'!F41:$AH41),0))</f>
        <v>0</v>
      </c>
      <c r="I41" s="44">
        <f>IF('2024年-挂账付款'!$AX41&gt;=SUM('2024年-挂账付款'!F41:$AH41),'2024年-挂账付款'!F41,IF('2024年-挂账付款'!$AX41-SUM('2024年-挂账付款'!G41:$AH41)&gt;0,'2024年-挂账付款'!$AX41-SUM('2024年-挂账付款'!G41:$AH41),0))</f>
        <v>0</v>
      </c>
      <c r="J41" s="44">
        <f>IF('2024年-挂账付款'!$AX41&gt;=SUM('2024年-挂账付款'!G41:$AH41),'2024年-挂账付款'!G41,IF('2024年-挂账付款'!$AX41-SUM('2024年-挂账付款'!H41:$AH41)&gt;0,'2024年-挂账付款'!$AX41-SUM('2024年-挂账付款'!H41:$AH41),0))</f>
        <v>0</v>
      </c>
      <c r="K41" s="44">
        <f>IF('2024年-挂账付款'!$AX41&gt;=SUM('2024年-挂账付款'!H41:$AH41),'2024年-挂账付款'!H41,IF('2024年-挂账付款'!$AX41-SUM('2024年-挂账付款'!I41:$AH41)&gt;0,'2024年-挂账付款'!$AX41-SUM('2024年-挂账付款'!I41:$AH41),0))</f>
        <v>0</v>
      </c>
      <c r="L41" s="44">
        <f>IF('2024年-挂账付款'!$AX41&gt;=SUM('2024年-挂账付款'!I41:$AH41),'2024年-挂账付款'!I41,IF('2024年-挂账付款'!$AX41-SUM('2024年-挂账付款'!J41:$AH41)&gt;0,'2024年-挂账付款'!$AX41-SUM('2024年-挂账付款'!J41:$AH41),0))</f>
        <v>0</v>
      </c>
      <c r="M41" s="44">
        <f>IF('2024年-挂账付款'!$AX41&gt;=SUM('2024年-挂账付款'!J41:$AH41),'2024年-挂账付款'!J41,IF('2024年-挂账付款'!$AX41-SUM('2024年-挂账付款'!K41:$AH41)&gt;0,'2024年-挂账付款'!$AX41-SUM('2024年-挂账付款'!K41:$AH41),0))</f>
        <v>0</v>
      </c>
      <c r="N41" s="44">
        <f>IF('2024年-挂账付款'!$AX41&gt;=SUM('2024年-挂账付款'!K41:$AH41),'2024年-挂账付款'!K41,IF('2024年-挂账付款'!$AX41-SUM('2024年-挂账付款'!L41:$AH41)&gt;0,'2024年-挂账付款'!$AX41-SUM('2024年-挂账付款'!L41:$AH41),0))</f>
        <v>0</v>
      </c>
      <c r="O41" s="44">
        <f>IF('2024年-挂账付款'!$AX41&gt;=SUM('2024年-挂账付款'!L41:$AH41),'2024年-挂账付款'!L41,IF('2024年-挂账付款'!$AX41-SUM('2024年-挂账付款'!M41:$AH41)&gt;0,'2024年-挂账付款'!$AX41-SUM('2024年-挂账付款'!M41:$AH41),0))</f>
        <v>0</v>
      </c>
      <c r="P41" s="44">
        <f>IF('2024年-挂账付款'!$AX41&gt;=SUM('2024年-挂账付款'!M41:$AH41),'2024年-挂账付款'!M41,IF('2024年-挂账付款'!$AX41-SUM('2024年-挂账付款'!N41:$AH41)&gt;0,'2024年-挂账付款'!$AX41-SUM('2024年-挂账付款'!N41:$AH41),0))</f>
        <v>0</v>
      </c>
      <c r="Q41" s="44">
        <f>IF('2024年-挂账付款'!$AX41&gt;=SUM('2024年-挂账付款'!N41:$AH41),'2024年-挂账付款'!N41,IF('2024年-挂账付款'!$AX41-SUM('2024年-挂账付款'!O41:$AH41)&gt;0,'2024年-挂账付款'!$AX41-SUM('2024年-挂账付款'!O41:$AH41),0))</f>
        <v>22369.7899999999</v>
      </c>
      <c r="R41" s="44">
        <f>IF('2024年-挂账付款'!$AX41&gt;=SUM('2024年-挂账付款'!O41:$AH41),'2024年-挂账付款'!O41,IF('2024年-挂账付款'!$AX41-SUM('2024年-挂账付款'!P41:$AH41)&gt;0,'2024年-挂账付款'!$AX41-SUM('2024年-挂账付款'!P41:$AH41),0))</f>
        <v>0</v>
      </c>
      <c r="S41" s="44">
        <f>IF('2024年-挂账付款'!$AX41&gt;=SUM('2024年-挂账付款'!P41:$AH41),'2024年-挂账付款'!P41,IF('2024年-挂账付款'!$AX41-SUM('2024年-挂账付款'!Q41:$AH41)&gt;0,'2024年-挂账付款'!$AX41-SUM('2024年-挂账付款'!Q41:$AH41),0))</f>
        <v>148115.88</v>
      </c>
      <c r="T41" s="44">
        <f>IF('2024年-挂账付款'!$AX41&gt;=SUM('2024年-挂账付款'!Q41:$AH41),'2024年-挂账付款'!Q41,IF('2024年-挂账付款'!$AX41-SUM('2024年-挂账付款'!R41:$AH41)&gt;0,'2024年-挂账付款'!$AX41-SUM('2024年-挂账付款'!R41:$AH41),0))</f>
        <v>0</v>
      </c>
      <c r="U41" s="44">
        <f>IF('2024年-挂账付款'!$AX41&gt;=SUM('2024年-挂账付款'!R41:$AH41),'2024年-挂账付款'!R41,IF('2024年-挂账付款'!$AX41-SUM('2024年-挂账付款'!S41:$AH41)&gt;0,'2024年-挂账付款'!$AX41-SUM('2024年-挂账付款'!S41:$AH41),0))</f>
        <v>0</v>
      </c>
      <c r="V41" s="44">
        <f>IF('2024年-挂账付款'!$AX41&gt;=SUM('2024年-挂账付款'!S41:$AH41),'2024年-挂账付款'!S41,IF('2024年-挂账付款'!$AX41-SUM('2024年-挂账付款'!T41:$AH41)&gt;0,'2024年-挂账付款'!$AX41-SUM('2024年-挂账付款'!T41:$AH41),0))</f>
        <v>0</v>
      </c>
      <c r="W41" s="44">
        <f>IF('2024年-挂账付款'!$AX41&gt;=SUM('2024年-挂账付款'!T41:$AH41),'2024年-挂账付款'!T41,IF('2024年-挂账付款'!$AX41-SUM('2024年-挂账付款'!U41:$AH41)&gt;0,'2024年-挂账付款'!$AX41-SUM('2024年-挂账付款'!U41:$AH41),0))</f>
        <v>0</v>
      </c>
      <c r="X41" s="44">
        <f>IF('2024年-挂账付款'!$AX41&gt;=SUM('2024年-挂账付款'!U41:$AH41),'2024年-挂账付款'!U41,IF('2024年-挂账付款'!$AX41-SUM('2024年-挂账付款'!V41:$AH41)&gt;0,'2024年-挂账付款'!$AX41-SUM('2024年-挂账付款'!V41:$AH41),0))</f>
        <v>0</v>
      </c>
      <c r="Y41" s="44">
        <f>IF('2024年-挂账付款'!$AX41&gt;=SUM('2024年-挂账付款'!V41:$AH41),'2024年-挂账付款'!V41,IF('2024年-挂账付款'!$AX41-SUM('2024年-挂账付款'!W41:$AH41)&gt;0,'2024年-挂账付款'!$AX41-SUM('2024年-挂账付款'!W41:$AH41),0))</f>
        <v>193710.25</v>
      </c>
      <c r="Z41" s="44">
        <f>IF('2024年-挂账付款'!$AX41&gt;=SUM('2024年-挂账付款'!W41:$AH41),'2024年-挂账付款'!W41,IF('2024年-挂账付款'!$AX41-SUM('2024年-挂账付款'!X41:$AH41)&gt;0,'2024年-挂账付款'!$AX41-SUM('2024年-挂账付款'!X41:$AH41),0))</f>
        <v>104496.52</v>
      </c>
      <c r="AA41" s="44">
        <f>IF('2024年-挂账付款'!$AX41&gt;=SUM('2024年-挂账付款'!X41:$AH41),'2024年-挂账付款'!X41,IF('2024年-挂账付款'!$AX41-SUM('2024年-挂账付款'!Y41:$AH41)&gt;0,'2024年-挂账付款'!$AX41-SUM('2024年-挂账付款'!Y41:$AH41),0))</f>
        <v>0</v>
      </c>
      <c r="AB41" s="44">
        <f>IF('2024年-挂账付款'!$AX41&gt;=SUM('2024年-挂账付款'!Y41:$AH41),'2024年-挂账付款'!Y41,IF('2024年-挂账付款'!$AX41-SUM('2024年-挂账付款'!Z41:$AH41)&gt;0,'2024年-挂账付款'!$AX41-SUM('2024年-挂账付款'!Z41:$AH41),0))</f>
        <v>47882.62</v>
      </c>
      <c r="AC41" s="44">
        <f>IF('2024年-挂账付款'!$AX41&gt;=SUM('2024年-挂账付款'!Z41:$AH41),'2024年-挂账付款'!Z41,IF('2024年-挂账付款'!$AX41-SUM('2024年-挂账付款'!AA41:$AH41)&gt;0,'2024年-挂账付款'!$AX41-SUM('2024年-挂账付款'!AA41:$AH41),0))</f>
        <v>0</v>
      </c>
      <c r="AD41" s="44">
        <f>IF('2024年-挂账付款'!$AX41&gt;=SUM('2024年-挂账付款'!AA41:$AH41),'2024年-挂账付款'!AA41,IF('2024年-挂账付款'!$AX41-SUM('2024年-挂账付款'!AB41:$AH41)&gt;0,'2024年-挂账付款'!$AX41-SUM('2024年-挂账付款'!AB41:$AH41),0))</f>
        <v>0</v>
      </c>
      <c r="AE41" s="44">
        <f>IF('2024年-挂账付款'!$AX41&gt;=SUM('2024年-挂账付款'!AB41:$AH41),'2024年-挂账付款'!AB41,IF('2024年-挂账付款'!$AX41-SUM('2024年-挂账付款'!AC41:$AH41)&gt;0,'2024年-挂账付款'!$AX41-SUM('2024年-挂账付款'!AC41:$AH41),0))</f>
        <v>0</v>
      </c>
      <c r="AF41" s="44">
        <f>IF('2024年-挂账付款'!$AX41&gt;=SUM('2024年-挂账付款'!AC41:$AH41),'2024年-挂账付款'!AC41,IF('2024年-挂账付款'!$AX41-SUM('2024年-挂账付款'!AD41:$AH41)&gt;0,'2024年-挂账付款'!$AX41-SUM('2024年-挂账付款'!AD41:$AH41),0))</f>
        <v>0</v>
      </c>
      <c r="AG41" s="44">
        <f>IF('2024年-挂账付款'!$AX41&gt;=SUM('2024年-挂账付款'!AD41:$AH41),'2024年-挂账付款'!AD41,IF('2024年-挂账付款'!$AX41-SUM('2024年-挂账付款'!AE41:$AH41)&gt;0,'2024年-挂账付款'!$AX41-SUM('2024年-挂账付款'!AE41:$AH41),0))</f>
        <v>0</v>
      </c>
      <c r="AH41" s="44">
        <f>IF('2024年-挂账付款'!$AX41&gt;=SUM('2024年-挂账付款'!AE41:$AH41),'2024年-挂账付款'!AE41,IF('2024年-挂账付款'!$AX41-SUM('2024年-挂账付款'!AF41:$AH41)&gt;0,'2024年-挂账付款'!$AX41-SUM('2024年-挂账付款'!AF41:$AH41),0))</f>
        <v>0</v>
      </c>
      <c r="AI41" s="44">
        <f>IF('2024年-挂账付款'!$AX41&gt;=SUM('2024年-挂账付款'!AF41:$AH41),'2024年-挂账付款'!AF41,IF('2024年-挂账付款'!$AX41-SUM('2024年-挂账付款'!AG41:$AH41)&gt;0,'2024年-挂账付款'!$AX41-SUM('2024年-挂账付款'!AG41:$AH41),0))</f>
        <v>0</v>
      </c>
      <c r="AJ41" s="44">
        <f>IF('2024年-挂账付款'!$AX41&gt;=SUM('2024年-挂账付款'!AG41:$AH41),'2024年-挂账付款'!AG41,IF('2024年-挂账付款'!$AX41-SUM('2024年-挂账付款'!AH41:$AH41)&gt;0,'2024年-挂账付款'!$AX41-SUM('2024年-挂账付款'!AH41:$AH41),0))</f>
        <v>0</v>
      </c>
      <c r="AK41" s="44">
        <f>IF('2024年-挂账付款'!$AX41&gt;=SUM('2024年-挂账付款'!AH41:$AH41),'2024年-挂账付款'!AH41,IF('2024年-挂账付款'!$AX41-SUM('2024年-挂账付款'!$AH41:AI41)&gt;0,'2024年-挂账付款'!$AX41-SUM('2024年-挂账付款'!$AH41:AI41),0))</f>
        <v>0</v>
      </c>
      <c r="AL41" s="88" t="s">
        <v>428</v>
      </c>
      <c r="AM41" s="90"/>
      <c r="AN41" s="86">
        <f t="shared" si="4"/>
        <v>25828.0333333333</v>
      </c>
      <c r="AO41" s="91"/>
      <c r="AP41" s="10">
        <f>'2024年-挂账付款'!AX41</f>
        <v>516575.06</v>
      </c>
      <c r="AQ41" s="101">
        <f t="shared" si="7"/>
        <v>-152379.14</v>
      </c>
    </row>
    <row r="42" s="10" customFormat="1" ht="24.05" customHeight="1" spans="2:43">
      <c r="B42" s="45" t="s">
        <v>81</v>
      </c>
      <c r="C42" s="46" t="s">
        <v>324</v>
      </c>
      <c r="D42" s="46" t="s">
        <v>325</v>
      </c>
      <c r="E42" s="41">
        <v>90</v>
      </c>
      <c r="F42" s="42">
        <f t="shared" si="5"/>
        <v>16725</v>
      </c>
      <c r="G42" s="43">
        <f t="shared" si="6"/>
        <v>31415</v>
      </c>
      <c r="H42" s="44">
        <f>IF('2024年-挂账付款'!$AX42&gt;=SUM('2024年-挂账付款'!E42:$AH42),'2024年-挂账付款'!E42,IF('2024年-挂账付款'!$AX42-SUM('2024年-挂账付款'!F42:$AH42)&gt;0,'2024年-挂账付款'!$AX42-SUM('2024年-挂账付款'!F42:$AH42),0))</f>
        <v>0</v>
      </c>
      <c r="I42" s="44">
        <f>IF('2024年-挂账付款'!$AX42&gt;=SUM('2024年-挂账付款'!F42:$AH42),'2024年-挂账付款'!F42,IF('2024年-挂账付款'!$AX42-SUM('2024年-挂账付款'!G42:$AH42)&gt;0,'2024年-挂账付款'!$AX42-SUM('2024年-挂账付款'!G42:$AH42),0))</f>
        <v>0</v>
      </c>
      <c r="J42" s="44">
        <f>IF('2024年-挂账付款'!$AX42&gt;=SUM('2024年-挂账付款'!G42:$AH42),'2024年-挂账付款'!G42,IF('2024年-挂账付款'!$AX42-SUM('2024年-挂账付款'!H42:$AH42)&gt;0,'2024年-挂账付款'!$AX42-SUM('2024年-挂账付款'!H42:$AH42),0))</f>
        <v>0</v>
      </c>
      <c r="K42" s="44">
        <f>IF('2024年-挂账付款'!$AX42&gt;=SUM('2024年-挂账付款'!H42:$AH42),'2024年-挂账付款'!H42,IF('2024年-挂账付款'!$AX42-SUM('2024年-挂账付款'!I42:$AH42)&gt;0,'2024年-挂账付款'!$AX42-SUM('2024年-挂账付款'!I42:$AH42),0))</f>
        <v>0</v>
      </c>
      <c r="L42" s="44">
        <f>IF('2024年-挂账付款'!$AX42&gt;=SUM('2024年-挂账付款'!I42:$AH42),'2024年-挂账付款'!I42,IF('2024年-挂账付款'!$AX42-SUM('2024年-挂账付款'!J42:$AH42)&gt;0,'2024年-挂账付款'!$AX42-SUM('2024年-挂账付款'!J42:$AH42),0))</f>
        <v>0</v>
      </c>
      <c r="M42" s="44" t="str">
        <f>IF('2024年-挂账付款'!$AX42&gt;=SUM('2024年-挂账付款'!J42:$AH42),'2024年-挂账付款'!J42,IF('2024年-挂账付款'!$AX42-SUM('2024年-挂账付款'!K42:$AH42)&gt;0,'2024年-挂账付款'!$AX42-SUM('2024年-挂账付款'!K42:$AH42),0))</f>
        <v/>
      </c>
      <c r="N42" s="44">
        <f>IF('2024年-挂账付款'!$AX42&gt;=SUM('2024年-挂账付款'!K42:$AH42),'2024年-挂账付款'!K42,IF('2024年-挂账付款'!$AX42-SUM('2024年-挂账付款'!L42:$AH42)&gt;0,'2024年-挂账付款'!$AX42-SUM('2024年-挂账付款'!L42:$AH42),0))</f>
        <v>0</v>
      </c>
      <c r="O42" s="44">
        <f>IF('2024年-挂账付款'!$AX42&gt;=SUM('2024年-挂账付款'!L42:$AH42),'2024年-挂账付款'!L42,IF('2024年-挂账付款'!$AX42-SUM('2024年-挂账付款'!M42:$AH42)&gt;0,'2024年-挂账付款'!$AX42-SUM('2024年-挂账付款'!M42:$AH42),0))</f>
        <v>0</v>
      </c>
      <c r="P42" s="44">
        <f>IF('2024年-挂账付款'!$AX42&gt;=SUM('2024年-挂账付款'!M42:$AH42),'2024年-挂账付款'!M42,IF('2024年-挂账付款'!$AX42-SUM('2024年-挂账付款'!N42:$AH42)&gt;0,'2024年-挂账付款'!$AX42-SUM('2024年-挂账付款'!N42:$AH42),0))</f>
        <v>566</v>
      </c>
      <c r="Q42" s="44">
        <f>IF('2024年-挂账付款'!$AX42&gt;=SUM('2024年-挂账付款'!N42:$AH42),'2024年-挂账付款'!N42,IF('2024年-挂账付款'!$AX42-SUM('2024年-挂账付款'!O42:$AH42)&gt;0,'2024年-挂账付款'!$AX42-SUM('2024年-挂账付款'!O42:$AH42),0))</f>
        <v>0</v>
      </c>
      <c r="R42" s="44">
        <f>IF('2024年-挂账付款'!$AX42&gt;=SUM('2024年-挂账付款'!O42:$AH42),'2024年-挂账付款'!O42,IF('2024年-挂账付款'!$AX42-SUM('2024年-挂账付款'!P42:$AH42)&gt;0,'2024年-挂账付款'!$AX42-SUM('2024年-挂账付款'!P42:$AH42),0))</f>
        <v>0</v>
      </c>
      <c r="S42" s="44">
        <f>IF('2024年-挂账付款'!$AX42&gt;=SUM('2024年-挂账付款'!P42:$AH42),'2024年-挂账付款'!P42,IF('2024年-挂账付款'!$AX42-SUM('2024年-挂账付款'!Q42:$AH42)&gt;0,'2024年-挂账付款'!$AX42-SUM('2024年-挂账付款'!Q42:$AH42),0))</f>
        <v>0</v>
      </c>
      <c r="T42" s="44">
        <f>IF('2024年-挂账付款'!$AX42&gt;=SUM('2024年-挂账付款'!Q42:$AH42),'2024年-挂账付款'!Q42,IF('2024年-挂账付款'!$AX42-SUM('2024年-挂账付款'!R42:$AH42)&gt;0,'2024年-挂账付款'!$AX42-SUM('2024年-挂账付款'!R42:$AH42),0))</f>
        <v>16159</v>
      </c>
      <c r="U42" s="44">
        <f>IF('2024年-挂账付款'!$AX42&gt;=SUM('2024年-挂账付款'!R42:$AH42),'2024年-挂账付款'!R42,IF('2024年-挂账付款'!$AX42-SUM('2024年-挂账付款'!S42:$AH42)&gt;0,'2024年-挂账付款'!$AX42-SUM('2024年-挂账付款'!S42:$AH42),0))</f>
        <v>0</v>
      </c>
      <c r="V42" s="44">
        <f>IF('2024年-挂账付款'!$AX42&gt;=SUM('2024年-挂账付款'!S42:$AH42),'2024年-挂账付款'!S42,IF('2024年-挂账付款'!$AX42-SUM('2024年-挂账付款'!T42:$AH42)&gt;0,'2024年-挂账付款'!$AX42-SUM('2024年-挂账付款'!T42:$AH42),0))</f>
        <v>0</v>
      </c>
      <c r="W42" s="44">
        <f>IF('2024年-挂账付款'!$AX42&gt;=SUM('2024年-挂账付款'!T42:$AH42),'2024年-挂账付款'!T42,IF('2024年-挂账付款'!$AX42-SUM('2024年-挂账付款'!U42:$AH42)&gt;0,'2024年-挂账付款'!$AX42-SUM('2024年-挂账付款'!U42:$AH42),0))</f>
        <v>14690</v>
      </c>
      <c r="X42" s="44">
        <f>IF('2024年-挂账付款'!$AX42&gt;=SUM('2024年-挂账付款'!U42:$AH42),'2024年-挂账付款'!U42,IF('2024年-挂账付款'!$AX42-SUM('2024年-挂账付款'!V42:$AH42)&gt;0,'2024年-挂账付款'!$AX42-SUM('2024年-挂账付款'!V42:$AH42),0))</f>
        <v>0</v>
      </c>
      <c r="Y42" s="44">
        <f>IF('2024年-挂账付款'!$AX42&gt;=SUM('2024年-挂账付款'!V42:$AH42),'2024年-挂账付款'!V42,IF('2024年-挂账付款'!$AX42-SUM('2024年-挂账付款'!W42:$AH42)&gt;0,'2024年-挂账付款'!$AX42-SUM('2024年-挂账付款'!W42:$AH42),0))</f>
        <v>0</v>
      </c>
      <c r="Z42" s="44">
        <f>IF('2024年-挂账付款'!$AX42&gt;=SUM('2024年-挂账付款'!W42:$AH42),'2024年-挂账付款'!W42,IF('2024年-挂账付款'!$AX42-SUM('2024年-挂账付款'!X42:$AH42)&gt;0,'2024年-挂账付款'!$AX42-SUM('2024年-挂账付款'!X42:$AH42),0))</f>
        <v>14690</v>
      </c>
      <c r="AA42" s="44">
        <f>IF('2024年-挂账付款'!$AX42&gt;=SUM('2024年-挂账付款'!X42:$AH42),'2024年-挂账付款'!X42,IF('2024年-挂账付款'!$AX42-SUM('2024年-挂账付款'!Y42:$AH42)&gt;0,'2024年-挂账付款'!$AX42-SUM('2024年-挂账付款'!Y42:$AH42),0))</f>
        <v>0</v>
      </c>
      <c r="AB42" s="44">
        <f>IF('2024年-挂账付款'!$AX42&gt;=SUM('2024年-挂账付款'!Y42:$AH42),'2024年-挂账付款'!Y42,IF('2024年-挂账付款'!$AX42-SUM('2024年-挂账付款'!Z42:$AH42)&gt;0,'2024年-挂账付款'!$AX42-SUM('2024年-挂账付款'!Z42:$AH42),0))</f>
        <v>0</v>
      </c>
      <c r="AC42" s="44">
        <f>IF('2024年-挂账付款'!$AX42&gt;=SUM('2024年-挂账付款'!Z42:$AH42),'2024年-挂账付款'!Z42,IF('2024年-挂账付款'!$AX42-SUM('2024年-挂账付款'!AA42:$AH42)&gt;0,'2024年-挂账付款'!$AX42-SUM('2024年-挂账付款'!AA42:$AH42),0))</f>
        <v>0</v>
      </c>
      <c r="AD42" s="44">
        <f>IF('2024年-挂账付款'!$AX42&gt;=SUM('2024年-挂账付款'!AA42:$AH42),'2024年-挂账付款'!AA42,IF('2024年-挂账付款'!$AX42-SUM('2024年-挂账付款'!AB42:$AH42)&gt;0,'2024年-挂账付款'!$AX42-SUM('2024年-挂账付款'!AB42:$AH42),0))</f>
        <v>0</v>
      </c>
      <c r="AE42" s="44">
        <f>IF('2024年-挂账付款'!$AX42&gt;=SUM('2024年-挂账付款'!AB42:$AH42),'2024年-挂账付款'!AB42,IF('2024年-挂账付款'!$AX42-SUM('2024年-挂账付款'!AC42:$AH42)&gt;0,'2024年-挂账付款'!$AX42-SUM('2024年-挂账付款'!AC42:$AH42),0))</f>
        <v>0</v>
      </c>
      <c r="AF42" s="44">
        <f>IF('2024年-挂账付款'!$AX42&gt;=SUM('2024年-挂账付款'!AC42:$AH42),'2024年-挂账付款'!AC42,IF('2024年-挂账付款'!$AX42-SUM('2024年-挂账付款'!AD42:$AH42)&gt;0,'2024年-挂账付款'!$AX42-SUM('2024年-挂账付款'!AD42:$AH42),0))</f>
        <v>0</v>
      </c>
      <c r="AG42" s="44">
        <f>IF('2024年-挂账付款'!$AX42&gt;=SUM('2024年-挂账付款'!AD42:$AH42),'2024年-挂账付款'!AD42,IF('2024年-挂账付款'!$AX42-SUM('2024年-挂账付款'!AE42:$AH42)&gt;0,'2024年-挂账付款'!$AX42-SUM('2024年-挂账付款'!AE42:$AH42),0))</f>
        <v>0</v>
      </c>
      <c r="AH42" s="44">
        <f>IF('2024年-挂账付款'!$AX42&gt;=SUM('2024年-挂账付款'!AE42:$AH42),'2024年-挂账付款'!AE42,IF('2024年-挂账付款'!$AX42-SUM('2024年-挂账付款'!AF42:$AH42)&gt;0,'2024年-挂账付款'!$AX42-SUM('2024年-挂账付款'!AF42:$AH42),0))</f>
        <v>0</v>
      </c>
      <c r="AI42" s="44">
        <f>IF('2024年-挂账付款'!$AX42&gt;=SUM('2024年-挂账付款'!AF42:$AH42),'2024年-挂账付款'!AF42,IF('2024年-挂账付款'!$AX42-SUM('2024年-挂账付款'!AG42:$AH42)&gt;0,'2024年-挂账付款'!$AX42-SUM('2024年-挂账付款'!AG42:$AH42),0))</f>
        <v>0</v>
      </c>
      <c r="AJ42" s="44">
        <f>IF('2024年-挂账付款'!$AX42&gt;=SUM('2024年-挂账付款'!AG42:$AH42),'2024年-挂账付款'!AG42,IF('2024年-挂账付款'!$AX42-SUM('2024年-挂账付款'!AH42:$AH42)&gt;0,'2024年-挂账付款'!$AX42-SUM('2024年-挂账付款'!AH42:$AH42),0))</f>
        <v>0</v>
      </c>
      <c r="AK42" s="44">
        <f>IF('2024年-挂账付款'!$AX42&gt;=SUM('2024年-挂账付款'!AH42:$AH42),'2024年-挂账付款'!AH42,IF('2024年-挂账付款'!$AX42-SUM('2024年-挂账付款'!$AH42:AI42)&gt;0,'2024年-挂账付款'!$AX42-SUM('2024年-挂账付款'!$AH42:AI42),0))</f>
        <v>0</v>
      </c>
      <c r="AL42" s="88" t="s">
        <v>428</v>
      </c>
      <c r="AM42" s="89"/>
      <c r="AN42" s="86">
        <f t="shared" si="4"/>
        <v>4113.2</v>
      </c>
      <c r="AO42" s="91"/>
      <c r="AP42" s="10">
        <f>'2024年-挂账付款'!AX42</f>
        <v>46105</v>
      </c>
      <c r="AQ42" s="101">
        <f t="shared" si="7"/>
        <v>-14690</v>
      </c>
    </row>
    <row r="43" s="11" customFormat="1" ht="24.05" customHeight="1" spans="2:43">
      <c r="B43" s="50" t="s">
        <v>81</v>
      </c>
      <c r="C43" s="51" t="s">
        <v>326</v>
      </c>
      <c r="D43" s="51" t="s">
        <v>327</v>
      </c>
      <c r="E43" s="52">
        <v>90</v>
      </c>
      <c r="F43" s="53">
        <f t="shared" si="5"/>
        <v>106470.13</v>
      </c>
      <c r="G43" s="54">
        <f t="shared" si="6"/>
        <v>137012.09</v>
      </c>
      <c r="H43" s="44">
        <f>IF('2024年-挂账付款'!$AX43&gt;=SUM('2024年-挂账付款'!E43:$AH43),'2024年-挂账付款'!E43,IF('2024年-挂账付款'!$AX43-SUM('2024年-挂账付款'!F43:$AH43)&gt;0,'2024年-挂账付款'!$AX43-SUM('2024年-挂账付款'!F43:$AH43),0))</f>
        <v>0</v>
      </c>
      <c r="I43" s="44">
        <f>IF('2024年-挂账付款'!$AX43&gt;=SUM('2024年-挂账付款'!F43:$AH43),'2024年-挂账付款'!F43,IF('2024年-挂账付款'!$AX43-SUM('2024年-挂账付款'!G43:$AH43)&gt;0,'2024年-挂账付款'!$AX43-SUM('2024年-挂账付款'!G43:$AH43),0))</f>
        <v>0</v>
      </c>
      <c r="J43" s="44">
        <f>IF('2024年-挂账付款'!$AX43&gt;=SUM('2024年-挂账付款'!G43:$AH43),'2024年-挂账付款'!G43,IF('2024年-挂账付款'!$AX43-SUM('2024年-挂账付款'!H43:$AH43)&gt;0,'2024年-挂账付款'!$AX43-SUM('2024年-挂账付款'!H43:$AH43),0))</f>
        <v>0</v>
      </c>
      <c r="K43" s="44">
        <f>IF('2024年-挂账付款'!$AX43&gt;=SUM('2024年-挂账付款'!H43:$AH43),'2024年-挂账付款'!H43,IF('2024年-挂账付款'!$AX43-SUM('2024年-挂账付款'!I43:$AH43)&gt;0,'2024年-挂账付款'!$AX43-SUM('2024年-挂账付款'!I43:$AH43),0))</f>
        <v>0</v>
      </c>
      <c r="L43" s="44">
        <f>IF('2024年-挂账付款'!$AX43&gt;=SUM('2024年-挂账付款'!I43:$AH43),'2024年-挂账付款'!I43,IF('2024年-挂账付款'!$AX43-SUM('2024年-挂账付款'!J43:$AH43)&gt;0,'2024年-挂账付款'!$AX43-SUM('2024年-挂账付款'!J43:$AH43),0))</f>
        <v>0</v>
      </c>
      <c r="M43" s="44" t="str">
        <f>IF('2024年-挂账付款'!$AX43&gt;=SUM('2024年-挂账付款'!J43:$AH43),'2024年-挂账付款'!J43,IF('2024年-挂账付款'!$AX43-SUM('2024年-挂账付款'!K43:$AH43)&gt;0,'2024年-挂账付款'!$AX43-SUM('2024年-挂账付款'!K43:$AH43),0))</f>
        <v/>
      </c>
      <c r="N43" s="44">
        <f>IF('2024年-挂账付款'!$AX43&gt;=SUM('2024年-挂账付款'!K43:$AH43),'2024年-挂账付款'!K43,IF('2024年-挂账付款'!$AX43-SUM('2024年-挂账付款'!L43:$AH43)&gt;0,'2024年-挂账付款'!$AX43-SUM('2024年-挂账付款'!L43:$AH43),0))</f>
        <v>0</v>
      </c>
      <c r="O43" s="44">
        <f>IF('2024年-挂账付款'!$AX43&gt;=SUM('2024年-挂账付款'!L43:$AH43),'2024年-挂账付款'!L43,IF('2024年-挂账付款'!$AX43-SUM('2024年-挂账付款'!M43:$AH43)&gt;0,'2024年-挂账付款'!$AX43-SUM('2024年-挂账付款'!M43:$AH43),0))</f>
        <v>0</v>
      </c>
      <c r="P43" s="44">
        <f>IF('2024年-挂账付款'!$AX43&gt;=SUM('2024年-挂账付款'!M43:$AH43),'2024年-挂账付款'!M43,IF('2024年-挂账付款'!$AX43-SUM('2024年-挂账付款'!N43:$AH43)&gt;0,'2024年-挂账付款'!$AX43-SUM('2024年-挂账付款'!N43:$AH43),0))</f>
        <v>55514.15</v>
      </c>
      <c r="Q43" s="44">
        <f>IF('2024年-挂账付款'!$AX43&gt;=SUM('2024年-挂账付款'!N43:$AH43),'2024年-挂账付款'!N43,IF('2024年-挂账付款'!$AX43-SUM('2024年-挂账付款'!O43:$AH43)&gt;0,'2024年-挂账付款'!$AX43-SUM('2024年-挂账付款'!O43:$AH43),0))</f>
        <v>0</v>
      </c>
      <c r="R43" s="44">
        <f>IF('2024年-挂账付款'!$AX43&gt;=SUM('2024年-挂账付款'!O43:$AH43),'2024年-挂账付款'!O43,IF('2024年-挂账付款'!$AX43-SUM('2024年-挂账付款'!P43:$AH43)&gt;0,'2024年-挂账付款'!$AX43-SUM('2024年-挂账付款'!P43:$AH43),0))</f>
        <v>0</v>
      </c>
      <c r="S43" s="44">
        <f>IF('2024年-挂账付款'!$AX43&gt;=SUM('2024年-挂账付款'!P43:$AH43),'2024年-挂账付款'!P43,IF('2024年-挂账付款'!$AX43-SUM('2024年-挂账付款'!Q43:$AH43)&gt;0,'2024年-挂账付款'!$AX43-SUM('2024年-挂账付款'!Q43:$AH43),0))</f>
        <v>0</v>
      </c>
      <c r="T43" s="44">
        <f>IF('2024年-挂账付款'!$AX43&gt;=SUM('2024年-挂账付款'!Q43:$AH43),'2024年-挂账付款'!Q43,IF('2024年-挂账付款'!$AX43-SUM('2024年-挂账付款'!R43:$AH43)&gt;0,'2024年-挂账付款'!$AX43-SUM('2024年-挂账付款'!R43:$AH43),0))</f>
        <v>0</v>
      </c>
      <c r="U43" s="44">
        <f>IF('2024年-挂账付款'!$AX43&gt;=SUM('2024年-挂账付款'!R43:$AH43),'2024年-挂账付款'!R43,IF('2024年-挂账付款'!$AX43-SUM('2024年-挂账付款'!S43:$AH43)&gt;0,'2024年-挂账付款'!$AX43-SUM('2024年-挂账付款'!S43:$AH43),0))</f>
        <v>11277.08</v>
      </c>
      <c r="V43" s="44">
        <f>IF('2024年-挂账付款'!$AX43&gt;=SUM('2024年-挂账付款'!S43:$AH43),'2024年-挂账付款'!S43,IF('2024年-挂账付款'!$AX43-SUM('2024年-挂账付款'!T43:$AH43)&gt;0,'2024年-挂账付款'!$AX43-SUM('2024年-挂账付款'!T43:$AH43),0))</f>
        <v>39678.9</v>
      </c>
      <c r="W43" s="44">
        <f>IF('2024年-挂账付款'!$AX43&gt;=SUM('2024年-挂账付款'!T43:$AH43),'2024年-挂账付款'!T43,IF('2024年-挂账付款'!$AX43-SUM('2024年-挂账付款'!U43:$AH43)&gt;0,'2024年-挂账付款'!$AX43-SUM('2024年-挂账付款'!U43:$AH43),0))</f>
        <v>16353.01</v>
      </c>
      <c r="X43" s="44">
        <f>IF('2024年-挂账付款'!$AX43&gt;=SUM('2024年-挂账付款'!U43:$AH43),'2024年-挂账付款'!U43,IF('2024年-挂账付款'!$AX43-SUM('2024年-挂账付款'!V43:$AH43)&gt;0,'2024年-挂账付款'!$AX43-SUM('2024年-挂账付款'!V43:$AH43),0))</f>
        <v>6402.02</v>
      </c>
      <c r="Y43" s="44">
        <f>IF('2024年-挂账付款'!$AX43&gt;=SUM('2024年-挂账付款'!V43:$AH43),'2024年-挂账付款'!V43,IF('2024年-挂账付款'!$AX43-SUM('2024年-挂账付款'!W43:$AH43)&gt;0,'2024年-挂账付款'!$AX43-SUM('2024年-挂账付款'!W43:$AH43),0))</f>
        <v>7786.93</v>
      </c>
      <c r="Z43" s="44">
        <f>IF('2024年-挂账付款'!$AX43&gt;=SUM('2024年-挂账付款'!W43:$AH43),'2024年-挂账付款'!W43,IF('2024年-挂账付款'!$AX43-SUM('2024年-挂账付款'!X43:$AH43)&gt;0,'2024年-挂账付款'!$AX43-SUM('2024年-挂账付款'!X43:$AH43),0))</f>
        <v>0</v>
      </c>
      <c r="AA43" s="44">
        <f>IF('2024年-挂账付款'!$AX43&gt;=SUM('2024年-挂账付款'!X43:$AH43),'2024年-挂账付款'!X43,IF('2024年-挂账付款'!$AX43-SUM('2024年-挂账付款'!Y43:$AH43)&gt;0,'2024年-挂账付款'!$AX43-SUM('2024年-挂账付款'!Y43:$AH43),0))</f>
        <v>0</v>
      </c>
      <c r="AB43" s="44">
        <f>IF('2024年-挂账付款'!$AX43&gt;=SUM('2024年-挂账付款'!Y43:$AH43),'2024年-挂账付款'!Y43,IF('2024年-挂账付款'!$AX43-SUM('2024年-挂账付款'!Z43:$AH43)&gt;0,'2024年-挂账付款'!$AX43-SUM('2024年-挂账付款'!Z43:$AH43),0))</f>
        <v>0</v>
      </c>
      <c r="AC43" s="44">
        <f>IF('2024年-挂账付款'!$AX43&gt;=SUM('2024年-挂账付款'!Z43:$AH43),'2024年-挂账付款'!Z43,IF('2024年-挂账付款'!$AX43-SUM('2024年-挂账付款'!AA43:$AH43)&gt;0,'2024年-挂账付款'!$AX43-SUM('2024年-挂账付款'!AA43:$AH43),0))</f>
        <v>0</v>
      </c>
      <c r="AD43" s="44">
        <f>IF('2024年-挂账付款'!$AX43&gt;=SUM('2024年-挂账付款'!AA43:$AH43),'2024年-挂账付款'!AA43,IF('2024年-挂账付款'!$AX43-SUM('2024年-挂账付款'!AB43:$AH43)&gt;0,'2024年-挂账付款'!$AX43-SUM('2024年-挂账付款'!AB43:$AH43),0))</f>
        <v>0</v>
      </c>
      <c r="AE43" s="44">
        <f>IF('2024年-挂账付款'!$AX43&gt;=SUM('2024年-挂账付款'!AB43:$AH43),'2024年-挂账付款'!AB43,IF('2024年-挂账付款'!$AX43-SUM('2024年-挂账付款'!AC43:$AH43)&gt;0,'2024年-挂账付款'!$AX43-SUM('2024年-挂账付款'!AC43:$AH43),0))</f>
        <v>0</v>
      </c>
      <c r="AF43" s="44">
        <f>IF('2024年-挂账付款'!$AX43&gt;=SUM('2024年-挂账付款'!AC43:$AH43),'2024年-挂账付款'!AC43,IF('2024年-挂账付款'!$AX43-SUM('2024年-挂账付款'!AD43:$AH43)&gt;0,'2024年-挂账付款'!$AX43-SUM('2024年-挂账付款'!AD43:$AH43),0))</f>
        <v>0</v>
      </c>
      <c r="AG43" s="44">
        <f>IF('2024年-挂账付款'!$AX43&gt;=SUM('2024年-挂账付款'!AD43:$AH43),'2024年-挂账付款'!AD43,IF('2024年-挂账付款'!$AX43-SUM('2024年-挂账付款'!AE43:$AH43)&gt;0,'2024年-挂账付款'!$AX43-SUM('2024年-挂账付款'!AE43:$AH43),0))</f>
        <v>0</v>
      </c>
      <c r="AH43" s="44">
        <f>IF('2024年-挂账付款'!$AX43&gt;=SUM('2024年-挂账付款'!AE43:$AH43),'2024年-挂账付款'!AE43,IF('2024年-挂账付款'!$AX43-SUM('2024年-挂账付款'!AF43:$AH43)&gt;0,'2024年-挂账付款'!$AX43-SUM('2024年-挂账付款'!AF43:$AH43),0))</f>
        <v>0</v>
      </c>
      <c r="AI43" s="44">
        <f>IF('2024年-挂账付款'!$AX43&gt;=SUM('2024年-挂账付款'!AF43:$AH43),'2024年-挂账付款'!AF43,IF('2024年-挂账付款'!$AX43-SUM('2024年-挂账付款'!AG43:$AH43)&gt;0,'2024年-挂账付款'!$AX43-SUM('2024年-挂账付款'!AG43:$AH43),0))</f>
        <v>0</v>
      </c>
      <c r="AJ43" s="44">
        <f>IF('2024年-挂账付款'!$AX43&gt;=SUM('2024年-挂账付款'!AG43:$AH43),'2024年-挂账付款'!AG43,IF('2024年-挂账付款'!$AX43-SUM('2024年-挂账付款'!AH43:$AH43)&gt;0,'2024年-挂账付款'!$AX43-SUM('2024年-挂账付款'!AH43:$AH43),0))</f>
        <v>0</v>
      </c>
      <c r="AK43" s="44">
        <f>IF('2024年-挂账付款'!$AX43&gt;=SUM('2024年-挂账付款'!AH43:$AH43),'2024年-挂账付款'!AH43,IF('2024年-挂账付款'!$AX43-SUM('2024年-挂账付款'!$AH43:AI43)&gt;0,'2024年-挂账付款'!$AX43-SUM('2024年-挂账付款'!$AH43:AI43),0))</f>
        <v>0</v>
      </c>
      <c r="AL43" s="92" t="s">
        <v>428</v>
      </c>
      <c r="AM43" s="93"/>
      <c r="AN43" s="94">
        <f t="shared" si="4"/>
        <v>10866.392</v>
      </c>
      <c r="AO43" s="102"/>
      <c r="AP43" s="11">
        <f>'2024年-挂账付款'!AX43</f>
        <v>137012.09</v>
      </c>
      <c r="AQ43" s="103">
        <f t="shared" si="7"/>
        <v>0</v>
      </c>
    </row>
    <row r="44" s="10" customFormat="1" ht="24.05" customHeight="1" spans="2:43">
      <c r="B44" s="45" t="s">
        <v>81</v>
      </c>
      <c r="C44" s="46" t="s">
        <v>330</v>
      </c>
      <c r="D44" s="46" t="s">
        <v>331</v>
      </c>
      <c r="E44" s="41">
        <v>90</v>
      </c>
      <c r="F44" s="42">
        <f t="shared" si="5"/>
        <v>1500.64</v>
      </c>
      <c r="G44" s="43">
        <f t="shared" si="6"/>
        <v>1500.64</v>
      </c>
      <c r="H44" s="44">
        <f>IF('2024年-挂账付款'!$AX44&gt;=SUM('2024年-挂账付款'!E44:$AH44),'2024年-挂账付款'!E44,IF('2024年-挂账付款'!$AX44-SUM('2024年-挂账付款'!F44:$AH44)&gt;0,'2024年-挂账付款'!$AX44-SUM('2024年-挂账付款'!F44:$AH44),0))</f>
        <v>0</v>
      </c>
      <c r="I44" s="44">
        <f>IF('2024年-挂账付款'!$AX44&gt;=SUM('2024年-挂账付款'!F44:$AH44),'2024年-挂账付款'!F44,IF('2024年-挂账付款'!$AX44-SUM('2024年-挂账付款'!G44:$AH44)&gt;0,'2024年-挂账付款'!$AX44-SUM('2024年-挂账付款'!G44:$AH44),0))</f>
        <v>0</v>
      </c>
      <c r="J44" s="44">
        <f>IF('2024年-挂账付款'!$AX44&gt;=SUM('2024年-挂账付款'!G44:$AH44),'2024年-挂账付款'!G44,IF('2024年-挂账付款'!$AX44-SUM('2024年-挂账付款'!H44:$AH44)&gt;0,'2024年-挂账付款'!$AX44-SUM('2024年-挂账付款'!H44:$AH44),0))</f>
        <v>0</v>
      </c>
      <c r="K44" s="44">
        <f>IF('2024年-挂账付款'!$AX44&gt;=SUM('2024年-挂账付款'!H44:$AH44),'2024年-挂账付款'!H44,IF('2024年-挂账付款'!$AX44-SUM('2024年-挂账付款'!I44:$AH44)&gt;0,'2024年-挂账付款'!$AX44-SUM('2024年-挂账付款'!I44:$AH44),0))</f>
        <v>0</v>
      </c>
      <c r="L44" s="44">
        <f>IF('2024年-挂账付款'!$AX44&gt;=SUM('2024年-挂账付款'!I44:$AH44),'2024年-挂账付款'!I44,IF('2024年-挂账付款'!$AX44-SUM('2024年-挂账付款'!J44:$AH44)&gt;0,'2024年-挂账付款'!$AX44-SUM('2024年-挂账付款'!J44:$AH44),0))</f>
        <v>0</v>
      </c>
      <c r="M44" s="44" t="str">
        <f>IF('2024年-挂账付款'!$AX44&gt;=SUM('2024年-挂账付款'!J44:$AH44),'2024年-挂账付款'!J44,IF('2024年-挂账付款'!$AX44-SUM('2024年-挂账付款'!K44:$AH44)&gt;0,'2024年-挂账付款'!$AX44-SUM('2024年-挂账付款'!K44:$AH44),0))</f>
        <v/>
      </c>
      <c r="N44" s="44">
        <f>IF('2024年-挂账付款'!$AX44&gt;=SUM('2024年-挂账付款'!K44:$AH44),'2024年-挂账付款'!K44,IF('2024年-挂账付款'!$AX44-SUM('2024年-挂账付款'!L44:$AH44)&gt;0,'2024年-挂账付款'!$AX44-SUM('2024年-挂账付款'!L44:$AH44),0))</f>
        <v>0</v>
      </c>
      <c r="O44" s="44">
        <f>IF('2024年-挂账付款'!$AX44&gt;=SUM('2024年-挂账付款'!L44:$AH44),'2024年-挂账付款'!L44,IF('2024年-挂账付款'!$AX44-SUM('2024年-挂账付款'!M44:$AH44)&gt;0,'2024年-挂账付款'!$AX44-SUM('2024年-挂账付款'!M44:$AH44),0))</f>
        <v>0</v>
      </c>
      <c r="P44" s="44">
        <f>IF('2024年-挂账付款'!$AX44&gt;=SUM('2024年-挂账付款'!M44:$AH44),'2024年-挂账付款'!M44,IF('2024年-挂账付款'!$AX44-SUM('2024年-挂账付款'!N44:$AH44)&gt;0,'2024年-挂账付款'!$AX44-SUM('2024年-挂账付款'!N44:$AH44),0))</f>
        <v>0</v>
      </c>
      <c r="Q44" s="44">
        <f>IF('2024年-挂账付款'!$AX44&gt;=SUM('2024年-挂账付款'!N44:$AH44),'2024年-挂账付款'!N44,IF('2024年-挂账付款'!$AX44-SUM('2024年-挂账付款'!O44:$AH44)&gt;0,'2024年-挂账付款'!$AX44-SUM('2024年-挂账付款'!O44:$AH44),0))</f>
        <v>0</v>
      </c>
      <c r="R44" s="44">
        <f>IF('2024年-挂账付款'!$AX44&gt;=SUM('2024年-挂账付款'!O44:$AH44),'2024年-挂账付款'!O44,IF('2024年-挂账付款'!$AX44-SUM('2024年-挂账付款'!P44:$AH44)&gt;0,'2024年-挂账付款'!$AX44-SUM('2024年-挂账付款'!P44:$AH44),0))</f>
        <v>0</v>
      </c>
      <c r="S44" s="44">
        <f>IF('2024年-挂账付款'!$AX44&gt;=SUM('2024年-挂账付款'!P44:$AH44),'2024年-挂账付款'!P44,IF('2024年-挂账付款'!$AX44-SUM('2024年-挂账付款'!Q44:$AH44)&gt;0,'2024年-挂账付款'!$AX44-SUM('2024年-挂账付款'!Q44:$AH44),0))</f>
        <v>0</v>
      </c>
      <c r="T44" s="44">
        <f>IF('2024年-挂账付款'!$AX44&gt;=SUM('2024年-挂账付款'!Q44:$AH44),'2024年-挂账付款'!Q44,IF('2024年-挂账付款'!$AX44-SUM('2024年-挂账付款'!R44:$AH44)&gt;0,'2024年-挂账付款'!$AX44-SUM('2024年-挂账付款'!R44:$AH44),0))</f>
        <v>0</v>
      </c>
      <c r="U44" s="44">
        <f>IF('2024年-挂账付款'!$AX44&gt;=SUM('2024年-挂账付款'!R44:$AH44),'2024年-挂账付款'!R44,IF('2024年-挂账付款'!$AX44-SUM('2024年-挂账付款'!S44:$AH44)&gt;0,'2024年-挂账付款'!$AX44-SUM('2024年-挂账付款'!S44:$AH44),0))</f>
        <v>0</v>
      </c>
      <c r="V44" s="44">
        <f>IF('2024年-挂账付款'!$AX44&gt;=SUM('2024年-挂账付款'!S44:$AH44),'2024年-挂账付款'!S44,IF('2024年-挂账付款'!$AX44-SUM('2024年-挂账付款'!T44:$AH44)&gt;0,'2024年-挂账付款'!$AX44-SUM('2024年-挂账付款'!T44:$AH44),0))</f>
        <v>1500.64</v>
      </c>
      <c r="W44" s="44">
        <f>IF('2024年-挂账付款'!$AX44&gt;=SUM('2024年-挂账付款'!T44:$AH44),'2024年-挂账付款'!T44,IF('2024年-挂账付款'!$AX44-SUM('2024年-挂账付款'!U44:$AH44)&gt;0,'2024年-挂账付款'!$AX44-SUM('2024年-挂账付款'!U44:$AH44),0))</f>
        <v>0</v>
      </c>
      <c r="X44" s="44">
        <f>IF('2024年-挂账付款'!$AX44&gt;=SUM('2024年-挂账付款'!U44:$AH44),'2024年-挂账付款'!U44,IF('2024年-挂账付款'!$AX44-SUM('2024年-挂账付款'!V44:$AH44)&gt;0,'2024年-挂账付款'!$AX44-SUM('2024年-挂账付款'!V44:$AH44),0))</f>
        <v>0</v>
      </c>
      <c r="Y44" s="44">
        <f>IF('2024年-挂账付款'!$AX44&gt;=SUM('2024年-挂账付款'!V44:$AH44),'2024年-挂账付款'!V44,IF('2024年-挂账付款'!$AX44-SUM('2024年-挂账付款'!W44:$AH44)&gt;0,'2024年-挂账付款'!$AX44-SUM('2024年-挂账付款'!W44:$AH44),0))</f>
        <v>0</v>
      </c>
      <c r="Z44" s="44">
        <f>IF('2024年-挂账付款'!$AX44&gt;=SUM('2024年-挂账付款'!W44:$AH44),'2024年-挂账付款'!W44,IF('2024年-挂账付款'!$AX44-SUM('2024年-挂账付款'!X44:$AH44)&gt;0,'2024年-挂账付款'!$AX44-SUM('2024年-挂账付款'!X44:$AH44),0))</f>
        <v>0</v>
      </c>
      <c r="AA44" s="44">
        <f>IF('2024年-挂账付款'!$AX44&gt;=SUM('2024年-挂账付款'!X44:$AH44),'2024年-挂账付款'!X44,IF('2024年-挂账付款'!$AX44-SUM('2024年-挂账付款'!Y44:$AH44)&gt;0,'2024年-挂账付款'!$AX44-SUM('2024年-挂账付款'!Y44:$AH44),0))</f>
        <v>0</v>
      </c>
      <c r="AB44" s="44">
        <f>IF('2024年-挂账付款'!$AX44&gt;=SUM('2024年-挂账付款'!Y44:$AH44),'2024年-挂账付款'!Y44,IF('2024年-挂账付款'!$AX44-SUM('2024年-挂账付款'!Z44:$AH44)&gt;0,'2024年-挂账付款'!$AX44-SUM('2024年-挂账付款'!Z44:$AH44),0))</f>
        <v>0</v>
      </c>
      <c r="AC44" s="44">
        <f>IF('2024年-挂账付款'!$AX44&gt;=SUM('2024年-挂账付款'!Z44:$AH44),'2024年-挂账付款'!Z44,IF('2024年-挂账付款'!$AX44-SUM('2024年-挂账付款'!AA44:$AH44)&gt;0,'2024年-挂账付款'!$AX44-SUM('2024年-挂账付款'!AA44:$AH44),0))</f>
        <v>0</v>
      </c>
      <c r="AD44" s="44">
        <f>IF('2024年-挂账付款'!$AX44&gt;=SUM('2024年-挂账付款'!AA44:$AH44),'2024年-挂账付款'!AA44,IF('2024年-挂账付款'!$AX44-SUM('2024年-挂账付款'!AB44:$AH44)&gt;0,'2024年-挂账付款'!$AX44-SUM('2024年-挂账付款'!AB44:$AH44),0))</f>
        <v>0</v>
      </c>
      <c r="AE44" s="44">
        <f>IF('2024年-挂账付款'!$AX44&gt;=SUM('2024年-挂账付款'!AB44:$AH44),'2024年-挂账付款'!AB44,IF('2024年-挂账付款'!$AX44-SUM('2024年-挂账付款'!AC44:$AH44)&gt;0,'2024年-挂账付款'!$AX44-SUM('2024年-挂账付款'!AC44:$AH44),0))</f>
        <v>0</v>
      </c>
      <c r="AF44" s="44">
        <f>IF('2024年-挂账付款'!$AX44&gt;=SUM('2024年-挂账付款'!AC44:$AH44),'2024年-挂账付款'!AC44,IF('2024年-挂账付款'!$AX44-SUM('2024年-挂账付款'!AD44:$AH44)&gt;0,'2024年-挂账付款'!$AX44-SUM('2024年-挂账付款'!AD44:$AH44),0))</f>
        <v>0</v>
      </c>
      <c r="AG44" s="44">
        <f>IF('2024年-挂账付款'!$AX44&gt;=SUM('2024年-挂账付款'!AD44:$AH44),'2024年-挂账付款'!AD44,IF('2024年-挂账付款'!$AX44-SUM('2024年-挂账付款'!AE44:$AH44)&gt;0,'2024年-挂账付款'!$AX44-SUM('2024年-挂账付款'!AE44:$AH44),0))</f>
        <v>0</v>
      </c>
      <c r="AH44" s="44">
        <f>IF('2024年-挂账付款'!$AX44&gt;=SUM('2024年-挂账付款'!AE44:$AH44),'2024年-挂账付款'!AE44,IF('2024年-挂账付款'!$AX44-SUM('2024年-挂账付款'!AF44:$AH44)&gt;0,'2024年-挂账付款'!$AX44-SUM('2024年-挂账付款'!AF44:$AH44),0))</f>
        <v>0</v>
      </c>
      <c r="AI44" s="44">
        <f>IF('2024年-挂账付款'!$AX44&gt;=SUM('2024年-挂账付款'!AF44:$AH44),'2024年-挂账付款'!AF44,IF('2024年-挂账付款'!$AX44-SUM('2024年-挂账付款'!AG44:$AH44)&gt;0,'2024年-挂账付款'!$AX44-SUM('2024年-挂账付款'!AG44:$AH44),0))</f>
        <v>0</v>
      </c>
      <c r="AJ44" s="44">
        <f>IF('2024年-挂账付款'!$AX44&gt;=SUM('2024年-挂账付款'!AG44:$AH44),'2024年-挂账付款'!AG44,IF('2024年-挂账付款'!$AX44-SUM('2024年-挂账付款'!AH44:$AH44)&gt;0,'2024年-挂账付款'!$AX44-SUM('2024年-挂账付款'!AH44:$AH44),0))</f>
        <v>0</v>
      </c>
      <c r="AK44" s="44">
        <f>IF('2024年-挂账付款'!$AX44&gt;=SUM('2024年-挂账付款'!AH44:$AH44),'2024年-挂账付款'!AH44,IF('2024年-挂账付款'!$AX44-SUM('2024年-挂账付款'!$AH44:AI44)&gt;0,'2024年-挂账付款'!$AX44-SUM('2024年-挂账付款'!$AH44:AI44),0))</f>
        <v>0</v>
      </c>
      <c r="AL44" s="88" t="s">
        <v>428</v>
      </c>
      <c r="AM44" s="89"/>
      <c r="AN44" s="86">
        <f t="shared" si="4"/>
        <v>200.085333333333</v>
      </c>
      <c r="AO44" s="91"/>
      <c r="AP44" s="10">
        <f>'2024年-挂账付款'!AX44</f>
        <v>1500.64</v>
      </c>
      <c r="AQ44" s="101">
        <f t="shared" si="7"/>
        <v>0</v>
      </c>
    </row>
    <row r="45" s="10" customFormat="1" ht="24.05" customHeight="1" spans="2:43">
      <c r="B45" s="45" t="s">
        <v>81</v>
      </c>
      <c r="C45" s="46" t="s">
        <v>124</v>
      </c>
      <c r="D45" s="46" t="s">
        <v>125</v>
      </c>
      <c r="E45" s="41">
        <v>90</v>
      </c>
      <c r="F45" s="42">
        <f t="shared" si="5"/>
        <v>43378.44</v>
      </c>
      <c r="G45" s="43">
        <f t="shared" si="6"/>
        <v>43378.44</v>
      </c>
      <c r="H45" s="44">
        <f>IF('2024年-挂账付款'!$AX45&gt;=SUM('2024年-挂账付款'!E45:$AH45),'2024年-挂账付款'!E45,IF('2024年-挂账付款'!$AX45-SUM('2024年-挂账付款'!F45:$AH45)&gt;0,'2024年-挂账付款'!$AX45-SUM('2024年-挂账付款'!F45:$AH45),0))</f>
        <v>33981.36</v>
      </c>
      <c r="I45" s="44">
        <f>IF('2024年-挂账付款'!$AX45&gt;=SUM('2024年-挂账付款'!F45:$AH45),'2024年-挂账付款'!F45,IF('2024年-挂账付款'!$AX45-SUM('2024年-挂账付款'!G45:$AH45)&gt;0,'2024年-挂账付款'!$AX45-SUM('2024年-挂账付款'!G45:$AH45),0))</f>
        <v>5410.44</v>
      </c>
      <c r="J45" s="44">
        <f>IF('2024年-挂账付款'!$AX45&gt;=SUM('2024年-挂账付款'!G45:$AH45),'2024年-挂账付款'!G45,IF('2024年-挂账付款'!$AX45-SUM('2024年-挂账付款'!H45:$AH45)&gt;0,'2024年-挂账付款'!$AX45-SUM('2024年-挂账付款'!H45:$AH45),0))</f>
        <v>3986.64</v>
      </c>
      <c r="K45" s="44">
        <f>IF('2024年-挂账付款'!$AX45&gt;=SUM('2024年-挂账付款'!H45:$AH45),'2024年-挂账付款'!H45,IF('2024年-挂账付款'!$AX45-SUM('2024年-挂账付款'!I45:$AH45)&gt;0,'2024年-挂账付款'!$AX45-SUM('2024年-挂账付款'!I45:$AH45),0))</f>
        <v>0</v>
      </c>
      <c r="L45" s="44">
        <f>IF('2024年-挂账付款'!$AX45&gt;=SUM('2024年-挂账付款'!I45:$AH45),'2024年-挂账付款'!I45,IF('2024年-挂账付款'!$AX45-SUM('2024年-挂账付款'!J45:$AH45)&gt;0,'2024年-挂账付款'!$AX45-SUM('2024年-挂账付款'!J45:$AH45),0))</f>
        <v>0</v>
      </c>
      <c r="M45" s="44">
        <f>IF('2024年-挂账付款'!$AX45&gt;=SUM('2024年-挂账付款'!J45:$AH45),'2024年-挂账付款'!J45,IF('2024年-挂账付款'!$AX45-SUM('2024年-挂账付款'!K45:$AH45)&gt;0,'2024年-挂账付款'!$AX45-SUM('2024年-挂账付款'!K45:$AH45),0))</f>
        <v>0</v>
      </c>
      <c r="N45" s="44">
        <f>IF('2024年-挂账付款'!$AX45&gt;=SUM('2024年-挂账付款'!K45:$AH45),'2024年-挂账付款'!K45,IF('2024年-挂账付款'!$AX45-SUM('2024年-挂账付款'!L45:$AH45)&gt;0,'2024年-挂账付款'!$AX45-SUM('2024年-挂账付款'!L45:$AH45),0))</f>
        <v>0</v>
      </c>
      <c r="O45" s="44">
        <f>IF('2024年-挂账付款'!$AX45&gt;=SUM('2024年-挂账付款'!L45:$AH45),'2024年-挂账付款'!L45,IF('2024年-挂账付款'!$AX45-SUM('2024年-挂账付款'!M45:$AH45)&gt;0,'2024年-挂账付款'!$AX45-SUM('2024年-挂账付款'!M45:$AH45),0))</f>
        <v>0</v>
      </c>
      <c r="P45" s="44">
        <f>IF('2024年-挂账付款'!$AX45&gt;=SUM('2024年-挂账付款'!M45:$AH45),'2024年-挂账付款'!M45,IF('2024年-挂账付款'!$AX45-SUM('2024年-挂账付款'!N45:$AH45)&gt;0,'2024年-挂账付款'!$AX45-SUM('2024年-挂账付款'!N45:$AH45),0))</f>
        <v>0</v>
      </c>
      <c r="Q45" s="44">
        <f>IF('2024年-挂账付款'!$AX45&gt;=SUM('2024年-挂账付款'!N45:$AH45),'2024年-挂账付款'!N45,IF('2024年-挂账付款'!$AX45-SUM('2024年-挂账付款'!O45:$AH45)&gt;0,'2024年-挂账付款'!$AX45-SUM('2024年-挂账付款'!O45:$AH45),0))</f>
        <v>0</v>
      </c>
      <c r="R45" s="44">
        <f>IF('2024年-挂账付款'!$AX45&gt;=SUM('2024年-挂账付款'!O45:$AH45),'2024年-挂账付款'!O45,IF('2024年-挂账付款'!$AX45-SUM('2024年-挂账付款'!P45:$AH45)&gt;0,'2024年-挂账付款'!$AX45-SUM('2024年-挂账付款'!P45:$AH45),0))</f>
        <v>0</v>
      </c>
      <c r="S45" s="44">
        <f>IF('2024年-挂账付款'!$AX45&gt;=SUM('2024年-挂账付款'!P45:$AH45),'2024年-挂账付款'!P45,IF('2024年-挂账付款'!$AX45-SUM('2024年-挂账付款'!Q45:$AH45)&gt;0,'2024年-挂账付款'!$AX45-SUM('2024年-挂账付款'!Q45:$AH45),0))</f>
        <v>0</v>
      </c>
      <c r="T45" s="44">
        <f>IF('2024年-挂账付款'!$AX45&gt;=SUM('2024年-挂账付款'!Q45:$AH45),'2024年-挂账付款'!Q45,IF('2024年-挂账付款'!$AX45-SUM('2024年-挂账付款'!R45:$AH45)&gt;0,'2024年-挂账付款'!$AX45-SUM('2024年-挂账付款'!R45:$AH45),0))</f>
        <v>0</v>
      </c>
      <c r="U45" s="44">
        <f>IF('2024年-挂账付款'!$AX45&gt;=SUM('2024年-挂账付款'!R45:$AH45),'2024年-挂账付款'!R45,IF('2024年-挂账付款'!$AX45-SUM('2024年-挂账付款'!S45:$AH45)&gt;0,'2024年-挂账付款'!$AX45-SUM('2024年-挂账付款'!S45:$AH45),0))</f>
        <v>0</v>
      </c>
      <c r="V45" s="44">
        <f>IF('2024年-挂账付款'!$AX45&gt;=SUM('2024年-挂账付款'!S45:$AH45),'2024年-挂账付款'!S45,IF('2024年-挂账付款'!$AX45-SUM('2024年-挂账付款'!T45:$AH45)&gt;0,'2024年-挂账付款'!$AX45-SUM('2024年-挂账付款'!T45:$AH45),0))</f>
        <v>0</v>
      </c>
      <c r="W45" s="44">
        <f>IF('2024年-挂账付款'!$AX45&gt;=SUM('2024年-挂账付款'!T45:$AH45),'2024年-挂账付款'!T45,IF('2024年-挂账付款'!$AX45-SUM('2024年-挂账付款'!U45:$AH45)&gt;0,'2024年-挂账付款'!$AX45-SUM('2024年-挂账付款'!U45:$AH45),0))</f>
        <v>0</v>
      </c>
      <c r="X45" s="44">
        <f>IF('2024年-挂账付款'!$AX45&gt;=SUM('2024年-挂账付款'!U45:$AH45),'2024年-挂账付款'!U45,IF('2024年-挂账付款'!$AX45-SUM('2024年-挂账付款'!V45:$AH45)&gt;0,'2024年-挂账付款'!$AX45-SUM('2024年-挂账付款'!V45:$AH45),0))</f>
        <v>0</v>
      </c>
      <c r="Y45" s="44">
        <f>IF('2024年-挂账付款'!$AX45&gt;=SUM('2024年-挂账付款'!V45:$AH45),'2024年-挂账付款'!V45,IF('2024年-挂账付款'!$AX45-SUM('2024年-挂账付款'!W45:$AH45)&gt;0,'2024年-挂账付款'!$AX45-SUM('2024年-挂账付款'!W45:$AH45),0))</f>
        <v>0</v>
      </c>
      <c r="Z45" s="44">
        <f>IF('2024年-挂账付款'!$AX45&gt;=SUM('2024年-挂账付款'!W45:$AH45),'2024年-挂账付款'!W45,IF('2024年-挂账付款'!$AX45-SUM('2024年-挂账付款'!X45:$AH45)&gt;0,'2024年-挂账付款'!$AX45-SUM('2024年-挂账付款'!X45:$AH45),0))</f>
        <v>0</v>
      </c>
      <c r="AA45" s="44">
        <f>IF('2024年-挂账付款'!$AX45&gt;=SUM('2024年-挂账付款'!X45:$AH45),'2024年-挂账付款'!X45,IF('2024年-挂账付款'!$AX45-SUM('2024年-挂账付款'!Y45:$AH45)&gt;0,'2024年-挂账付款'!$AX45-SUM('2024年-挂账付款'!Y45:$AH45),0))</f>
        <v>0</v>
      </c>
      <c r="AB45" s="44">
        <f>IF('2024年-挂账付款'!$AX45&gt;=SUM('2024年-挂账付款'!Y45:$AH45),'2024年-挂账付款'!Y45,IF('2024年-挂账付款'!$AX45-SUM('2024年-挂账付款'!Z45:$AH45)&gt;0,'2024年-挂账付款'!$AX45-SUM('2024年-挂账付款'!Z45:$AH45),0))</f>
        <v>0</v>
      </c>
      <c r="AC45" s="44">
        <f>IF('2024年-挂账付款'!$AX45&gt;=SUM('2024年-挂账付款'!Z45:$AH45),'2024年-挂账付款'!Z45,IF('2024年-挂账付款'!$AX45-SUM('2024年-挂账付款'!AA45:$AH45)&gt;0,'2024年-挂账付款'!$AX45-SUM('2024年-挂账付款'!AA45:$AH45),0))</f>
        <v>0</v>
      </c>
      <c r="AD45" s="44">
        <f>IF('2024年-挂账付款'!$AX45&gt;=SUM('2024年-挂账付款'!AA45:$AH45),'2024年-挂账付款'!AA45,IF('2024年-挂账付款'!$AX45-SUM('2024年-挂账付款'!AB45:$AH45)&gt;0,'2024年-挂账付款'!$AX45-SUM('2024年-挂账付款'!AB45:$AH45),0))</f>
        <v>0</v>
      </c>
      <c r="AE45" s="44">
        <f>IF('2024年-挂账付款'!$AX45&gt;=SUM('2024年-挂账付款'!AB45:$AH45),'2024年-挂账付款'!AB45,IF('2024年-挂账付款'!$AX45-SUM('2024年-挂账付款'!AC45:$AH45)&gt;0,'2024年-挂账付款'!$AX45-SUM('2024年-挂账付款'!AC45:$AH45),0))</f>
        <v>0</v>
      </c>
      <c r="AF45" s="44">
        <f>IF('2024年-挂账付款'!$AX45&gt;=SUM('2024年-挂账付款'!AC45:$AH45),'2024年-挂账付款'!AC45,IF('2024年-挂账付款'!$AX45-SUM('2024年-挂账付款'!AD45:$AH45)&gt;0,'2024年-挂账付款'!$AX45-SUM('2024年-挂账付款'!AD45:$AH45),0))</f>
        <v>0</v>
      </c>
      <c r="AG45" s="44">
        <f>IF('2024年-挂账付款'!$AX45&gt;=SUM('2024年-挂账付款'!AD45:$AH45),'2024年-挂账付款'!AD45,IF('2024年-挂账付款'!$AX45-SUM('2024年-挂账付款'!AE45:$AH45)&gt;0,'2024年-挂账付款'!$AX45-SUM('2024年-挂账付款'!AE45:$AH45),0))</f>
        <v>0</v>
      </c>
      <c r="AH45" s="44">
        <f>IF('2024年-挂账付款'!$AX45&gt;=SUM('2024年-挂账付款'!AE45:$AH45),'2024年-挂账付款'!AE45,IF('2024年-挂账付款'!$AX45-SUM('2024年-挂账付款'!AF45:$AH45)&gt;0,'2024年-挂账付款'!$AX45-SUM('2024年-挂账付款'!AF45:$AH45),0))</f>
        <v>0</v>
      </c>
      <c r="AI45" s="44">
        <f>IF('2024年-挂账付款'!$AX45&gt;=SUM('2024年-挂账付款'!AF45:$AH45),'2024年-挂账付款'!AF45,IF('2024年-挂账付款'!$AX45-SUM('2024年-挂账付款'!AG45:$AH45)&gt;0,'2024年-挂账付款'!$AX45-SUM('2024年-挂账付款'!AG45:$AH45),0))</f>
        <v>0</v>
      </c>
      <c r="AJ45" s="44">
        <f>IF('2024年-挂账付款'!$AX45&gt;=SUM('2024年-挂账付款'!AG45:$AH45),'2024年-挂账付款'!AG45,IF('2024年-挂账付款'!$AX45-SUM('2024年-挂账付款'!AH45:$AH45)&gt;0,'2024年-挂账付款'!$AX45-SUM('2024年-挂账付款'!AH45:$AH45),0))</f>
        <v>0</v>
      </c>
      <c r="AK45" s="44">
        <f>IF('2024年-挂账付款'!$AX45&gt;=SUM('2024年-挂账付款'!AH45:$AH45),'2024年-挂账付款'!AH45,IF('2024年-挂账付款'!$AX45-SUM('2024年-挂账付款'!$AH45:AI45)&gt;0,'2024年-挂账付款'!$AX45-SUM('2024年-挂账付款'!$AH45:AI45),0))</f>
        <v>0</v>
      </c>
      <c r="AL45" s="88"/>
      <c r="AM45" s="89" t="s">
        <v>380</v>
      </c>
      <c r="AN45" s="86">
        <f t="shared" si="4"/>
        <v>0</v>
      </c>
      <c r="AO45" s="91"/>
      <c r="AP45" s="10">
        <f>'2024年-挂账付款'!AX45</f>
        <v>43378.44</v>
      </c>
      <c r="AQ45" s="101">
        <f t="shared" si="7"/>
        <v>0</v>
      </c>
    </row>
    <row r="46" s="10" customFormat="1" ht="24.05" customHeight="1" spans="2:43">
      <c r="B46" s="45" t="s">
        <v>81</v>
      </c>
      <c r="C46" s="46"/>
      <c r="D46" s="46" t="s">
        <v>334</v>
      </c>
      <c r="E46" s="41">
        <v>90</v>
      </c>
      <c r="F46" s="42">
        <f t="shared" si="5"/>
        <v>28982.13</v>
      </c>
      <c r="G46" s="43">
        <f t="shared" si="6"/>
        <v>28982.13</v>
      </c>
      <c r="H46" s="44">
        <f>IF('2024年-挂账付款'!$AX46&gt;=SUM('2024年-挂账付款'!E46:$AH46),'2024年-挂账付款'!E46,IF('2024年-挂账付款'!$AX46-SUM('2024年-挂账付款'!F46:$AH46)&gt;0,'2024年-挂账付款'!$AX46-SUM('2024年-挂账付款'!F46:$AH46),0))</f>
        <v>0</v>
      </c>
      <c r="I46" s="44">
        <f>IF('2024年-挂账付款'!$AX46&gt;=SUM('2024年-挂账付款'!F46:$AH46),'2024年-挂账付款'!F46,IF('2024年-挂账付款'!$AX46-SUM('2024年-挂账付款'!G46:$AH46)&gt;0,'2024年-挂账付款'!$AX46-SUM('2024年-挂账付款'!G46:$AH46),0))</f>
        <v>0</v>
      </c>
      <c r="J46" s="44">
        <f>IF('2024年-挂账付款'!$AX46&gt;=SUM('2024年-挂账付款'!G46:$AH46),'2024年-挂账付款'!G46,IF('2024年-挂账付款'!$AX46-SUM('2024年-挂账付款'!H46:$AH46)&gt;0,'2024年-挂账付款'!$AX46-SUM('2024年-挂账付款'!H46:$AH46),0))</f>
        <v>0</v>
      </c>
      <c r="K46" s="44">
        <f>IF('2024年-挂账付款'!$AX46&gt;=SUM('2024年-挂账付款'!H46:$AH46),'2024年-挂账付款'!H46,IF('2024年-挂账付款'!$AX46-SUM('2024年-挂账付款'!I46:$AH46)&gt;0,'2024年-挂账付款'!$AX46-SUM('2024年-挂账付款'!I46:$AH46),0))</f>
        <v>0</v>
      </c>
      <c r="L46" s="44">
        <f>IF('2024年-挂账付款'!$AX46&gt;=SUM('2024年-挂账付款'!I46:$AH46),'2024年-挂账付款'!I46,IF('2024年-挂账付款'!$AX46-SUM('2024年-挂账付款'!J46:$AH46)&gt;0,'2024年-挂账付款'!$AX46-SUM('2024年-挂账付款'!J46:$AH46),0))</f>
        <v>0</v>
      </c>
      <c r="M46" s="44" t="str">
        <f>IF('2024年-挂账付款'!$AX46&gt;=SUM('2024年-挂账付款'!J46:$AH46),'2024年-挂账付款'!J46,IF('2024年-挂账付款'!$AX46-SUM('2024年-挂账付款'!K46:$AH46)&gt;0,'2024年-挂账付款'!$AX46-SUM('2024年-挂账付款'!K46:$AH46),0))</f>
        <v/>
      </c>
      <c r="N46" s="44">
        <f>IF('2024年-挂账付款'!$AX46&gt;=SUM('2024年-挂账付款'!K46:$AH46),'2024年-挂账付款'!K46,IF('2024年-挂账付款'!$AX46-SUM('2024年-挂账付款'!L46:$AH46)&gt;0,'2024年-挂账付款'!$AX46-SUM('2024年-挂账付款'!L46:$AH46),0))</f>
        <v>0</v>
      </c>
      <c r="O46" s="44">
        <f>IF('2024年-挂账付款'!$AX46&gt;=SUM('2024年-挂账付款'!L46:$AH46),'2024年-挂账付款'!L46,IF('2024年-挂账付款'!$AX46-SUM('2024年-挂账付款'!M46:$AH46)&gt;0,'2024年-挂账付款'!$AX46-SUM('2024年-挂账付款'!M46:$AH46),0))</f>
        <v>0</v>
      </c>
      <c r="P46" s="44">
        <f>IF('2024年-挂账付款'!$AX46&gt;=SUM('2024年-挂账付款'!M46:$AH46),'2024年-挂账付款'!M46,IF('2024年-挂账付款'!$AX46-SUM('2024年-挂账付款'!N46:$AH46)&gt;0,'2024年-挂账付款'!$AX46-SUM('2024年-挂账付款'!N46:$AH46),0))</f>
        <v>0</v>
      </c>
      <c r="Q46" s="44">
        <f>IF('2024年-挂账付款'!$AX46&gt;=SUM('2024年-挂账付款'!N46:$AH46),'2024年-挂账付款'!N46,IF('2024年-挂账付款'!$AX46-SUM('2024年-挂账付款'!O46:$AH46)&gt;0,'2024年-挂账付款'!$AX46-SUM('2024年-挂账付款'!O46:$AH46),0))</f>
        <v>0</v>
      </c>
      <c r="R46" s="44">
        <f>IF('2024年-挂账付款'!$AX46&gt;=SUM('2024年-挂账付款'!O46:$AH46),'2024年-挂账付款'!O46,IF('2024年-挂账付款'!$AX46-SUM('2024年-挂账付款'!P46:$AH46)&gt;0,'2024年-挂账付款'!$AX46-SUM('2024年-挂账付款'!P46:$AH46),0))</f>
        <v>0</v>
      </c>
      <c r="S46" s="44">
        <f>IF('2024年-挂账付款'!$AX46&gt;=SUM('2024年-挂账付款'!P46:$AH46),'2024年-挂账付款'!P46,IF('2024年-挂账付款'!$AX46-SUM('2024年-挂账付款'!Q46:$AH46)&gt;0,'2024年-挂账付款'!$AX46-SUM('2024年-挂账付款'!Q46:$AH46),0))</f>
        <v>0</v>
      </c>
      <c r="T46" s="44">
        <f>IF('2024年-挂账付款'!$AX46&gt;=SUM('2024年-挂账付款'!Q46:$AH46),'2024年-挂账付款'!Q46,IF('2024年-挂账付款'!$AX46-SUM('2024年-挂账付款'!R46:$AH46)&gt;0,'2024年-挂账付款'!$AX46-SUM('2024年-挂账付款'!R46:$AH46),0))</f>
        <v>0</v>
      </c>
      <c r="U46" s="44">
        <f>IF('2024年-挂账付款'!$AX46&gt;=SUM('2024年-挂账付款'!R46:$AH46),'2024年-挂账付款'!R46,IF('2024年-挂账付款'!$AX46-SUM('2024年-挂账付款'!S46:$AH46)&gt;0,'2024年-挂账付款'!$AX46-SUM('2024年-挂账付款'!S46:$AH46),0))</f>
        <v>0</v>
      </c>
      <c r="V46" s="44">
        <f>IF('2024年-挂账付款'!$AX46&gt;=SUM('2024年-挂账付款'!S46:$AH46),'2024年-挂账付款'!S46,IF('2024年-挂账付款'!$AX46-SUM('2024年-挂账付款'!T46:$AH46)&gt;0,'2024年-挂账付款'!$AX46-SUM('2024年-挂账付款'!T46:$AH46),0))</f>
        <v>28982.13</v>
      </c>
      <c r="W46" s="44">
        <f>IF('2024年-挂账付款'!$AX46&gt;=SUM('2024年-挂账付款'!T46:$AH46),'2024年-挂账付款'!T46,IF('2024年-挂账付款'!$AX46-SUM('2024年-挂账付款'!U46:$AH46)&gt;0,'2024年-挂账付款'!$AX46-SUM('2024年-挂账付款'!U46:$AH46),0))</f>
        <v>0</v>
      </c>
      <c r="X46" s="44">
        <f>IF('2024年-挂账付款'!$AX46&gt;=SUM('2024年-挂账付款'!U46:$AH46),'2024年-挂账付款'!U46,IF('2024年-挂账付款'!$AX46-SUM('2024年-挂账付款'!V46:$AH46)&gt;0,'2024年-挂账付款'!$AX46-SUM('2024年-挂账付款'!V46:$AH46),0))</f>
        <v>0</v>
      </c>
      <c r="Y46" s="44">
        <f>IF('2024年-挂账付款'!$AX46&gt;=SUM('2024年-挂账付款'!V46:$AH46),'2024年-挂账付款'!V46,IF('2024年-挂账付款'!$AX46-SUM('2024年-挂账付款'!W46:$AH46)&gt;0,'2024年-挂账付款'!$AX46-SUM('2024年-挂账付款'!W46:$AH46),0))</f>
        <v>0</v>
      </c>
      <c r="Z46" s="44">
        <f>IF('2024年-挂账付款'!$AX46&gt;=SUM('2024年-挂账付款'!W46:$AH46),'2024年-挂账付款'!W46,IF('2024年-挂账付款'!$AX46-SUM('2024年-挂账付款'!X46:$AH46)&gt;0,'2024年-挂账付款'!$AX46-SUM('2024年-挂账付款'!X46:$AH46),0))</f>
        <v>0</v>
      </c>
      <c r="AA46" s="44">
        <f>IF('2024年-挂账付款'!$AX46&gt;=SUM('2024年-挂账付款'!X46:$AH46),'2024年-挂账付款'!X46,IF('2024年-挂账付款'!$AX46-SUM('2024年-挂账付款'!Y46:$AH46)&gt;0,'2024年-挂账付款'!$AX46-SUM('2024年-挂账付款'!Y46:$AH46),0))</f>
        <v>0</v>
      </c>
      <c r="AB46" s="44">
        <f>IF('2024年-挂账付款'!$AX46&gt;=SUM('2024年-挂账付款'!Y46:$AH46),'2024年-挂账付款'!Y46,IF('2024年-挂账付款'!$AX46-SUM('2024年-挂账付款'!Z46:$AH46)&gt;0,'2024年-挂账付款'!$AX46-SUM('2024年-挂账付款'!Z46:$AH46),0))</f>
        <v>0</v>
      </c>
      <c r="AC46" s="44">
        <f>IF('2024年-挂账付款'!$AX46&gt;=SUM('2024年-挂账付款'!Z46:$AH46),'2024年-挂账付款'!Z46,IF('2024年-挂账付款'!$AX46-SUM('2024年-挂账付款'!AA46:$AH46)&gt;0,'2024年-挂账付款'!$AX46-SUM('2024年-挂账付款'!AA46:$AH46),0))</f>
        <v>0</v>
      </c>
      <c r="AD46" s="44">
        <f>IF('2024年-挂账付款'!$AX46&gt;=SUM('2024年-挂账付款'!AA46:$AH46),'2024年-挂账付款'!AA46,IF('2024年-挂账付款'!$AX46-SUM('2024年-挂账付款'!AB46:$AH46)&gt;0,'2024年-挂账付款'!$AX46-SUM('2024年-挂账付款'!AB46:$AH46),0))</f>
        <v>0</v>
      </c>
      <c r="AE46" s="44">
        <f>IF('2024年-挂账付款'!$AX46&gt;=SUM('2024年-挂账付款'!AB46:$AH46),'2024年-挂账付款'!AB46,IF('2024年-挂账付款'!$AX46-SUM('2024年-挂账付款'!AC46:$AH46)&gt;0,'2024年-挂账付款'!$AX46-SUM('2024年-挂账付款'!AC46:$AH46),0))</f>
        <v>0</v>
      </c>
      <c r="AF46" s="44">
        <f>IF('2024年-挂账付款'!$AX46&gt;=SUM('2024年-挂账付款'!AC46:$AH46),'2024年-挂账付款'!AC46,IF('2024年-挂账付款'!$AX46-SUM('2024年-挂账付款'!AD46:$AH46)&gt;0,'2024年-挂账付款'!$AX46-SUM('2024年-挂账付款'!AD46:$AH46),0))</f>
        <v>0</v>
      </c>
      <c r="AG46" s="44">
        <f>IF('2024年-挂账付款'!$AX46&gt;=SUM('2024年-挂账付款'!AD46:$AH46),'2024年-挂账付款'!AD46,IF('2024年-挂账付款'!$AX46-SUM('2024年-挂账付款'!AE46:$AH46)&gt;0,'2024年-挂账付款'!$AX46-SUM('2024年-挂账付款'!AE46:$AH46),0))</f>
        <v>0</v>
      </c>
      <c r="AH46" s="44">
        <f>IF('2024年-挂账付款'!$AX46&gt;=SUM('2024年-挂账付款'!AE46:$AH46),'2024年-挂账付款'!AE46,IF('2024年-挂账付款'!$AX46-SUM('2024年-挂账付款'!AF46:$AH46)&gt;0,'2024年-挂账付款'!$AX46-SUM('2024年-挂账付款'!AF46:$AH46),0))</f>
        <v>0</v>
      </c>
      <c r="AI46" s="44">
        <f>IF('2024年-挂账付款'!$AX46&gt;=SUM('2024年-挂账付款'!AF46:$AH46),'2024年-挂账付款'!AF46,IF('2024年-挂账付款'!$AX46-SUM('2024年-挂账付款'!AG46:$AH46)&gt;0,'2024年-挂账付款'!$AX46-SUM('2024年-挂账付款'!AG46:$AH46),0))</f>
        <v>0</v>
      </c>
      <c r="AJ46" s="44">
        <f>IF('2024年-挂账付款'!$AX46&gt;=SUM('2024年-挂账付款'!AG46:$AH46),'2024年-挂账付款'!AG46,IF('2024年-挂账付款'!$AX46-SUM('2024年-挂账付款'!AH46:$AH46)&gt;0,'2024年-挂账付款'!$AX46-SUM('2024年-挂账付款'!AH46:$AH46),0))</f>
        <v>0</v>
      </c>
      <c r="AK46" s="44">
        <f>IF('2024年-挂账付款'!$AX46&gt;=SUM('2024年-挂账付款'!AH46:$AH46),'2024年-挂账付款'!AH46,IF('2024年-挂账付款'!$AX46-SUM('2024年-挂账付款'!$AH46:AI46)&gt;0,'2024年-挂账付款'!$AX46-SUM('2024年-挂账付款'!$AH46:AI46),0))</f>
        <v>0</v>
      </c>
      <c r="AL46" s="88"/>
      <c r="AM46" s="90"/>
      <c r="AN46" s="96">
        <f t="shared" si="4"/>
        <v>3864.284</v>
      </c>
      <c r="AO46" s="91"/>
      <c r="AP46" s="10">
        <f>'2024年-挂账付款'!AX46</f>
        <v>28982.13</v>
      </c>
      <c r="AQ46" s="101">
        <f t="shared" si="7"/>
        <v>0</v>
      </c>
    </row>
    <row r="47" s="10" customFormat="1" ht="24.05" customHeight="1" spans="2:43">
      <c r="B47" s="45" t="s">
        <v>81</v>
      </c>
      <c r="C47" s="46"/>
      <c r="D47" s="46" t="s">
        <v>335</v>
      </c>
      <c r="E47" s="41">
        <v>90</v>
      </c>
      <c r="F47" s="42">
        <f t="shared" si="5"/>
        <v>0</v>
      </c>
      <c r="G47" s="43">
        <f t="shared" si="6"/>
        <v>60504.28</v>
      </c>
      <c r="H47" s="44">
        <f>IF('2024年-挂账付款'!$AX47&gt;=SUM('2024年-挂账付款'!E47:$AH47),'2024年-挂账付款'!E47,IF('2024年-挂账付款'!$AX47-SUM('2024年-挂账付款'!F47:$AH47)&gt;0,'2024年-挂账付款'!$AX47-SUM('2024年-挂账付款'!F47:$AH47),0))</f>
        <v>0</v>
      </c>
      <c r="I47" s="44">
        <f>IF('2024年-挂账付款'!$AX47&gt;=SUM('2024年-挂账付款'!F47:$AH47),'2024年-挂账付款'!F47,IF('2024年-挂账付款'!$AX47-SUM('2024年-挂账付款'!G47:$AH47)&gt;0,'2024年-挂账付款'!$AX47-SUM('2024年-挂账付款'!G47:$AH47),0))</f>
        <v>0</v>
      </c>
      <c r="J47" s="44">
        <f>IF('2024年-挂账付款'!$AX47&gt;=SUM('2024年-挂账付款'!G47:$AH47),'2024年-挂账付款'!G47,IF('2024年-挂账付款'!$AX47-SUM('2024年-挂账付款'!H47:$AH47)&gt;0,'2024年-挂账付款'!$AX47-SUM('2024年-挂账付款'!H47:$AH47),0))</f>
        <v>0</v>
      </c>
      <c r="K47" s="44">
        <f>IF('2024年-挂账付款'!$AX47&gt;=SUM('2024年-挂账付款'!H47:$AH47),'2024年-挂账付款'!H47,IF('2024年-挂账付款'!$AX47-SUM('2024年-挂账付款'!I47:$AH47)&gt;0,'2024年-挂账付款'!$AX47-SUM('2024年-挂账付款'!I47:$AH47),0))</f>
        <v>0</v>
      </c>
      <c r="L47" s="44">
        <f>IF('2024年-挂账付款'!$AX47&gt;=SUM('2024年-挂账付款'!I47:$AH47),'2024年-挂账付款'!I47,IF('2024年-挂账付款'!$AX47-SUM('2024年-挂账付款'!J47:$AH47)&gt;0,'2024年-挂账付款'!$AX47-SUM('2024年-挂账付款'!J47:$AH47),0))</f>
        <v>0</v>
      </c>
      <c r="M47" s="44">
        <f>IF('2024年-挂账付款'!$AX47&gt;=SUM('2024年-挂账付款'!J47:$AH47),'2024年-挂账付款'!J47,IF('2024年-挂账付款'!$AX47-SUM('2024年-挂账付款'!K47:$AH47)&gt;0,'2024年-挂账付款'!$AX47-SUM('2024年-挂账付款'!K47:$AH47),0))</f>
        <v>0</v>
      </c>
      <c r="N47" s="44">
        <f>IF('2024年-挂账付款'!$AX47&gt;=SUM('2024年-挂账付款'!K47:$AH47),'2024年-挂账付款'!K47,IF('2024年-挂账付款'!$AX47-SUM('2024年-挂账付款'!L47:$AH47)&gt;0,'2024年-挂账付款'!$AX47-SUM('2024年-挂账付款'!L47:$AH47),0))</f>
        <v>0</v>
      </c>
      <c r="O47" s="44">
        <f>IF('2024年-挂账付款'!$AX47&gt;=SUM('2024年-挂账付款'!L47:$AH47),'2024年-挂账付款'!L47,IF('2024年-挂账付款'!$AX47-SUM('2024年-挂账付款'!M47:$AH47)&gt;0,'2024年-挂账付款'!$AX47-SUM('2024年-挂账付款'!M47:$AH47),0))</f>
        <v>0</v>
      </c>
      <c r="P47" s="44">
        <f>IF('2024年-挂账付款'!$AX47&gt;=SUM('2024年-挂账付款'!M47:$AH47),'2024年-挂账付款'!M47,IF('2024年-挂账付款'!$AX47-SUM('2024年-挂账付款'!N47:$AH47)&gt;0,'2024年-挂账付款'!$AX47-SUM('2024年-挂账付款'!N47:$AH47),0))</f>
        <v>0</v>
      </c>
      <c r="Q47" s="44">
        <f>IF('2024年-挂账付款'!$AX47&gt;=SUM('2024年-挂账付款'!N47:$AH47),'2024年-挂账付款'!N47,IF('2024年-挂账付款'!$AX47-SUM('2024年-挂账付款'!O47:$AH47)&gt;0,'2024年-挂账付款'!$AX47-SUM('2024年-挂账付款'!O47:$AH47),0))</f>
        <v>0</v>
      </c>
      <c r="R47" s="44">
        <f>IF('2024年-挂账付款'!$AX47&gt;=SUM('2024年-挂账付款'!O47:$AH47),'2024年-挂账付款'!O47,IF('2024年-挂账付款'!$AX47-SUM('2024年-挂账付款'!P47:$AH47)&gt;0,'2024年-挂账付款'!$AX47-SUM('2024年-挂账付款'!P47:$AH47),0))</f>
        <v>0</v>
      </c>
      <c r="S47" s="44">
        <f>IF('2024年-挂账付款'!$AX47&gt;=SUM('2024年-挂账付款'!P47:$AH47),'2024年-挂账付款'!P47,IF('2024年-挂账付款'!$AX47-SUM('2024年-挂账付款'!Q47:$AH47)&gt;0,'2024年-挂账付款'!$AX47-SUM('2024年-挂账付款'!Q47:$AH47),0))</f>
        <v>0</v>
      </c>
      <c r="T47" s="44">
        <f>IF('2024年-挂账付款'!$AX47&gt;=SUM('2024年-挂账付款'!Q47:$AH47),'2024年-挂账付款'!Q47,IF('2024年-挂账付款'!$AX47-SUM('2024年-挂账付款'!R47:$AH47)&gt;0,'2024年-挂账付款'!$AX47-SUM('2024年-挂账付款'!R47:$AH47),0))</f>
        <v>0</v>
      </c>
      <c r="U47" s="44">
        <f>IF('2024年-挂账付款'!$AX47&gt;=SUM('2024年-挂账付款'!R47:$AH47),'2024年-挂账付款'!R47,IF('2024年-挂账付款'!$AX47-SUM('2024年-挂账付款'!S47:$AH47)&gt;0,'2024年-挂账付款'!$AX47-SUM('2024年-挂账付款'!S47:$AH47),0))</f>
        <v>0</v>
      </c>
      <c r="V47" s="44">
        <f>IF('2024年-挂账付款'!$AX47&gt;=SUM('2024年-挂账付款'!S47:$AH47),'2024年-挂账付款'!S47,IF('2024年-挂账付款'!$AX47-SUM('2024年-挂账付款'!T47:$AH47)&gt;0,'2024年-挂账付款'!$AX47-SUM('2024年-挂账付款'!T47:$AH47),0))</f>
        <v>0</v>
      </c>
      <c r="W47" s="44">
        <f>IF('2024年-挂账付款'!$AX47&gt;=SUM('2024年-挂账付款'!T47:$AH47),'2024年-挂账付款'!T47,IF('2024年-挂账付款'!$AX47-SUM('2024年-挂账付款'!U47:$AH47)&gt;0,'2024年-挂账付款'!$AX47-SUM('2024年-挂账付款'!U47:$AH47),0))</f>
        <v>0</v>
      </c>
      <c r="X47" s="44">
        <f>IF('2024年-挂账付款'!$AX47&gt;=SUM('2024年-挂账付款'!U47:$AH47),'2024年-挂账付款'!U47,IF('2024年-挂账付款'!$AX47-SUM('2024年-挂账付款'!V47:$AH47)&gt;0,'2024年-挂账付款'!$AX47-SUM('2024年-挂账付款'!V47:$AH47),0))</f>
        <v>60504.28</v>
      </c>
      <c r="Y47" s="44">
        <f>IF('2024年-挂账付款'!$AX47&gt;=SUM('2024年-挂账付款'!V47:$AH47),'2024年-挂账付款'!V47,IF('2024年-挂账付款'!$AX47-SUM('2024年-挂账付款'!W47:$AH47)&gt;0,'2024年-挂账付款'!$AX47-SUM('2024年-挂账付款'!W47:$AH47),0))</f>
        <v>0</v>
      </c>
      <c r="Z47" s="44">
        <f>IF('2024年-挂账付款'!$AX47&gt;=SUM('2024年-挂账付款'!W47:$AH47),'2024年-挂账付款'!W47,IF('2024年-挂账付款'!$AX47-SUM('2024年-挂账付款'!X47:$AH47)&gt;0,'2024年-挂账付款'!$AX47-SUM('2024年-挂账付款'!X47:$AH47),0))</f>
        <v>20988.62</v>
      </c>
      <c r="AA47" s="44">
        <f>IF('2024年-挂账付款'!$AX47&gt;=SUM('2024年-挂账付款'!X47:$AH47),'2024年-挂账付款'!X47,IF('2024年-挂账付款'!$AX47-SUM('2024年-挂账付款'!Y47:$AH47)&gt;0,'2024年-挂账付款'!$AX47-SUM('2024年-挂账付款'!Y47:$AH47),0))</f>
        <v>0</v>
      </c>
      <c r="AB47" s="44">
        <f>IF('2024年-挂账付款'!$AX47&gt;=SUM('2024年-挂账付款'!Y47:$AH47),'2024年-挂账付款'!Y47,IF('2024年-挂账付款'!$AX47-SUM('2024年-挂账付款'!Z47:$AH47)&gt;0,'2024年-挂账付款'!$AX47-SUM('2024年-挂账付款'!Z47:$AH47),0))</f>
        <v>0</v>
      </c>
      <c r="AC47" s="44">
        <f>IF('2024年-挂账付款'!$AX47&gt;=SUM('2024年-挂账付款'!Z47:$AH47),'2024年-挂账付款'!Z47,IF('2024年-挂账付款'!$AX47-SUM('2024年-挂账付款'!AA47:$AH47)&gt;0,'2024年-挂账付款'!$AX47-SUM('2024年-挂账付款'!AA47:$AH47),0))</f>
        <v>0</v>
      </c>
      <c r="AD47" s="44">
        <f>IF('2024年-挂账付款'!$AX47&gt;=SUM('2024年-挂账付款'!AA47:$AH47),'2024年-挂账付款'!AA47,IF('2024年-挂账付款'!$AX47-SUM('2024年-挂账付款'!AB47:$AH47)&gt;0,'2024年-挂账付款'!$AX47-SUM('2024年-挂账付款'!AB47:$AH47),0))</f>
        <v>0</v>
      </c>
      <c r="AE47" s="44">
        <f>IF('2024年-挂账付款'!$AX47&gt;=SUM('2024年-挂账付款'!AB47:$AH47),'2024年-挂账付款'!AB47,IF('2024年-挂账付款'!$AX47-SUM('2024年-挂账付款'!AC47:$AH47)&gt;0,'2024年-挂账付款'!$AX47-SUM('2024年-挂账付款'!AC47:$AH47),0))</f>
        <v>0</v>
      </c>
      <c r="AF47" s="44">
        <f>IF('2024年-挂账付款'!$AX47&gt;=SUM('2024年-挂账付款'!AC47:$AH47),'2024年-挂账付款'!AC47,IF('2024年-挂账付款'!$AX47-SUM('2024年-挂账付款'!AD47:$AH47)&gt;0,'2024年-挂账付款'!$AX47-SUM('2024年-挂账付款'!AD47:$AH47),0))</f>
        <v>0</v>
      </c>
      <c r="AG47" s="44">
        <f>IF('2024年-挂账付款'!$AX47&gt;=SUM('2024年-挂账付款'!AD47:$AH47),'2024年-挂账付款'!AD47,IF('2024年-挂账付款'!$AX47-SUM('2024年-挂账付款'!AE47:$AH47)&gt;0,'2024年-挂账付款'!$AX47-SUM('2024年-挂账付款'!AE47:$AH47),0))</f>
        <v>0</v>
      </c>
      <c r="AH47" s="44">
        <f>IF('2024年-挂账付款'!$AX47&gt;=SUM('2024年-挂账付款'!AE47:$AH47),'2024年-挂账付款'!AE47,IF('2024年-挂账付款'!$AX47-SUM('2024年-挂账付款'!AF47:$AH47)&gt;0,'2024年-挂账付款'!$AX47-SUM('2024年-挂账付款'!AF47:$AH47),0))</f>
        <v>0</v>
      </c>
      <c r="AI47" s="44">
        <f>IF('2024年-挂账付款'!$AX47&gt;=SUM('2024年-挂账付款'!AF47:$AH47),'2024年-挂账付款'!AF47,IF('2024年-挂账付款'!$AX47-SUM('2024年-挂账付款'!AG47:$AH47)&gt;0,'2024年-挂账付款'!$AX47-SUM('2024年-挂账付款'!AG47:$AH47),0))</f>
        <v>0</v>
      </c>
      <c r="AJ47" s="44">
        <f>IF('2024年-挂账付款'!$AX47&gt;=SUM('2024年-挂账付款'!AG47:$AH47),'2024年-挂账付款'!AG47,IF('2024年-挂账付款'!$AX47-SUM('2024年-挂账付款'!AH47:$AH47)&gt;0,'2024年-挂账付款'!$AX47-SUM('2024年-挂账付款'!AH47:$AH47),0))</f>
        <v>0</v>
      </c>
      <c r="AK47" s="44">
        <f>IF('2024年-挂账付款'!$AX47&gt;=SUM('2024年-挂账付款'!AH47:$AH47),'2024年-挂账付款'!AH47,IF('2024年-挂账付款'!$AX47-SUM('2024年-挂账付款'!$AH47:AI47)&gt;0,'2024年-挂账付款'!$AX47-SUM('2024年-挂账付款'!$AH47:AI47),0))</f>
        <v>0</v>
      </c>
      <c r="AL47" s="88"/>
      <c r="AM47" s="89"/>
      <c r="AN47" s="86">
        <f t="shared" si="4"/>
        <v>8067.23733333333</v>
      </c>
      <c r="AO47" s="91"/>
      <c r="AP47" s="10">
        <f>'2024年-挂账付款'!AX47</f>
        <v>81492.9</v>
      </c>
      <c r="AQ47" s="101">
        <f t="shared" si="7"/>
        <v>-20988.62</v>
      </c>
    </row>
    <row r="48" s="10" customFormat="1" ht="24.05" customHeight="1" spans="2:43">
      <c r="B48" s="45" t="s">
        <v>81</v>
      </c>
      <c r="C48" s="46"/>
      <c r="D48" s="46" t="s">
        <v>336</v>
      </c>
      <c r="E48" s="41">
        <v>90</v>
      </c>
      <c r="F48" s="42">
        <f t="shared" si="5"/>
        <v>0</v>
      </c>
      <c r="G48" s="43">
        <f t="shared" si="6"/>
        <v>5237.55</v>
      </c>
      <c r="H48" s="44">
        <f>IF('2024年-挂账付款'!$AX48&gt;=SUM('2024年-挂账付款'!E48:$AH48),'2024年-挂账付款'!E48,IF('2024年-挂账付款'!$AX48-SUM('2024年-挂账付款'!F48:$AH48)&gt;0,'2024年-挂账付款'!$AX48-SUM('2024年-挂账付款'!F48:$AH48),0))</f>
        <v>0</v>
      </c>
      <c r="I48" s="44">
        <f>IF('2024年-挂账付款'!$AX48&gt;=SUM('2024年-挂账付款'!F48:$AH48),'2024年-挂账付款'!F48,IF('2024年-挂账付款'!$AX48-SUM('2024年-挂账付款'!G48:$AH48)&gt;0,'2024年-挂账付款'!$AX48-SUM('2024年-挂账付款'!G48:$AH48),0))</f>
        <v>0</v>
      </c>
      <c r="J48" s="44">
        <f>IF('2024年-挂账付款'!$AX48&gt;=SUM('2024年-挂账付款'!G48:$AH48),'2024年-挂账付款'!G48,IF('2024年-挂账付款'!$AX48-SUM('2024年-挂账付款'!H48:$AH48)&gt;0,'2024年-挂账付款'!$AX48-SUM('2024年-挂账付款'!H48:$AH48),0))</f>
        <v>0</v>
      </c>
      <c r="K48" s="44">
        <f>IF('2024年-挂账付款'!$AX48&gt;=SUM('2024年-挂账付款'!H48:$AH48),'2024年-挂账付款'!H48,IF('2024年-挂账付款'!$AX48-SUM('2024年-挂账付款'!I48:$AH48)&gt;0,'2024年-挂账付款'!$AX48-SUM('2024年-挂账付款'!I48:$AH48),0))</f>
        <v>0</v>
      </c>
      <c r="L48" s="44">
        <f>IF('2024年-挂账付款'!$AX48&gt;=SUM('2024年-挂账付款'!I48:$AH48),'2024年-挂账付款'!I48,IF('2024年-挂账付款'!$AX48-SUM('2024年-挂账付款'!J48:$AH48)&gt;0,'2024年-挂账付款'!$AX48-SUM('2024年-挂账付款'!J48:$AH48),0))</f>
        <v>0</v>
      </c>
      <c r="M48" s="44">
        <f>IF('2024年-挂账付款'!$AX48&gt;=SUM('2024年-挂账付款'!J48:$AH48),'2024年-挂账付款'!J48,IF('2024年-挂账付款'!$AX48-SUM('2024年-挂账付款'!K48:$AH48)&gt;0,'2024年-挂账付款'!$AX48-SUM('2024年-挂账付款'!K48:$AH48),0))</f>
        <v>0</v>
      </c>
      <c r="N48" s="44">
        <f>IF('2024年-挂账付款'!$AX48&gt;=SUM('2024年-挂账付款'!K48:$AH48),'2024年-挂账付款'!K48,IF('2024年-挂账付款'!$AX48-SUM('2024年-挂账付款'!L48:$AH48)&gt;0,'2024年-挂账付款'!$AX48-SUM('2024年-挂账付款'!L48:$AH48),0))</f>
        <v>0</v>
      </c>
      <c r="O48" s="44">
        <f>IF('2024年-挂账付款'!$AX48&gt;=SUM('2024年-挂账付款'!L48:$AH48),'2024年-挂账付款'!L48,IF('2024年-挂账付款'!$AX48-SUM('2024年-挂账付款'!M48:$AH48)&gt;0,'2024年-挂账付款'!$AX48-SUM('2024年-挂账付款'!M48:$AH48),0))</f>
        <v>0</v>
      </c>
      <c r="P48" s="44">
        <f>IF('2024年-挂账付款'!$AX48&gt;=SUM('2024年-挂账付款'!M48:$AH48),'2024年-挂账付款'!M48,IF('2024年-挂账付款'!$AX48-SUM('2024年-挂账付款'!N48:$AH48)&gt;0,'2024年-挂账付款'!$AX48-SUM('2024年-挂账付款'!N48:$AH48),0))</f>
        <v>0</v>
      </c>
      <c r="Q48" s="44">
        <f>IF('2024年-挂账付款'!$AX48&gt;=SUM('2024年-挂账付款'!N48:$AH48),'2024年-挂账付款'!N48,IF('2024年-挂账付款'!$AX48-SUM('2024年-挂账付款'!O48:$AH48)&gt;0,'2024年-挂账付款'!$AX48-SUM('2024年-挂账付款'!O48:$AH48),0))</f>
        <v>0</v>
      </c>
      <c r="R48" s="44">
        <f>IF('2024年-挂账付款'!$AX48&gt;=SUM('2024年-挂账付款'!O48:$AH48),'2024年-挂账付款'!O48,IF('2024年-挂账付款'!$AX48-SUM('2024年-挂账付款'!P48:$AH48)&gt;0,'2024年-挂账付款'!$AX48-SUM('2024年-挂账付款'!P48:$AH48),0))</f>
        <v>0</v>
      </c>
      <c r="S48" s="44">
        <f>IF('2024年-挂账付款'!$AX48&gt;=SUM('2024年-挂账付款'!P48:$AH48),'2024年-挂账付款'!P48,IF('2024年-挂账付款'!$AX48-SUM('2024年-挂账付款'!Q48:$AH48)&gt;0,'2024年-挂账付款'!$AX48-SUM('2024年-挂账付款'!Q48:$AH48),0))</f>
        <v>0</v>
      </c>
      <c r="T48" s="44">
        <f>IF('2024年-挂账付款'!$AX48&gt;=SUM('2024年-挂账付款'!Q48:$AH48),'2024年-挂账付款'!Q48,IF('2024年-挂账付款'!$AX48-SUM('2024年-挂账付款'!R48:$AH48)&gt;0,'2024年-挂账付款'!$AX48-SUM('2024年-挂账付款'!R48:$AH48),0))</f>
        <v>0</v>
      </c>
      <c r="U48" s="44">
        <f>IF('2024年-挂账付款'!$AX48&gt;=SUM('2024年-挂账付款'!R48:$AH48),'2024年-挂账付款'!R48,IF('2024年-挂账付款'!$AX48-SUM('2024年-挂账付款'!S48:$AH48)&gt;0,'2024年-挂账付款'!$AX48-SUM('2024年-挂账付款'!S48:$AH48),0))</f>
        <v>0</v>
      </c>
      <c r="V48" s="44">
        <f>IF('2024年-挂账付款'!$AX48&gt;=SUM('2024年-挂账付款'!S48:$AH48),'2024年-挂账付款'!S48,IF('2024年-挂账付款'!$AX48-SUM('2024年-挂账付款'!T48:$AH48)&gt;0,'2024年-挂账付款'!$AX48-SUM('2024年-挂账付款'!T48:$AH48),0))</f>
        <v>0</v>
      </c>
      <c r="W48" s="44">
        <f>IF('2024年-挂账付款'!$AX48&gt;=SUM('2024年-挂账付款'!T48:$AH48),'2024年-挂账付款'!T48,IF('2024年-挂账付款'!$AX48-SUM('2024年-挂账付款'!U48:$AH48)&gt;0,'2024年-挂账付款'!$AX48-SUM('2024年-挂账付款'!U48:$AH48),0))</f>
        <v>0</v>
      </c>
      <c r="X48" s="44">
        <f>IF('2024年-挂账付款'!$AX48&gt;=SUM('2024年-挂账付款'!U48:$AH48),'2024年-挂账付款'!U48,IF('2024年-挂账付款'!$AX48-SUM('2024年-挂账付款'!V48:$AH48)&gt;0,'2024年-挂账付款'!$AX48-SUM('2024年-挂账付款'!V48:$AH48),0))</f>
        <v>5237.55</v>
      </c>
      <c r="Y48" s="44">
        <f>IF('2024年-挂账付款'!$AX48&gt;=SUM('2024年-挂账付款'!V48:$AH48),'2024年-挂账付款'!V48,IF('2024年-挂账付款'!$AX48-SUM('2024年-挂账付款'!W48:$AH48)&gt;0,'2024年-挂账付款'!$AX48-SUM('2024年-挂账付款'!W48:$AH48),0))</f>
        <v>0</v>
      </c>
      <c r="Z48" s="44">
        <f>IF('2024年-挂账付款'!$AX48&gt;=SUM('2024年-挂账付款'!W48:$AH48),'2024年-挂账付款'!W48,IF('2024年-挂账付款'!$AX48-SUM('2024年-挂账付款'!X48:$AH48)&gt;0,'2024年-挂账付款'!$AX48-SUM('2024年-挂账付款'!X48:$AH48),0))</f>
        <v>0</v>
      </c>
      <c r="AA48" s="44">
        <f>IF('2024年-挂账付款'!$AX48&gt;=SUM('2024年-挂账付款'!X48:$AH48),'2024年-挂账付款'!X48,IF('2024年-挂账付款'!$AX48-SUM('2024年-挂账付款'!Y48:$AH48)&gt;0,'2024年-挂账付款'!$AX48-SUM('2024年-挂账付款'!Y48:$AH48),0))</f>
        <v>0</v>
      </c>
      <c r="AB48" s="44">
        <f>IF('2024年-挂账付款'!$AX48&gt;=SUM('2024年-挂账付款'!Y48:$AH48),'2024年-挂账付款'!Y48,IF('2024年-挂账付款'!$AX48-SUM('2024年-挂账付款'!Z48:$AH48)&gt;0,'2024年-挂账付款'!$AX48-SUM('2024年-挂账付款'!Z48:$AH48),0))</f>
        <v>0</v>
      </c>
      <c r="AC48" s="44">
        <f>IF('2024年-挂账付款'!$AX48&gt;=SUM('2024年-挂账付款'!Z48:$AH48),'2024年-挂账付款'!Z48,IF('2024年-挂账付款'!$AX48-SUM('2024年-挂账付款'!AA48:$AH48)&gt;0,'2024年-挂账付款'!$AX48-SUM('2024年-挂账付款'!AA48:$AH48),0))</f>
        <v>0</v>
      </c>
      <c r="AD48" s="44">
        <f>IF('2024年-挂账付款'!$AX48&gt;=SUM('2024年-挂账付款'!AA48:$AH48),'2024年-挂账付款'!AA48,IF('2024年-挂账付款'!$AX48-SUM('2024年-挂账付款'!AB48:$AH48)&gt;0,'2024年-挂账付款'!$AX48-SUM('2024年-挂账付款'!AB48:$AH48),0))</f>
        <v>0</v>
      </c>
      <c r="AE48" s="44">
        <f>IF('2024年-挂账付款'!$AX48&gt;=SUM('2024年-挂账付款'!AB48:$AH48),'2024年-挂账付款'!AB48,IF('2024年-挂账付款'!$AX48-SUM('2024年-挂账付款'!AC48:$AH48)&gt;0,'2024年-挂账付款'!$AX48-SUM('2024年-挂账付款'!AC48:$AH48),0))</f>
        <v>0</v>
      </c>
      <c r="AF48" s="44">
        <f>IF('2024年-挂账付款'!$AX48&gt;=SUM('2024年-挂账付款'!AC48:$AH48),'2024年-挂账付款'!AC48,IF('2024年-挂账付款'!$AX48-SUM('2024年-挂账付款'!AD48:$AH48)&gt;0,'2024年-挂账付款'!$AX48-SUM('2024年-挂账付款'!AD48:$AH48),0))</f>
        <v>0</v>
      </c>
      <c r="AG48" s="44">
        <f>IF('2024年-挂账付款'!$AX48&gt;=SUM('2024年-挂账付款'!AD48:$AH48),'2024年-挂账付款'!AD48,IF('2024年-挂账付款'!$AX48-SUM('2024年-挂账付款'!AE48:$AH48)&gt;0,'2024年-挂账付款'!$AX48-SUM('2024年-挂账付款'!AE48:$AH48),0))</f>
        <v>0</v>
      </c>
      <c r="AH48" s="44">
        <f>IF('2024年-挂账付款'!$AX48&gt;=SUM('2024年-挂账付款'!AE48:$AH48),'2024年-挂账付款'!AE48,IF('2024年-挂账付款'!$AX48-SUM('2024年-挂账付款'!AF48:$AH48)&gt;0,'2024年-挂账付款'!$AX48-SUM('2024年-挂账付款'!AF48:$AH48),0))</f>
        <v>0</v>
      </c>
      <c r="AI48" s="44">
        <f>IF('2024年-挂账付款'!$AX48&gt;=SUM('2024年-挂账付款'!AF48:$AH48),'2024年-挂账付款'!AF48,IF('2024年-挂账付款'!$AX48-SUM('2024年-挂账付款'!AG48:$AH48)&gt;0,'2024年-挂账付款'!$AX48-SUM('2024年-挂账付款'!AG48:$AH48),0))</f>
        <v>0</v>
      </c>
      <c r="AJ48" s="44">
        <f>IF('2024年-挂账付款'!$AX48&gt;=SUM('2024年-挂账付款'!AG48:$AH48),'2024年-挂账付款'!AG48,IF('2024年-挂账付款'!$AX48-SUM('2024年-挂账付款'!AH48:$AH48)&gt;0,'2024年-挂账付款'!$AX48-SUM('2024年-挂账付款'!AH48:$AH48),0))</f>
        <v>0</v>
      </c>
      <c r="AK48" s="44">
        <f>IF('2024年-挂账付款'!$AX48&gt;=SUM('2024年-挂账付款'!AH48:$AH48),'2024年-挂账付款'!AH48,IF('2024年-挂账付款'!$AX48-SUM('2024年-挂账付款'!$AH48:AI48)&gt;0,'2024年-挂账付款'!$AX48-SUM('2024年-挂账付款'!$AH48:AI48),0))</f>
        <v>0</v>
      </c>
      <c r="AL48" s="88"/>
      <c r="AM48" s="89"/>
      <c r="AN48" s="86">
        <f t="shared" si="4"/>
        <v>698.34</v>
      </c>
      <c r="AO48" s="91"/>
      <c r="AP48" s="10">
        <f>'2024年-挂账付款'!AX48</f>
        <v>5237.55</v>
      </c>
      <c r="AQ48" s="101">
        <f t="shared" si="7"/>
        <v>0</v>
      </c>
    </row>
    <row r="49" s="10" customFormat="1" ht="24.05" customHeight="1" spans="2:43">
      <c r="B49" s="48" t="s">
        <v>81</v>
      </c>
      <c r="C49" s="46"/>
      <c r="D49" s="46" t="s">
        <v>337</v>
      </c>
      <c r="E49" s="41">
        <v>90</v>
      </c>
      <c r="F49" s="42">
        <f t="shared" si="5"/>
        <v>0</v>
      </c>
      <c r="G49" s="43">
        <f t="shared" si="6"/>
        <v>41188.95</v>
      </c>
      <c r="H49" s="44">
        <f>IF('2024年-挂账付款'!$AX49&gt;=SUM('2024年-挂账付款'!E49:$AH49),'2024年-挂账付款'!E49,IF('2024年-挂账付款'!$AX49-SUM('2024年-挂账付款'!F49:$AH49)&gt;0,'2024年-挂账付款'!$AX49-SUM('2024年-挂账付款'!F49:$AH49),0))</f>
        <v>0</v>
      </c>
      <c r="I49" s="44">
        <f>IF('2024年-挂账付款'!$AX49&gt;=SUM('2024年-挂账付款'!F49:$AH49),'2024年-挂账付款'!F49,IF('2024年-挂账付款'!$AX49-SUM('2024年-挂账付款'!G49:$AH49)&gt;0,'2024年-挂账付款'!$AX49-SUM('2024年-挂账付款'!G49:$AH49),0))</f>
        <v>0</v>
      </c>
      <c r="J49" s="44">
        <f>IF('2024年-挂账付款'!$AX49&gt;=SUM('2024年-挂账付款'!G49:$AH49),'2024年-挂账付款'!G49,IF('2024年-挂账付款'!$AX49-SUM('2024年-挂账付款'!H49:$AH49)&gt;0,'2024年-挂账付款'!$AX49-SUM('2024年-挂账付款'!H49:$AH49),0))</f>
        <v>0</v>
      </c>
      <c r="K49" s="44">
        <f>IF('2024年-挂账付款'!$AX49&gt;=SUM('2024年-挂账付款'!H49:$AH49),'2024年-挂账付款'!H49,IF('2024年-挂账付款'!$AX49-SUM('2024年-挂账付款'!I49:$AH49)&gt;0,'2024年-挂账付款'!$AX49-SUM('2024年-挂账付款'!I49:$AH49),0))</f>
        <v>0</v>
      </c>
      <c r="L49" s="44">
        <f>IF('2024年-挂账付款'!$AX49&gt;=SUM('2024年-挂账付款'!I49:$AH49),'2024年-挂账付款'!I49,IF('2024年-挂账付款'!$AX49-SUM('2024年-挂账付款'!J49:$AH49)&gt;0,'2024年-挂账付款'!$AX49-SUM('2024年-挂账付款'!J49:$AH49),0))</f>
        <v>0</v>
      </c>
      <c r="M49" s="44">
        <f>IF('2024年-挂账付款'!$AX49&gt;=SUM('2024年-挂账付款'!J49:$AH49),'2024年-挂账付款'!J49,IF('2024年-挂账付款'!$AX49-SUM('2024年-挂账付款'!K49:$AH49)&gt;0,'2024年-挂账付款'!$AX49-SUM('2024年-挂账付款'!K49:$AH49),0))</f>
        <v>0</v>
      </c>
      <c r="N49" s="44">
        <f>IF('2024年-挂账付款'!$AX49&gt;=SUM('2024年-挂账付款'!K49:$AH49),'2024年-挂账付款'!K49,IF('2024年-挂账付款'!$AX49-SUM('2024年-挂账付款'!L49:$AH49)&gt;0,'2024年-挂账付款'!$AX49-SUM('2024年-挂账付款'!L49:$AH49),0))</f>
        <v>0</v>
      </c>
      <c r="O49" s="44">
        <f>IF('2024年-挂账付款'!$AX49&gt;=SUM('2024年-挂账付款'!L49:$AH49),'2024年-挂账付款'!L49,IF('2024年-挂账付款'!$AX49-SUM('2024年-挂账付款'!M49:$AH49)&gt;0,'2024年-挂账付款'!$AX49-SUM('2024年-挂账付款'!M49:$AH49),0))</f>
        <v>0</v>
      </c>
      <c r="P49" s="44">
        <f>IF('2024年-挂账付款'!$AX49&gt;=SUM('2024年-挂账付款'!M49:$AH49),'2024年-挂账付款'!M49,IF('2024年-挂账付款'!$AX49-SUM('2024年-挂账付款'!N49:$AH49)&gt;0,'2024年-挂账付款'!$AX49-SUM('2024年-挂账付款'!N49:$AH49),0))</f>
        <v>0</v>
      </c>
      <c r="Q49" s="44">
        <f>IF('2024年-挂账付款'!$AX49&gt;=SUM('2024年-挂账付款'!N49:$AH49),'2024年-挂账付款'!N49,IF('2024年-挂账付款'!$AX49-SUM('2024年-挂账付款'!O49:$AH49)&gt;0,'2024年-挂账付款'!$AX49-SUM('2024年-挂账付款'!O49:$AH49),0))</f>
        <v>0</v>
      </c>
      <c r="R49" s="44">
        <f>IF('2024年-挂账付款'!$AX49&gt;=SUM('2024年-挂账付款'!O49:$AH49),'2024年-挂账付款'!O49,IF('2024年-挂账付款'!$AX49-SUM('2024年-挂账付款'!P49:$AH49)&gt;0,'2024年-挂账付款'!$AX49-SUM('2024年-挂账付款'!P49:$AH49),0))</f>
        <v>0</v>
      </c>
      <c r="S49" s="44">
        <f>IF('2024年-挂账付款'!$AX49&gt;=SUM('2024年-挂账付款'!P49:$AH49),'2024年-挂账付款'!P49,IF('2024年-挂账付款'!$AX49-SUM('2024年-挂账付款'!Q49:$AH49)&gt;0,'2024年-挂账付款'!$AX49-SUM('2024年-挂账付款'!Q49:$AH49),0))</f>
        <v>0</v>
      </c>
      <c r="T49" s="44">
        <f>IF('2024年-挂账付款'!$AX49&gt;=SUM('2024年-挂账付款'!Q49:$AH49),'2024年-挂账付款'!Q49,IF('2024年-挂账付款'!$AX49-SUM('2024年-挂账付款'!R49:$AH49)&gt;0,'2024年-挂账付款'!$AX49-SUM('2024年-挂账付款'!R49:$AH49),0))</f>
        <v>0</v>
      </c>
      <c r="U49" s="44">
        <f>IF('2024年-挂账付款'!$AX49&gt;=SUM('2024年-挂账付款'!R49:$AH49),'2024年-挂账付款'!R49,IF('2024年-挂账付款'!$AX49-SUM('2024年-挂账付款'!S49:$AH49)&gt;0,'2024年-挂账付款'!$AX49-SUM('2024年-挂账付款'!S49:$AH49),0))</f>
        <v>0</v>
      </c>
      <c r="V49" s="44">
        <f>IF('2024年-挂账付款'!$AX49&gt;=SUM('2024年-挂账付款'!S49:$AH49),'2024年-挂账付款'!S49,IF('2024年-挂账付款'!$AX49-SUM('2024年-挂账付款'!T49:$AH49)&gt;0,'2024年-挂账付款'!$AX49-SUM('2024年-挂账付款'!T49:$AH49),0))</f>
        <v>0</v>
      </c>
      <c r="W49" s="44">
        <f>IF('2024年-挂账付款'!$AX49&gt;=SUM('2024年-挂账付款'!T49:$AH49),'2024年-挂账付款'!T49,IF('2024年-挂账付款'!$AX49-SUM('2024年-挂账付款'!U49:$AH49)&gt;0,'2024年-挂账付款'!$AX49-SUM('2024年-挂账付款'!U49:$AH49),0))</f>
        <v>0</v>
      </c>
      <c r="X49" s="44">
        <f>IF('2024年-挂账付款'!$AX49&gt;=SUM('2024年-挂账付款'!U49:$AH49),'2024年-挂账付款'!U49,IF('2024年-挂账付款'!$AX49-SUM('2024年-挂账付款'!V49:$AH49)&gt;0,'2024年-挂账付款'!$AX49-SUM('2024年-挂账付款'!V49:$AH49),0))</f>
        <v>41188.95</v>
      </c>
      <c r="Y49" s="44">
        <f>IF('2024年-挂账付款'!$AX49&gt;=SUM('2024年-挂账付款'!V49:$AH49),'2024年-挂账付款'!V49,IF('2024年-挂账付款'!$AX49-SUM('2024年-挂账付款'!W49:$AH49)&gt;0,'2024年-挂账付款'!$AX49-SUM('2024年-挂账付款'!W49:$AH49),0))</f>
        <v>0</v>
      </c>
      <c r="Z49" s="44">
        <f>IF('2024年-挂账付款'!$AX49&gt;=SUM('2024年-挂账付款'!W49:$AH49),'2024年-挂账付款'!W49,IF('2024年-挂账付款'!$AX49-SUM('2024年-挂账付款'!X49:$AH49)&gt;0,'2024年-挂账付款'!$AX49-SUM('2024年-挂账付款'!X49:$AH49),0))</f>
        <v>0</v>
      </c>
      <c r="AA49" s="44">
        <f>IF('2024年-挂账付款'!$AX49&gt;=SUM('2024年-挂账付款'!X49:$AH49),'2024年-挂账付款'!X49,IF('2024年-挂账付款'!$AX49-SUM('2024年-挂账付款'!Y49:$AH49)&gt;0,'2024年-挂账付款'!$AX49-SUM('2024年-挂账付款'!Y49:$AH49),0))</f>
        <v>0</v>
      </c>
      <c r="AB49" s="44">
        <f>IF('2024年-挂账付款'!$AX49&gt;=SUM('2024年-挂账付款'!Y49:$AH49),'2024年-挂账付款'!Y49,IF('2024年-挂账付款'!$AX49-SUM('2024年-挂账付款'!Z49:$AH49)&gt;0,'2024年-挂账付款'!$AX49-SUM('2024年-挂账付款'!Z49:$AH49),0))</f>
        <v>0</v>
      </c>
      <c r="AC49" s="44">
        <f>IF('2024年-挂账付款'!$AX49&gt;=SUM('2024年-挂账付款'!Z49:$AH49),'2024年-挂账付款'!Z49,IF('2024年-挂账付款'!$AX49-SUM('2024年-挂账付款'!AA49:$AH49)&gt;0,'2024年-挂账付款'!$AX49-SUM('2024年-挂账付款'!AA49:$AH49),0))</f>
        <v>0</v>
      </c>
      <c r="AD49" s="44">
        <f>IF('2024年-挂账付款'!$AX49&gt;=SUM('2024年-挂账付款'!AA49:$AH49),'2024年-挂账付款'!AA49,IF('2024年-挂账付款'!$AX49-SUM('2024年-挂账付款'!AB49:$AH49)&gt;0,'2024年-挂账付款'!$AX49-SUM('2024年-挂账付款'!AB49:$AH49),0))</f>
        <v>0</v>
      </c>
      <c r="AE49" s="44">
        <f>IF('2024年-挂账付款'!$AX49&gt;=SUM('2024年-挂账付款'!AB49:$AH49),'2024年-挂账付款'!AB49,IF('2024年-挂账付款'!$AX49-SUM('2024年-挂账付款'!AC49:$AH49)&gt;0,'2024年-挂账付款'!$AX49-SUM('2024年-挂账付款'!AC49:$AH49),0))</f>
        <v>0</v>
      </c>
      <c r="AF49" s="44">
        <f>IF('2024年-挂账付款'!$AX49&gt;=SUM('2024年-挂账付款'!AC49:$AH49),'2024年-挂账付款'!AC49,IF('2024年-挂账付款'!$AX49-SUM('2024年-挂账付款'!AD49:$AH49)&gt;0,'2024年-挂账付款'!$AX49-SUM('2024年-挂账付款'!AD49:$AH49),0))</f>
        <v>0</v>
      </c>
      <c r="AG49" s="44">
        <f>IF('2024年-挂账付款'!$AX49&gt;=SUM('2024年-挂账付款'!AD49:$AH49),'2024年-挂账付款'!AD49,IF('2024年-挂账付款'!$AX49-SUM('2024年-挂账付款'!AE49:$AH49)&gt;0,'2024年-挂账付款'!$AX49-SUM('2024年-挂账付款'!AE49:$AH49),0))</f>
        <v>0</v>
      </c>
      <c r="AH49" s="44">
        <f>IF('2024年-挂账付款'!$AX49&gt;=SUM('2024年-挂账付款'!AE49:$AH49),'2024年-挂账付款'!AE49,IF('2024年-挂账付款'!$AX49-SUM('2024年-挂账付款'!AF49:$AH49)&gt;0,'2024年-挂账付款'!$AX49-SUM('2024年-挂账付款'!AF49:$AH49),0))</f>
        <v>0</v>
      </c>
      <c r="AI49" s="44">
        <f>IF('2024年-挂账付款'!$AX49&gt;=SUM('2024年-挂账付款'!AF49:$AH49),'2024年-挂账付款'!AF49,IF('2024年-挂账付款'!$AX49-SUM('2024年-挂账付款'!AG49:$AH49)&gt;0,'2024年-挂账付款'!$AX49-SUM('2024年-挂账付款'!AG49:$AH49),0))</f>
        <v>0</v>
      </c>
      <c r="AJ49" s="44">
        <f>IF('2024年-挂账付款'!$AX49&gt;=SUM('2024年-挂账付款'!AG49:$AH49),'2024年-挂账付款'!AG49,IF('2024年-挂账付款'!$AX49-SUM('2024年-挂账付款'!AH49:$AH49)&gt;0,'2024年-挂账付款'!$AX49-SUM('2024年-挂账付款'!AH49:$AH49),0))</f>
        <v>0</v>
      </c>
      <c r="AK49" s="44">
        <f>IF('2024年-挂账付款'!$AX49&gt;=SUM('2024年-挂账付款'!AH49:$AH49),'2024年-挂账付款'!AH49,IF('2024年-挂账付款'!$AX49-SUM('2024年-挂账付款'!$AH49:AI49)&gt;0,'2024年-挂账付款'!$AX49-SUM('2024年-挂账付款'!$AH49:AI49),0))</f>
        <v>0</v>
      </c>
      <c r="AL49" s="88"/>
      <c r="AM49" s="89"/>
      <c r="AN49" s="86">
        <f t="shared" si="4"/>
        <v>5491.86</v>
      </c>
      <c r="AO49" s="91"/>
      <c r="AP49" s="10">
        <f>'2024年-挂账付款'!AX49</f>
        <v>41188.95</v>
      </c>
      <c r="AQ49" s="101">
        <f t="shared" si="7"/>
        <v>0</v>
      </c>
    </row>
    <row r="50" s="10" customFormat="1" ht="24.05" customHeight="1" spans="2:43">
      <c r="B50" s="48" t="s">
        <v>81</v>
      </c>
      <c r="C50" s="46" t="s">
        <v>297</v>
      </c>
      <c r="D50" s="46" t="s">
        <v>298</v>
      </c>
      <c r="E50" s="41">
        <v>90</v>
      </c>
      <c r="F50" s="42">
        <f t="shared" si="5"/>
        <v>0</v>
      </c>
      <c r="G50" s="43" t="str">
        <f t="shared" si="6"/>
        <v>0</v>
      </c>
      <c r="H50" s="44" t="str">
        <f>IF('2024年-挂账付款'!$AX50&gt;=SUM('2024年-挂账付款'!E50:$AH50),'2024年-挂账付款'!E50,IF('2024年-挂账付款'!$AX50-SUM('2024年-挂账付款'!F50:$AH50)&gt;0,'2024年-挂账付款'!$AX50-SUM('2024年-挂账付款'!F50:$AH50),0))</f>
        <v/>
      </c>
      <c r="I50" s="44" t="str">
        <f>IF('2024年-挂账付款'!$AX50&gt;=SUM('2024年-挂账付款'!F50:$AH50),'2024年-挂账付款'!F50,IF('2024年-挂账付款'!$AX50-SUM('2024年-挂账付款'!G50:$AH50)&gt;0,'2024年-挂账付款'!$AX50-SUM('2024年-挂账付款'!G50:$AH50),0))</f>
        <v/>
      </c>
      <c r="J50" s="44" t="str">
        <f>IF('2024年-挂账付款'!$AX50&gt;=SUM('2024年-挂账付款'!G50:$AH50),'2024年-挂账付款'!G50,IF('2024年-挂账付款'!$AX50-SUM('2024年-挂账付款'!H50:$AH50)&gt;0,'2024年-挂账付款'!$AX50-SUM('2024年-挂账付款'!H50:$AH50),0))</f>
        <v/>
      </c>
      <c r="K50" s="44">
        <f>IF('2024年-挂账付款'!$AX50&gt;=SUM('2024年-挂账付款'!H50:$AH50),'2024年-挂账付款'!H50,IF('2024年-挂账付款'!$AX50-SUM('2024年-挂账付款'!I50:$AH50)&gt;0,'2024年-挂账付款'!$AX50-SUM('2024年-挂账付款'!I50:$AH50),0))</f>
        <v>0</v>
      </c>
      <c r="L50" s="44">
        <f>IF('2024年-挂账付款'!$AX50&gt;=SUM('2024年-挂账付款'!I50:$AH50),'2024年-挂账付款'!I50,IF('2024年-挂账付款'!$AX50-SUM('2024年-挂账付款'!J50:$AH50)&gt;0,'2024年-挂账付款'!$AX50-SUM('2024年-挂账付款'!J50:$AH50),0))</f>
        <v>0</v>
      </c>
      <c r="M50" s="44" t="str">
        <f>IF('2024年-挂账付款'!$AX50&gt;=SUM('2024年-挂账付款'!J50:$AH50),'2024年-挂账付款'!J50,IF('2024年-挂账付款'!$AX50-SUM('2024年-挂账付款'!K50:$AH50)&gt;0,'2024年-挂账付款'!$AX50-SUM('2024年-挂账付款'!K50:$AH50),0))</f>
        <v/>
      </c>
      <c r="N50" s="44">
        <f>IF('2024年-挂账付款'!$AX50&gt;=SUM('2024年-挂账付款'!K50:$AH50),'2024年-挂账付款'!K50,IF('2024年-挂账付款'!$AX50-SUM('2024年-挂账付款'!L50:$AH50)&gt;0,'2024年-挂账付款'!$AX50-SUM('2024年-挂账付款'!L50:$AH50),0))</f>
        <v>0</v>
      </c>
      <c r="O50" s="44">
        <f>IF('2024年-挂账付款'!$AX50&gt;=SUM('2024年-挂账付款'!L50:$AH50),'2024年-挂账付款'!L50,IF('2024年-挂账付款'!$AX50-SUM('2024年-挂账付款'!M50:$AH50)&gt;0,'2024年-挂账付款'!$AX50-SUM('2024年-挂账付款'!M50:$AH50),0))</f>
        <v>0</v>
      </c>
      <c r="P50" s="44">
        <f>IF('2024年-挂账付款'!$AX50&gt;=SUM('2024年-挂账付款'!M50:$AH50),'2024年-挂账付款'!M50,IF('2024年-挂账付款'!$AX50-SUM('2024年-挂账付款'!N50:$AH50)&gt;0,'2024年-挂账付款'!$AX50-SUM('2024年-挂账付款'!N50:$AH50),0))</f>
        <v>0</v>
      </c>
      <c r="Q50" s="44">
        <f>IF('2024年-挂账付款'!$AX50&gt;=SUM('2024年-挂账付款'!N50:$AH50),'2024年-挂账付款'!N50,IF('2024年-挂账付款'!$AX50-SUM('2024年-挂账付款'!O50:$AH50)&gt;0,'2024年-挂账付款'!$AX50-SUM('2024年-挂账付款'!O50:$AH50),0))</f>
        <v>0</v>
      </c>
      <c r="R50" s="44">
        <f>IF('2024年-挂账付款'!$AX50&gt;=SUM('2024年-挂账付款'!O50:$AH50),'2024年-挂账付款'!O50,IF('2024年-挂账付款'!$AX50-SUM('2024年-挂账付款'!P50:$AH50)&gt;0,'2024年-挂账付款'!$AX50-SUM('2024年-挂账付款'!P50:$AH50),0))</f>
        <v>0</v>
      </c>
      <c r="S50" s="44">
        <f>IF('2024年-挂账付款'!$AX50&gt;=SUM('2024年-挂账付款'!P50:$AH50),'2024年-挂账付款'!P50,IF('2024年-挂账付款'!$AX50-SUM('2024年-挂账付款'!Q50:$AH50)&gt;0,'2024年-挂账付款'!$AX50-SUM('2024年-挂账付款'!Q50:$AH50),0))</f>
        <v>0</v>
      </c>
      <c r="T50" s="44">
        <f>IF('2024年-挂账付款'!$AX50&gt;=SUM('2024年-挂账付款'!Q50:$AH50),'2024年-挂账付款'!Q50,IF('2024年-挂账付款'!$AX50-SUM('2024年-挂账付款'!R50:$AH50)&gt;0,'2024年-挂账付款'!$AX50-SUM('2024年-挂账付款'!R50:$AH50),0))</f>
        <v>0</v>
      </c>
      <c r="U50" s="44">
        <f>IF('2024年-挂账付款'!$AX50&gt;=SUM('2024年-挂账付款'!R50:$AH50),'2024年-挂账付款'!R50,IF('2024年-挂账付款'!$AX50-SUM('2024年-挂账付款'!S50:$AH50)&gt;0,'2024年-挂账付款'!$AX50-SUM('2024年-挂账付款'!S50:$AH50),0))</f>
        <v>0</v>
      </c>
      <c r="V50" s="44">
        <f>IF('2024年-挂账付款'!$AX50&gt;=SUM('2024年-挂账付款'!S50:$AH50),'2024年-挂账付款'!S50,IF('2024年-挂账付款'!$AX50-SUM('2024年-挂账付款'!T50:$AH50)&gt;0,'2024年-挂账付款'!$AX50-SUM('2024年-挂账付款'!T50:$AH50),0))</f>
        <v>0</v>
      </c>
      <c r="W50" s="44">
        <f>IF('2024年-挂账付款'!$AX50&gt;=SUM('2024年-挂账付款'!T50:$AH50),'2024年-挂账付款'!T50,IF('2024年-挂账付款'!$AX50-SUM('2024年-挂账付款'!U50:$AH50)&gt;0,'2024年-挂账付款'!$AX50-SUM('2024年-挂账付款'!U50:$AH50),0))</f>
        <v>0</v>
      </c>
      <c r="X50" s="44">
        <f>IF('2024年-挂账付款'!$AX50&gt;=SUM('2024年-挂账付款'!U50:$AH50),'2024年-挂账付款'!U50,IF('2024年-挂账付款'!$AX50-SUM('2024年-挂账付款'!V50:$AH50)&gt;0,'2024年-挂账付款'!$AX50-SUM('2024年-挂账付款'!V50:$AH50),0))</f>
        <v>0</v>
      </c>
      <c r="Y50" s="44">
        <f>IF('2024年-挂账付款'!$AX50&gt;=SUM('2024年-挂账付款'!V50:$AH50),'2024年-挂账付款'!V50,IF('2024年-挂账付款'!$AX50-SUM('2024年-挂账付款'!W50:$AH50)&gt;0,'2024年-挂账付款'!$AX50-SUM('2024年-挂账付款'!W50:$AH50),0))</f>
        <v>0</v>
      </c>
      <c r="Z50" s="44">
        <f>IF('2024年-挂账付款'!$AX50&gt;=SUM('2024年-挂账付款'!W50:$AH50),'2024年-挂账付款'!W50,IF('2024年-挂账付款'!$AX50-SUM('2024年-挂账付款'!X50:$AH50)&gt;0,'2024年-挂账付款'!$AX50-SUM('2024年-挂账付款'!X50:$AH50),0))</f>
        <v>0</v>
      </c>
      <c r="AA50" s="44">
        <f>IF('2024年-挂账付款'!$AX50&gt;=SUM('2024年-挂账付款'!X50:$AH50),'2024年-挂账付款'!X50,IF('2024年-挂账付款'!$AX50-SUM('2024年-挂账付款'!Y50:$AH50)&gt;0,'2024年-挂账付款'!$AX50-SUM('2024年-挂账付款'!Y50:$AH50),0))</f>
        <v>0</v>
      </c>
      <c r="AB50" s="44">
        <f>IF('2024年-挂账付款'!$AX50&gt;=SUM('2024年-挂账付款'!Y50:$AH50),'2024年-挂账付款'!Y50,IF('2024年-挂账付款'!$AX50-SUM('2024年-挂账付款'!Z50:$AH50)&gt;0,'2024年-挂账付款'!$AX50-SUM('2024年-挂账付款'!Z50:$AH50),0))</f>
        <v>0</v>
      </c>
      <c r="AC50" s="44">
        <f>IF('2024年-挂账付款'!$AX50&gt;=SUM('2024年-挂账付款'!Z50:$AH50),'2024年-挂账付款'!Z50,IF('2024年-挂账付款'!$AX50-SUM('2024年-挂账付款'!AA50:$AH50)&gt;0,'2024年-挂账付款'!$AX50-SUM('2024年-挂账付款'!AA50:$AH50),0))</f>
        <v>0</v>
      </c>
      <c r="AD50" s="44">
        <f>IF('2024年-挂账付款'!$AX50&gt;=SUM('2024年-挂账付款'!AA50:$AH50),'2024年-挂账付款'!AA50,IF('2024年-挂账付款'!$AX50-SUM('2024年-挂账付款'!AB50:$AH50)&gt;0,'2024年-挂账付款'!$AX50-SUM('2024年-挂账付款'!AB50:$AH50),0))</f>
        <v>0</v>
      </c>
      <c r="AE50" s="44">
        <f>IF('2024年-挂账付款'!$AX50&gt;=SUM('2024年-挂账付款'!AB50:$AH50),'2024年-挂账付款'!AB50,IF('2024年-挂账付款'!$AX50-SUM('2024年-挂账付款'!AC50:$AH50)&gt;0,'2024年-挂账付款'!$AX50-SUM('2024年-挂账付款'!AC50:$AH50),0))</f>
        <v>0</v>
      </c>
      <c r="AF50" s="44">
        <f>IF('2024年-挂账付款'!$AX50&gt;=SUM('2024年-挂账付款'!AC50:$AH50),'2024年-挂账付款'!AC50,IF('2024年-挂账付款'!$AX50-SUM('2024年-挂账付款'!AD50:$AH50)&gt;0,'2024年-挂账付款'!$AX50-SUM('2024年-挂账付款'!AD50:$AH50),0))</f>
        <v>0</v>
      </c>
      <c r="AG50" s="44">
        <f>IF('2024年-挂账付款'!$AX50&gt;=SUM('2024年-挂账付款'!AD50:$AH50),'2024年-挂账付款'!AD50,IF('2024年-挂账付款'!$AX50-SUM('2024年-挂账付款'!AE50:$AH50)&gt;0,'2024年-挂账付款'!$AX50-SUM('2024年-挂账付款'!AE50:$AH50),0))</f>
        <v>0</v>
      </c>
      <c r="AH50" s="44">
        <f>IF('2024年-挂账付款'!$AX50&gt;=SUM('2024年-挂账付款'!AE50:$AH50),'2024年-挂账付款'!AE50,IF('2024年-挂账付款'!$AX50-SUM('2024年-挂账付款'!AF50:$AH50)&gt;0,'2024年-挂账付款'!$AX50-SUM('2024年-挂账付款'!AF50:$AH50),0))</f>
        <v>0</v>
      </c>
      <c r="AI50" s="44">
        <f>IF('2024年-挂账付款'!$AX50&gt;=SUM('2024年-挂账付款'!AF50:$AH50),'2024年-挂账付款'!AF50,IF('2024年-挂账付款'!$AX50-SUM('2024年-挂账付款'!AG50:$AH50)&gt;0,'2024年-挂账付款'!$AX50-SUM('2024年-挂账付款'!AG50:$AH50),0))</f>
        <v>0</v>
      </c>
      <c r="AJ50" s="44">
        <f>IF('2024年-挂账付款'!$AX50&gt;=SUM('2024年-挂账付款'!AG50:$AH50),'2024年-挂账付款'!AG50,IF('2024年-挂账付款'!$AX50-SUM('2024年-挂账付款'!AH50:$AH50)&gt;0,'2024年-挂账付款'!$AX50-SUM('2024年-挂账付款'!AH50:$AH50),0))</f>
        <v>0</v>
      </c>
      <c r="AK50" s="44">
        <f>IF('2024年-挂账付款'!$AX50&gt;=SUM('2024年-挂账付款'!AH50:$AH50),'2024年-挂账付款'!AH50,IF('2024年-挂账付款'!$AX50-SUM('2024年-挂账付款'!$AH50:AI50)&gt;0,'2024年-挂账付款'!$AX50-SUM('2024年-挂账付款'!$AH50:AI50),0))</f>
        <v>0</v>
      </c>
      <c r="AL50" s="88"/>
      <c r="AM50" s="89"/>
      <c r="AN50" s="91"/>
      <c r="AO50" s="91"/>
      <c r="AP50" s="10">
        <f>'2024年-挂账付款'!AX50</f>
        <v>0</v>
      </c>
      <c r="AQ50" s="101">
        <f t="shared" si="7"/>
        <v>0</v>
      </c>
    </row>
    <row r="51" s="10" customFormat="1" ht="24.05" customHeight="1" spans="2:43">
      <c r="B51" s="48" t="s">
        <v>81</v>
      </c>
      <c r="C51" s="46" t="s">
        <v>299</v>
      </c>
      <c r="D51" s="46" t="s">
        <v>300</v>
      </c>
      <c r="E51" s="41">
        <v>90</v>
      </c>
      <c r="F51" s="42">
        <f t="shared" si="5"/>
        <v>0</v>
      </c>
      <c r="G51" s="43" t="str">
        <f t="shared" si="6"/>
        <v>0</v>
      </c>
      <c r="H51" s="44" t="str">
        <f>IF('2024年-挂账付款'!$AX51&gt;=SUM('2024年-挂账付款'!E51:$AH51),'2024年-挂账付款'!E51,IF('2024年-挂账付款'!$AX51-SUM('2024年-挂账付款'!F51:$AH51)&gt;0,'2024年-挂账付款'!$AX51-SUM('2024年-挂账付款'!F51:$AH51),0))</f>
        <v/>
      </c>
      <c r="I51" s="44" t="str">
        <f>IF('2024年-挂账付款'!$AX51&gt;=SUM('2024年-挂账付款'!F51:$AH51),'2024年-挂账付款'!F51,IF('2024年-挂账付款'!$AX51-SUM('2024年-挂账付款'!G51:$AH51)&gt;0,'2024年-挂账付款'!$AX51-SUM('2024年-挂账付款'!G51:$AH51),0))</f>
        <v/>
      </c>
      <c r="J51" s="44" t="str">
        <f>IF('2024年-挂账付款'!$AX51&gt;=SUM('2024年-挂账付款'!G51:$AH51),'2024年-挂账付款'!G51,IF('2024年-挂账付款'!$AX51-SUM('2024年-挂账付款'!H51:$AH51)&gt;0,'2024年-挂账付款'!$AX51-SUM('2024年-挂账付款'!H51:$AH51),0))</f>
        <v/>
      </c>
      <c r="K51" s="44">
        <f>IF('2024年-挂账付款'!$AX51&gt;=SUM('2024年-挂账付款'!H51:$AH51),'2024年-挂账付款'!H51,IF('2024年-挂账付款'!$AX51-SUM('2024年-挂账付款'!I51:$AH51)&gt;0,'2024年-挂账付款'!$AX51-SUM('2024年-挂账付款'!I51:$AH51),0))</f>
        <v>0</v>
      </c>
      <c r="L51" s="44">
        <f>IF('2024年-挂账付款'!$AX51&gt;=SUM('2024年-挂账付款'!I51:$AH51),'2024年-挂账付款'!I51,IF('2024年-挂账付款'!$AX51-SUM('2024年-挂账付款'!J51:$AH51)&gt;0,'2024年-挂账付款'!$AX51-SUM('2024年-挂账付款'!J51:$AH51),0))</f>
        <v>0</v>
      </c>
      <c r="M51" s="44" t="str">
        <f>IF('2024年-挂账付款'!$AX51&gt;=SUM('2024年-挂账付款'!J51:$AH51),'2024年-挂账付款'!J51,IF('2024年-挂账付款'!$AX51-SUM('2024年-挂账付款'!K51:$AH51)&gt;0,'2024年-挂账付款'!$AX51-SUM('2024年-挂账付款'!K51:$AH51),0))</f>
        <v/>
      </c>
      <c r="N51" s="44">
        <f>IF('2024年-挂账付款'!$AX51&gt;=SUM('2024年-挂账付款'!K51:$AH51),'2024年-挂账付款'!K51,IF('2024年-挂账付款'!$AX51-SUM('2024年-挂账付款'!L51:$AH51)&gt;0,'2024年-挂账付款'!$AX51-SUM('2024年-挂账付款'!L51:$AH51),0))</f>
        <v>0</v>
      </c>
      <c r="O51" s="44">
        <f>IF('2024年-挂账付款'!$AX51&gt;=SUM('2024年-挂账付款'!L51:$AH51),'2024年-挂账付款'!L51,IF('2024年-挂账付款'!$AX51-SUM('2024年-挂账付款'!M51:$AH51)&gt;0,'2024年-挂账付款'!$AX51-SUM('2024年-挂账付款'!M51:$AH51),0))</f>
        <v>0</v>
      </c>
      <c r="P51" s="44">
        <f>IF('2024年-挂账付款'!$AX51&gt;=SUM('2024年-挂账付款'!M51:$AH51),'2024年-挂账付款'!M51,IF('2024年-挂账付款'!$AX51-SUM('2024年-挂账付款'!N51:$AH51)&gt;0,'2024年-挂账付款'!$AX51-SUM('2024年-挂账付款'!N51:$AH51),0))</f>
        <v>0</v>
      </c>
      <c r="Q51" s="44">
        <f>IF('2024年-挂账付款'!$AX51&gt;=SUM('2024年-挂账付款'!N51:$AH51),'2024年-挂账付款'!N51,IF('2024年-挂账付款'!$AX51-SUM('2024年-挂账付款'!O51:$AH51)&gt;0,'2024年-挂账付款'!$AX51-SUM('2024年-挂账付款'!O51:$AH51),0))</f>
        <v>0</v>
      </c>
      <c r="R51" s="44">
        <f>IF('2024年-挂账付款'!$AX51&gt;=SUM('2024年-挂账付款'!O51:$AH51),'2024年-挂账付款'!O51,IF('2024年-挂账付款'!$AX51-SUM('2024年-挂账付款'!P51:$AH51)&gt;0,'2024年-挂账付款'!$AX51-SUM('2024年-挂账付款'!P51:$AH51),0))</f>
        <v>0</v>
      </c>
      <c r="S51" s="44">
        <f>IF('2024年-挂账付款'!$AX51&gt;=SUM('2024年-挂账付款'!P51:$AH51),'2024年-挂账付款'!P51,IF('2024年-挂账付款'!$AX51-SUM('2024年-挂账付款'!Q51:$AH51)&gt;0,'2024年-挂账付款'!$AX51-SUM('2024年-挂账付款'!Q51:$AH51),0))</f>
        <v>0</v>
      </c>
      <c r="T51" s="44">
        <f>IF('2024年-挂账付款'!$AX51&gt;=SUM('2024年-挂账付款'!Q51:$AH51),'2024年-挂账付款'!Q51,IF('2024年-挂账付款'!$AX51-SUM('2024年-挂账付款'!R51:$AH51)&gt;0,'2024年-挂账付款'!$AX51-SUM('2024年-挂账付款'!R51:$AH51),0))</f>
        <v>0</v>
      </c>
      <c r="U51" s="44">
        <f>IF('2024年-挂账付款'!$AX51&gt;=SUM('2024年-挂账付款'!R51:$AH51),'2024年-挂账付款'!R51,IF('2024年-挂账付款'!$AX51-SUM('2024年-挂账付款'!S51:$AH51)&gt;0,'2024年-挂账付款'!$AX51-SUM('2024年-挂账付款'!S51:$AH51),0))</f>
        <v>0</v>
      </c>
      <c r="V51" s="44">
        <f>IF('2024年-挂账付款'!$AX51&gt;=SUM('2024年-挂账付款'!S51:$AH51),'2024年-挂账付款'!S51,IF('2024年-挂账付款'!$AX51-SUM('2024年-挂账付款'!T51:$AH51)&gt;0,'2024年-挂账付款'!$AX51-SUM('2024年-挂账付款'!T51:$AH51),0))</f>
        <v>0</v>
      </c>
      <c r="W51" s="44">
        <f>IF('2024年-挂账付款'!$AX51&gt;=SUM('2024年-挂账付款'!T51:$AH51),'2024年-挂账付款'!T51,IF('2024年-挂账付款'!$AX51-SUM('2024年-挂账付款'!U51:$AH51)&gt;0,'2024年-挂账付款'!$AX51-SUM('2024年-挂账付款'!U51:$AH51),0))</f>
        <v>0</v>
      </c>
      <c r="X51" s="44">
        <f>IF('2024年-挂账付款'!$AX51&gt;=SUM('2024年-挂账付款'!U51:$AH51),'2024年-挂账付款'!U51,IF('2024年-挂账付款'!$AX51-SUM('2024年-挂账付款'!V51:$AH51)&gt;0,'2024年-挂账付款'!$AX51-SUM('2024年-挂账付款'!V51:$AH51),0))</f>
        <v>0</v>
      </c>
      <c r="Y51" s="44">
        <f>IF('2024年-挂账付款'!$AX51&gt;=SUM('2024年-挂账付款'!V51:$AH51),'2024年-挂账付款'!V51,IF('2024年-挂账付款'!$AX51-SUM('2024年-挂账付款'!W51:$AH51)&gt;0,'2024年-挂账付款'!$AX51-SUM('2024年-挂账付款'!W51:$AH51),0))</f>
        <v>0</v>
      </c>
      <c r="Z51" s="44">
        <f>IF('2024年-挂账付款'!$AX51&gt;=SUM('2024年-挂账付款'!W51:$AH51),'2024年-挂账付款'!W51,IF('2024年-挂账付款'!$AX51-SUM('2024年-挂账付款'!X51:$AH51)&gt;0,'2024年-挂账付款'!$AX51-SUM('2024年-挂账付款'!X51:$AH51),0))</f>
        <v>0</v>
      </c>
      <c r="AA51" s="44">
        <f>IF('2024年-挂账付款'!$AX51&gt;=SUM('2024年-挂账付款'!X51:$AH51),'2024年-挂账付款'!X51,IF('2024年-挂账付款'!$AX51-SUM('2024年-挂账付款'!Y51:$AH51)&gt;0,'2024年-挂账付款'!$AX51-SUM('2024年-挂账付款'!Y51:$AH51),0))</f>
        <v>0</v>
      </c>
      <c r="AB51" s="44">
        <f>IF('2024年-挂账付款'!$AX51&gt;=SUM('2024年-挂账付款'!Y51:$AH51),'2024年-挂账付款'!Y51,IF('2024年-挂账付款'!$AX51-SUM('2024年-挂账付款'!Z51:$AH51)&gt;0,'2024年-挂账付款'!$AX51-SUM('2024年-挂账付款'!Z51:$AH51),0))</f>
        <v>0</v>
      </c>
      <c r="AC51" s="44">
        <f>IF('2024年-挂账付款'!$AX51&gt;=SUM('2024年-挂账付款'!Z51:$AH51),'2024年-挂账付款'!Z51,IF('2024年-挂账付款'!$AX51-SUM('2024年-挂账付款'!AA51:$AH51)&gt;0,'2024年-挂账付款'!$AX51-SUM('2024年-挂账付款'!AA51:$AH51),0))</f>
        <v>0</v>
      </c>
      <c r="AD51" s="44">
        <f>IF('2024年-挂账付款'!$AX51&gt;=SUM('2024年-挂账付款'!AA51:$AH51),'2024年-挂账付款'!AA51,IF('2024年-挂账付款'!$AX51-SUM('2024年-挂账付款'!AB51:$AH51)&gt;0,'2024年-挂账付款'!$AX51-SUM('2024年-挂账付款'!AB51:$AH51),0))</f>
        <v>0</v>
      </c>
      <c r="AE51" s="44">
        <f>IF('2024年-挂账付款'!$AX51&gt;=SUM('2024年-挂账付款'!AB51:$AH51),'2024年-挂账付款'!AB51,IF('2024年-挂账付款'!$AX51-SUM('2024年-挂账付款'!AC51:$AH51)&gt;0,'2024年-挂账付款'!$AX51-SUM('2024年-挂账付款'!AC51:$AH51),0))</f>
        <v>0</v>
      </c>
      <c r="AF51" s="44">
        <f>IF('2024年-挂账付款'!$AX51&gt;=SUM('2024年-挂账付款'!AC51:$AH51),'2024年-挂账付款'!AC51,IF('2024年-挂账付款'!$AX51-SUM('2024年-挂账付款'!AD51:$AH51)&gt;0,'2024年-挂账付款'!$AX51-SUM('2024年-挂账付款'!AD51:$AH51),0))</f>
        <v>0</v>
      </c>
      <c r="AG51" s="44">
        <f>IF('2024年-挂账付款'!$AX51&gt;=SUM('2024年-挂账付款'!AD51:$AH51),'2024年-挂账付款'!AD51,IF('2024年-挂账付款'!$AX51-SUM('2024年-挂账付款'!AE51:$AH51)&gt;0,'2024年-挂账付款'!$AX51-SUM('2024年-挂账付款'!AE51:$AH51),0))</f>
        <v>0</v>
      </c>
      <c r="AH51" s="44">
        <f>IF('2024年-挂账付款'!$AX51&gt;=SUM('2024年-挂账付款'!AE51:$AH51),'2024年-挂账付款'!AE51,IF('2024年-挂账付款'!$AX51-SUM('2024年-挂账付款'!AF51:$AH51)&gt;0,'2024年-挂账付款'!$AX51-SUM('2024年-挂账付款'!AF51:$AH51),0))</f>
        <v>0</v>
      </c>
      <c r="AI51" s="44">
        <f>IF('2024年-挂账付款'!$AX51&gt;=SUM('2024年-挂账付款'!AF51:$AH51),'2024年-挂账付款'!AF51,IF('2024年-挂账付款'!$AX51-SUM('2024年-挂账付款'!AG51:$AH51)&gt;0,'2024年-挂账付款'!$AX51-SUM('2024年-挂账付款'!AG51:$AH51),0))</f>
        <v>0</v>
      </c>
      <c r="AJ51" s="44">
        <f>IF('2024年-挂账付款'!$AX51&gt;=SUM('2024年-挂账付款'!AG51:$AH51),'2024年-挂账付款'!AG51,IF('2024年-挂账付款'!$AX51-SUM('2024年-挂账付款'!AH51:$AH51)&gt;0,'2024年-挂账付款'!$AX51-SUM('2024年-挂账付款'!AH51:$AH51),0))</f>
        <v>0</v>
      </c>
      <c r="AK51" s="44">
        <f>IF('2024年-挂账付款'!$AX51&gt;=SUM('2024年-挂账付款'!AH51:$AH51),'2024年-挂账付款'!AH51,IF('2024年-挂账付款'!$AX51-SUM('2024年-挂账付款'!$AH51:AI51)&gt;0,'2024年-挂账付款'!$AX51-SUM('2024年-挂账付款'!$AH51:AI51),0))</f>
        <v>0</v>
      </c>
      <c r="AL51" s="88"/>
      <c r="AM51" s="90"/>
      <c r="AN51" s="97"/>
      <c r="AO51" s="91"/>
      <c r="AP51" s="10">
        <f>'2024年-挂账付款'!AX51</f>
        <v>0</v>
      </c>
      <c r="AQ51" s="101">
        <f t="shared" si="7"/>
        <v>0</v>
      </c>
    </row>
    <row r="52" s="10" customFormat="1" ht="24.05" customHeight="1" spans="2:43">
      <c r="B52" s="48" t="s">
        <v>81</v>
      </c>
      <c r="C52" s="46" t="s">
        <v>301</v>
      </c>
      <c r="D52" s="46" t="s">
        <v>302</v>
      </c>
      <c r="E52" s="41">
        <v>90</v>
      </c>
      <c r="F52" s="42">
        <f t="shared" si="5"/>
        <v>0</v>
      </c>
      <c r="G52" s="43" t="str">
        <f t="shared" si="6"/>
        <v>0</v>
      </c>
      <c r="H52" s="44" t="str">
        <f>IF('2024年-挂账付款'!$AX52&gt;=SUM('2024年-挂账付款'!E52:$AH52),'2024年-挂账付款'!E52,IF('2024年-挂账付款'!$AX52-SUM('2024年-挂账付款'!F52:$AH52)&gt;0,'2024年-挂账付款'!$AX52-SUM('2024年-挂账付款'!F52:$AH52),0))</f>
        <v/>
      </c>
      <c r="I52" s="44" t="str">
        <f>IF('2024年-挂账付款'!$AX52&gt;=SUM('2024年-挂账付款'!F52:$AH52),'2024年-挂账付款'!F52,IF('2024年-挂账付款'!$AX52-SUM('2024年-挂账付款'!G52:$AH52)&gt;0,'2024年-挂账付款'!$AX52-SUM('2024年-挂账付款'!G52:$AH52),0))</f>
        <v/>
      </c>
      <c r="J52" s="44" t="str">
        <f>IF('2024年-挂账付款'!$AX52&gt;=SUM('2024年-挂账付款'!G52:$AH52),'2024年-挂账付款'!G52,IF('2024年-挂账付款'!$AX52-SUM('2024年-挂账付款'!H52:$AH52)&gt;0,'2024年-挂账付款'!$AX52-SUM('2024年-挂账付款'!H52:$AH52),0))</f>
        <v/>
      </c>
      <c r="K52" s="44">
        <f>IF('2024年-挂账付款'!$AX52&gt;=SUM('2024年-挂账付款'!H52:$AH52),'2024年-挂账付款'!H52,IF('2024年-挂账付款'!$AX52-SUM('2024年-挂账付款'!I52:$AH52)&gt;0,'2024年-挂账付款'!$AX52-SUM('2024年-挂账付款'!I52:$AH52),0))</f>
        <v>0</v>
      </c>
      <c r="L52" s="44">
        <f>IF('2024年-挂账付款'!$AX52&gt;=SUM('2024年-挂账付款'!I52:$AH52),'2024年-挂账付款'!I52,IF('2024年-挂账付款'!$AX52-SUM('2024年-挂账付款'!J52:$AH52)&gt;0,'2024年-挂账付款'!$AX52-SUM('2024年-挂账付款'!J52:$AH52),0))</f>
        <v>0</v>
      </c>
      <c r="M52" s="44" t="str">
        <f>IF('2024年-挂账付款'!$AX52&gt;=SUM('2024年-挂账付款'!J52:$AH52),'2024年-挂账付款'!J52,IF('2024年-挂账付款'!$AX52-SUM('2024年-挂账付款'!K52:$AH52)&gt;0,'2024年-挂账付款'!$AX52-SUM('2024年-挂账付款'!K52:$AH52),0))</f>
        <v/>
      </c>
      <c r="N52" s="44">
        <f>IF('2024年-挂账付款'!$AX52&gt;=SUM('2024年-挂账付款'!K52:$AH52),'2024年-挂账付款'!K52,IF('2024年-挂账付款'!$AX52-SUM('2024年-挂账付款'!L52:$AH52)&gt;0,'2024年-挂账付款'!$AX52-SUM('2024年-挂账付款'!L52:$AH52),0))</f>
        <v>0</v>
      </c>
      <c r="O52" s="44">
        <f>IF('2024年-挂账付款'!$AX52&gt;=SUM('2024年-挂账付款'!L52:$AH52),'2024年-挂账付款'!L52,IF('2024年-挂账付款'!$AX52-SUM('2024年-挂账付款'!M52:$AH52)&gt;0,'2024年-挂账付款'!$AX52-SUM('2024年-挂账付款'!M52:$AH52),0))</f>
        <v>0</v>
      </c>
      <c r="P52" s="44">
        <f>IF('2024年-挂账付款'!$AX52&gt;=SUM('2024年-挂账付款'!M52:$AH52),'2024年-挂账付款'!M52,IF('2024年-挂账付款'!$AX52-SUM('2024年-挂账付款'!N52:$AH52)&gt;0,'2024年-挂账付款'!$AX52-SUM('2024年-挂账付款'!N52:$AH52),0))</f>
        <v>0</v>
      </c>
      <c r="Q52" s="44">
        <f>IF('2024年-挂账付款'!$AX52&gt;=SUM('2024年-挂账付款'!N52:$AH52),'2024年-挂账付款'!N52,IF('2024年-挂账付款'!$AX52-SUM('2024年-挂账付款'!O52:$AH52)&gt;0,'2024年-挂账付款'!$AX52-SUM('2024年-挂账付款'!O52:$AH52),0))</f>
        <v>0</v>
      </c>
      <c r="R52" s="44">
        <f>IF('2024年-挂账付款'!$AX52&gt;=SUM('2024年-挂账付款'!O52:$AH52),'2024年-挂账付款'!O52,IF('2024年-挂账付款'!$AX52-SUM('2024年-挂账付款'!P52:$AH52)&gt;0,'2024年-挂账付款'!$AX52-SUM('2024年-挂账付款'!P52:$AH52),0))</f>
        <v>0</v>
      </c>
      <c r="S52" s="44">
        <f>IF('2024年-挂账付款'!$AX52&gt;=SUM('2024年-挂账付款'!P52:$AH52),'2024年-挂账付款'!P52,IF('2024年-挂账付款'!$AX52-SUM('2024年-挂账付款'!Q52:$AH52)&gt;0,'2024年-挂账付款'!$AX52-SUM('2024年-挂账付款'!Q52:$AH52),0))</f>
        <v>0</v>
      </c>
      <c r="T52" s="44">
        <f>IF('2024年-挂账付款'!$AX52&gt;=SUM('2024年-挂账付款'!Q52:$AH52),'2024年-挂账付款'!Q52,IF('2024年-挂账付款'!$AX52-SUM('2024年-挂账付款'!R52:$AH52)&gt;0,'2024年-挂账付款'!$AX52-SUM('2024年-挂账付款'!R52:$AH52),0))</f>
        <v>0</v>
      </c>
      <c r="U52" s="44">
        <f>IF('2024年-挂账付款'!$AX52&gt;=SUM('2024年-挂账付款'!R52:$AH52),'2024年-挂账付款'!R52,IF('2024年-挂账付款'!$AX52-SUM('2024年-挂账付款'!S52:$AH52)&gt;0,'2024年-挂账付款'!$AX52-SUM('2024年-挂账付款'!S52:$AH52),0))</f>
        <v>0</v>
      </c>
      <c r="V52" s="44">
        <f>IF('2024年-挂账付款'!$AX52&gt;=SUM('2024年-挂账付款'!S52:$AH52),'2024年-挂账付款'!S52,IF('2024年-挂账付款'!$AX52-SUM('2024年-挂账付款'!T52:$AH52)&gt;0,'2024年-挂账付款'!$AX52-SUM('2024年-挂账付款'!T52:$AH52),0))</f>
        <v>0</v>
      </c>
      <c r="W52" s="44">
        <f>IF('2024年-挂账付款'!$AX52&gt;=SUM('2024年-挂账付款'!T52:$AH52),'2024年-挂账付款'!T52,IF('2024年-挂账付款'!$AX52-SUM('2024年-挂账付款'!U52:$AH52)&gt;0,'2024年-挂账付款'!$AX52-SUM('2024年-挂账付款'!U52:$AH52),0))</f>
        <v>0</v>
      </c>
      <c r="X52" s="44">
        <f>IF('2024年-挂账付款'!$AX52&gt;=SUM('2024年-挂账付款'!U52:$AH52),'2024年-挂账付款'!U52,IF('2024年-挂账付款'!$AX52-SUM('2024年-挂账付款'!V52:$AH52)&gt;0,'2024年-挂账付款'!$AX52-SUM('2024年-挂账付款'!V52:$AH52),0))</f>
        <v>0</v>
      </c>
      <c r="Y52" s="44">
        <f>IF('2024年-挂账付款'!$AX52&gt;=SUM('2024年-挂账付款'!V52:$AH52),'2024年-挂账付款'!V52,IF('2024年-挂账付款'!$AX52-SUM('2024年-挂账付款'!W52:$AH52)&gt;0,'2024年-挂账付款'!$AX52-SUM('2024年-挂账付款'!W52:$AH52),0))</f>
        <v>0</v>
      </c>
      <c r="Z52" s="44">
        <f>IF('2024年-挂账付款'!$AX52&gt;=SUM('2024年-挂账付款'!W52:$AH52),'2024年-挂账付款'!W52,IF('2024年-挂账付款'!$AX52-SUM('2024年-挂账付款'!X52:$AH52)&gt;0,'2024年-挂账付款'!$AX52-SUM('2024年-挂账付款'!X52:$AH52),0))</f>
        <v>0</v>
      </c>
      <c r="AA52" s="44">
        <f>IF('2024年-挂账付款'!$AX52&gt;=SUM('2024年-挂账付款'!X52:$AH52),'2024年-挂账付款'!X52,IF('2024年-挂账付款'!$AX52-SUM('2024年-挂账付款'!Y52:$AH52)&gt;0,'2024年-挂账付款'!$AX52-SUM('2024年-挂账付款'!Y52:$AH52),0))</f>
        <v>0</v>
      </c>
      <c r="AB52" s="44">
        <f>IF('2024年-挂账付款'!$AX52&gt;=SUM('2024年-挂账付款'!Y52:$AH52),'2024年-挂账付款'!Y52,IF('2024年-挂账付款'!$AX52-SUM('2024年-挂账付款'!Z52:$AH52)&gt;0,'2024年-挂账付款'!$AX52-SUM('2024年-挂账付款'!Z52:$AH52),0))</f>
        <v>0</v>
      </c>
      <c r="AC52" s="44">
        <f>IF('2024年-挂账付款'!$AX52&gt;=SUM('2024年-挂账付款'!Z52:$AH52),'2024年-挂账付款'!Z52,IF('2024年-挂账付款'!$AX52-SUM('2024年-挂账付款'!AA52:$AH52)&gt;0,'2024年-挂账付款'!$AX52-SUM('2024年-挂账付款'!AA52:$AH52),0))</f>
        <v>0</v>
      </c>
      <c r="AD52" s="44">
        <f>IF('2024年-挂账付款'!$AX52&gt;=SUM('2024年-挂账付款'!AA52:$AH52),'2024年-挂账付款'!AA52,IF('2024年-挂账付款'!$AX52-SUM('2024年-挂账付款'!AB52:$AH52)&gt;0,'2024年-挂账付款'!$AX52-SUM('2024年-挂账付款'!AB52:$AH52),0))</f>
        <v>0</v>
      </c>
      <c r="AE52" s="44">
        <f>IF('2024年-挂账付款'!$AX52&gt;=SUM('2024年-挂账付款'!AB52:$AH52),'2024年-挂账付款'!AB52,IF('2024年-挂账付款'!$AX52-SUM('2024年-挂账付款'!AC52:$AH52)&gt;0,'2024年-挂账付款'!$AX52-SUM('2024年-挂账付款'!AC52:$AH52),0))</f>
        <v>0</v>
      </c>
      <c r="AF52" s="44">
        <f>IF('2024年-挂账付款'!$AX52&gt;=SUM('2024年-挂账付款'!AC52:$AH52),'2024年-挂账付款'!AC52,IF('2024年-挂账付款'!$AX52-SUM('2024年-挂账付款'!AD52:$AH52)&gt;0,'2024年-挂账付款'!$AX52-SUM('2024年-挂账付款'!AD52:$AH52),0))</f>
        <v>0</v>
      </c>
      <c r="AG52" s="44">
        <f>IF('2024年-挂账付款'!$AX52&gt;=SUM('2024年-挂账付款'!AD52:$AH52),'2024年-挂账付款'!AD52,IF('2024年-挂账付款'!$AX52-SUM('2024年-挂账付款'!AE52:$AH52)&gt;0,'2024年-挂账付款'!$AX52-SUM('2024年-挂账付款'!AE52:$AH52),0))</f>
        <v>0</v>
      </c>
      <c r="AH52" s="44">
        <f>IF('2024年-挂账付款'!$AX52&gt;=SUM('2024年-挂账付款'!AE52:$AH52),'2024年-挂账付款'!AE52,IF('2024年-挂账付款'!$AX52-SUM('2024年-挂账付款'!AF52:$AH52)&gt;0,'2024年-挂账付款'!$AX52-SUM('2024年-挂账付款'!AF52:$AH52),0))</f>
        <v>0</v>
      </c>
      <c r="AI52" s="44">
        <f>IF('2024年-挂账付款'!$AX52&gt;=SUM('2024年-挂账付款'!AF52:$AH52),'2024年-挂账付款'!AF52,IF('2024年-挂账付款'!$AX52-SUM('2024年-挂账付款'!AG52:$AH52)&gt;0,'2024年-挂账付款'!$AX52-SUM('2024年-挂账付款'!AG52:$AH52),0))</f>
        <v>0</v>
      </c>
      <c r="AJ52" s="44">
        <f>IF('2024年-挂账付款'!$AX52&gt;=SUM('2024年-挂账付款'!AG52:$AH52),'2024年-挂账付款'!AG52,IF('2024年-挂账付款'!$AX52-SUM('2024年-挂账付款'!AH52:$AH52)&gt;0,'2024年-挂账付款'!$AX52-SUM('2024年-挂账付款'!AH52:$AH52),0))</f>
        <v>0</v>
      </c>
      <c r="AK52" s="44">
        <f>IF('2024年-挂账付款'!$AX52&gt;=SUM('2024年-挂账付款'!AH52:$AH52),'2024年-挂账付款'!AH52,IF('2024年-挂账付款'!$AX52-SUM('2024年-挂账付款'!$AH52:AI52)&gt;0,'2024年-挂账付款'!$AX52-SUM('2024年-挂账付款'!$AH52:AI52),0))</f>
        <v>0</v>
      </c>
      <c r="AL52" s="88"/>
      <c r="AM52" s="89"/>
      <c r="AN52" s="86">
        <f>SUM(T52:Y52)/6*0.8</f>
        <v>0</v>
      </c>
      <c r="AO52" s="91"/>
      <c r="AP52" s="10">
        <f>'2024年-挂账付款'!AX52</f>
        <v>0</v>
      </c>
      <c r="AQ52" s="101">
        <f t="shared" si="7"/>
        <v>0</v>
      </c>
    </row>
    <row r="53" s="10" customFormat="1" ht="24.05" customHeight="1" spans="2:43">
      <c r="B53" s="48" t="s">
        <v>81</v>
      </c>
      <c r="C53" s="46" t="e">
        <v>#N/A</v>
      </c>
      <c r="D53" s="46" t="s">
        <v>305</v>
      </c>
      <c r="E53" s="41">
        <v>90</v>
      </c>
      <c r="F53" s="42">
        <f t="shared" si="5"/>
        <v>0</v>
      </c>
      <c r="G53" s="43" t="str">
        <f t="shared" si="6"/>
        <v>0</v>
      </c>
      <c r="H53" s="44" t="str">
        <f>IF('2024年-挂账付款'!$AX53&gt;=SUM('2024年-挂账付款'!E53:$AH53),'2024年-挂账付款'!E53,IF('2024年-挂账付款'!$AX53-SUM('2024年-挂账付款'!F53:$AH53)&gt;0,'2024年-挂账付款'!$AX53-SUM('2024年-挂账付款'!F53:$AH53),0))</f>
        <v/>
      </c>
      <c r="I53" s="44" t="str">
        <f>IF('2024年-挂账付款'!$AX53&gt;=SUM('2024年-挂账付款'!F53:$AH53),'2024年-挂账付款'!F53,IF('2024年-挂账付款'!$AX53-SUM('2024年-挂账付款'!G53:$AH53)&gt;0,'2024年-挂账付款'!$AX53-SUM('2024年-挂账付款'!G53:$AH53),0))</f>
        <v/>
      </c>
      <c r="J53" s="44" t="str">
        <f>IF('2024年-挂账付款'!$AX53&gt;=SUM('2024年-挂账付款'!G53:$AH53),'2024年-挂账付款'!G53,IF('2024年-挂账付款'!$AX53-SUM('2024年-挂账付款'!H53:$AH53)&gt;0,'2024年-挂账付款'!$AX53-SUM('2024年-挂账付款'!H53:$AH53),0))</f>
        <v/>
      </c>
      <c r="K53" s="44">
        <f>IF('2024年-挂账付款'!$AX53&gt;=SUM('2024年-挂账付款'!H53:$AH53),'2024年-挂账付款'!H53,IF('2024年-挂账付款'!$AX53-SUM('2024年-挂账付款'!I53:$AH53)&gt;0,'2024年-挂账付款'!$AX53-SUM('2024年-挂账付款'!I53:$AH53),0))</f>
        <v>0</v>
      </c>
      <c r="L53" s="44">
        <f>IF('2024年-挂账付款'!$AX53&gt;=SUM('2024年-挂账付款'!I53:$AH53),'2024年-挂账付款'!I53,IF('2024年-挂账付款'!$AX53-SUM('2024年-挂账付款'!J53:$AH53)&gt;0,'2024年-挂账付款'!$AX53-SUM('2024年-挂账付款'!J53:$AH53),0))</f>
        <v>0</v>
      </c>
      <c r="M53" s="44" t="str">
        <f>IF('2024年-挂账付款'!$AX53&gt;=SUM('2024年-挂账付款'!J53:$AH53),'2024年-挂账付款'!J53,IF('2024年-挂账付款'!$AX53-SUM('2024年-挂账付款'!K53:$AH53)&gt;0,'2024年-挂账付款'!$AX53-SUM('2024年-挂账付款'!K53:$AH53),0))</f>
        <v/>
      </c>
      <c r="N53" s="44">
        <f>IF('2024年-挂账付款'!$AX53&gt;=SUM('2024年-挂账付款'!K53:$AH53),'2024年-挂账付款'!K53,IF('2024年-挂账付款'!$AX53-SUM('2024年-挂账付款'!L53:$AH53)&gt;0,'2024年-挂账付款'!$AX53-SUM('2024年-挂账付款'!L53:$AH53),0))</f>
        <v>0</v>
      </c>
      <c r="O53" s="44">
        <f>IF('2024年-挂账付款'!$AX53&gt;=SUM('2024年-挂账付款'!L53:$AH53),'2024年-挂账付款'!L53,IF('2024年-挂账付款'!$AX53-SUM('2024年-挂账付款'!M53:$AH53)&gt;0,'2024年-挂账付款'!$AX53-SUM('2024年-挂账付款'!M53:$AH53),0))</f>
        <v>0</v>
      </c>
      <c r="P53" s="44">
        <f>IF('2024年-挂账付款'!$AX53&gt;=SUM('2024年-挂账付款'!M53:$AH53),'2024年-挂账付款'!M53,IF('2024年-挂账付款'!$AX53-SUM('2024年-挂账付款'!N53:$AH53)&gt;0,'2024年-挂账付款'!$AX53-SUM('2024年-挂账付款'!N53:$AH53),0))</f>
        <v>0</v>
      </c>
      <c r="Q53" s="44">
        <f>IF('2024年-挂账付款'!$AX53&gt;=SUM('2024年-挂账付款'!N53:$AH53),'2024年-挂账付款'!N53,IF('2024年-挂账付款'!$AX53-SUM('2024年-挂账付款'!O53:$AH53)&gt;0,'2024年-挂账付款'!$AX53-SUM('2024年-挂账付款'!O53:$AH53),0))</f>
        <v>0</v>
      </c>
      <c r="R53" s="44">
        <f>IF('2024年-挂账付款'!$AX53&gt;=SUM('2024年-挂账付款'!O53:$AH53),'2024年-挂账付款'!O53,IF('2024年-挂账付款'!$AX53-SUM('2024年-挂账付款'!P53:$AH53)&gt;0,'2024年-挂账付款'!$AX53-SUM('2024年-挂账付款'!P53:$AH53),0))</f>
        <v>0</v>
      </c>
      <c r="S53" s="44">
        <f>IF('2024年-挂账付款'!$AX53&gt;=SUM('2024年-挂账付款'!P53:$AH53),'2024年-挂账付款'!P53,IF('2024年-挂账付款'!$AX53-SUM('2024年-挂账付款'!Q53:$AH53)&gt;0,'2024年-挂账付款'!$AX53-SUM('2024年-挂账付款'!Q53:$AH53),0))</f>
        <v>0</v>
      </c>
      <c r="T53" s="44">
        <f>IF('2024年-挂账付款'!$AX53&gt;=SUM('2024年-挂账付款'!Q53:$AH53),'2024年-挂账付款'!Q53,IF('2024年-挂账付款'!$AX53-SUM('2024年-挂账付款'!R53:$AH53)&gt;0,'2024年-挂账付款'!$AX53-SUM('2024年-挂账付款'!R53:$AH53),0))</f>
        <v>0</v>
      </c>
      <c r="U53" s="44">
        <f>IF('2024年-挂账付款'!$AX53&gt;=SUM('2024年-挂账付款'!R53:$AH53),'2024年-挂账付款'!R53,IF('2024年-挂账付款'!$AX53-SUM('2024年-挂账付款'!S53:$AH53)&gt;0,'2024年-挂账付款'!$AX53-SUM('2024年-挂账付款'!S53:$AH53),0))</f>
        <v>0</v>
      </c>
      <c r="V53" s="44">
        <f>IF('2024年-挂账付款'!$AX53&gt;=SUM('2024年-挂账付款'!S53:$AH53),'2024年-挂账付款'!S53,IF('2024年-挂账付款'!$AX53-SUM('2024年-挂账付款'!T53:$AH53)&gt;0,'2024年-挂账付款'!$AX53-SUM('2024年-挂账付款'!T53:$AH53),0))</f>
        <v>0</v>
      </c>
      <c r="W53" s="44">
        <f>IF('2024年-挂账付款'!$AX53&gt;=SUM('2024年-挂账付款'!T53:$AH53),'2024年-挂账付款'!T53,IF('2024年-挂账付款'!$AX53-SUM('2024年-挂账付款'!U53:$AH53)&gt;0,'2024年-挂账付款'!$AX53-SUM('2024年-挂账付款'!U53:$AH53),0))</f>
        <v>0</v>
      </c>
      <c r="X53" s="44">
        <f>IF('2024年-挂账付款'!$AX53&gt;=SUM('2024年-挂账付款'!U53:$AH53),'2024年-挂账付款'!U53,IF('2024年-挂账付款'!$AX53-SUM('2024年-挂账付款'!V53:$AH53)&gt;0,'2024年-挂账付款'!$AX53-SUM('2024年-挂账付款'!V53:$AH53),0))</f>
        <v>0</v>
      </c>
      <c r="Y53" s="44">
        <f>IF('2024年-挂账付款'!$AX53&gt;=SUM('2024年-挂账付款'!V53:$AH53),'2024年-挂账付款'!V53,IF('2024年-挂账付款'!$AX53-SUM('2024年-挂账付款'!W53:$AH53)&gt;0,'2024年-挂账付款'!$AX53-SUM('2024年-挂账付款'!W53:$AH53),0))</f>
        <v>0</v>
      </c>
      <c r="Z53" s="44">
        <f>IF('2024年-挂账付款'!$AX53&gt;=SUM('2024年-挂账付款'!W53:$AH53),'2024年-挂账付款'!W53,IF('2024年-挂账付款'!$AX53-SUM('2024年-挂账付款'!X53:$AH53)&gt;0,'2024年-挂账付款'!$AX53-SUM('2024年-挂账付款'!X53:$AH53),0))</f>
        <v>0</v>
      </c>
      <c r="AA53" s="44">
        <f>IF('2024年-挂账付款'!$AX53&gt;=SUM('2024年-挂账付款'!X53:$AH53),'2024年-挂账付款'!X53,IF('2024年-挂账付款'!$AX53-SUM('2024年-挂账付款'!Y53:$AH53)&gt;0,'2024年-挂账付款'!$AX53-SUM('2024年-挂账付款'!Y53:$AH53),0))</f>
        <v>0</v>
      </c>
      <c r="AB53" s="44">
        <f>IF('2024年-挂账付款'!$AX53&gt;=SUM('2024年-挂账付款'!Y53:$AH53),'2024年-挂账付款'!Y53,IF('2024年-挂账付款'!$AX53-SUM('2024年-挂账付款'!Z53:$AH53)&gt;0,'2024年-挂账付款'!$AX53-SUM('2024年-挂账付款'!Z53:$AH53),0))</f>
        <v>0</v>
      </c>
      <c r="AC53" s="44">
        <f>IF('2024年-挂账付款'!$AX53&gt;=SUM('2024年-挂账付款'!Z53:$AH53),'2024年-挂账付款'!Z53,IF('2024年-挂账付款'!$AX53-SUM('2024年-挂账付款'!AA53:$AH53)&gt;0,'2024年-挂账付款'!$AX53-SUM('2024年-挂账付款'!AA53:$AH53),0))</f>
        <v>0</v>
      </c>
      <c r="AD53" s="44">
        <f>IF('2024年-挂账付款'!$AX53&gt;=SUM('2024年-挂账付款'!AA53:$AH53),'2024年-挂账付款'!AA53,IF('2024年-挂账付款'!$AX53-SUM('2024年-挂账付款'!AB53:$AH53)&gt;0,'2024年-挂账付款'!$AX53-SUM('2024年-挂账付款'!AB53:$AH53),0))</f>
        <v>0</v>
      </c>
      <c r="AE53" s="44">
        <f>IF('2024年-挂账付款'!$AX53&gt;=SUM('2024年-挂账付款'!AB53:$AH53),'2024年-挂账付款'!AB53,IF('2024年-挂账付款'!$AX53-SUM('2024年-挂账付款'!AC53:$AH53)&gt;0,'2024年-挂账付款'!$AX53-SUM('2024年-挂账付款'!AC53:$AH53),0))</f>
        <v>0</v>
      </c>
      <c r="AF53" s="44">
        <f>IF('2024年-挂账付款'!$AX53&gt;=SUM('2024年-挂账付款'!AC53:$AH53),'2024年-挂账付款'!AC53,IF('2024年-挂账付款'!$AX53-SUM('2024年-挂账付款'!AD53:$AH53)&gt;0,'2024年-挂账付款'!$AX53-SUM('2024年-挂账付款'!AD53:$AH53),0))</f>
        <v>0</v>
      </c>
      <c r="AG53" s="44">
        <f>IF('2024年-挂账付款'!$AX53&gt;=SUM('2024年-挂账付款'!AD53:$AH53),'2024年-挂账付款'!AD53,IF('2024年-挂账付款'!$AX53-SUM('2024年-挂账付款'!AE53:$AH53)&gt;0,'2024年-挂账付款'!$AX53-SUM('2024年-挂账付款'!AE53:$AH53),0))</f>
        <v>0</v>
      </c>
      <c r="AH53" s="44">
        <f>IF('2024年-挂账付款'!$AX53&gt;=SUM('2024年-挂账付款'!AE53:$AH53),'2024年-挂账付款'!AE53,IF('2024年-挂账付款'!$AX53-SUM('2024年-挂账付款'!AF53:$AH53)&gt;0,'2024年-挂账付款'!$AX53-SUM('2024年-挂账付款'!AF53:$AH53),0))</f>
        <v>0</v>
      </c>
      <c r="AI53" s="44">
        <f>IF('2024年-挂账付款'!$AX53&gt;=SUM('2024年-挂账付款'!AF53:$AH53),'2024年-挂账付款'!AF53,IF('2024年-挂账付款'!$AX53-SUM('2024年-挂账付款'!AG53:$AH53)&gt;0,'2024年-挂账付款'!$AX53-SUM('2024年-挂账付款'!AG53:$AH53),0))</f>
        <v>0</v>
      </c>
      <c r="AJ53" s="44">
        <f>IF('2024年-挂账付款'!$AX53&gt;=SUM('2024年-挂账付款'!AG53:$AH53),'2024年-挂账付款'!AG53,IF('2024年-挂账付款'!$AX53-SUM('2024年-挂账付款'!AH53:$AH53)&gt;0,'2024年-挂账付款'!$AX53-SUM('2024年-挂账付款'!AH53:$AH53),0))</f>
        <v>0</v>
      </c>
      <c r="AK53" s="44">
        <f>IF('2024年-挂账付款'!$AX53&gt;=SUM('2024年-挂账付款'!AH53:$AH53),'2024年-挂账付款'!AH53,IF('2024年-挂账付款'!$AX53-SUM('2024年-挂账付款'!$AH53:AI53)&gt;0,'2024年-挂账付款'!$AX53-SUM('2024年-挂账付款'!$AH53:AI53),0))</f>
        <v>0</v>
      </c>
      <c r="AL53" s="88"/>
      <c r="AM53" s="89"/>
      <c r="AN53" s="91"/>
      <c r="AO53" s="91"/>
      <c r="AP53" s="10">
        <f>'2024年-挂账付款'!AX53</f>
        <v>0</v>
      </c>
      <c r="AQ53" s="101">
        <f t="shared" si="7"/>
        <v>0</v>
      </c>
    </row>
    <row r="54" s="10" customFormat="1" ht="24.05" customHeight="1" spans="2:43">
      <c r="B54" s="48" t="s">
        <v>81</v>
      </c>
      <c r="C54" s="46" t="s">
        <v>310</v>
      </c>
      <c r="D54" s="46" t="s">
        <v>311</v>
      </c>
      <c r="E54" s="41">
        <v>90</v>
      </c>
      <c r="F54" s="42">
        <f t="shared" si="5"/>
        <v>0</v>
      </c>
      <c r="G54" s="43" t="str">
        <f t="shared" si="6"/>
        <v>0</v>
      </c>
      <c r="H54" s="44" t="str">
        <f>IF('2024年-挂账付款'!$AX54&gt;=SUM('2024年-挂账付款'!E54:$AH54),'2024年-挂账付款'!E54,IF('2024年-挂账付款'!$AX54-SUM('2024年-挂账付款'!F54:$AH54)&gt;0,'2024年-挂账付款'!$AX54-SUM('2024年-挂账付款'!F54:$AH54),0))</f>
        <v/>
      </c>
      <c r="I54" s="44" t="str">
        <f>IF('2024年-挂账付款'!$AX54&gt;=SUM('2024年-挂账付款'!F54:$AH54),'2024年-挂账付款'!F54,IF('2024年-挂账付款'!$AX54-SUM('2024年-挂账付款'!G54:$AH54)&gt;0,'2024年-挂账付款'!$AX54-SUM('2024年-挂账付款'!G54:$AH54),0))</f>
        <v/>
      </c>
      <c r="J54" s="44" t="str">
        <f>IF('2024年-挂账付款'!$AX54&gt;=SUM('2024年-挂账付款'!G54:$AH54),'2024年-挂账付款'!G54,IF('2024年-挂账付款'!$AX54-SUM('2024年-挂账付款'!H54:$AH54)&gt;0,'2024年-挂账付款'!$AX54-SUM('2024年-挂账付款'!H54:$AH54),0))</f>
        <v/>
      </c>
      <c r="K54" s="44">
        <f>IF('2024年-挂账付款'!$AX54&gt;=SUM('2024年-挂账付款'!H54:$AH54),'2024年-挂账付款'!H54,IF('2024年-挂账付款'!$AX54-SUM('2024年-挂账付款'!I54:$AH54)&gt;0,'2024年-挂账付款'!$AX54-SUM('2024年-挂账付款'!I54:$AH54),0))</f>
        <v>0</v>
      </c>
      <c r="L54" s="44">
        <f>IF('2024年-挂账付款'!$AX54&gt;=SUM('2024年-挂账付款'!I54:$AH54),'2024年-挂账付款'!I54,IF('2024年-挂账付款'!$AX54-SUM('2024年-挂账付款'!J54:$AH54)&gt;0,'2024年-挂账付款'!$AX54-SUM('2024年-挂账付款'!J54:$AH54),0))</f>
        <v>0</v>
      </c>
      <c r="M54" s="44" t="str">
        <f>IF('2024年-挂账付款'!$AX54&gt;=SUM('2024年-挂账付款'!J54:$AH54),'2024年-挂账付款'!J54,IF('2024年-挂账付款'!$AX54-SUM('2024年-挂账付款'!K54:$AH54)&gt;0,'2024年-挂账付款'!$AX54-SUM('2024年-挂账付款'!K54:$AH54),0))</f>
        <v/>
      </c>
      <c r="N54" s="44">
        <f>IF('2024年-挂账付款'!$AX54&gt;=SUM('2024年-挂账付款'!K54:$AH54),'2024年-挂账付款'!K54,IF('2024年-挂账付款'!$AX54-SUM('2024年-挂账付款'!L54:$AH54)&gt;0,'2024年-挂账付款'!$AX54-SUM('2024年-挂账付款'!L54:$AH54),0))</f>
        <v>0</v>
      </c>
      <c r="O54" s="44">
        <f>IF('2024年-挂账付款'!$AX54&gt;=SUM('2024年-挂账付款'!L54:$AH54),'2024年-挂账付款'!L54,IF('2024年-挂账付款'!$AX54-SUM('2024年-挂账付款'!M54:$AH54)&gt;0,'2024年-挂账付款'!$AX54-SUM('2024年-挂账付款'!M54:$AH54),0))</f>
        <v>0</v>
      </c>
      <c r="P54" s="44">
        <f>IF('2024年-挂账付款'!$AX54&gt;=SUM('2024年-挂账付款'!M54:$AH54),'2024年-挂账付款'!M54,IF('2024年-挂账付款'!$AX54-SUM('2024年-挂账付款'!N54:$AH54)&gt;0,'2024年-挂账付款'!$AX54-SUM('2024年-挂账付款'!N54:$AH54),0))</f>
        <v>0</v>
      </c>
      <c r="Q54" s="44">
        <f>IF('2024年-挂账付款'!$AX54&gt;=SUM('2024年-挂账付款'!N54:$AH54),'2024年-挂账付款'!N54,IF('2024年-挂账付款'!$AX54-SUM('2024年-挂账付款'!O54:$AH54)&gt;0,'2024年-挂账付款'!$AX54-SUM('2024年-挂账付款'!O54:$AH54),0))</f>
        <v>0</v>
      </c>
      <c r="R54" s="44">
        <f>IF('2024年-挂账付款'!$AX54&gt;=SUM('2024年-挂账付款'!O54:$AH54),'2024年-挂账付款'!O54,IF('2024年-挂账付款'!$AX54-SUM('2024年-挂账付款'!P54:$AH54)&gt;0,'2024年-挂账付款'!$AX54-SUM('2024年-挂账付款'!P54:$AH54),0))</f>
        <v>0</v>
      </c>
      <c r="S54" s="44">
        <f>IF('2024年-挂账付款'!$AX54&gt;=SUM('2024年-挂账付款'!P54:$AH54),'2024年-挂账付款'!P54,IF('2024年-挂账付款'!$AX54-SUM('2024年-挂账付款'!Q54:$AH54)&gt;0,'2024年-挂账付款'!$AX54-SUM('2024年-挂账付款'!Q54:$AH54),0))</f>
        <v>0</v>
      </c>
      <c r="T54" s="44">
        <f>IF('2024年-挂账付款'!$AX54&gt;=SUM('2024年-挂账付款'!Q54:$AH54),'2024年-挂账付款'!Q54,IF('2024年-挂账付款'!$AX54-SUM('2024年-挂账付款'!R54:$AH54)&gt;0,'2024年-挂账付款'!$AX54-SUM('2024年-挂账付款'!R54:$AH54),0))</f>
        <v>0</v>
      </c>
      <c r="U54" s="44">
        <f>IF('2024年-挂账付款'!$AX54&gt;=SUM('2024年-挂账付款'!R54:$AH54),'2024年-挂账付款'!R54,IF('2024年-挂账付款'!$AX54-SUM('2024年-挂账付款'!S54:$AH54)&gt;0,'2024年-挂账付款'!$AX54-SUM('2024年-挂账付款'!S54:$AH54),0))</f>
        <v>0</v>
      </c>
      <c r="V54" s="44">
        <f>IF('2024年-挂账付款'!$AX54&gt;=SUM('2024年-挂账付款'!S54:$AH54),'2024年-挂账付款'!S54,IF('2024年-挂账付款'!$AX54-SUM('2024年-挂账付款'!T54:$AH54)&gt;0,'2024年-挂账付款'!$AX54-SUM('2024年-挂账付款'!T54:$AH54),0))</f>
        <v>0</v>
      </c>
      <c r="W54" s="44">
        <f>IF('2024年-挂账付款'!$AX54&gt;=SUM('2024年-挂账付款'!T54:$AH54),'2024年-挂账付款'!T54,IF('2024年-挂账付款'!$AX54-SUM('2024年-挂账付款'!U54:$AH54)&gt;0,'2024年-挂账付款'!$AX54-SUM('2024年-挂账付款'!U54:$AH54),0))</f>
        <v>0</v>
      </c>
      <c r="X54" s="44">
        <f>IF('2024年-挂账付款'!$AX54&gt;=SUM('2024年-挂账付款'!U54:$AH54),'2024年-挂账付款'!U54,IF('2024年-挂账付款'!$AX54-SUM('2024年-挂账付款'!V54:$AH54)&gt;0,'2024年-挂账付款'!$AX54-SUM('2024年-挂账付款'!V54:$AH54),0))</f>
        <v>0</v>
      </c>
      <c r="Y54" s="44">
        <f>IF('2024年-挂账付款'!$AX54&gt;=SUM('2024年-挂账付款'!V54:$AH54),'2024年-挂账付款'!V54,IF('2024年-挂账付款'!$AX54-SUM('2024年-挂账付款'!W54:$AH54)&gt;0,'2024年-挂账付款'!$AX54-SUM('2024年-挂账付款'!W54:$AH54),0))</f>
        <v>0</v>
      </c>
      <c r="Z54" s="44">
        <f>IF('2024年-挂账付款'!$AX54&gt;=SUM('2024年-挂账付款'!W54:$AH54),'2024年-挂账付款'!W54,IF('2024年-挂账付款'!$AX54-SUM('2024年-挂账付款'!X54:$AH54)&gt;0,'2024年-挂账付款'!$AX54-SUM('2024年-挂账付款'!X54:$AH54),0))</f>
        <v>0</v>
      </c>
      <c r="AA54" s="44">
        <f>IF('2024年-挂账付款'!$AX54&gt;=SUM('2024年-挂账付款'!X54:$AH54),'2024年-挂账付款'!X54,IF('2024年-挂账付款'!$AX54-SUM('2024年-挂账付款'!Y54:$AH54)&gt;0,'2024年-挂账付款'!$AX54-SUM('2024年-挂账付款'!Y54:$AH54),0))</f>
        <v>0</v>
      </c>
      <c r="AB54" s="44">
        <f>IF('2024年-挂账付款'!$AX54&gt;=SUM('2024年-挂账付款'!Y54:$AH54),'2024年-挂账付款'!Y54,IF('2024年-挂账付款'!$AX54-SUM('2024年-挂账付款'!Z54:$AH54)&gt;0,'2024年-挂账付款'!$AX54-SUM('2024年-挂账付款'!Z54:$AH54),0))</f>
        <v>0</v>
      </c>
      <c r="AC54" s="44">
        <f>IF('2024年-挂账付款'!$AX54&gt;=SUM('2024年-挂账付款'!Z54:$AH54),'2024年-挂账付款'!Z54,IF('2024年-挂账付款'!$AX54-SUM('2024年-挂账付款'!AA54:$AH54)&gt;0,'2024年-挂账付款'!$AX54-SUM('2024年-挂账付款'!AA54:$AH54),0))</f>
        <v>0</v>
      </c>
      <c r="AD54" s="44">
        <f>IF('2024年-挂账付款'!$AX54&gt;=SUM('2024年-挂账付款'!AA54:$AH54),'2024年-挂账付款'!AA54,IF('2024年-挂账付款'!$AX54-SUM('2024年-挂账付款'!AB54:$AH54)&gt;0,'2024年-挂账付款'!$AX54-SUM('2024年-挂账付款'!AB54:$AH54),0))</f>
        <v>0</v>
      </c>
      <c r="AE54" s="44">
        <f>IF('2024年-挂账付款'!$AX54&gt;=SUM('2024年-挂账付款'!AB54:$AH54),'2024年-挂账付款'!AB54,IF('2024年-挂账付款'!$AX54-SUM('2024年-挂账付款'!AC54:$AH54)&gt;0,'2024年-挂账付款'!$AX54-SUM('2024年-挂账付款'!AC54:$AH54),0))</f>
        <v>0</v>
      </c>
      <c r="AF54" s="44">
        <f>IF('2024年-挂账付款'!$AX54&gt;=SUM('2024年-挂账付款'!AC54:$AH54),'2024年-挂账付款'!AC54,IF('2024年-挂账付款'!$AX54-SUM('2024年-挂账付款'!AD54:$AH54)&gt;0,'2024年-挂账付款'!$AX54-SUM('2024年-挂账付款'!AD54:$AH54),0))</f>
        <v>0</v>
      </c>
      <c r="AG54" s="44">
        <f>IF('2024年-挂账付款'!$AX54&gt;=SUM('2024年-挂账付款'!AD54:$AH54),'2024年-挂账付款'!AD54,IF('2024年-挂账付款'!$AX54-SUM('2024年-挂账付款'!AE54:$AH54)&gt;0,'2024年-挂账付款'!$AX54-SUM('2024年-挂账付款'!AE54:$AH54),0))</f>
        <v>0</v>
      </c>
      <c r="AH54" s="44">
        <f>IF('2024年-挂账付款'!$AX54&gt;=SUM('2024年-挂账付款'!AE54:$AH54),'2024年-挂账付款'!AE54,IF('2024年-挂账付款'!$AX54-SUM('2024年-挂账付款'!AF54:$AH54)&gt;0,'2024年-挂账付款'!$AX54-SUM('2024年-挂账付款'!AF54:$AH54),0))</f>
        <v>0</v>
      </c>
      <c r="AI54" s="44">
        <f>IF('2024年-挂账付款'!$AX54&gt;=SUM('2024年-挂账付款'!AF54:$AH54),'2024年-挂账付款'!AF54,IF('2024年-挂账付款'!$AX54-SUM('2024年-挂账付款'!AG54:$AH54)&gt;0,'2024年-挂账付款'!$AX54-SUM('2024年-挂账付款'!AG54:$AH54),0))</f>
        <v>0</v>
      </c>
      <c r="AJ54" s="44">
        <f>IF('2024年-挂账付款'!$AX54&gt;=SUM('2024年-挂账付款'!AG54:$AH54),'2024年-挂账付款'!AG54,IF('2024年-挂账付款'!$AX54-SUM('2024年-挂账付款'!AH54:$AH54)&gt;0,'2024年-挂账付款'!$AX54-SUM('2024年-挂账付款'!AH54:$AH54),0))</f>
        <v>0</v>
      </c>
      <c r="AK54" s="44">
        <f>IF('2024年-挂账付款'!$AX54&gt;=SUM('2024年-挂账付款'!AH54:$AH54),'2024年-挂账付款'!AH54,IF('2024年-挂账付款'!$AX54-SUM('2024年-挂账付款'!$AH54:AI54)&gt;0,'2024年-挂账付款'!$AX54-SUM('2024年-挂账付款'!$AH54:AI54),0))</f>
        <v>0</v>
      </c>
      <c r="AL54" s="88"/>
      <c r="AM54" s="89"/>
      <c r="AN54" s="91"/>
      <c r="AO54" s="91"/>
      <c r="AP54" s="10">
        <f>'2024年-挂账付款'!AX54</f>
        <v>0</v>
      </c>
      <c r="AQ54" s="101">
        <f t="shared" si="7"/>
        <v>0</v>
      </c>
    </row>
    <row r="55" s="10" customFormat="1" ht="24.05" customHeight="1" spans="2:43">
      <c r="B55" s="48" t="s">
        <v>81</v>
      </c>
      <c r="C55" s="46" t="s">
        <v>88</v>
      </c>
      <c r="D55" s="46" t="s">
        <v>329</v>
      </c>
      <c r="E55" s="41">
        <v>90</v>
      </c>
      <c r="F55" s="42">
        <f t="shared" si="5"/>
        <v>0</v>
      </c>
      <c r="G55" s="43" t="str">
        <f t="shared" si="6"/>
        <v>0</v>
      </c>
      <c r="H55" s="44" t="str">
        <f>IF('2024年-挂账付款'!$AX55&gt;=SUM('2024年-挂账付款'!E55:$AH55),'2024年-挂账付款'!E55,IF('2024年-挂账付款'!$AX55-SUM('2024年-挂账付款'!F55:$AH55)&gt;0,'2024年-挂账付款'!$AX55-SUM('2024年-挂账付款'!F55:$AH55),0))</f>
        <v/>
      </c>
      <c r="I55" s="44" t="str">
        <f>IF('2024年-挂账付款'!$AX55&gt;=SUM('2024年-挂账付款'!F55:$AH55),'2024年-挂账付款'!F55,IF('2024年-挂账付款'!$AX55-SUM('2024年-挂账付款'!G55:$AH55)&gt;0,'2024年-挂账付款'!$AX55-SUM('2024年-挂账付款'!G55:$AH55),0))</f>
        <v/>
      </c>
      <c r="J55" s="44" t="str">
        <f>IF('2024年-挂账付款'!$AX55&gt;=SUM('2024年-挂账付款'!G55:$AH55),'2024年-挂账付款'!G55,IF('2024年-挂账付款'!$AX55-SUM('2024年-挂账付款'!H55:$AH55)&gt;0,'2024年-挂账付款'!$AX55-SUM('2024年-挂账付款'!H55:$AH55),0))</f>
        <v/>
      </c>
      <c r="K55" s="44">
        <f>IF('2024年-挂账付款'!$AX55&gt;=SUM('2024年-挂账付款'!H55:$AH55),'2024年-挂账付款'!H55,IF('2024年-挂账付款'!$AX55-SUM('2024年-挂账付款'!I55:$AH55)&gt;0,'2024年-挂账付款'!$AX55-SUM('2024年-挂账付款'!I55:$AH55),0))</f>
        <v>0</v>
      </c>
      <c r="L55" s="44">
        <f>IF('2024年-挂账付款'!$AX55&gt;=SUM('2024年-挂账付款'!I55:$AH55),'2024年-挂账付款'!I55,IF('2024年-挂账付款'!$AX55-SUM('2024年-挂账付款'!J55:$AH55)&gt;0,'2024年-挂账付款'!$AX55-SUM('2024年-挂账付款'!J55:$AH55),0))</f>
        <v>0</v>
      </c>
      <c r="M55" s="44" t="str">
        <f>IF('2024年-挂账付款'!$AX55&gt;=SUM('2024年-挂账付款'!J55:$AH55),'2024年-挂账付款'!J55,IF('2024年-挂账付款'!$AX55-SUM('2024年-挂账付款'!K55:$AH55)&gt;0,'2024年-挂账付款'!$AX55-SUM('2024年-挂账付款'!K55:$AH55),0))</f>
        <v/>
      </c>
      <c r="N55" s="44">
        <f>IF('2024年-挂账付款'!$AX55&gt;=SUM('2024年-挂账付款'!K55:$AH55),'2024年-挂账付款'!K55,IF('2024年-挂账付款'!$AX55-SUM('2024年-挂账付款'!L55:$AH55)&gt;0,'2024年-挂账付款'!$AX55-SUM('2024年-挂账付款'!L55:$AH55),0))</f>
        <v>0</v>
      </c>
      <c r="O55" s="44">
        <f>IF('2024年-挂账付款'!$AX55&gt;=SUM('2024年-挂账付款'!L55:$AH55),'2024年-挂账付款'!L55,IF('2024年-挂账付款'!$AX55-SUM('2024年-挂账付款'!M55:$AH55)&gt;0,'2024年-挂账付款'!$AX55-SUM('2024年-挂账付款'!M55:$AH55),0))</f>
        <v>0</v>
      </c>
      <c r="P55" s="44">
        <f>IF('2024年-挂账付款'!$AX55&gt;=SUM('2024年-挂账付款'!M55:$AH55),'2024年-挂账付款'!M55,IF('2024年-挂账付款'!$AX55-SUM('2024年-挂账付款'!N55:$AH55)&gt;0,'2024年-挂账付款'!$AX55-SUM('2024年-挂账付款'!N55:$AH55),0))</f>
        <v>0</v>
      </c>
      <c r="Q55" s="44">
        <f>IF('2024年-挂账付款'!$AX55&gt;=SUM('2024年-挂账付款'!N55:$AH55),'2024年-挂账付款'!N55,IF('2024年-挂账付款'!$AX55-SUM('2024年-挂账付款'!O55:$AH55)&gt;0,'2024年-挂账付款'!$AX55-SUM('2024年-挂账付款'!O55:$AH55),0))</f>
        <v>0</v>
      </c>
      <c r="R55" s="44">
        <f>IF('2024年-挂账付款'!$AX55&gt;=SUM('2024年-挂账付款'!O55:$AH55),'2024年-挂账付款'!O55,IF('2024年-挂账付款'!$AX55-SUM('2024年-挂账付款'!P55:$AH55)&gt;0,'2024年-挂账付款'!$AX55-SUM('2024年-挂账付款'!P55:$AH55),0))</f>
        <v>0</v>
      </c>
      <c r="S55" s="44">
        <f>IF('2024年-挂账付款'!$AX55&gt;=SUM('2024年-挂账付款'!P55:$AH55),'2024年-挂账付款'!P55,IF('2024年-挂账付款'!$AX55-SUM('2024年-挂账付款'!Q55:$AH55)&gt;0,'2024年-挂账付款'!$AX55-SUM('2024年-挂账付款'!Q55:$AH55),0))</f>
        <v>0</v>
      </c>
      <c r="T55" s="44">
        <f>IF('2024年-挂账付款'!$AX55&gt;=SUM('2024年-挂账付款'!Q55:$AH55),'2024年-挂账付款'!Q55,IF('2024年-挂账付款'!$AX55-SUM('2024年-挂账付款'!R55:$AH55)&gt;0,'2024年-挂账付款'!$AX55-SUM('2024年-挂账付款'!R55:$AH55),0))</f>
        <v>0</v>
      </c>
      <c r="U55" s="44">
        <f>IF('2024年-挂账付款'!$AX55&gt;=SUM('2024年-挂账付款'!R55:$AH55),'2024年-挂账付款'!R55,IF('2024年-挂账付款'!$AX55-SUM('2024年-挂账付款'!S55:$AH55)&gt;0,'2024年-挂账付款'!$AX55-SUM('2024年-挂账付款'!S55:$AH55),0))</f>
        <v>0</v>
      </c>
      <c r="V55" s="44">
        <f>IF('2024年-挂账付款'!$AX55&gt;=SUM('2024年-挂账付款'!S55:$AH55),'2024年-挂账付款'!S55,IF('2024年-挂账付款'!$AX55-SUM('2024年-挂账付款'!T55:$AH55)&gt;0,'2024年-挂账付款'!$AX55-SUM('2024年-挂账付款'!T55:$AH55),0))</f>
        <v>0</v>
      </c>
      <c r="W55" s="44">
        <f>IF('2024年-挂账付款'!$AX55&gt;=SUM('2024年-挂账付款'!T55:$AH55),'2024年-挂账付款'!T55,IF('2024年-挂账付款'!$AX55-SUM('2024年-挂账付款'!U55:$AH55)&gt;0,'2024年-挂账付款'!$AX55-SUM('2024年-挂账付款'!U55:$AH55),0))</f>
        <v>0</v>
      </c>
      <c r="X55" s="44">
        <f>IF('2024年-挂账付款'!$AX55&gt;=SUM('2024年-挂账付款'!U55:$AH55),'2024年-挂账付款'!U55,IF('2024年-挂账付款'!$AX55-SUM('2024年-挂账付款'!V55:$AH55)&gt;0,'2024年-挂账付款'!$AX55-SUM('2024年-挂账付款'!V55:$AH55),0))</f>
        <v>0</v>
      </c>
      <c r="Y55" s="44">
        <f>IF('2024年-挂账付款'!$AX55&gt;=SUM('2024年-挂账付款'!V55:$AH55),'2024年-挂账付款'!V55,IF('2024年-挂账付款'!$AX55-SUM('2024年-挂账付款'!W55:$AH55)&gt;0,'2024年-挂账付款'!$AX55-SUM('2024年-挂账付款'!W55:$AH55),0))</f>
        <v>0</v>
      </c>
      <c r="Z55" s="44">
        <f>IF('2024年-挂账付款'!$AX55&gt;=SUM('2024年-挂账付款'!W55:$AH55),'2024年-挂账付款'!W55,IF('2024年-挂账付款'!$AX55-SUM('2024年-挂账付款'!X55:$AH55)&gt;0,'2024年-挂账付款'!$AX55-SUM('2024年-挂账付款'!X55:$AH55),0))</f>
        <v>0</v>
      </c>
      <c r="AA55" s="44">
        <f>IF('2024年-挂账付款'!$AX55&gt;=SUM('2024年-挂账付款'!X55:$AH55),'2024年-挂账付款'!X55,IF('2024年-挂账付款'!$AX55-SUM('2024年-挂账付款'!Y55:$AH55)&gt;0,'2024年-挂账付款'!$AX55-SUM('2024年-挂账付款'!Y55:$AH55),0))</f>
        <v>0</v>
      </c>
      <c r="AB55" s="44">
        <f>IF('2024年-挂账付款'!$AX55&gt;=SUM('2024年-挂账付款'!Y55:$AH55),'2024年-挂账付款'!Y55,IF('2024年-挂账付款'!$AX55-SUM('2024年-挂账付款'!Z55:$AH55)&gt;0,'2024年-挂账付款'!$AX55-SUM('2024年-挂账付款'!Z55:$AH55),0))</f>
        <v>0</v>
      </c>
      <c r="AC55" s="44">
        <f>IF('2024年-挂账付款'!$AX55&gt;=SUM('2024年-挂账付款'!Z55:$AH55),'2024年-挂账付款'!Z55,IF('2024年-挂账付款'!$AX55-SUM('2024年-挂账付款'!AA55:$AH55)&gt;0,'2024年-挂账付款'!$AX55-SUM('2024年-挂账付款'!AA55:$AH55),0))</f>
        <v>0</v>
      </c>
      <c r="AD55" s="44">
        <f>IF('2024年-挂账付款'!$AX55&gt;=SUM('2024年-挂账付款'!AA55:$AH55),'2024年-挂账付款'!AA55,IF('2024年-挂账付款'!$AX55-SUM('2024年-挂账付款'!AB55:$AH55)&gt;0,'2024年-挂账付款'!$AX55-SUM('2024年-挂账付款'!AB55:$AH55),0))</f>
        <v>0</v>
      </c>
      <c r="AE55" s="44">
        <f>IF('2024年-挂账付款'!$AX55&gt;=SUM('2024年-挂账付款'!AB55:$AH55),'2024年-挂账付款'!AB55,IF('2024年-挂账付款'!$AX55-SUM('2024年-挂账付款'!AC55:$AH55)&gt;0,'2024年-挂账付款'!$AX55-SUM('2024年-挂账付款'!AC55:$AH55),0))</f>
        <v>0</v>
      </c>
      <c r="AF55" s="44">
        <f>IF('2024年-挂账付款'!$AX55&gt;=SUM('2024年-挂账付款'!AC55:$AH55),'2024年-挂账付款'!AC55,IF('2024年-挂账付款'!$AX55-SUM('2024年-挂账付款'!AD55:$AH55)&gt;0,'2024年-挂账付款'!$AX55-SUM('2024年-挂账付款'!AD55:$AH55),0))</f>
        <v>0</v>
      </c>
      <c r="AG55" s="44">
        <f>IF('2024年-挂账付款'!$AX55&gt;=SUM('2024年-挂账付款'!AD55:$AH55),'2024年-挂账付款'!AD55,IF('2024年-挂账付款'!$AX55-SUM('2024年-挂账付款'!AE55:$AH55)&gt;0,'2024年-挂账付款'!$AX55-SUM('2024年-挂账付款'!AE55:$AH55),0))</f>
        <v>0</v>
      </c>
      <c r="AH55" s="44">
        <f>IF('2024年-挂账付款'!$AX55&gt;=SUM('2024年-挂账付款'!AE55:$AH55),'2024年-挂账付款'!AE55,IF('2024年-挂账付款'!$AX55-SUM('2024年-挂账付款'!AF55:$AH55)&gt;0,'2024年-挂账付款'!$AX55-SUM('2024年-挂账付款'!AF55:$AH55),0))</f>
        <v>0</v>
      </c>
      <c r="AI55" s="44">
        <f>IF('2024年-挂账付款'!$AX55&gt;=SUM('2024年-挂账付款'!AF55:$AH55),'2024年-挂账付款'!AF55,IF('2024年-挂账付款'!$AX55-SUM('2024年-挂账付款'!AG55:$AH55)&gt;0,'2024年-挂账付款'!$AX55-SUM('2024年-挂账付款'!AG55:$AH55),0))</f>
        <v>0</v>
      </c>
      <c r="AJ55" s="44">
        <f>IF('2024年-挂账付款'!$AX55&gt;=SUM('2024年-挂账付款'!AG55:$AH55),'2024年-挂账付款'!AG55,IF('2024年-挂账付款'!$AX55-SUM('2024年-挂账付款'!AH55:$AH55)&gt;0,'2024年-挂账付款'!$AX55-SUM('2024年-挂账付款'!AH55:$AH55),0))</f>
        <v>0</v>
      </c>
      <c r="AK55" s="44">
        <f>IF('2024年-挂账付款'!$AX55&gt;=SUM('2024年-挂账付款'!AH55:$AH55),'2024年-挂账付款'!AH55,IF('2024年-挂账付款'!$AX55-SUM('2024年-挂账付款'!$AH55:AI55)&gt;0,'2024年-挂账付款'!$AX55-SUM('2024年-挂账付款'!$AH55:AI55),0))</f>
        <v>0</v>
      </c>
      <c r="AL55" s="88"/>
      <c r="AM55" s="89"/>
      <c r="AN55" s="91"/>
      <c r="AO55" s="98"/>
      <c r="AP55" s="10">
        <f>'2024年-挂账付款'!AX55</f>
        <v>0</v>
      </c>
      <c r="AQ55" s="101">
        <f t="shared" si="7"/>
        <v>0</v>
      </c>
    </row>
    <row r="56" s="10" customFormat="1" ht="24.05" customHeight="1" spans="2:43">
      <c r="B56" s="48" t="s">
        <v>81</v>
      </c>
      <c r="C56" s="55" t="s">
        <v>109</v>
      </c>
      <c r="D56" s="46" t="s">
        <v>204</v>
      </c>
      <c r="E56" s="41" t="s">
        <v>111</v>
      </c>
      <c r="F56" s="42">
        <f>SUM(H56:T56)</f>
        <v>0</v>
      </c>
      <c r="G56" s="43" t="str">
        <f t="shared" si="6"/>
        <v>0</v>
      </c>
      <c r="H56" s="44">
        <f>IF('2024年-挂账付款'!$AX56&gt;=SUM('2024年-挂账付款'!E56:$AH56),'2024年-挂账付款'!E56,IF('2024年-挂账付款'!$AX56-SUM('2024年-挂账付款'!F56:$AH56)&gt;0,'2024年-挂账付款'!$AX56-SUM('2024年-挂账付款'!F56:$AH56),0))</f>
        <v>0</v>
      </c>
      <c r="I56" s="44">
        <f>IF('2024年-挂账付款'!$AX56&gt;=SUM('2024年-挂账付款'!F56:$AH56),'2024年-挂账付款'!F56,IF('2024年-挂账付款'!$AX56-SUM('2024年-挂账付款'!G56:$AH56)&gt;0,'2024年-挂账付款'!$AX56-SUM('2024年-挂账付款'!G56:$AH56),0))</f>
        <v>0</v>
      </c>
      <c r="J56" s="44">
        <f>IF('2024年-挂账付款'!$AX56&gt;=SUM('2024年-挂账付款'!G56:$AH56),'2024年-挂账付款'!G56,IF('2024年-挂账付款'!$AX56-SUM('2024年-挂账付款'!H56:$AH56)&gt;0,'2024年-挂账付款'!$AX56-SUM('2024年-挂账付款'!H56:$AH56),0))</f>
        <v>0</v>
      </c>
      <c r="K56" s="44">
        <f>IF('2024年-挂账付款'!$AX56&gt;=SUM('2024年-挂账付款'!H56:$AH56),'2024年-挂账付款'!H56,IF('2024年-挂账付款'!$AX56-SUM('2024年-挂账付款'!I56:$AH56)&gt;0,'2024年-挂账付款'!$AX56-SUM('2024年-挂账付款'!I56:$AH56),0))</f>
        <v>0</v>
      </c>
      <c r="L56" s="44">
        <f>IF('2024年-挂账付款'!$AX56&gt;=SUM('2024年-挂账付款'!I56:$AH56),'2024年-挂账付款'!I56,IF('2024年-挂账付款'!$AX56-SUM('2024年-挂账付款'!J56:$AH56)&gt;0,'2024年-挂账付款'!$AX56-SUM('2024年-挂账付款'!J56:$AH56),0))</f>
        <v>0</v>
      </c>
      <c r="M56" s="44" t="str">
        <f>IF('2024年-挂账付款'!$AX56&gt;=SUM('2024年-挂账付款'!J56:$AH56),'2024年-挂账付款'!J56,IF('2024年-挂账付款'!$AX56-SUM('2024年-挂账付款'!K56:$AH56)&gt;0,'2024年-挂账付款'!$AX56-SUM('2024年-挂账付款'!K56:$AH56),0))</f>
        <v/>
      </c>
      <c r="N56" s="44">
        <f>IF('2024年-挂账付款'!$AX56&gt;=SUM('2024年-挂账付款'!K56:$AH56),'2024年-挂账付款'!K56,IF('2024年-挂账付款'!$AX56-SUM('2024年-挂账付款'!L56:$AH56)&gt;0,'2024年-挂账付款'!$AX56-SUM('2024年-挂账付款'!L56:$AH56),0))</f>
        <v>0</v>
      </c>
      <c r="O56" s="44">
        <f>IF('2024年-挂账付款'!$AX56&gt;=SUM('2024年-挂账付款'!L56:$AH56),'2024年-挂账付款'!L56,IF('2024年-挂账付款'!$AX56-SUM('2024年-挂账付款'!M56:$AH56)&gt;0,'2024年-挂账付款'!$AX56-SUM('2024年-挂账付款'!M56:$AH56),0))</f>
        <v>0</v>
      </c>
      <c r="P56" s="44">
        <f>IF('2024年-挂账付款'!$AX56&gt;=SUM('2024年-挂账付款'!M56:$AH56),'2024年-挂账付款'!M56,IF('2024年-挂账付款'!$AX56-SUM('2024年-挂账付款'!N56:$AH56)&gt;0,'2024年-挂账付款'!$AX56-SUM('2024年-挂账付款'!N56:$AH56),0))</f>
        <v>0</v>
      </c>
      <c r="Q56" s="44">
        <f>IF('2024年-挂账付款'!$AX56&gt;=SUM('2024年-挂账付款'!N56:$AH56),'2024年-挂账付款'!N56,IF('2024年-挂账付款'!$AX56-SUM('2024年-挂账付款'!O56:$AH56)&gt;0,'2024年-挂账付款'!$AX56-SUM('2024年-挂账付款'!O56:$AH56),0))</f>
        <v>0</v>
      </c>
      <c r="R56" s="44">
        <f>IF('2024年-挂账付款'!$AX56&gt;=SUM('2024年-挂账付款'!O56:$AH56),'2024年-挂账付款'!O56,IF('2024年-挂账付款'!$AX56-SUM('2024年-挂账付款'!P56:$AH56)&gt;0,'2024年-挂账付款'!$AX56-SUM('2024年-挂账付款'!P56:$AH56),0))</f>
        <v>0</v>
      </c>
      <c r="S56" s="44">
        <f>IF('2024年-挂账付款'!$AX56&gt;=SUM('2024年-挂账付款'!P56:$AH56),'2024年-挂账付款'!P56,IF('2024年-挂账付款'!$AX56-SUM('2024年-挂账付款'!Q56:$AH56)&gt;0,'2024年-挂账付款'!$AX56-SUM('2024年-挂账付款'!Q56:$AH56),0))</f>
        <v>0</v>
      </c>
      <c r="T56" s="44">
        <f>IF('2024年-挂账付款'!$AX56&gt;=SUM('2024年-挂账付款'!Q56:$AH56),'2024年-挂账付款'!Q56,IF('2024年-挂账付款'!$AX56-SUM('2024年-挂账付款'!R56:$AH56)&gt;0,'2024年-挂账付款'!$AX56-SUM('2024年-挂账付款'!R56:$AH56),0))</f>
        <v>0</v>
      </c>
      <c r="U56" s="44">
        <f>IF('2024年-挂账付款'!$AX56&gt;=SUM('2024年-挂账付款'!R56:$AH56),'2024年-挂账付款'!R56,IF('2024年-挂账付款'!$AX56-SUM('2024年-挂账付款'!S56:$AH56)&gt;0,'2024年-挂账付款'!$AX56-SUM('2024年-挂账付款'!S56:$AH56),0))</f>
        <v>0</v>
      </c>
      <c r="V56" s="44">
        <f>IF('2024年-挂账付款'!$AX56&gt;=SUM('2024年-挂账付款'!S56:$AH56),'2024年-挂账付款'!S56,IF('2024年-挂账付款'!$AX56-SUM('2024年-挂账付款'!T56:$AH56)&gt;0,'2024年-挂账付款'!$AX56-SUM('2024年-挂账付款'!T56:$AH56),0))</f>
        <v>0</v>
      </c>
      <c r="W56" s="44">
        <f>IF('2024年-挂账付款'!$AX56&gt;=SUM('2024年-挂账付款'!T56:$AH56),'2024年-挂账付款'!T56,IF('2024年-挂账付款'!$AX56-SUM('2024年-挂账付款'!U56:$AH56)&gt;0,'2024年-挂账付款'!$AX56-SUM('2024年-挂账付款'!U56:$AH56),0))</f>
        <v>0</v>
      </c>
      <c r="X56" s="44">
        <f>IF('2024年-挂账付款'!$AX56&gt;=SUM('2024年-挂账付款'!U56:$AH56),'2024年-挂账付款'!U56,IF('2024年-挂账付款'!$AX56-SUM('2024年-挂账付款'!V56:$AH56)&gt;0,'2024年-挂账付款'!$AX56-SUM('2024年-挂账付款'!V56:$AH56),0))</f>
        <v>0</v>
      </c>
      <c r="Y56" s="44">
        <f>IF('2024年-挂账付款'!$AX56&gt;=SUM('2024年-挂账付款'!V56:$AH56),'2024年-挂账付款'!V56,IF('2024年-挂账付款'!$AX56-SUM('2024年-挂账付款'!W56:$AH56)&gt;0,'2024年-挂账付款'!$AX56-SUM('2024年-挂账付款'!W56:$AH56),0))</f>
        <v>0</v>
      </c>
      <c r="Z56" s="44">
        <f>IF('2024年-挂账付款'!$AX56&gt;=SUM('2024年-挂账付款'!W56:$AH56),'2024年-挂账付款'!W56,IF('2024年-挂账付款'!$AX56-SUM('2024年-挂账付款'!X56:$AH56)&gt;0,'2024年-挂账付款'!$AX56-SUM('2024年-挂账付款'!X56:$AH56),0))</f>
        <v>0</v>
      </c>
      <c r="AA56" s="44">
        <f>IF('2024年-挂账付款'!$AX56&gt;=SUM('2024年-挂账付款'!X56:$AH56),'2024年-挂账付款'!X56,IF('2024年-挂账付款'!$AX56-SUM('2024年-挂账付款'!Y56:$AH56)&gt;0,'2024年-挂账付款'!$AX56-SUM('2024年-挂账付款'!Y56:$AH56),0))</f>
        <v>0</v>
      </c>
      <c r="AB56" s="44">
        <f>IF('2024年-挂账付款'!$AX56&gt;=SUM('2024年-挂账付款'!Y56:$AH56),'2024年-挂账付款'!Y56,IF('2024年-挂账付款'!$AX56-SUM('2024年-挂账付款'!Z56:$AH56)&gt;0,'2024年-挂账付款'!$AX56-SUM('2024年-挂账付款'!Z56:$AH56),0))</f>
        <v>0</v>
      </c>
      <c r="AC56" s="44">
        <f>IF('2024年-挂账付款'!$AX56&gt;=SUM('2024年-挂账付款'!Z56:$AH56),'2024年-挂账付款'!Z56,IF('2024年-挂账付款'!$AX56-SUM('2024年-挂账付款'!AA56:$AH56)&gt;0,'2024年-挂账付款'!$AX56-SUM('2024年-挂账付款'!AA56:$AH56),0))</f>
        <v>0</v>
      </c>
      <c r="AD56" s="44">
        <f>IF('2024年-挂账付款'!$AX56&gt;=SUM('2024年-挂账付款'!AA56:$AH56),'2024年-挂账付款'!AA56,IF('2024年-挂账付款'!$AX56-SUM('2024年-挂账付款'!AB56:$AH56)&gt;0,'2024年-挂账付款'!$AX56-SUM('2024年-挂账付款'!AB56:$AH56),0))</f>
        <v>0</v>
      </c>
      <c r="AE56" s="44">
        <f>IF('2024年-挂账付款'!$AX56&gt;=SUM('2024年-挂账付款'!AB56:$AH56),'2024年-挂账付款'!AB56,IF('2024年-挂账付款'!$AX56-SUM('2024年-挂账付款'!AC56:$AH56)&gt;0,'2024年-挂账付款'!$AX56-SUM('2024年-挂账付款'!AC56:$AH56),0))</f>
        <v>0</v>
      </c>
      <c r="AF56" s="44">
        <f>IF('2024年-挂账付款'!$AX56&gt;=SUM('2024年-挂账付款'!AC56:$AH56),'2024年-挂账付款'!AC56,IF('2024年-挂账付款'!$AX56-SUM('2024年-挂账付款'!AD56:$AH56)&gt;0,'2024年-挂账付款'!$AX56-SUM('2024年-挂账付款'!AD56:$AH56),0))</f>
        <v>0</v>
      </c>
      <c r="AG56" s="44">
        <f>IF('2024年-挂账付款'!$AX56&gt;=SUM('2024年-挂账付款'!AD56:$AH56),'2024年-挂账付款'!AD56,IF('2024年-挂账付款'!$AX56-SUM('2024年-挂账付款'!AE56:$AH56)&gt;0,'2024年-挂账付款'!$AX56-SUM('2024年-挂账付款'!AE56:$AH56),0))</f>
        <v>0</v>
      </c>
      <c r="AH56" s="44">
        <f>IF('2024年-挂账付款'!$AX56&gt;=SUM('2024年-挂账付款'!AE56:$AH56),'2024年-挂账付款'!AE56,IF('2024年-挂账付款'!$AX56-SUM('2024年-挂账付款'!AF56:$AH56)&gt;0,'2024年-挂账付款'!$AX56-SUM('2024年-挂账付款'!AF56:$AH56),0))</f>
        <v>0</v>
      </c>
      <c r="AI56" s="44">
        <f>IF('2024年-挂账付款'!$AX56&gt;=SUM('2024年-挂账付款'!AF56:$AH56),'2024年-挂账付款'!AF56,IF('2024年-挂账付款'!$AX56-SUM('2024年-挂账付款'!AG56:$AH56)&gt;0,'2024年-挂账付款'!$AX56-SUM('2024年-挂账付款'!AG56:$AH56),0))</f>
        <v>0</v>
      </c>
      <c r="AJ56" s="44">
        <f>IF('2024年-挂账付款'!$AX56&gt;=SUM('2024年-挂账付款'!AG56:$AH56),'2024年-挂账付款'!AG56,IF('2024年-挂账付款'!$AX56-SUM('2024年-挂账付款'!AH56:$AH56)&gt;0,'2024年-挂账付款'!$AX56-SUM('2024年-挂账付款'!AH56:$AH56),0))</f>
        <v>0</v>
      </c>
      <c r="AK56" s="44">
        <f>IF('2024年-挂账付款'!$AX56&gt;=SUM('2024年-挂账付款'!AH56:$AH56),'2024年-挂账付款'!AH56,IF('2024年-挂账付款'!$AX56-SUM('2024年-挂账付款'!$AH56:AI56)&gt;0,'2024年-挂账付款'!$AX56-SUM('2024年-挂账付款'!$AH56:AI56),0))</f>
        <v>0</v>
      </c>
      <c r="AL56" s="88"/>
      <c r="AM56" s="89"/>
      <c r="AN56" s="86">
        <f>SUM(T56:Y56)/6*0.8</f>
        <v>0</v>
      </c>
      <c r="AO56" s="98"/>
      <c r="AP56" s="10">
        <f>'2024年-挂账付款'!AX56</f>
        <v>0</v>
      </c>
      <c r="AQ56" s="101">
        <f t="shared" si="7"/>
        <v>0</v>
      </c>
    </row>
    <row r="57" s="10" customFormat="1" ht="24.05" customHeight="1" spans="2:43">
      <c r="B57" s="48" t="s">
        <v>81</v>
      </c>
      <c r="C57" s="55" t="s">
        <v>181</v>
      </c>
      <c r="D57" s="46" t="s">
        <v>182</v>
      </c>
      <c r="E57" s="56" t="s">
        <v>96</v>
      </c>
      <c r="F57" s="42">
        <f>SUM(H57:M57)</f>
        <v>0</v>
      </c>
      <c r="G57" s="43" t="str">
        <f t="shared" si="6"/>
        <v>0</v>
      </c>
      <c r="H57" s="44" t="str">
        <f>IF('2024年-挂账付款'!$AX57&gt;=SUM('2024年-挂账付款'!E57:$AH57),'2024年-挂账付款'!E57,IF('2024年-挂账付款'!$AX57-SUM('2024年-挂账付款'!F57:$AH57)&gt;0,'2024年-挂账付款'!$AX57-SUM('2024年-挂账付款'!F57:$AH57),0))</f>
        <v/>
      </c>
      <c r="I57" s="44" t="str">
        <f>IF('2024年-挂账付款'!$AX57&gt;=SUM('2024年-挂账付款'!F57:$AH57),'2024年-挂账付款'!F57,IF('2024年-挂账付款'!$AX57-SUM('2024年-挂账付款'!G57:$AH57)&gt;0,'2024年-挂账付款'!$AX57-SUM('2024年-挂账付款'!G57:$AH57),0))</f>
        <v/>
      </c>
      <c r="J57" s="44" t="str">
        <f>IF('2024年-挂账付款'!$AX57&gt;=SUM('2024年-挂账付款'!G57:$AH57),'2024年-挂账付款'!G57,IF('2024年-挂账付款'!$AX57-SUM('2024年-挂账付款'!H57:$AH57)&gt;0,'2024年-挂账付款'!$AX57-SUM('2024年-挂账付款'!H57:$AH57),0))</f>
        <v/>
      </c>
      <c r="K57" s="44">
        <f>IF('2024年-挂账付款'!$AX57&gt;=SUM('2024年-挂账付款'!H57:$AH57),'2024年-挂账付款'!H57,IF('2024年-挂账付款'!$AX57-SUM('2024年-挂账付款'!I57:$AH57)&gt;0,'2024年-挂账付款'!$AX57-SUM('2024年-挂账付款'!I57:$AH57),0))</f>
        <v>0</v>
      </c>
      <c r="L57" s="44">
        <f>IF('2024年-挂账付款'!$AX57&gt;=SUM('2024年-挂账付款'!I57:$AH57),'2024年-挂账付款'!I57,IF('2024年-挂账付款'!$AX57-SUM('2024年-挂账付款'!J57:$AH57)&gt;0,'2024年-挂账付款'!$AX57-SUM('2024年-挂账付款'!J57:$AH57),0))</f>
        <v>0</v>
      </c>
      <c r="M57" s="44" t="str">
        <f>IF('2024年-挂账付款'!$AX57&gt;=SUM('2024年-挂账付款'!J57:$AH57),'2024年-挂账付款'!J57,IF('2024年-挂账付款'!$AX57-SUM('2024年-挂账付款'!K57:$AH57)&gt;0,'2024年-挂账付款'!$AX57-SUM('2024年-挂账付款'!K57:$AH57),0))</f>
        <v/>
      </c>
      <c r="N57" s="44">
        <f>IF('2024年-挂账付款'!$AX57&gt;=SUM('2024年-挂账付款'!K57:$AH57),'2024年-挂账付款'!K57,IF('2024年-挂账付款'!$AX57-SUM('2024年-挂账付款'!L57:$AH57)&gt;0,'2024年-挂账付款'!$AX57-SUM('2024年-挂账付款'!L57:$AH57),0))</f>
        <v>0</v>
      </c>
      <c r="O57" s="44">
        <f>IF('2024年-挂账付款'!$AX57&gt;=SUM('2024年-挂账付款'!L57:$AH57),'2024年-挂账付款'!L57,IF('2024年-挂账付款'!$AX57-SUM('2024年-挂账付款'!M57:$AH57)&gt;0,'2024年-挂账付款'!$AX57-SUM('2024年-挂账付款'!M57:$AH57),0))</f>
        <v>0</v>
      </c>
      <c r="P57" s="44">
        <f>IF('2024年-挂账付款'!$AX57&gt;=SUM('2024年-挂账付款'!M57:$AH57),'2024年-挂账付款'!M57,IF('2024年-挂账付款'!$AX57-SUM('2024年-挂账付款'!N57:$AH57)&gt;0,'2024年-挂账付款'!$AX57-SUM('2024年-挂账付款'!N57:$AH57),0))</f>
        <v>0</v>
      </c>
      <c r="Q57" s="44">
        <f>IF('2024年-挂账付款'!$AX57&gt;=SUM('2024年-挂账付款'!N57:$AH57),'2024年-挂账付款'!N57,IF('2024年-挂账付款'!$AX57-SUM('2024年-挂账付款'!O57:$AH57)&gt;0,'2024年-挂账付款'!$AX57-SUM('2024年-挂账付款'!O57:$AH57),0))</f>
        <v>0</v>
      </c>
      <c r="R57" s="44">
        <f>IF('2024年-挂账付款'!$AX57&gt;=SUM('2024年-挂账付款'!O57:$AH57),'2024年-挂账付款'!O57,IF('2024年-挂账付款'!$AX57-SUM('2024年-挂账付款'!P57:$AH57)&gt;0,'2024年-挂账付款'!$AX57-SUM('2024年-挂账付款'!P57:$AH57),0))</f>
        <v>0</v>
      </c>
      <c r="S57" s="44">
        <f>IF('2024年-挂账付款'!$AX57&gt;=SUM('2024年-挂账付款'!P57:$AH57),'2024年-挂账付款'!P57,IF('2024年-挂账付款'!$AX57-SUM('2024年-挂账付款'!Q57:$AH57)&gt;0,'2024年-挂账付款'!$AX57-SUM('2024年-挂账付款'!Q57:$AH57),0))</f>
        <v>0</v>
      </c>
      <c r="T57" s="44">
        <f>IF('2024年-挂账付款'!$AX57&gt;=SUM('2024年-挂账付款'!Q57:$AH57),'2024年-挂账付款'!Q57,IF('2024年-挂账付款'!$AX57-SUM('2024年-挂账付款'!R57:$AH57)&gt;0,'2024年-挂账付款'!$AX57-SUM('2024年-挂账付款'!R57:$AH57),0))</f>
        <v>0</v>
      </c>
      <c r="U57" s="44">
        <f>IF('2024年-挂账付款'!$AX57&gt;=SUM('2024年-挂账付款'!R57:$AH57),'2024年-挂账付款'!R57,IF('2024年-挂账付款'!$AX57-SUM('2024年-挂账付款'!S57:$AH57)&gt;0,'2024年-挂账付款'!$AX57-SUM('2024年-挂账付款'!S57:$AH57),0))</f>
        <v>0</v>
      </c>
      <c r="V57" s="44">
        <f>IF('2024年-挂账付款'!$AX57&gt;=SUM('2024年-挂账付款'!S57:$AH57),'2024年-挂账付款'!S57,IF('2024年-挂账付款'!$AX57-SUM('2024年-挂账付款'!T57:$AH57)&gt;0,'2024年-挂账付款'!$AX57-SUM('2024年-挂账付款'!T57:$AH57),0))</f>
        <v>0</v>
      </c>
      <c r="W57" s="44">
        <f>IF('2024年-挂账付款'!$AX57&gt;=SUM('2024年-挂账付款'!T57:$AH57),'2024年-挂账付款'!T57,IF('2024年-挂账付款'!$AX57-SUM('2024年-挂账付款'!U57:$AH57)&gt;0,'2024年-挂账付款'!$AX57-SUM('2024年-挂账付款'!U57:$AH57),0))</f>
        <v>0</v>
      </c>
      <c r="X57" s="44">
        <f>IF('2024年-挂账付款'!$AX57&gt;=SUM('2024年-挂账付款'!U57:$AH57),'2024年-挂账付款'!U57,IF('2024年-挂账付款'!$AX57-SUM('2024年-挂账付款'!V57:$AH57)&gt;0,'2024年-挂账付款'!$AX57-SUM('2024年-挂账付款'!V57:$AH57),0))</f>
        <v>0</v>
      </c>
      <c r="Y57" s="44">
        <f>IF('2024年-挂账付款'!$AX57&gt;=SUM('2024年-挂账付款'!V57:$AH57),'2024年-挂账付款'!V57,IF('2024年-挂账付款'!$AX57-SUM('2024年-挂账付款'!W57:$AH57)&gt;0,'2024年-挂账付款'!$AX57-SUM('2024年-挂账付款'!W57:$AH57),0))</f>
        <v>0</v>
      </c>
      <c r="Z57" s="44">
        <f>IF('2024年-挂账付款'!$AX57&gt;=SUM('2024年-挂账付款'!W57:$AH57),'2024年-挂账付款'!W57,IF('2024年-挂账付款'!$AX57-SUM('2024年-挂账付款'!X57:$AH57)&gt;0,'2024年-挂账付款'!$AX57-SUM('2024年-挂账付款'!X57:$AH57),0))</f>
        <v>0</v>
      </c>
      <c r="AA57" s="44">
        <f>IF('2024年-挂账付款'!$AX57&gt;=SUM('2024年-挂账付款'!X57:$AH57),'2024年-挂账付款'!X57,IF('2024年-挂账付款'!$AX57-SUM('2024年-挂账付款'!Y57:$AH57)&gt;0,'2024年-挂账付款'!$AX57-SUM('2024年-挂账付款'!Y57:$AH57),0))</f>
        <v>0</v>
      </c>
      <c r="AB57" s="44">
        <f>IF('2024年-挂账付款'!$AX57&gt;=SUM('2024年-挂账付款'!Y57:$AH57),'2024年-挂账付款'!Y57,IF('2024年-挂账付款'!$AX57-SUM('2024年-挂账付款'!Z57:$AH57)&gt;0,'2024年-挂账付款'!$AX57-SUM('2024年-挂账付款'!Z57:$AH57),0))</f>
        <v>0</v>
      </c>
      <c r="AC57" s="44">
        <f>IF('2024年-挂账付款'!$AX57&gt;=SUM('2024年-挂账付款'!Z57:$AH57),'2024年-挂账付款'!Z57,IF('2024年-挂账付款'!$AX57-SUM('2024年-挂账付款'!AA57:$AH57)&gt;0,'2024年-挂账付款'!$AX57-SUM('2024年-挂账付款'!AA57:$AH57),0))</f>
        <v>0</v>
      </c>
      <c r="AD57" s="44">
        <f>IF('2024年-挂账付款'!$AX57&gt;=SUM('2024年-挂账付款'!AA57:$AH57),'2024年-挂账付款'!AA57,IF('2024年-挂账付款'!$AX57-SUM('2024年-挂账付款'!AB57:$AH57)&gt;0,'2024年-挂账付款'!$AX57-SUM('2024年-挂账付款'!AB57:$AH57),0))</f>
        <v>0</v>
      </c>
      <c r="AE57" s="44">
        <f>IF('2024年-挂账付款'!$AX57&gt;=SUM('2024年-挂账付款'!AB57:$AH57),'2024年-挂账付款'!AB57,IF('2024年-挂账付款'!$AX57-SUM('2024年-挂账付款'!AC57:$AH57)&gt;0,'2024年-挂账付款'!$AX57-SUM('2024年-挂账付款'!AC57:$AH57),0))</f>
        <v>0</v>
      </c>
      <c r="AF57" s="44">
        <f>IF('2024年-挂账付款'!$AX57&gt;=SUM('2024年-挂账付款'!AC57:$AH57),'2024年-挂账付款'!AC57,IF('2024年-挂账付款'!$AX57-SUM('2024年-挂账付款'!AD57:$AH57)&gt;0,'2024年-挂账付款'!$AX57-SUM('2024年-挂账付款'!AD57:$AH57),0))</f>
        <v>0</v>
      </c>
      <c r="AG57" s="44">
        <f>IF('2024年-挂账付款'!$AX57&gt;=SUM('2024年-挂账付款'!AD57:$AH57),'2024年-挂账付款'!AD57,IF('2024年-挂账付款'!$AX57-SUM('2024年-挂账付款'!AE57:$AH57)&gt;0,'2024年-挂账付款'!$AX57-SUM('2024年-挂账付款'!AE57:$AH57),0))</f>
        <v>0</v>
      </c>
      <c r="AH57" s="44">
        <f>IF('2024年-挂账付款'!$AX57&gt;=SUM('2024年-挂账付款'!AE57:$AH57),'2024年-挂账付款'!AE57,IF('2024年-挂账付款'!$AX57-SUM('2024年-挂账付款'!AF57:$AH57)&gt;0,'2024年-挂账付款'!$AX57-SUM('2024年-挂账付款'!AF57:$AH57),0))</f>
        <v>0</v>
      </c>
      <c r="AI57" s="44">
        <f>IF('2024年-挂账付款'!$AX57&gt;=SUM('2024年-挂账付款'!AF57:$AH57),'2024年-挂账付款'!AF57,IF('2024年-挂账付款'!$AX57-SUM('2024年-挂账付款'!AG57:$AH57)&gt;0,'2024年-挂账付款'!$AX57-SUM('2024年-挂账付款'!AG57:$AH57),0))</f>
        <v>0</v>
      </c>
      <c r="AJ57" s="44">
        <f>IF('2024年-挂账付款'!$AX57&gt;=SUM('2024年-挂账付款'!AG57:$AH57),'2024年-挂账付款'!AG57,IF('2024年-挂账付款'!$AX57-SUM('2024年-挂账付款'!AH57:$AH57)&gt;0,'2024年-挂账付款'!$AX57-SUM('2024年-挂账付款'!AH57:$AH57),0))</f>
        <v>0</v>
      </c>
      <c r="AK57" s="44">
        <f>IF('2024年-挂账付款'!$AX57&gt;=SUM('2024年-挂账付款'!AH57:$AH57),'2024年-挂账付款'!AH57,IF('2024年-挂账付款'!$AX57-SUM('2024年-挂账付款'!$AH57:AI57)&gt;0,'2024年-挂账付款'!$AX57-SUM('2024年-挂账付款'!$AH57:AI57),0))</f>
        <v>0</v>
      </c>
      <c r="AL57" s="88"/>
      <c r="AM57" s="89"/>
      <c r="AN57" s="91"/>
      <c r="AO57" s="98"/>
      <c r="AP57" s="10">
        <f>'2024年-挂账付款'!AX57</f>
        <v>0</v>
      </c>
      <c r="AQ57" s="101">
        <f t="shared" si="7"/>
        <v>0</v>
      </c>
    </row>
    <row r="58" s="10" customFormat="1" ht="24.05" customHeight="1" spans="2:43">
      <c r="B58" s="48" t="s">
        <v>81</v>
      </c>
      <c r="C58" s="55" t="s">
        <v>320</v>
      </c>
      <c r="D58" s="46" t="s">
        <v>321</v>
      </c>
      <c r="E58" s="41"/>
      <c r="F58" s="42">
        <f>SUM(H58:M58)</f>
        <v>0</v>
      </c>
      <c r="G58" s="43" t="str">
        <f t="shared" si="6"/>
        <v>0</v>
      </c>
      <c r="H58" s="44" t="str">
        <f>IF('2024年-挂账付款'!$AX58&gt;=SUM('2024年-挂账付款'!E58:$AH58),'2024年-挂账付款'!E58,IF('2024年-挂账付款'!$AX58-SUM('2024年-挂账付款'!F58:$AH58)&gt;0,'2024年-挂账付款'!$AX58-SUM('2024年-挂账付款'!F58:$AH58),0))</f>
        <v/>
      </c>
      <c r="I58" s="44" t="str">
        <f>IF('2024年-挂账付款'!$AX58&gt;=SUM('2024年-挂账付款'!F58:$AH58),'2024年-挂账付款'!F58,IF('2024年-挂账付款'!$AX58-SUM('2024年-挂账付款'!G58:$AH58)&gt;0,'2024年-挂账付款'!$AX58-SUM('2024年-挂账付款'!G58:$AH58),0))</f>
        <v/>
      </c>
      <c r="J58" s="44" t="str">
        <f>IF('2024年-挂账付款'!$AX58&gt;=SUM('2024年-挂账付款'!G58:$AH58),'2024年-挂账付款'!G58,IF('2024年-挂账付款'!$AX58-SUM('2024年-挂账付款'!H58:$AH58)&gt;0,'2024年-挂账付款'!$AX58-SUM('2024年-挂账付款'!H58:$AH58),0))</f>
        <v/>
      </c>
      <c r="K58" s="44">
        <f>IF('2024年-挂账付款'!$AX58&gt;=SUM('2024年-挂账付款'!H58:$AH58),'2024年-挂账付款'!H58,IF('2024年-挂账付款'!$AX58-SUM('2024年-挂账付款'!I58:$AH58)&gt;0,'2024年-挂账付款'!$AX58-SUM('2024年-挂账付款'!I58:$AH58),0))</f>
        <v>0</v>
      </c>
      <c r="L58" s="44">
        <f>IF('2024年-挂账付款'!$AX58&gt;=SUM('2024年-挂账付款'!I58:$AH58),'2024年-挂账付款'!I58,IF('2024年-挂账付款'!$AX58-SUM('2024年-挂账付款'!J58:$AH58)&gt;0,'2024年-挂账付款'!$AX58-SUM('2024年-挂账付款'!J58:$AH58),0))</f>
        <v>0</v>
      </c>
      <c r="M58" s="44" t="str">
        <f>IF('2024年-挂账付款'!$AX58&gt;=SUM('2024年-挂账付款'!J58:$AH58),'2024年-挂账付款'!J58,IF('2024年-挂账付款'!$AX58-SUM('2024年-挂账付款'!K58:$AH58)&gt;0,'2024年-挂账付款'!$AX58-SUM('2024年-挂账付款'!K58:$AH58),0))</f>
        <v/>
      </c>
      <c r="N58" s="44">
        <f>IF('2024年-挂账付款'!$AX58&gt;=SUM('2024年-挂账付款'!K58:$AH58),'2024年-挂账付款'!K58,IF('2024年-挂账付款'!$AX58-SUM('2024年-挂账付款'!L58:$AH58)&gt;0,'2024年-挂账付款'!$AX58-SUM('2024年-挂账付款'!L58:$AH58),0))</f>
        <v>0</v>
      </c>
      <c r="O58" s="44">
        <f>IF('2024年-挂账付款'!$AX58&gt;=SUM('2024年-挂账付款'!L58:$AH58),'2024年-挂账付款'!L58,IF('2024年-挂账付款'!$AX58-SUM('2024年-挂账付款'!M58:$AH58)&gt;0,'2024年-挂账付款'!$AX58-SUM('2024年-挂账付款'!M58:$AH58),0))</f>
        <v>0</v>
      </c>
      <c r="P58" s="44">
        <f>IF('2024年-挂账付款'!$AX58&gt;=SUM('2024年-挂账付款'!M58:$AH58),'2024年-挂账付款'!M58,IF('2024年-挂账付款'!$AX58-SUM('2024年-挂账付款'!N58:$AH58)&gt;0,'2024年-挂账付款'!$AX58-SUM('2024年-挂账付款'!N58:$AH58),0))</f>
        <v>0</v>
      </c>
      <c r="Q58" s="44">
        <f>IF('2024年-挂账付款'!$AX58&gt;=SUM('2024年-挂账付款'!N58:$AH58),'2024年-挂账付款'!N58,IF('2024年-挂账付款'!$AX58-SUM('2024年-挂账付款'!O58:$AH58)&gt;0,'2024年-挂账付款'!$AX58-SUM('2024年-挂账付款'!O58:$AH58),0))</f>
        <v>0</v>
      </c>
      <c r="R58" s="44">
        <f>IF('2024年-挂账付款'!$AX58&gt;=SUM('2024年-挂账付款'!O58:$AH58),'2024年-挂账付款'!O58,IF('2024年-挂账付款'!$AX58-SUM('2024年-挂账付款'!P58:$AH58)&gt;0,'2024年-挂账付款'!$AX58-SUM('2024年-挂账付款'!P58:$AH58),0))</f>
        <v>0</v>
      </c>
      <c r="S58" s="44">
        <f>IF('2024年-挂账付款'!$AX58&gt;=SUM('2024年-挂账付款'!P58:$AH58),'2024年-挂账付款'!P58,IF('2024年-挂账付款'!$AX58-SUM('2024年-挂账付款'!Q58:$AH58)&gt;0,'2024年-挂账付款'!$AX58-SUM('2024年-挂账付款'!Q58:$AH58),0))</f>
        <v>0</v>
      </c>
      <c r="T58" s="44">
        <f>IF('2024年-挂账付款'!$AX58&gt;=SUM('2024年-挂账付款'!Q58:$AH58),'2024年-挂账付款'!Q58,IF('2024年-挂账付款'!$AX58-SUM('2024年-挂账付款'!R58:$AH58)&gt;0,'2024年-挂账付款'!$AX58-SUM('2024年-挂账付款'!R58:$AH58),0))</f>
        <v>0</v>
      </c>
      <c r="U58" s="44">
        <f>IF('2024年-挂账付款'!$AX58&gt;=SUM('2024年-挂账付款'!R58:$AH58),'2024年-挂账付款'!R58,IF('2024年-挂账付款'!$AX58-SUM('2024年-挂账付款'!S58:$AH58)&gt;0,'2024年-挂账付款'!$AX58-SUM('2024年-挂账付款'!S58:$AH58),0))</f>
        <v>0</v>
      </c>
      <c r="V58" s="44">
        <f>IF('2024年-挂账付款'!$AX58&gt;=SUM('2024年-挂账付款'!S58:$AH58),'2024年-挂账付款'!S58,IF('2024年-挂账付款'!$AX58-SUM('2024年-挂账付款'!T58:$AH58)&gt;0,'2024年-挂账付款'!$AX58-SUM('2024年-挂账付款'!T58:$AH58),0))</f>
        <v>0</v>
      </c>
      <c r="W58" s="44">
        <f>IF('2024年-挂账付款'!$AX58&gt;=SUM('2024年-挂账付款'!T58:$AH58),'2024年-挂账付款'!T58,IF('2024年-挂账付款'!$AX58-SUM('2024年-挂账付款'!U58:$AH58)&gt;0,'2024年-挂账付款'!$AX58-SUM('2024年-挂账付款'!U58:$AH58),0))</f>
        <v>0</v>
      </c>
      <c r="X58" s="44">
        <f>IF('2024年-挂账付款'!$AX58&gt;=SUM('2024年-挂账付款'!U58:$AH58),'2024年-挂账付款'!U58,IF('2024年-挂账付款'!$AX58-SUM('2024年-挂账付款'!V58:$AH58)&gt;0,'2024年-挂账付款'!$AX58-SUM('2024年-挂账付款'!V58:$AH58),0))</f>
        <v>0</v>
      </c>
      <c r="Y58" s="44">
        <f>IF('2024年-挂账付款'!$AX58&gt;=SUM('2024年-挂账付款'!V58:$AH58),'2024年-挂账付款'!V58,IF('2024年-挂账付款'!$AX58-SUM('2024年-挂账付款'!W58:$AH58)&gt;0,'2024年-挂账付款'!$AX58-SUM('2024年-挂账付款'!W58:$AH58),0))</f>
        <v>0</v>
      </c>
      <c r="Z58" s="44">
        <f>IF('2024年-挂账付款'!$AX58&gt;=SUM('2024年-挂账付款'!W58:$AH58),'2024年-挂账付款'!W58,IF('2024年-挂账付款'!$AX58-SUM('2024年-挂账付款'!X58:$AH58)&gt;0,'2024年-挂账付款'!$AX58-SUM('2024年-挂账付款'!X58:$AH58),0))</f>
        <v>0</v>
      </c>
      <c r="AA58" s="44">
        <f>IF('2024年-挂账付款'!$AX58&gt;=SUM('2024年-挂账付款'!X58:$AH58),'2024年-挂账付款'!X58,IF('2024年-挂账付款'!$AX58-SUM('2024年-挂账付款'!Y58:$AH58)&gt;0,'2024年-挂账付款'!$AX58-SUM('2024年-挂账付款'!Y58:$AH58),0))</f>
        <v>0</v>
      </c>
      <c r="AB58" s="44">
        <f>IF('2024年-挂账付款'!$AX58&gt;=SUM('2024年-挂账付款'!Y58:$AH58),'2024年-挂账付款'!Y58,IF('2024年-挂账付款'!$AX58-SUM('2024年-挂账付款'!Z58:$AH58)&gt;0,'2024年-挂账付款'!$AX58-SUM('2024年-挂账付款'!Z58:$AH58),0))</f>
        <v>0</v>
      </c>
      <c r="AC58" s="44">
        <f>IF('2024年-挂账付款'!$AX58&gt;=SUM('2024年-挂账付款'!Z58:$AH58),'2024年-挂账付款'!Z58,IF('2024年-挂账付款'!$AX58-SUM('2024年-挂账付款'!AA58:$AH58)&gt;0,'2024年-挂账付款'!$AX58-SUM('2024年-挂账付款'!AA58:$AH58),0))</f>
        <v>0</v>
      </c>
      <c r="AD58" s="44">
        <f>IF('2024年-挂账付款'!$AX58&gt;=SUM('2024年-挂账付款'!AA58:$AH58),'2024年-挂账付款'!AA58,IF('2024年-挂账付款'!$AX58-SUM('2024年-挂账付款'!AB58:$AH58)&gt;0,'2024年-挂账付款'!$AX58-SUM('2024年-挂账付款'!AB58:$AH58),0))</f>
        <v>0</v>
      </c>
      <c r="AE58" s="44">
        <f>IF('2024年-挂账付款'!$AX58&gt;=SUM('2024年-挂账付款'!AB58:$AH58),'2024年-挂账付款'!AB58,IF('2024年-挂账付款'!$AX58-SUM('2024年-挂账付款'!AC58:$AH58)&gt;0,'2024年-挂账付款'!$AX58-SUM('2024年-挂账付款'!AC58:$AH58),0))</f>
        <v>0</v>
      </c>
      <c r="AF58" s="44">
        <f>IF('2024年-挂账付款'!$AX58&gt;=SUM('2024年-挂账付款'!AC58:$AH58),'2024年-挂账付款'!AC58,IF('2024年-挂账付款'!$AX58-SUM('2024年-挂账付款'!AD58:$AH58)&gt;0,'2024年-挂账付款'!$AX58-SUM('2024年-挂账付款'!AD58:$AH58),0))</f>
        <v>0</v>
      </c>
      <c r="AG58" s="44">
        <f>IF('2024年-挂账付款'!$AX58&gt;=SUM('2024年-挂账付款'!AD58:$AH58),'2024年-挂账付款'!AD58,IF('2024年-挂账付款'!$AX58-SUM('2024年-挂账付款'!AE58:$AH58)&gt;0,'2024年-挂账付款'!$AX58-SUM('2024年-挂账付款'!AE58:$AH58),0))</f>
        <v>0</v>
      </c>
      <c r="AH58" s="44">
        <f>IF('2024年-挂账付款'!$AX58&gt;=SUM('2024年-挂账付款'!AE58:$AH58),'2024年-挂账付款'!AE58,IF('2024年-挂账付款'!$AX58-SUM('2024年-挂账付款'!AF58:$AH58)&gt;0,'2024年-挂账付款'!$AX58-SUM('2024年-挂账付款'!AF58:$AH58),0))</f>
        <v>0</v>
      </c>
      <c r="AI58" s="44">
        <f>IF('2024年-挂账付款'!$AX58&gt;=SUM('2024年-挂账付款'!AF58:$AH58),'2024年-挂账付款'!AF58,IF('2024年-挂账付款'!$AX58-SUM('2024年-挂账付款'!AG58:$AH58)&gt;0,'2024年-挂账付款'!$AX58-SUM('2024年-挂账付款'!AG58:$AH58),0))</f>
        <v>0</v>
      </c>
      <c r="AJ58" s="44">
        <f>IF('2024年-挂账付款'!$AX58&gt;=SUM('2024年-挂账付款'!AG58:$AH58),'2024年-挂账付款'!AG58,IF('2024年-挂账付款'!$AX58-SUM('2024年-挂账付款'!AH58:$AH58)&gt;0,'2024年-挂账付款'!$AX58-SUM('2024年-挂账付款'!AH58:$AH58),0))</f>
        <v>0</v>
      </c>
      <c r="AK58" s="44">
        <f>IF('2024年-挂账付款'!$AX58&gt;=SUM('2024年-挂账付款'!AH58:$AH58),'2024年-挂账付款'!AH58,IF('2024年-挂账付款'!$AX58-SUM('2024年-挂账付款'!$AH58:AI58)&gt;0,'2024年-挂账付款'!$AX58-SUM('2024年-挂账付款'!$AH58:AI58),0))</f>
        <v>0</v>
      </c>
      <c r="AL58" s="88"/>
      <c r="AM58" s="89"/>
      <c r="AN58" s="91"/>
      <c r="AO58" s="98"/>
      <c r="AP58" s="10">
        <f>'2024年-挂账付款'!AX58</f>
        <v>0</v>
      </c>
      <c r="AQ58" s="101">
        <f t="shared" si="7"/>
        <v>0</v>
      </c>
    </row>
    <row r="59" s="10" customFormat="1" ht="24.05" customHeight="1" spans="2:43">
      <c r="B59" s="57"/>
      <c r="C59" s="55"/>
      <c r="D59" s="58" t="s">
        <v>448</v>
      </c>
      <c r="E59" s="59"/>
      <c r="F59" s="42">
        <f>SUM(H59:M59)</f>
        <v>0</v>
      </c>
      <c r="G59" s="43">
        <f t="shared" si="6"/>
        <v>15767.46</v>
      </c>
      <c r="H59" s="44">
        <f>IF('2024年-挂账付款'!$AX59&gt;=SUM('2024年-挂账付款'!E59:$AH59),'2024年-挂账付款'!E59,IF('2024年-挂账付款'!$AX59-SUM('2024年-挂账付款'!F59:$AH59)&gt;0,'2024年-挂账付款'!$AX59-SUM('2024年-挂账付款'!F59:$AH59),0))</f>
        <v>0</v>
      </c>
      <c r="I59" s="44">
        <f>IF('2024年-挂账付款'!$AX59&gt;=SUM('2024年-挂账付款'!F59:$AH59),'2024年-挂账付款'!F59,IF('2024年-挂账付款'!$AX59-SUM('2024年-挂账付款'!G59:$AH59)&gt;0,'2024年-挂账付款'!$AX59-SUM('2024年-挂账付款'!G59:$AH59),0))</f>
        <v>0</v>
      </c>
      <c r="J59" s="44">
        <f>IF('2024年-挂账付款'!$AX59&gt;=SUM('2024年-挂账付款'!G59:$AH59),'2024年-挂账付款'!G59,IF('2024年-挂账付款'!$AX59-SUM('2024年-挂账付款'!H59:$AH59)&gt;0,'2024年-挂账付款'!$AX59-SUM('2024年-挂账付款'!H59:$AH59),0))</f>
        <v>0</v>
      </c>
      <c r="K59" s="44">
        <f>IF('2024年-挂账付款'!$AX59&gt;=SUM('2024年-挂账付款'!H59:$AH59),'2024年-挂账付款'!H59,IF('2024年-挂账付款'!$AX59-SUM('2024年-挂账付款'!I59:$AH59)&gt;0,'2024年-挂账付款'!$AX59-SUM('2024年-挂账付款'!I59:$AH59),0))</f>
        <v>0</v>
      </c>
      <c r="L59" s="44">
        <f>IF('2024年-挂账付款'!$AX59&gt;=SUM('2024年-挂账付款'!I59:$AH59),'2024年-挂账付款'!I59,IF('2024年-挂账付款'!$AX59-SUM('2024年-挂账付款'!J59:$AH59)&gt;0,'2024年-挂账付款'!$AX59-SUM('2024年-挂账付款'!J59:$AH59),0))</f>
        <v>0</v>
      </c>
      <c r="M59" s="44">
        <f>IF('2024年-挂账付款'!$AX59&gt;=SUM('2024年-挂账付款'!J59:$AH59),'2024年-挂账付款'!J59,IF('2024年-挂账付款'!$AX59-SUM('2024年-挂账付款'!K59:$AH59)&gt;0,'2024年-挂账付款'!$AX59-SUM('2024年-挂账付款'!K59:$AH59),0))</f>
        <v>0</v>
      </c>
      <c r="N59" s="44">
        <f>IF('2024年-挂账付款'!$AX59&gt;=SUM('2024年-挂账付款'!K59:$AH59),'2024年-挂账付款'!K59,IF('2024年-挂账付款'!$AX59-SUM('2024年-挂账付款'!L59:$AH59)&gt;0,'2024年-挂账付款'!$AX59-SUM('2024年-挂账付款'!L59:$AH59),0))</f>
        <v>0</v>
      </c>
      <c r="O59" s="44">
        <f>IF('2024年-挂账付款'!$AX59&gt;=SUM('2024年-挂账付款'!L59:$AH59),'2024年-挂账付款'!L59,IF('2024年-挂账付款'!$AX59-SUM('2024年-挂账付款'!M59:$AH59)&gt;0,'2024年-挂账付款'!$AX59-SUM('2024年-挂账付款'!M59:$AH59),0))</f>
        <v>0</v>
      </c>
      <c r="P59" s="44">
        <f>IF('2024年-挂账付款'!$AX59&gt;=SUM('2024年-挂账付款'!M59:$AH59),'2024年-挂账付款'!M59,IF('2024年-挂账付款'!$AX59-SUM('2024年-挂账付款'!N59:$AH59)&gt;0,'2024年-挂账付款'!$AX59-SUM('2024年-挂账付款'!N59:$AH59),0))</f>
        <v>6915.5</v>
      </c>
      <c r="Q59" s="44">
        <f>IF('2024年-挂账付款'!$AX59&gt;=SUM('2024年-挂账付款'!N59:$AH59),'2024年-挂账付款'!N59,IF('2024年-挂账付款'!$AX59-SUM('2024年-挂账付款'!O59:$AH59)&gt;0,'2024年-挂账付款'!$AX59-SUM('2024年-挂账付款'!O59:$AH59),0))</f>
        <v>0</v>
      </c>
      <c r="R59" s="44">
        <f>IF('2024年-挂账付款'!$AX59&gt;=SUM('2024年-挂账付款'!O59:$AH59),'2024年-挂账付款'!O59,IF('2024年-挂账付款'!$AX59-SUM('2024年-挂账付款'!P59:$AH59)&gt;0,'2024年-挂账付款'!$AX59-SUM('2024年-挂账付款'!P59:$AH59),0))</f>
        <v>0</v>
      </c>
      <c r="S59" s="44">
        <f>IF('2024年-挂账付款'!$AX59&gt;=SUM('2024年-挂账付款'!P59:$AH59),'2024年-挂账付款'!P59,IF('2024年-挂账付款'!$AX59-SUM('2024年-挂账付款'!Q59:$AH59)&gt;0,'2024年-挂账付款'!$AX59-SUM('2024年-挂账付款'!Q59:$AH59),0))</f>
        <v>0</v>
      </c>
      <c r="T59" s="44">
        <f>IF('2024年-挂账付款'!$AX59&gt;=SUM('2024年-挂账付款'!Q59:$AH59),'2024年-挂账付款'!Q59,IF('2024年-挂账付款'!$AX59-SUM('2024年-挂账付款'!R59:$AH59)&gt;0,'2024年-挂账付款'!$AX59-SUM('2024年-挂账付款'!R59:$AH59),0))</f>
        <v>0</v>
      </c>
      <c r="U59" s="44">
        <f>IF('2024年-挂账付款'!$AX59&gt;=SUM('2024年-挂账付款'!R59:$AH59),'2024年-挂账付款'!R59,IF('2024年-挂账付款'!$AX59-SUM('2024年-挂账付款'!S59:$AH59)&gt;0,'2024年-挂账付款'!$AX59-SUM('2024年-挂账付款'!S59:$AH59),0))</f>
        <v>0</v>
      </c>
      <c r="V59" s="44">
        <f>IF('2024年-挂账付款'!$AX59&gt;=SUM('2024年-挂账付款'!S59:$AH59),'2024年-挂账付款'!S59,IF('2024年-挂账付款'!$AX59-SUM('2024年-挂账付款'!T59:$AH59)&gt;0,'2024年-挂账付款'!$AX59-SUM('2024年-挂账付款'!T59:$AH59),0))</f>
        <v>0</v>
      </c>
      <c r="W59" s="44">
        <f>IF('2024年-挂账付款'!$AX59&gt;=SUM('2024年-挂账付款'!T59:$AH59),'2024年-挂账付款'!T59,IF('2024年-挂账付款'!$AX59-SUM('2024年-挂账付款'!U59:$AH59)&gt;0,'2024年-挂账付款'!$AX59-SUM('2024年-挂账付款'!U59:$AH59),0))</f>
        <v>0</v>
      </c>
      <c r="X59" s="44">
        <f>IF('2024年-挂账付款'!$AX59&gt;=SUM('2024年-挂账付款'!U59:$AH59),'2024年-挂账付款'!U59,IF('2024年-挂账付款'!$AX59-SUM('2024年-挂账付款'!V59:$AH59)&gt;0,'2024年-挂账付款'!$AX59-SUM('2024年-挂账付款'!V59:$AH59),0))</f>
        <v>8851.96</v>
      </c>
      <c r="Y59" s="44">
        <f>IF('2024年-挂账付款'!$AX59&gt;=SUM('2024年-挂账付款'!V59:$AH59),'2024年-挂账付款'!V59,IF('2024年-挂账付款'!$AX59-SUM('2024年-挂账付款'!W59:$AH59)&gt;0,'2024年-挂账付款'!$AX59-SUM('2024年-挂账付款'!W59:$AH59),0))</f>
        <v>0</v>
      </c>
      <c r="Z59" s="44">
        <f>IF('2024年-挂账付款'!$AX59&gt;=SUM('2024年-挂账付款'!W59:$AH59),'2024年-挂账付款'!W59,IF('2024年-挂账付款'!$AX59-SUM('2024年-挂账付款'!X59:$AH59)&gt;0,'2024年-挂账付款'!$AX59-SUM('2024年-挂账付款'!X59:$AH59),0))</f>
        <v>0</v>
      </c>
      <c r="AA59" s="44">
        <f>IF('2024年-挂账付款'!$AX59&gt;=SUM('2024年-挂账付款'!X59:$AH59),'2024年-挂账付款'!X59,IF('2024年-挂账付款'!$AX59-SUM('2024年-挂账付款'!Y59:$AH59)&gt;0,'2024年-挂账付款'!$AX59-SUM('2024年-挂账付款'!Y59:$AH59),0))</f>
        <v>0</v>
      </c>
      <c r="AB59" s="44">
        <f>IF('2024年-挂账付款'!$AX59&gt;=SUM('2024年-挂账付款'!Y59:$AH59),'2024年-挂账付款'!Y59,IF('2024年-挂账付款'!$AX59-SUM('2024年-挂账付款'!Z59:$AH59)&gt;0,'2024年-挂账付款'!$AX59-SUM('2024年-挂账付款'!Z59:$AH59),0))</f>
        <v>0</v>
      </c>
      <c r="AC59" s="44">
        <f>IF('2024年-挂账付款'!$AX59&gt;=SUM('2024年-挂账付款'!Z59:$AH59),'2024年-挂账付款'!Z59,IF('2024年-挂账付款'!$AX59-SUM('2024年-挂账付款'!AA59:$AH59)&gt;0,'2024年-挂账付款'!$AX59-SUM('2024年-挂账付款'!AA59:$AH59),0))</f>
        <v>0</v>
      </c>
      <c r="AD59" s="44">
        <f>IF('2024年-挂账付款'!$AX59&gt;=SUM('2024年-挂账付款'!AA59:$AH59),'2024年-挂账付款'!AA59,IF('2024年-挂账付款'!$AX59-SUM('2024年-挂账付款'!AB59:$AH59)&gt;0,'2024年-挂账付款'!$AX59-SUM('2024年-挂账付款'!AB59:$AH59),0))</f>
        <v>0</v>
      </c>
      <c r="AE59" s="44">
        <f>IF('2024年-挂账付款'!$AX59&gt;=SUM('2024年-挂账付款'!AB59:$AH59),'2024年-挂账付款'!AB59,IF('2024年-挂账付款'!$AX59-SUM('2024年-挂账付款'!AC59:$AH59)&gt;0,'2024年-挂账付款'!$AX59-SUM('2024年-挂账付款'!AC59:$AH59),0))</f>
        <v>0</v>
      </c>
      <c r="AF59" s="44">
        <f>IF('2024年-挂账付款'!$AX59&gt;=SUM('2024年-挂账付款'!AC59:$AH59),'2024年-挂账付款'!AC59,IF('2024年-挂账付款'!$AX59-SUM('2024年-挂账付款'!AD59:$AH59)&gt;0,'2024年-挂账付款'!$AX59-SUM('2024年-挂账付款'!AD59:$AH59),0))</f>
        <v>0</v>
      </c>
      <c r="AG59" s="44">
        <f>IF('2024年-挂账付款'!$AX59&gt;=SUM('2024年-挂账付款'!AD59:$AH59),'2024年-挂账付款'!AD59,IF('2024年-挂账付款'!$AX59-SUM('2024年-挂账付款'!AE59:$AH59)&gt;0,'2024年-挂账付款'!$AX59-SUM('2024年-挂账付款'!AE59:$AH59),0))</f>
        <v>0</v>
      </c>
      <c r="AH59" s="44">
        <f>IF('2024年-挂账付款'!$AX59&gt;=SUM('2024年-挂账付款'!AE59:$AH59),'2024年-挂账付款'!AE59,IF('2024年-挂账付款'!$AX59-SUM('2024年-挂账付款'!AF59:$AH59)&gt;0,'2024年-挂账付款'!$AX59-SUM('2024年-挂账付款'!AF59:$AH59),0))</f>
        <v>0</v>
      </c>
      <c r="AI59" s="44">
        <f>IF('2024年-挂账付款'!$AX59&gt;=SUM('2024年-挂账付款'!AF59:$AH59),'2024年-挂账付款'!AF59,IF('2024年-挂账付款'!$AX59-SUM('2024年-挂账付款'!AG59:$AH59)&gt;0,'2024年-挂账付款'!$AX59-SUM('2024年-挂账付款'!AG59:$AH59),0))</f>
        <v>0</v>
      </c>
      <c r="AJ59" s="44">
        <f>IF('2024年-挂账付款'!$AX59&gt;=SUM('2024年-挂账付款'!AG59:$AH59),'2024年-挂账付款'!AG59,IF('2024年-挂账付款'!$AX59-SUM('2024年-挂账付款'!AH59:$AH59)&gt;0,'2024年-挂账付款'!$AX59-SUM('2024年-挂账付款'!AH59:$AH59),0))</f>
        <v>0</v>
      </c>
      <c r="AK59" s="44">
        <f>IF('2024年-挂账付款'!$AX59&gt;=SUM('2024年-挂账付款'!AH59:$AH59),'2024年-挂账付款'!AH59,IF('2024年-挂账付款'!$AX59-SUM('2024年-挂账付款'!$AH59:AI59)&gt;0,'2024年-挂账付款'!$AX59-SUM('2024年-挂账付款'!$AH59:AI59),0))</f>
        <v>0</v>
      </c>
      <c r="AL59" s="88"/>
      <c r="AM59" s="89"/>
      <c r="AN59" s="98"/>
      <c r="AO59" s="98"/>
      <c r="AP59" s="10">
        <f>'2024年-挂账付款'!AX59</f>
        <v>15767.46</v>
      </c>
      <c r="AQ59" s="101">
        <f t="shared" si="7"/>
        <v>0</v>
      </c>
    </row>
    <row r="60" s="10" customFormat="1" ht="24.05" customHeight="1" spans="2:43">
      <c r="B60" s="57"/>
      <c r="C60" s="55"/>
      <c r="D60" s="58" t="s">
        <v>450</v>
      </c>
      <c r="E60" s="59"/>
      <c r="F60" s="42">
        <f>SUM(H60:M60)</f>
        <v>0</v>
      </c>
      <c r="G60" s="43" t="str">
        <f t="shared" si="6"/>
        <v>0</v>
      </c>
      <c r="H60" s="44">
        <f>IF('2024年-挂账付款'!$AX60&gt;=SUM('2024年-挂账付款'!E60:$AH60),'2024年-挂账付款'!E60,IF('2024年-挂账付款'!$AX60-SUM('2024年-挂账付款'!F60:$AH60)&gt;0,'2024年-挂账付款'!$AX60-SUM('2024年-挂账付款'!F60:$AH60),0))</f>
        <v>0</v>
      </c>
      <c r="I60" s="44">
        <f>IF('2024年-挂账付款'!$AX60&gt;=SUM('2024年-挂账付款'!F60:$AH60),'2024年-挂账付款'!F60,IF('2024年-挂账付款'!$AX60-SUM('2024年-挂账付款'!G60:$AH60)&gt;0,'2024年-挂账付款'!$AX60-SUM('2024年-挂账付款'!G60:$AH60),0))</f>
        <v>0</v>
      </c>
      <c r="J60" s="44">
        <f>IF('2024年-挂账付款'!$AX60&gt;=SUM('2024年-挂账付款'!G60:$AH60),'2024年-挂账付款'!G60,IF('2024年-挂账付款'!$AX60-SUM('2024年-挂账付款'!H60:$AH60)&gt;0,'2024年-挂账付款'!$AX60-SUM('2024年-挂账付款'!H60:$AH60),0))</f>
        <v>0</v>
      </c>
      <c r="K60" s="44">
        <f>IF('2024年-挂账付款'!$AX60&gt;=SUM('2024年-挂账付款'!H60:$AH60),'2024年-挂账付款'!H60,IF('2024年-挂账付款'!$AX60-SUM('2024年-挂账付款'!I60:$AH60)&gt;0,'2024年-挂账付款'!$AX60-SUM('2024年-挂账付款'!I60:$AH60),0))</f>
        <v>0</v>
      </c>
      <c r="L60" s="44">
        <f>IF('2024年-挂账付款'!$AX60&gt;=SUM('2024年-挂账付款'!I60:$AH60),'2024年-挂账付款'!I60,IF('2024年-挂账付款'!$AX60-SUM('2024年-挂账付款'!J60:$AH60)&gt;0,'2024年-挂账付款'!$AX60-SUM('2024年-挂账付款'!J60:$AH60),0))</f>
        <v>0</v>
      </c>
      <c r="M60" s="44">
        <f>IF('2024年-挂账付款'!$AX60&gt;=SUM('2024年-挂账付款'!J60:$AH60),'2024年-挂账付款'!J60,IF('2024年-挂账付款'!$AX60-SUM('2024年-挂账付款'!K60:$AH60)&gt;0,'2024年-挂账付款'!$AX60-SUM('2024年-挂账付款'!K60:$AH60),0))</f>
        <v>0</v>
      </c>
      <c r="N60" s="44">
        <f>IF('2024年-挂账付款'!$AX60&gt;=SUM('2024年-挂账付款'!K60:$AH60),'2024年-挂账付款'!K60,IF('2024年-挂账付款'!$AX60-SUM('2024年-挂账付款'!L60:$AH60)&gt;0,'2024年-挂账付款'!$AX60-SUM('2024年-挂账付款'!L60:$AH60),0))</f>
        <v>0</v>
      </c>
      <c r="O60" s="44">
        <f>IF('2024年-挂账付款'!$AX60&gt;=SUM('2024年-挂账付款'!L60:$AH60),'2024年-挂账付款'!L60,IF('2024年-挂账付款'!$AX60-SUM('2024年-挂账付款'!M60:$AH60)&gt;0,'2024年-挂账付款'!$AX60-SUM('2024年-挂账付款'!M60:$AH60),0))</f>
        <v>0</v>
      </c>
      <c r="P60" s="44">
        <f>IF('2024年-挂账付款'!$AX60&gt;=SUM('2024年-挂账付款'!M60:$AH60),'2024年-挂账付款'!M60,IF('2024年-挂账付款'!$AX60-SUM('2024年-挂账付款'!N60:$AH60)&gt;0,'2024年-挂账付款'!$AX60-SUM('2024年-挂账付款'!N60:$AH60),0))</f>
        <v>0</v>
      </c>
      <c r="Q60" s="44">
        <f>IF('2024年-挂账付款'!$AX60&gt;=SUM('2024年-挂账付款'!N60:$AH60),'2024年-挂账付款'!N60,IF('2024年-挂账付款'!$AX60-SUM('2024年-挂账付款'!O60:$AH60)&gt;0,'2024年-挂账付款'!$AX60-SUM('2024年-挂账付款'!O60:$AH60),0))</f>
        <v>0</v>
      </c>
      <c r="R60" s="44">
        <f>IF('2024年-挂账付款'!$AX60&gt;=SUM('2024年-挂账付款'!O60:$AH60),'2024年-挂账付款'!O60,IF('2024年-挂账付款'!$AX60-SUM('2024年-挂账付款'!P60:$AH60)&gt;0,'2024年-挂账付款'!$AX60-SUM('2024年-挂账付款'!P60:$AH60),0))</f>
        <v>0</v>
      </c>
      <c r="S60" s="44">
        <f>IF('2024年-挂账付款'!$AX60&gt;=SUM('2024年-挂账付款'!P60:$AH60),'2024年-挂账付款'!P60,IF('2024年-挂账付款'!$AX60-SUM('2024年-挂账付款'!Q60:$AH60)&gt;0,'2024年-挂账付款'!$AX60-SUM('2024年-挂账付款'!Q60:$AH60),0))</f>
        <v>0</v>
      </c>
      <c r="T60" s="44">
        <f>IF('2024年-挂账付款'!$AX60&gt;=SUM('2024年-挂账付款'!Q60:$AH60),'2024年-挂账付款'!Q60,IF('2024年-挂账付款'!$AX60-SUM('2024年-挂账付款'!R60:$AH60)&gt;0,'2024年-挂账付款'!$AX60-SUM('2024年-挂账付款'!R60:$AH60),0))</f>
        <v>0</v>
      </c>
      <c r="U60" s="44">
        <f>IF('2024年-挂账付款'!$AX60&gt;=SUM('2024年-挂账付款'!R60:$AH60),'2024年-挂账付款'!R60,IF('2024年-挂账付款'!$AX60-SUM('2024年-挂账付款'!S60:$AH60)&gt;0,'2024年-挂账付款'!$AX60-SUM('2024年-挂账付款'!S60:$AH60),0))</f>
        <v>0</v>
      </c>
      <c r="V60" s="44">
        <f>IF('2024年-挂账付款'!$AX60&gt;=SUM('2024年-挂账付款'!S60:$AH60),'2024年-挂账付款'!S60,IF('2024年-挂账付款'!$AX60-SUM('2024年-挂账付款'!T60:$AH60)&gt;0,'2024年-挂账付款'!$AX60-SUM('2024年-挂账付款'!T60:$AH60),0))</f>
        <v>0</v>
      </c>
      <c r="W60" s="44">
        <f>IF('2024年-挂账付款'!$AX60&gt;=SUM('2024年-挂账付款'!T60:$AH60),'2024年-挂账付款'!T60,IF('2024年-挂账付款'!$AX60-SUM('2024年-挂账付款'!U60:$AH60)&gt;0,'2024年-挂账付款'!$AX60-SUM('2024年-挂账付款'!U60:$AH60),0))</f>
        <v>0</v>
      </c>
      <c r="X60" s="44">
        <f>IF('2024年-挂账付款'!$AX60&gt;=SUM('2024年-挂账付款'!U60:$AH60),'2024年-挂账付款'!U60,IF('2024年-挂账付款'!$AX60-SUM('2024年-挂账付款'!V60:$AH60)&gt;0,'2024年-挂账付款'!$AX60-SUM('2024年-挂账付款'!V60:$AH60),0))</f>
        <v>0</v>
      </c>
      <c r="Y60" s="44">
        <f>IF('2024年-挂账付款'!$AX60&gt;=SUM('2024年-挂账付款'!V60:$AH60),'2024年-挂账付款'!V60,IF('2024年-挂账付款'!$AX60-SUM('2024年-挂账付款'!W60:$AH60)&gt;0,'2024年-挂账付款'!$AX60-SUM('2024年-挂账付款'!W60:$AH60),0))</f>
        <v>0</v>
      </c>
      <c r="Z60" s="44">
        <f>IF('2024年-挂账付款'!$AX60&gt;=SUM('2024年-挂账付款'!W60:$AH60),'2024年-挂账付款'!W60,IF('2024年-挂账付款'!$AX60-SUM('2024年-挂账付款'!X60:$AH60)&gt;0,'2024年-挂账付款'!$AX60-SUM('2024年-挂账付款'!X60:$AH60),0))</f>
        <v>0</v>
      </c>
      <c r="AA60" s="44">
        <f>IF('2024年-挂账付款'!$AX60&gt;=SUM('2024年-挂账付款'!X60:$AH60),'2024年-挂账付款'!X60,IF('2024年-挂账付款'!$AX60-SUM('2024年-挂账付款'!Y60:$AH60)&gt;0,'2024年-挂账付款'!$AX60-SUM('2024年-挂账付款'!Y60:$AH60),0))</f>
        <v>0</v>
      </c>
      <c r="AB60" s="44">
        <f>IF('2024年-挂账付款'!$AX60&gt;=SUM('2024年-挂账付款'!Y60:$AH60),'2024年-挂账付款'!Y60,IF('2024年-挂账付款'!$AX60-SUM('2024年-挂账付款'!Z60:$AH60)&gt;0,'2024年-挂账付款'!$AX60-SUM('2024年-挂账付款'!Z60:$AH60),0))</f>
        <v>0</v>
      </c>
      <c r="AC60" s="44">
        <f>IF('2024年-挂账付款'!$AX60&gt;=SUM('2024年-挂账付款'!Z60:$AH60),'2024年-挂账付款'!Z60,IF('2024年-挂账付款'!$AX60-SUM('2024年-挂账付款'!AA60:$AH60)&gt;0,'2024年-挂账付款'!$AX60-SUM('2024年-挂账付款'!AA60:$AH60),0))</f>
        <v>0</v>
      </c>
      <c r="AD60" s="44">
        <f>IF('2024年-挂账付款'!$AX60&gt;=SUM('2024年-挂账付款'!AA60:$AH60),'2024年-挂账付款'!AA60,IF('2024年-挂账付款'!$AX60-SUM('2024年-挂账付款'!AB60:$AH60)&gt;0,'2024年-挂账付款'!$AX60-SUM('2024年-挂账付款'!AB60:$AH60),0))</f>
        <v>0</v>
      </c>
      <c r="AE60" s="44">
        <f>IF('2024年-挂账付款'!$AX60&gt;=SUM('2024年-挂账付款'!AB60:$AH60),'2024年-挂账付款'!AB60,IF('2024年-挂账付款'!$AX60-SUM('2024年-挂账付款'!AC60:$AH60)&gt;0,'2024年-挂账付款'!$AX60-SUM('2024年-挂账付款'!AC60:$AH60),0))</f>
        <v>0</v>
      </c>
      <c r="AF60" s="44">
        <f>IF('2024年-挂账付款'!$AX60&gt;=SUM('2024年-挂账付款'!AC60:$AH60),'2024年-挂账付款'!AC60,IF('2024年-挂账付款'!$AX60-SUM('2024年-挂账付款'!AD60:$AH60)&gt;0,'2024年-挂账付款'!$AX60-SUM('2024年-挂账付款'!AD60:$AH60),0))</f>
        <v>0</v>
      </c>
      <c r="AG60" s="44">
        <f>IF('2024年-挂账付款'!$AX60&gt;=SUM('2024年-挂账付款'!AD60:$AH60),'2024年-挂账付款'!AD60,IF('2024年-挂账付款'!$AX60-SUM('2024年-挂账付款'!AE60:$AH60)&gt;0,'2024年-挂账付款'!$AX60-SUM('2024年-挂账付款'!AE60:$AH60),0))</f>
        <v>0</v>
      </c>
      <c r="AH60" s="44">
        <f>IF('2024年-挂账付款'!$AX60&gt;=SUM('2024年-挂账付款'!AE60:$AH60),'2024年-挂账付款'!AE60,IF('2024年-挂账付款'!$AX60-SUM('2024年-挂账付款'!AF60:$AH60)&gt;0,'2024年-挂账付款'!$AX60-SUM('2024年-挂账付款'!AF60:$AH60),0))</f>
        <v>0</v>
      </c>
      <c r="AI60" s="44">
        <f>IF('2024年-挂账付款'!$AX60&gt;=SUM('2024年-挂账付款'!AF60:$AH60),'2024年-挂账付款'!AF60,IF('2024年-挂账付款'!$AX60-SUM('2024年-挂账付款'!AG60:$AH60)&gt;0,'2024年-挂账付款'!$AX60-SUM('2024年-挂账付款'!AG60:$AH60),0))</f>
        <v>0</v>
      </c>
      <c r="AJ60" s="44">
        <f>IF('2024年-挂账付款'!$AX60&gt;=SUM('2024年-挂账付款'!AG60:$AH60),'2024年-挂账付款'!AG60,IF('2024年-挂账付款'!$AX60-SUM('2024年-挂账付款'!AH60:$AH60)&gt;0,'2024年-挂账付款'!$AX60-SUM('2024年-挂账付款'!AH60:$AH60),0))</f>
        <v>0</v>
      </c>
      <c r="AK60" s="44">
        <f>IF('2024年-挂账付款'!$AX60&gt;=SUM('2024年-挂账付款'!AH60:$AH60),'2024年-挂账付款'!AH60,IF('2024年-挂账付款'!$AX60-SUM('2024年-挂账付款'!$AH60:AI60)&gt;0,'2024年-挂账付款'!$AX60-SUM('2024年-挂账付款'!$AH60:AI60),0))</f>
        <v>0</v>
      </c>
      <c r="AL60" s="88"/>
      <c r="AM60" s="89"/>
      <c r="AN60" s="98"/>
      <c r="AO60" s="98"/>
      <c r="AP60" s="10">
        <f>'2024年-挂账付款'!AX60</f>
        <v>0</v>
      </c>
      <c r="AQ60" s="101">
        <f t="shared" si="7"/>
        <v>0</v>
      </c>
    </row>
    <row r="61" s="12" customFormat="1" ht="24.05" customHeight="1" spans="2:43">
      <c r="B61" s="60"/>
      <c r="C61" s="61"/>
      <c r="D61" s="62" t="s">
        <v>142</v>
      </c>
      <c r="E61" s="63"/>
      <c r="F61" s="63">
        <f>SUM(F5:F55)</f>
        <v>2723718.72</v>
      </c>
      <c r="G61" s="63">
        <f>SUM(G5:G55)</f>
        <v>5298345.6</v>
      </c>
      <c r="H61" s="63">
        <f>SUM(H5:H60)</f>
        <v>33981.36</v>
      </c>
      <c r="I61" s="63">
        <f>SUM(I5:I60)</f>
        <v>5410.44</v>
      </c>
      <c r="J61" s="63">
        <f t="shared" ref="J61:P61" si="8">SUM(J5:J60)</f>
        <v>3986.64</v>
      </c>
      <c r="K61" s="63">
        <f t="shared" si="8"/>
        <v>8535.99999999997</v>
      </c>
      <c r="L61" s="63">
        <f t="shared" si="8"/>
        <v>19097</v>
      </c>
      <c r="M61" s="63">
        <f t="shared" si="8"/>
        <v>0</v>
      </c>
      <c r="N61" s="63">
        <f t="shared" si="8"/>
        <v>49042</v>
      </c>
      <c r="O61" s="63">
        <f t="shared" si="8"/>
        <v>160687.8</v>
      </c>
      <c r="P61" s="63">
        <f t="shared" si="8"/>
        <v>229311.24</v>
      </c>
      <c r="Q61" s="63">
        <f t="shared" ref="Q61:AK61" si="9">SUM(Q5:Q60)</f>
        <v>105772.49</v>
      </c>
      <c r="R61" s="63">
        <f t="shared" si="9"/>
        <v>323619.38</v>
      </c>
      <c r="S61" s="63">
        <f t="shared" si="9"/>
        <v>354863.9</v>
      </c>
      <c r="T61" s="63">
        <f t="shared" si="9"/>
        <v>720710.86</v>
      </c>
      <c r="U61" s="63">
        <f t="shared" si="9"/>
        <v>66604.41</v>
      </c>
      <c r="V61" s="63">
        <f t="shared" si="9"/>
        <v>357635.82</v>
      </c>
      <c r="W61" s="63">
        <f t="shared" si="9"/>
        <v>701482.77</v>
      </c>
      <c r="X61" s="63">
        <f t="shared" si="9"/>
        <v>655656.28</v>
      </c>
      <c r="Y61" s="63">
        <f t="shared" si="9"/>
        <v>1517714.67</v>
      </c>
      <c r="Z61" s="63">
        <f t="shared" si="9"/>
        <v>3394697.96</v>
      </c>
      <c r="AA61" s="63">
        <f t="shared" si="9"/>
        <v>2413967.46</v>
      </c>
      <c r="AB61" s="63">
        <f t="shared" si="9"/>
        <v>70392.45</v>
      </c>
      <c r="AC61" s="63">
        <f t="shared" si="9"/>
        <v>0</v>
      </c>
      <c r="AD61" s="63">
        <f t="shared" si="9"/>
        <v>0</v>
      </c>
      <c r="AE61" s="63">
        <f t="shared" si="9"/>
        <v>0</v>
      </c>
      <c r="AF61" s="63">
        <f t="shared" si="9"/>
        <v>0</v>
      </c>
      <c r="AG61" s="63">
        <f t="shared" si="9"/>
        <v>0</v>
      </c>
      <c r="AH61" s="63">
        <f t="shared" si="9"/>
        <v>0</v>
      </c>
      <c r="AI61" s="63">
        <f t="shared" si="9"/>
        <v>0</v>
      </c>
      <c r="AJ61" s="63">
        <f t="shared" si="9"/>
        <v>0</v>
      </c>
      <c r="AK61" s="63">
        <f t="shared" si="9"/>
        <v>0</v>
      </c>
      <c r="AL61" s="88"/>
      <c r="AM61" s="99">
        <f>SUM(AM5:AM54)</f>
        <v>0</v>
      </c>
      <c r="AN61" s="100">
        <f>SUM(AN5:AN55)</f>
        <v>534793.713333333</v>
      </c>
      <c r="AO61" s="100">
        <f>SUM(AO5:AO54)</f>
        <v>0</v>
      </c>
      <c r="AP61" s="10">
        <f>'2023年'!AZ61</f>
        <v>9218248.26</v>
      </c>
      <c r="AQ61" s="101">
        <f t="shared" si="7"/>
        <v>-3919902.66</v>
      </c>
    </row>
    <row r="62" ht="15.05" customHeight="1" spans="5:43">
      <c r="E62" s="64"/>
      <c r="F62" s="65"/>
      <c r="G62" s="66"/>
      <c r="H62" s="65">
        <v>5410.44</v>
      </c>
      <c r="I62" s="65"/>
      <c r="J62" s="65">
        <v>3986.64</v>
      </c>
      <c r="K62" s="72">
        <v>28536</v>
      </c>
      <c r="L62" s="72">
        <v>19097</v>
      </c>
      <c r="M62" s="65">
        <v>85469.6600000002</v>
      </c>
      <c r="N62" s="73">
        <v>95085.28</v>
      </c>
      <c r="O62" s="73">
        <v>280687.8</v>
      </c>
      <c r="P62" s="65">
        <v>239537.65</v>
      </c>
      <c r="Q62" s="65">
        <v>241217.8</v>
      </c>
      <c r="R62" s="65">
        <v>367869.92</v>
      </c>
      <c r="S62" s="65">
        <v>1251642.94</v>
      </c>
      <c r="T62" s="65">
        <v>1405482.02</v>
      </c>
      <c r="U62" s="65">
        <v>409325.68</v>
      </c>
      <c r="V62" s="65">
        <v>754050.2</v>
      </c>
      <c r="W62" s="65">
        <v>844022.87</v>
      </c>
      <c r="X62" s="65">
        <v>1058534.89</v>
      </c>
      <c r="Y62" s="65">
        <v>2085247.94</v>
      </c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P62" s="10"/>
      <c r="AQ62" s="101"/>
    </row>
    <row r="63" ht="15.05" customHeight="1" spans="8:41">
      <c r="H63" s="13">
        <f>H61-H62</f>
        <v>28570.92</v>
      </c>
      <c r="J63" s="13">
        <f t="shared" ref="J63:O63" si="10">J61-J62</f>
        <v>0</v>
      </c>
      <c r="K63" s="13">
        <f t="shared" si="10"/>
        <v>-20000</v>
      </c>
      <c r="L63" s="13">
        <f t="shared" si="10"/>
        <v>0</v>
      </c>
      <c r="M63" s="13">
        <f t="shared" si="10"/>
        <v>-85469.6600000002</v>
      </c>
      <c r="N63" s="13">
        <f t="shared" si="10"/>
        <v>-46043.28</v>
      </c>
      <c r="O63" s="13">
        <f t="shared" si="10"/>
        <v>-120000</v>
      </c>
      <c r="P63" s="13">
        <f t="shared" ref="P63:Y63" si="11">P61-P62</f>
        <v>-10226.41</v>
      </c>
      <c r="Q63" s="13">
        <f t="shared" si="11"/>
        <v>-135445.31</v>
      </c>
      <c r="R63" s="13">
        <f t="shared" si="11"/>
        <v>-44250.5399999999</v>
      </c>
      <c r="S63" s="13">
        <f t="shared" si="11"/>
        <v>-896779.04</v>
      </c>
      <c r="T63" s="13">
        <f t="shared" si="11"/>
        <v>-684771.16</v>
      </c>
      <c r="U63" s="13">
        <f t="shared" si="11"/>
        <v>-342721.27</v>
      </c>
      <c r="V63" s="13">
        <f t="shared" si="11"/>
        <v>-396414.38</v>
      </c>
      <c r="W63" s="13">
        <f t="shared" si="11"/>
        <v>-142540.1</v>
      </c>
      <c r="X63" s="13">
        <f t="shared" si="11"/>
        <v>-402878.61</v>
      </c>
      <c r="Y63" s="13">
        <f t="shared" si="11"/>
        <v>-567533.27</v>
      </c>
      <c r="AO63" s="13">
        <v>3361781.44</v>
      </c>
    </row>
    <row r="64" spans="4:41">
      <c r="D64" s="67" t="s">
        <v>143</v>
      </c>
      <c r="E64" s="68"/>
      <c r="K64" s="65"/>
      <c r="L64" s="65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O64" s="13">
        <f>AO61-AO63</f>
        <v>-3361781.44</v>
      </c>
    </row>
    <row r="65" spans="15:37"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</row>
    <row r="66" spans="8:43">
      <c r="H66" s="18"/>
      <c r="I66" s="18"/>
      <c r="J66" s="18"/>
      <c r="K66" s="18"/>
      <c r="L66" s="106"/>
      <c r="M66" s="106"/>
      <c r="N66" s="106"/>
      <c r="O66" s="106"/>
      <c r="P66" s="106"/>
      <c r="Q66" s="106"/>
      <c r="R66" s="106"/>
      <c r="S66" s="106"/>
      <c r="T66" s="106"/>
      <c r="AK66" s="13"/>
      <c r="AL66" s="18"/>
      <c r="AM66" s="13"/>
      <c r="AP66" s="19"/>
      <c r="AQ66" s="13"/>
    </row>
    <row r="67" spans="8:21">
      <c r="H67" s="18"/>
      <c r="I67" s="18"/>
      <c r="J67" s="18"/>
      <c r="K67" s="18"/>
      <c r="L67" s="18"/>
      <c r="M67" s="106"/>
      <c r="N67" s="106"/>
      <c r="O67" s="106"/>
      <c r="P67" s="106"/>
      <c r="Q67" s="106"/>
      <c r="R67" s="106"/>
      <c r="S67" s="106"/>
      <c r="T67" s="106"/>
      <c r="U67" s="106"/>
    </row>
    <row r="75" spans="2:37">
      <c r="B75" s="13"/>
      <c r="D75" s="13"/>
      <c r="E75" s="104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8" spans="2:37">
      <c r="B78" s="13"/>
      <c r="D78" s="13"/>
      <c r="E78" s="104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</row>
  </sheetData>
  <autoFilter ref="B4:AQ64">
    <extLst/>
  </autoFilter>
  <sortState ref="B5:AR55">
    <sortCondition ref="E5:E55"/>
    <sortCondition ref="AL5:AL55"/>
  </sortState>
  <mergeCells count="42">
    <mergeCell ref="B1:E1"/>
    <mergeCell ref="M2: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2:AL4"/>
    <mergeCell ref="AM2:AM4"/>
    <mergeCell ref="AN2:AN4"/>
    <mergeCell ref="AO2:AO4"/>
  </mergeCells>
  <conditionalFormatting sqref="D1:D6 C5:C6 C7:D26 D61:D1048576">
    <cfRule type="duplicateValues" dxfId="0" priority="3"/>
    <cfRule type="duplicateValues" dxfId="0" priority="5"/>
  </conditionalFormatting>
  <conditionalFormatting sqref="M1:AK1 L66:AJ66 M67:AK1048576 M64:AK65 Z63:AK63">
    <cfRule type="duplicateValues" dxfId="0" priority="4"/>
  </conditionalFormatting>
  <conditionalFormatting sqref="C27:D60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35"/>
  <sheetViews>
    <sheetView workbookViewId="0">
      <selection activeCell="A1" sqref="A$1:N$1048576"/>
    </sheetView>
  </sheetViews>
  <sheetFormatPr defaultColWidth="9" defaultRowHeight="13.5"/>
  <cols>
    <col min="1" max="1" width="7.7" style="1" customWidth="1"/>
    <col min="2" max="2" width="11.1" style="1" customWidth="1"/>
    <col min="3" max="3" width="9.4" style="1" customWidth="1"/>
    <col min="4" max="4" width="23.1" style="1" customWidth="1"/>
    <col min="5" max="6" width="7.7" style="1" customWidth="1"/>
    <col min="7" max="7" width="8.1" style="1" customWidth="1"/>
    <col min="8" max="8" width="9.5" style="1" customWidth="1"/>
    <col min="9" max="10" width="12.4" style="1" customWidth="1"/>
    <col min="11" max="12" width="10.9" style="1" customWidth="1"/>
    <col min="13" max="13" width="8.1" style="1" customWidth="1"/>
    <col min="14" max="14" width="9.5" style="1" customWidth="1"/>
    <col min="15" max="15" width="11.5"/>
  </cols>
  <sheetData>
    <row r="1" spans="1:14">
      <c r="A1" s="2" t="s">
        <v>482</v>
      </c>
      <c r="B1" s="2" t="s">
        <v>483</v>
      </c>
      <c r="C1" s="2" t="s">
        <v>484</v>
      </c>
      <c r="D1" s="2" t="s">
        <v>485</v>
      </c>
      <c r="E1" s="2" t="s">
        <v>486</v>
      </c>
      <c r="F1" s="2" t="s">
        <v>487</v>
      </c>
      <c r="G1" s="2" t="s">
        <v>488</v>
      </c>
      <c r="H1" s="3" t="s">
        <v>489</v>
      </c>
      <c r="I1" s="3" t="s">
        <v>490</v>
      </c>
      <c r="J1" s="3" t="s">
        <v>491</v>
      </c>
      <c r="K1" s="3" t="s">
        <v>492</v>
      </c>
      <c r="L1" s="3" t="s">
        <v>493</v>
      </c>
      <c r="M1" s="2" t="s">
        <v>488</v>
      </c>
      <c r="N1" s="3" t="s">
        <v>494</v>
      </c>
    </row>
    <row r="2" hidden="1" spans="1:15">
      <c r="A2" s="4" t="s">
        <v>495</v>
      </c>
      <c r="B2" s="5" t="s">
        <v>496</v>
      </c>
      <c r="C2" s="4" t="s">
        <v>286</v>
      </c>
      <c r="D2" s="5" t="s">
        <v>286</v>
      </c>
      <c r="E2" s="4" t="s">
        <v>286</v>
      </c>
      <c r="F2" s="4" t="s">
        <v>497</v>
      </c>
      <c r="G2" s="4" t="s">
        <v>498</v>
      </c>
      <c r="H2" s="6">
        <v>0</v>
      </c>
      <c r="I2" s="6">
        <v>49041.68</v>
      </c>
      <c r="J2" s="6">
        <v>49041.68</v>
      </c>
      <c r="K2" s="6">
        <v>4618305.86</v>
      </c>
      <c r="L2" s="6">
        <v>4618305.86</v>
      </c>
      <c r="M2" s="4" t="s">
        <v>498</v>
      </c>
      <c r="N2" s="6">
        <v>0</v>
      </c>
      <c r="O2">
        <f>IF(M2="贷",N2,-N2)</f>
        <v>0</v>
      </c>
    </row>
    <row r="3" hidden="1" spans="1:15">
      <c r="A3" s="7" t="s">
        <v>495</v>
      </c>
      <c r="B3" s="8" t="s">
        <v>496</v>
      </c>
      <c r="C3" s="7" t="s">
        <v>286</v>
      </c>
      <c r="D3" s="8" t="s">
        <v>499</v>
      </c>
      <c r="E3" s="7" t="s">
        <v>286</v>
      </c>
      <c r="F3" s="7" t="s">
        <v>497</v>
      </c>
      <c r="G3" s="7" t="s">
        <v>500</v>
      </c>
      <c r="H3" s="9">
        <v>0</v>
      </c>
      <c r="I3" s="9">
        <v>0</v>
      </c>
      <c r="J3" s="9">
        <v>0</v>
      </c>
      <c r="K3" s="9">
        <v>0</v>
      </c>
      <c r="L3" s="9">
        <v>0</v>
      </c>
      <c r="M3" s="7" t="s">
        <v>500</v>
      </c>
      <c r="N3" s="9">
        <v>0</v>
      </c>
      <c r="O3">
        <f t="shared" ref="O3:O34" si="0">IF(M3="贷",N3,-N3)</f>
        <v>0</v>
      </c>
    </row>
    <row r="4" hidden="1" spans="1:15">
      <c r="A4" s="4" t="s">
        <v>495</v>
      </c>
      <c r="B4" s="5" t="s">
        <v>496</v>
      </c>
      <c r="C4" s="4" t="s">
        <v>286</v>
      </c>
      <c r="D4" s="5" t="s">
        <v>298</v>
      </c>
      <c r="E4" s="4" t="s">
        <v>286</v>
      </c>
      <c r="F4" s="4" t="s">
        <v>497</v>
      </c>
      <c r="G4" s="4" t="s">
        <v>500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4" t="s">
        <v>500</v>
      </c>
      <c r="N4" s="6">
        <v>0</v>
      </c>
      <c r="O4">
        <f t="shared" si="0"/>
        <v>0</v>
      </c>
    </row>
    <row r="5" hidden="1" spans="1:15">
      <c r="A5" s="7" t="s">
        <v>495</v>
      </c>
      <c r="B5" s="8" t="s">
        <v>496</v>
      </c>
      <c r="C5" s="7" t="s">
        <v>286</v>
      </c>
      <c r="D5" s="8" t="s">
        <v>501</v>
      </c>
      <c r="E5" s="7" t="s">
        <v>286</v>
      </c>
      <c r="F5" s="7" t="s">
        <v>497</v>
      </c>
      <c r="G5" s="7" t="s">
        <v>500</v>
      </c>
      <c r="H5" s="9">
        <v>0</v>
      </c>
      <c r="I5" s="9">
        <v>0</v>
      </c>
      <c r="J5" s="9">
        <v>0</v>
      </c>
      <c r="K5" s="9">
        <v>0</v>
      </c>
      <c r="L5" s="9">
        <v>0</v>
      </c>
      <c r="M5" s="7" t="s">
        <v>500</v>
      </c>
      <c r="N5" s="9">
        <v>0</v>
      </c>
      <c r="O5">
        <f t="shared" si="0"/>
        <v>0</v>
      </c>
    </row>
    <row r="6" hidden="1" spans="1:15">
      <c r="A6" s="4" t="s">
        <v>495</v>
      </c>
      <c r="B6" s="5" t="s">
        <v>496</v>
      </c>
      <c r="C6" s="4" t="s">
        <v>286</v>
      </c>
      <c r="D6" s="5" t="s">
        <v>83</v>
      </c>
      <c r="E6" s="4" t="s">
        <v>286</v>
      </c>
      <c r="F6" s="4" t="s">
        <v>497</v>
      </c>
      <c r="G6" s="4" t="s">
        <v>500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4" t="s">
        <v>500</v>
      </c>
      <c r="N6" s="6">
        <v>0</v>
      </c>
      <c r="O6">
        <f t="shared" si="0"/>
        <v>0</v>
      </c>
    </row>
    <row r="7" hidden="1" spans="1:15">
      <c r="A7" s="7" t="s">
        <v>495</v>
      </c>
      <c r="B7" s="8" t="s">
        <v>496</v>
      </c>
      <c r="C7" s="7" t="s">
        <v>286</v>
      </c>
      <c r="D7" s="8" t="s">
        <v>502</v>
      </c>
      <c r="E7" s="7" t="s">
        <v>286</v>
      </c>
      <c r="F7" s="7" t="s">
        <v>497</v>
      </c>
      <c r="G7" s="7" t="s">
        <v>500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7" t="s">
        <v>500</v>
      </c>
      <c r="N7" s="9">
        <v>0</v>
      </c>
      <c r="O7">
        <f t="shared" si="0"/>
        <v>0</v>
      </c>
    </row>
    <row r="8" hidden="1" spans="1:15">
      <c r="A8" s="4" t="s">
        <v>495</v>
      </c>
      <c r="B8" s="5" t="s">
        <v>496</v>
      </c>
      <c r="C8" s="4" t="s">
        <v>286</v>
      </c>
      <c r="D8" s="5" t="s">
        <v>87</v>
      </c>
      <c r="E8" s="4" t="s">
        <v>286</v>
      </c>
      <c r="F8" s="4" t="s">
        <v>497</v>
      </c>
      <c r="G8" s="4" t="s">
        <v>500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4" t="s">
        <v>500</v>
      </c>
      <c r="N8" s="6">
        <v>0</v>
      </c>
      <c r="O8">
        <f t="shared" si="0"/>
        <v>0</v>
      </c>
    </row>
    <row r="9" hidden="1" spans="1:15">
      <c r="A9" s="7" t="s">
        <v>495</v>
      </c>
      <c r="B9" s="8" t="s">
        <v>496</v>
      </c>
      <c r="C9" s="7" t="s">
        <v>286</v>
      </c>
      <c r="D9" s="8" t="s">
        <v>503</v>
      </c>
      <c r="E9" s="7" t="s">
        <v>286</v>
      </c>
      <c r="F9" s="7" t="s">
        <v>497</v>
      </c>
      <c r="G9" s="7" t="s">
        <v>500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7" t="s">
        <v>500</v>
      </c>
      <c r="N9" s="9">
        <v>0</v>
      </c>
      <c r="O9">
        <f t="shared" si="0"/>
        <v>0</v>
      </c>
    </row>
    <row r="10" hidden="1" spans="1:15">
      <c r="A10" s="4" t="s">
        <v>495</v>
      </c>
      <c r="B10" s="5" t="s">
        <v>496</v>
      </c>
      <c r="C10" s="4" t="s">
        <v>286</v>
      </c>
      <c r="D10" s="5" t="s">
        <v>504</v>
      </c>
      <c r="E10" s="4" t="s">
        <v>286</v>
      </c>
      <c r="F10" s="4" t="s">
        <v>497</v>
      </c>
      <c r="G10" s="4" t="s">
        <v>500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4" t="s">
        <v>500</v>
      </c>
      <c r="N10" s="6">
        <v>0</v>
      </c>
      <c r="O10">
        <f t="shared" si="0"/>
        <v>0</v>
      </c>
    </row>
    <row r="11" hidden="1" spans="1:15">
      <c r="A11" s="7" t="s">
        <v>495</v>
      </c>
      <c r="B11" s="8" t="s">
        <v>496</v>
      </c>
      <c r="C11" s="7" t="s">
        <v>286</v>
      </c>
      <c r="D11" s="8" t="s">
        <v>141</v>
      </c>
      <c r="E11" s="7" t="s">
        <v>286</v>
      </c>
      <c r="F11" s="7" t="s">
        <v>497</v>
      </c>
      <c r="G11" s="7" t="s">
        <v>500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7" t="s">
        <v>500</v>
      </c>
      <c r="N11" s="9">
        <v>0</v>
      </c>
      <c r="O11">
        <f t="shared" si="0"/>
        <v>0</v>
      </c>
    </row>
    <row r="12" hidden="1" spans="1:15">
      <c r="A12" s="4" t="s">
        <v>495</v>
      </c>
      <c r="B12" s="5" t="s">
        <v>496</v>
      </c>
      <c r="C12" s="4" t="s">
        <v>286</v>
      </c>
      <c r="D12" s="5" t="s">
        <v>227</v>
      </c>
      <c r="E12" s="4" t="s">
        <v>286</v>
      </c>
      <c r="F12" s="4" t="s">
        <v>497</v>
      </c>
      <c r="G12" s="4" t="s">
        <v>500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4" t="s">
        <v>500</v>
      </c>
      <c r="N12" s="6">
        <v>0</v>
      </c>
      <c r="O12">
        <f t="shared" si="0"/>
        <v>0</v>
      </c>
    </row>
    <row r="13" spans="1:15">
      <c r="A13" s="7" t="s">
        <v>495</v>
      </c>
      <c r="B13" s="8" t="s">
        <v>496</v>
      </c>
      <c r="C13" s="7" t="s">
        <v>286</v>
      </c>
      <c r="D13" s="8" t="s">
        <v>313</v>
      </c>
      <c r="E13" s="7" t="s">
        <v>286</v>
      </c>
      <c r="F13" s="7" t="s">
        <v>497</v>
      </c>
      <c r="G13" s="7" t="s">
        <v>498</v>
      </c>
      <c r="H13" s="9">
        <v>309807.28</v>
      </c>
      <c r="I13" s="9">
        <v>0</v>
      </c>
      <c r="J13" s="9">
        <v>0</v>
      </c>
      <c r="K13" s="9">
        <v>20000</v>
      </c>
      <c r="L13" s="9">
        <v>91656.59</v>
      </c>
      <c r="M13" s="7" t="s">
        <v>498</v>
      </c>
      <c r="N13" s="9">
        <v>309807.28</v>
      </c>
      <c r="O13">
        <f t="shared" si="0"/>
        <v>309807.28</v>
      </c>
    </row>
    <row r="14" spans="1:15">
      <c r="A14" s="4" t="s">
        <v>495</v>
      </c>
      <c r="B14" s="5" t="s">
        <v>496</v>
      </c>
      <c r="C14" s="4" t="s">
        <v>286</v>
      </c>
      <c r="D14" s="5" t="s">
        <v>216</v>
      </c>
      <c r="E14" s="4" t="s">
        <v>286</v>
      </c>
      <c r="F14" s="4" t="s">
        <v>497</v>
      </c>
      <c r="G14" s="4" t="s">
        <v>498</v>
      </c>
      <c r="H14" s="6">
        <v>160412.36</v>
      </c>
      <c r="I14" s="6">
        <v>0</v>
      </c>
      <c r="J14" s="6">
        <v>0</v>
      </c>
      <c r="K14" s="6">
        <v>20000</v>
      </c>
      <c r="L14" s="6">
        <v>18339.9</v>
      </c>
      <c r="M14" s="4" t="s">
        <v>498</v>
      </c>
      <c r="N14" s="6">
        <v>160412.36</v>
      </c>
      <c r="O14">
        <f t="shared" si="0"/>
        <v>160412.36</v>
      </c>
    </row>
    <row r="15" spans="1:15">
      <c r="A15" s="7" t="s">
        <v>495</v>
      </c>
      <c r="B15" s="8" t="s">
        <v>496</v>
      </c>
      <c r="C15" s="7" t="s">
        <v>286</v>
      </c>
      <c r="D15" s="8" t="s">
        <v>304</v>
      </c>
      <c r="E15" s="7" t="s">
        <v>286</v>
      </c>
      <c r="F15" s="7" t="s">
        <v>497</v>
      </c>
      <c r="G15" s="7" t="s">
        <v>498</v>
      </c>
      <c r="H15" s="9">
        <v>270929.78</v>
      </c>
      <c r="I15" s="9">
        <v>0</v>
      </c>
      <c r="J15" s="9">
        <v>16841.02</v>
      </c>
      <c r="K15" s="9">
        <v>20000</v>
      </c>
      <c r="L15" s="9">
        <v>159780.32</v>
      </c>
      <c r="M15" s="7" t="s">
        <v>498</v>
      </c>
      <c r="N15" s="9">
        <v>287770.8</v>
      </c>
      <c r="O15">
        <f t="shared" si="0"/>
        <v>287770.8</v>
      </c>
    </row>
    <row r="16" hidden="1" spans="1:15">
      <c r="A16" s="4" t="s">
        <v>495</v>
      </c>
      <c r="B16" s="5" t="s">
        <v>496</v>
      </c>
      <c r="C16" s="4" t="s">
        <v>286</v>
      </c>
      <c r="D16" s="5" t="s">
        <v>187</v>
      </c>
      <c r="E16" s="4" t="s">
        <v>286</v>
      </c>
      <c r="F16" s="4" t="s">
        <v>497</v>
      </c>
      <c r="G16" s="4" t="s">
        <v>500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4" t="s">
        <v>500</v>
      </c>
      <c r="N16" s="6">
        <v>0</v>
      </c>
      <c r="O16">
        <f t="shared" si="0"/>
        <v>0</v>
      </c>
    </row>
    <row r="17" spans="1:15">
      <c r="A17" s="7" t="s">
        <v>495</v>
      </c>
      <c r="B17" s="8" t="s">
        <v>496</v>
      </c>
      <c r="C17" s="7" t="s">
        <v>286</v>
      </c>
      <c r="D17" s="8" t="s">
        <v>307</v>
      </c>
      <c r="E17" s="7" t="s">
        <v>286</v>
      </c>
      <c r="F17" s="7" t="s">
        <v>497</v>
      </c>
      <c r="G17" s="7" t="s">
        <v>498</v>
      </c>
      <c r="H17" s="9">
        <v>23004.17</v>
      </c>
      <c r="I17" s="9">
        <v>0</v>
      </c>
      <c r="J17" s="9">
        <v>0</v>
      </c>
      <c r="K17" s="9">
        <v>10000</v>
      </c>
      <c r="L17" s="9">
        <v>4275.92</v>
      </c>
      <c r="M17" s="7" t="s">
        <v>498</v>
      </c>
      <c r="N17" s="9">
        <v>23004.17</v>
      </c>
      <c r="O17">
        <f t="shared" si="0"/>
        <v>23004.17</v>
      </c>
    </row>
    <row r="18" hidden="1" spans="1:15">
      <c r="A18" s="4" t="s">
        <v>495</v>
      </c>
      <c r="B18" s="5" t="s">
        <v>496</v>
      </c>
      <c r="C18" s="4" t="s">
        <v>286</v>
      </c>
      <c r="D18" s="5" t="s">
        <v>89</v>
      </c>
      <c r="E18" s="4" t="s">
        <v>286</v>
      </c>
      <c r="F18" s="4" t="s">
        <v>497</v>
      </c>
      <c r="G18" s="4" t="s">
        <v>500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4" t="s">
        <v>500</v>
      </c>
      <c r="N18" s="6">
        <v>0</v>
      </c>
      <c r="O18">
        <f t="shared" si="0"/>
        <v>0</v>
      </c>
    </row>
    <row r="19" spans="1:15">
      <c r="A19" s="7" t="s">
        <v>495</v>
      </c>
      <c r="B19" s="8" t="s">
        <v>496</v>
      </c>
      <c r="C19" s="7" t="s">
        <v>286</v>
      </c>
      <c r="D19" s="8" t="s">
        <v>294</v>
      </c>
      <c r="E19" s="7" t="s">
        <v>286</v>
      </c>
      <c r="F19" s="7" t="s">
        <v>497</v>
      </c>
      <c r="G19" s="7" t="s">
        <v>498</v>
      </c>
      <c r="H19" s="9">
        <v>608463.32</v>
      </c>
      <c r="I19" s="9">
        <v>60000</v>
      </c>
      <c r="J19" s="9">
        <v>4397.56</v>
      </c>
      <c r="K19" s="9">
        <v>180000</v>
      </c>
      <c r="L19" s="9">
        <v>333910.57</v>
      </c>
      <c r="M19" s="7" t="s">
        <v>498</v>
      </c>
      <c r="N19" s="9">
        <v>552860.88</v>
      </c>
      <c r="O19">
        <f t="shared" si="0"/>
        <v>552860.88</v>
      </c>
    </row>
    <row r="20" spans="1:15">
      <c r="A20" s="4" t="s">
        <v>495</v>
      </c>
      <c r="B20" s="5" t="s">
        <v>496</v>
      </c>
      <c r="C20" s="4" t="s">
        <v>286</v>
      </c>
      <c r="D20" s="5" t="s">
        <v>448</v>
      </c>
      <c r="E20" s="4" t="s">
        <v>286</v>
      </c>
      <c r="F20" s="4" t="s">
        <v>497</v>
      </c>
      <c r="G20" s="4" t="s">
        <v>498</v>
      </c>
      <c r="H20" s="6">
        <v>15767.46</v>
      </c>
      <c r="I20" s="6">
        <v>0</v>
      </c>
      <c r="J20" s="6">
        <v>0</v>
      </c>
      <c r="K20" s="6">
        <v>0</v>
      </c>
      <c r="L20" s="6">
        <v>8851.96</v>
      </c>
      <c r="M20" s="4" t="s">
        <v>498</v>
      </c>
      <c r="N20" s="6">
        <v>15767.46</v>
      </c>
      <c r="O20">
        <f t="shared" si="0"/>
        <v>15767.46</v>
      </c>
    </row>
    <row r="21" spans="1:15">
      <c r="A21" s="7" t="s">
        <v>495</v>
      </c>
      <c r="B21" s="8" t="s">
        <v>496</v>
      </c>
      <c r="C21" s="7" t="s">
        <v>286</v>
      </c>
      <c r="D21" s="8" t="s">
        <v>309</v>
      </c>
      <c r="E21" s="7" t="s">
        <v>286</v>
      </c>
      <c r="F21" s="7" t="s">
        <v>497</v>
      </c>
      <c r="G21" s="7" t="s">
        <v>498</v>
      </c>
      <c r="H21" s="9">
        <v>1865</v>
      </c>
      <c r="I21" s="9">
        <v>0</v>
      </c>
      <c r="J21" s="9">
        <v>17890.16</v>
      </c>
      <c r="K21" s="9">
        <v>10000</v>
      </c>
      <c r="L21" s="9">
        <v>17890.16</v>
      </c>
      <c r="M21" s="7" t="s">
        <v>498</v>
      </c>
      <c r="N21" s="9">
        <v>19755.16</v>
      </c>
      <c r="O21">
        <f t="shared" si="0"/>
        <v>19755.16</v>
      </c>
    </row>
    <row r="22" spans="1:15">
      <c r="A22" s="4" t="s">
        <v>495</v>
      </c>
      <c r="B22" s="5" t="s">
        <v>496</v>
      </c>
      <c r="C22" s="4" t="s">
        <v>286</v>
      </c>
      <c r="D22" s="5" t="s">
        <v>231</v>
      </c>
      <c r="E22" s="4" t="s">
        <v>286</v>
      </c>
      <c r="F22" s="4" t="s">
        <v>497</v>
      </c>
      <c r="G22" s="4" t="s">
        <v>498</v>
      </c>
      <c r="H22" s="6">
        <v>651666.1</v>
      </c>
      <c r="I22" s="6">
        <v>0</v>
      </c>
      <c r="J22" s="6">
        <v>0</v>
      </c>
      <c r="K22" s="6">
        <v>1440712.06</v>
      </c>
      <c r="L22" s="6">
        <v>884896.79</v>
      </c>
      <c r="M22" s="4" t="s">
        <v>498</v>
      </c>
      <c r="N22" s="6">
        <v>651666.1</v>
      </c>
      <c r="O22">
        <f t="shared" si="0"/>
        <v>651666.1</v>
      </c>
    </row>
    <row r="23" spans="1:15">
      <c r="A23" s="7" t="s">
        <v>495</v>
      </c>
      <c r="B23" s="8" t="s">
        <v>496</v>
      </c>
      <c r="C23" s="7" t="s">
        <v>286</v>
      </c>
      <c r="D23" s="8" t="s">
        <v>327</v>
      </c>
      <c r="E23" s="7" t="s">
        <v>286</v>
      </c>
      <c r="F23" s="7" t="s">
        <v>497</v>
      </c>
      <c r="G23" s="7" t="s">
        <v>498</v>
      </c>
      <c r="H23" s="9">
        <v>137012.09</v>
      </c>
      <c r="I23" s="9">
        <v>0</v>
      </c>
      <c r="J23" s="9">
        <v>0</v>
      </c>
      <c r="K23" s="9">
        <v>0</v>
      </c>
      <c r="L23" s="9">
        <v>0</v>
      </c>
      <c r="M23" s="7" t="s">
        <v>498</v>
      </c>
      <c r="N23" s="9">
        <v>137012.09</v>
      </c>
      <c r="O23">
        <f t="shared" si="0"/>
        <v>137012.09</v>
      </c>
    </row>
    <row r="24" spans="1:15">
      <c r="A24" s="4" t="s">
        <v>495</v>
      </c>
      <c r="B24" s="5" t="s">
        <v>496</v>
      </c>
      <c r="C24" s="4" t="s">
        <v>286</v>
      </c>
      <c r="D24" s="5" t="s">
        <v>91</v>
      </c>
      <c r="E24" s="4" t="s">
        <v>286</v>
      </c>
      <c r="F24" s="4" t="s">
        <v>497</v>
      </c>
      <c r="G24" s="4" t="s">
        <v>498</v>
      </c>
      <c r="H24" s="6">
        <v>264557.84</v>
      </c>
      <c r="I24" s="6">
        <v>0</v>
      </c>
      <c r="J24" s="6">
        <v>0</v>
      </c>
      <c r="K24" s="6">
        <v>20000</v>
      </c>
      <c r="L24" s="6">
        <v>0</v>
      </c>
      <c r="M24" s="4" t="s">
        <v>498</v>
      </c>
      <c r="N24" s="6">
        <v>264557.84</v>
      </c>
      <c r="O24">
        <f t="shared" si="0"/>
        <v>264557.84</v>
      </c>
    </row>
    <row r="25" spans="1:15">
      <c r="A25" s="7" t="s">
        <v>495</v>
      </c>
      <c r="B25" s="8" t="s">
        <v>496</v>
      </c>
      <c r="C25" s="7" t="s">
        <v>286</v>
      </c>
      <c r="D25" s="8" t="s">
        <v>335</v>
      </c>
      <c r="E25" s="7" t="s">
        <v>286</v>
      </c>
      <c r="F25" s="7" t="s">
        <v>497</v>
      </c>
      <c r="G25" s="7" t="s">
        <v>498</v>
      </c>
      <c r="H25" s="9">
        <v>81492.9</v>
      </c>
      <c r="I25" s="9">
        <v>0</v>
      </c>
      <c r="J25" s="9">
        <v>0</v>
      </c>
      <c r="K25" s="9">
        <v>0</v>
      </c>
      <c r="L25" s="9">
        <v>20988.62</v>
      </c>
      <c r="M25" s="7" t="s">
        <v>498</v>
      </c>
      <c r="N25" s="9">
        <v>81492.9</v>
      </c>
      <c r="O25">
        <f t="shared" si="0"/>
        <v>81492.9</v>
      </c>
    </row>
    <row r="26" spans="1:15">
      <c r="A26" s="4" t="s">
        <v>495</v>
      </c>
      <c r="B26" s="5" t="s">
        <v>496</v>
      </c>
      <c r="C26" s="4" t="s">
        <v>286</v>
      </c>
      <c r="D26" s="5" t="s">
        <v>331</v>
      </c>
      <c r="E26" s="4" t="s">
        <v>286</v>
      </c>
      <c r="F26" s="4" t="s">
        <v>497</v>
      </c>
      <c r="G26" s="4" t="s">
        <v>498</v>
      </c>
      <c r="H26" s="6">
        <v>1500.64</v>
      </c>
      <c r="I26" s="6">
        <v>0</v>
      </c>
      <c r="J26" s="6">
        <v>0</v>
      </c>
      <c r="K26" s="6">
        <v>0</v>
      </c>
      <c r="L26" s="6">
        <v>0</v>
      </c>
      <c r="M26" s="4" t="s">
        <v>498</v>
      </c>
      <c r="N26" s="6">
        <v>1500.64</v>
      </c>
      <c r="O26">
        <f t="shared" si="0"/>
        <v>1500.64</v>
      </c>
    </row>
    <row r="27" spans="1:15">
      <c r="A27" s="7" t="s">
        <v>495</v>
      </c>
      <c r="B27" s="8" t="s">
        <v>496</v>
      </c>
      <c r="C27" s="7" t="s">
        <v>286</v>
      </c>
      <c r="D27" s="8" t="s">
        <v>93</v>
      </c>
      <c r="E27" s="7" t="s">
        <v>286</v>
      </c>
      <c r="F27" s="7" t="s">
        <v>497</v>
      </c>
      <c r="G27" s="7" t="s">
        <v>498</v>
      </c>
      <c r="H27" s="9">
        <v>31962.54</v>
      </c>
      <c r="I27" s="9">
        <v>0</v>
      </c>
      <c r="J27" s="9">
        <v>0</v>
      </c>
      <c r="K27" s="9">
        <v>20000</v>
      </c>
      <c r="L27" s="9">
        <v>0</v>
      </c>
      <c r="M27" s="7" t="s">
        <v>498</v>
      </c>
      <c r="N27" s="9">
        <v>31962.54</v>
      </c>
      <c r="O27">
        <f t="shared" si="0"/>
        <v>31962.54</v>
      </c>
    </row>
    <row r="28" hidden="1" spans="1:15">
      <c r="A28" s="4" t="s">
        <v>495</v>
      </c>
      <c r="B28" s="5" t="s">
        <v>496</v>
      </c>
      <c r="C28" s="4" t="s">
        <v>286</v>
      </c>
      <c r="D28" s="5" t="s">
        <v>95</v>
      </c>
      <c r="E28" s="4" t="s">
        <v>286</v>
      </c>
      <c r="F28" s="4" t="s">
        <v>497</v>
      </c>
      <c r="G28" s="4" t="s">
        <v>500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4" t="s">
        <v>500</v>
      </c>
      <c r="N28" s="6">
        <v>0</v>
      </c>
      <c r="O28">
        <f t="shared" si="0"/>
        <v>0</v>
      </c>
    </row>
    <row r="29" spans="1:15">
      <c r="A29" s="7" t="s">
        <v>495</v>
      </c>
      <c r="B29" s="8" t="s">
        <v>496</v>
      </c>
      <c r="C29" s="7" t="s">
        <v>286</v>
      </c>
      <c r="D29" s="8" t="s">
        <v>98</v>
      </c>
      <c r="E29" s="7" t="s">
        <v>286</v>
      </c>
      <c r="F29" s="7" t="s">
        <v>497</v>
      </c>
      <c r="G29" s="7" t="s">
        <v>498</v>
      </c>
      <c r="H29" s="9">
        <v>18984</v>
      </c>
      <c r="I29" s="9">
        <v>0</v>
      </c>
      <c r="J29" s="9">
        <v>0</v>
      </c>
      <c r="K29" s="9">
        <v>0</v>
      </c>
      <c r="L29" s="9">
        <v>6508.8</v>
      </c>
      <c r="M29" s="7" t="s">
        <v>498</v>
      </c>
      <c r="N29" s="9">
        <v>18984</v>
      </c>
      <c r="O29">
        <f t="shared" si="0"/>
        <v>18984</v>
      </c>
    </row>
    <row r="30" hidden="1" spans="1:15">
      <c r="A30" s="4" t="s">
        <v>495</v>
      </c>
      <c r="B30" s="5" t="s">
        <v>496</v>
      </c>
      <c r="C30" s="4" t="s">
        <v>286</v>
      </c>
      <c r="D30" s="5" t="s">
        <v>182</v>
      </c>
      <c r="E30" s="4" t="s">
        <v>286</v>
      </c>
      <c r="F30" s="4" t="s">
        <v>497</v>
      </c>
      <c r="G30" s="4" t="s">
        <v>500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4" t="s">
        <v>500</v>
      </c>
      <c r="N30" s="6">
        <v>0</v>
      </c>
      <c r="O30">
        <f t="shared" si="0"/>
        <v>0</v>
      </c>
    </row>
    <row r="31" hidden="1" spans="1:15">
      <c r="A31" s="7" t="s">
        <v>495</v>
      </c>
      <c r="B31" s="8" t="s">
        <v>496</v>
      </c>
      <c r="C31" s="7" t="s">
        <v>286</v>
      </c>
      <c r="D31" s="8" t="s">
        <v>100</v>
      </c>
      <c r="E31" s="7" t="s">
        <v>286</v>
      </c>
      <c r="F31" s="7" t="s">
        <v>497</v>
      </c>
      <c r="G31" s="7" t="s">
        <v>500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7" t="s">
        <v>500</v>
      </c>
      <c r="N31" s="9">
        <v>0</v>
      </c>
      <c r="O31">
        <f t="shared" si="0"/>
        <v>0</v>
      </c>
    </row>
    <row r="32" spans="1:15">
      <c r="A32" s="4" t="s">
        <v>495</v>
      </c>
      <c r="B32" s="5" t="s">
        <v>496</v>
      </c>
      <c r="C32" s="4" t="s">
        <v>286</v>
      </c>
      <c r="D32" s="5" t="s">
        <v>272</v>
      </c>
      <c r="E32" s="4" t="s">
        <v>286</v>
      </c>
      <c r="F32" s="4" t="s">
        <v>497</v>
      </c>
      <c r="G32" s="4" t="s">
        <v>498</v>
      </c>
      <c r="H32" s="6">
        <v>16581.89</v>
      </c>
      <c r="I32" s="6">
        <v>0</v>
      </c>
      <c r="J32" s="6">
        <v>0</v>
      </c>
      <c r="K32" s="6">
        <v>10000</v>
      </c>
      <c r="L32" s="6">
        <v>0</v>
      </c>
      <c r="M32" s="4" t="s">
        <v>498</v>
      </c>
      <c r="N32" s="6">
        <v>16581.89</v>
      </c>
      <c r="O32">
        <f t="shared" si="0"/>
        <v>16581.89</v>
      </c>
    </row>
    <row r="33" hidden="1" spans="1:15">
      <c r="A33" s="7" t="s">
        <v>495</v>
      </c>
      <c r="B33" s="8" t="s">
        <v>496</v>
      </c>
      <c r="C33" s="7" t="s">
        <v>286</v>
      </c>
      <c r="D33" s="8" t="s">
        <v>505</v>
      </c>
      <c r="E33" s="7" t="s">
        <v>286</v>
      </c>
      <c r="F33" s="7" t="s">
        <v>497</v>
      </c>
      <c r="G33" s="7" t="s">
        <v>500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7" t="s">
        <v>500</v>
      </c>
      <c r="N33" s="9">
        <v>0</v>
      </c>
      <c r="O33">
        <f t="shared" si="0"/>
        <v>0</v>
      </c>
    </row>
    <row r="34" spans="1:15">
      <c r="A34" s="4" t="s">
        <v>495</v>
      </c>
      <c r="B34" s="5" t="s">
        <v>496</v>
      </c>
      <c r="C34" s="4" t="s">
        <v>286</v>
      </c>
      <c r="D34" s="5" t="s">
        <v>506</v>
      </c>
      <c r="E34" s="4" t="s">
        <v>286</v>
      </c>
      <c r="F34" s="4" t="s">
        <v>497</v>
      </c>
      <c r="G34" s="4" t="s">
        <v>498</v>
      </c>
      <c r="H34" s="6">
        <v>24829.45</v>
      </c>
      <c r="I34" s="6">
        <v>0</v>
      </c>
      <c r="J34" s="6">
        <v>0</v>
      </c>
      <c r="K34" s="6">
        <v>719609.25</v>
      </c>
      <c r="L34" s="6">
        <v>93488.24</v>
      </c>
      <c r="M34" s="4" t="s">
        <v>498</v>
      </c>
      <c r="N34" s="6">
        <v>24829.45</v>
      </c>
      <c r="O34">
        <f t="shared" si="0"/>
        <v>24829.45</v>
      </c>
    </row>
    <row r="35" spans="1:15">
      <c r="A35" s="7" t="s">
        <v>495</v>
      </c>
      <c r="B35" s="8" t="s">
        <v>496</v>
      </c>
      <c r="C35" s="7" t="s">
        <v>286</v>
      </c>
      <c r="D35" s="8" t="s">
        <v>225</v>
      </c>
      <c r="E35" s="7" t="s">
        <v>286</v>
      </c>
      <c r="F35" s="7" t="s">
        <v>497</v>
      </c>
      <c r="G35" s="7" t="s">
        <v>498</v>
      </c>
      <c r="H35" s="9">
        <v>438228.44</v>
      </c>
      <c r="I35" s="9">
        <v>30000</v>
      </c>
      <c r="J35" s="9">
        <v>0</v>
      </c>
      <c r="K35" s="9">
        <v>90000</v>
      </c>
      <c r="L35" s="9">
        <v>0</v>
      </c>
      <c r="M35" s="7" t="s">
        <v>498</v>
      </c>
      <c r="N35" s="9">
        <v>408228.44</v>
      </c>
      <c r="O35">
        <f t="shared" ref="O35:O66" si="1">IF(M35="贷",N35,-N35)</f>
        <v>408228.44</v>
      </c>
    </row>
    <row r="36" hidden="1" spans="1:15">
      <c r="A36" s="4" t="s">
        <v>495</v>
      </c>
      <c r="B36" s="5" t="s">
        <v>496</v>
      </c>
      <c r="C36" s="4" t="s">
        <v>286</v>
      </c>
      <c r="D36" s="5" t="s">
        <v>273</v>
      </c>
      <c r="E36" s="4" t="s">
        <v>286</v>
      </c>
      <c r="F36" s="4" t="s">
        <v>497</v>
      </c>
      <c r="G36" s="4" t="s">
        <v>500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4" t="s">
        <v>500</v>
      </c>
      <c r="N36" s="6">
        <v>0</v>
      </c>
      <c r="O36">
        <f t="shared" si="1"/>
        <v>0</v>
      </c>
    </row>
    <row r="37" hidden="1" spans="1:15">
      <c r="A37" s="7" t="s">
        <v>495</v>
      </c>
      <c r="B37" s="8" t="s">
        <v>496</v>
      </c>
      <c r="C37" s="7" t="s">
        <v>286</v>
      </c>
      <c r="D37" s="8" t="s">
        <v>507</v>
      </c>
      <c r="E37" s="7" t="s">
        <v>286</v>
      </c>
      <c r="F37" s="7" t="s">
        <v>497</v>
      </c>
      <c r="G37" s="7" t="s">
        <v>500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7" t="s">
        <v>500</v>
      </c>
      <c r="N37" s="9">
        <v>0</v>
      </c>
      <c r="O37">
        <f t="shared" si="1"/>
        <v>0</v>
      </c>
    </row>
    <row r="38" spans="1:15">
      <c r="A38" s="4" t="s">
        <v>495</v>
      </c>
      <c r="B38" s="5" t="s">
        <v>496</v>
      </c>
      <c r="C38" s="4" t="s">
        <v>286</v>
      </c>
      <c r="D38" s="5" t="s">
        <v>325</v>
      </c>
      <c r="E38" s="4" t="s">
        <v>286</v>
      </c>
      <c r="F38" s="4" t="s">
        <v>497</v>
      </c>
      <c r="G38" s="4" t="s">
        <v>498</v>
      </c>
      <c r="H38" s="6">
        <v>46105</v>
      </c>
      <c r="I38" s="6">
        <v>0</v>
      </c>
      <c r="J38" s="6">
        <v>0</v>
      </c>
      <c r="K38" s="6">
        <v>0</v>
      </c>
      <c r="L38" s="6">
        <v>29380</v>
      </c>
      <c r="M38" s="4" t="s">
        <v>498</v>
      </c>
      <c r="N38" s="6">
        <v>46105</v>
      </c>
      <c r="O38">
        <f t="shared" si="1"/>
        <v>46105</v>
      </c>
    </row>
    <row r="39" hidden="1" spans="1:15">
      <c r="A39" s="7" t="s">
        <v>495</v>
      </c>
      <c r="B39" s="8" t="s">
        <v>496</v>
      </c>
      <c r="C39" s="7" t="s">
        <v>286</v>
      </c>
      <c r="D39" s="8" t="s">
        <v>210</v>
      </c>
      <c r="E39" s="7" t="s">
        <v>286</v>
      </c>
      <c r="F39" s="7" t="s">
        <v>497</v>
      </c>
      <c r="G39" s="7" t="s">
        <v>500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7" t="s">
        <v>500</v>
      </c>
      <c r="N39" s="9">
        <v>0</v>
      </c>
      <c r="O39">
        <f t="shared" si="1"/>
        <v>0</v>
      </c>
    </row>
    <row r="40" spans="1:15">
      <c r="A40" s="4" t="s">
        <v>495</v>
      </c>
      <c r="B40" s="5" t="s">
        <v>496</v>
      </c>
      <c r="C40" s="4" t="s">
        <v>286</v>
      </c>
      <c r="D40" s="5" t="s">
        <v>106</v>
      </c>
      <c r="E40" s="4" t="s">
        <v>286</v>
      </c>
      <c r="F40" s="4" t="s">
        <v>497</v>
      </c>
      <c r="G40" s="4" t="s">
        <v>498</v>
      </c>
      <c r="H40" s="6">
        <v>524217.72</v>
      </c>
      <c r="I40" s="6">
        <v>0</v>
      </c>
      <c r="J40" s="6">
        <v>0</v>
      </c>
      <c r="K40" s="6">
        <v>340000</v>
      </c>
      <c r="L40" s="6">
        <v>272687.33</v>
      </c>
      <c r="M40" s="4" t="s">
        <v>498</v>
      </c>
      <c r="N40" s="6">
        <v>524217.72</v>
      </c>
      <c r="O40">
        <f t="shared" si="1"/>
        <v>524217.72</v>
      </c>
    </row>
    <row r="41" hidden="1" spans="1:15">
      <c r="A41" s="7" t="s">
        <v>495</v>
      </c>
      <c r="B41" s="8" t="s">
        <v>496</v>
      </c>
      <c r="C41" s="7" t="s">
        <v>286</v>
      </c>
      <c r="D41" s="8" t="s">
        <v>302</v>
      </c>
      <c r="E41" s="7" t="s">
        <v>286</v>
      </c>
      <c r="F41" s="7" t="s">
        <v>497</v>
      </c>
      <c r="G41" s="7" t="s">
        <v>500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7" t="s">
        <v>500</v>
      </c>
      <c r="N41" s="9">
        <v>0</v>
      </c>
      <c r="O41">
        <f t="shared" si="1"/>
        <v>0</v>
      </c>
    </row>
    <row r="42" spans="1:15">
      <c r="A42" s="4" t="s">
        <v>495</v>
      </c>
      <c r="B42" s="5" t="s">
        <v>496</v>
      </c>
      <c r="C42" s="4" t="s">
        <v>286</v>
      </c>
      <c r="D42" s="5" t="s">
        <v>108</v>
      </c>
      <c r="E42" s="4" t="s">
        <v>286</v>
      </c>
      <c r="F42" s="4" t="s">
        <v>497</v>
      </c>
      <c r="G42" s="4" t="s">
        <v>498</v>
      </c>
      <c r="H42" s="6">
        <v>769535.43</v>
      </c>
      <c r="I42" s="6">
        <v>54966.82</v>
      </c>
      <c r="J42" s="6">
        <v>0</v>
      </c>
      <c r="K42" s="6">
        <v>164900.45</v>
      </c>
      <c r="L42" s="6">
        <v>714568.61</v>
      </c>
      <c r="M42" s="4" t="s">
        <v>498</v>
      </c>
      <c r="N42" s="6">
        <v>714568.61</v>
      </c>
      <c r="O42">
        <f t="shared" si="1"/>
        <v>714568.61</v>
      </c>
    </row>
    <row r="43" hidden="1" spans="1:15">
      <c r="A43" s="7" t="s">
        <v>495</v>
      </c>
      <c r="B43" s="8" t="s">
        <v>496</v>
      </c>
      <c r="C43" s="7" t="s">
        <v>286</v>
      </c>
      <c r="D43" s="8" t="s">
        <v>508</v>
      </c>
      <c r="E43" s="7" t="s">
        <v>286</v>
      </c>
      <c r="F43" s="7" t="s">
        <v>497</v>
      </c>
      <c r="G43" s="7" t="s">
        <v>500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7" t="s">
        <v>500</v>
      </c>
      <c r="N43" s="9">
        <v>0</v>
      </c>
      <c r="O43">
        <f t="shared" si="1"/>
        <v>0</v>
      </c>
    </row>
    <row r="44" spans="1:15">
      <c r="A44" s="4" t="s">
        <v>495</v>
      </c>
      <c r="B44" s="5" t="s">
        <v>496</v>
      </c>
      <c r="C44" s="4" t="s">
        <v>286</v>
      </c>
      <c r="D44" s="5" t="s">
        <v>204</v>
      </c>
      <c r="E44" s="4" t="s">
        <v>286</v>
      </c>
      <c r="F44" s="4" t="s">
        <v>497</v>
      </c>
      <c r="G44" s="4" t="s">
        <v>498</v>
      </c>
      <c r="H44" s="6">
        <v>62.7</v>
      </c>
      <c r="I44" s="6">
        <v>0</v>
      </c>
      <c r="J44" s="6">
        <v>0</v>
      </c>
      <c r="K44" s="6">
        <v>0</v>
      </c>
      <c r="L44" s="6">
        <v>0</v>
      </c>
      <c r="M44" s="4" t="s">
        <v>498</v>
      </c>
      <c r="N44" s="6">
        <v>62.7</v>
      </c>
      <c r="O44">
        <f t="shared" si="1"/>
        <v>62.7</v>
      </c>
    </row>
    <row r="45" hidden="1" spans="1:15">
      <c r="A45" s="7" t="s">
        <v>495</v>
      </c>
      <c r="B45" s="8" t="s">
        <v>496</v>
      </c>
      <c r="C45" s="7" t="s">
        <v>286</v>
      </c>
      <c r="D45" s="8" t="s">
        <v>269</v>
      </c>
      <c r="E45" s="7" t="s">
        <v>286</v>
      </c>
      <c r="F45" s="7" t="s">
        <v>497</v>
      </c>
      <c r="G45" s="7" t="s">
        <v>500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7" t="s">
        <v>500</v>
      </c>
      <c r="N45" s="9">
        <v>0</v>
      </c>
      <c r="O45">
        <f t="shared" si="1"/>
        <v>0</v>
      </c>
    </row>
    <row r="46" spans="1:15">
      <c r="A46" s="4" t="s">
        <v>495</v>
      </c>
      <c r="B46" s="5" t="s">
        <v>496</v>
      </c>
      <c r="C46" s="4" t="s">
        <v>286</v>
      </c>
      <c r="D46" s="5" t="s">
        <v>288</v>
      </c>
      <c r="E46" s="4" t="s">
        <v>286</v>
      </c>
      <c r="F46" s="4" t="s">
        <v>497</v>
      </c>
      <c r="G46" s="4" t="s">
        <v>498</v>
      </c>
      <c r="H46" s="6">
        <v>260065.98</v>
      </c>
      <c r="I46" s="6">
        <v>0</v>
      </c>
      <c r="J46" s="6">
        <v>0</v>
      </c>
      <c r="K46" s="6">
        <v>15000</v>
      </c>
      <c r="L46" s="6">
        <v>196193.99</v>
      </c>
      <c r="M46" s="4" t="s">
        <v>498</v>
      </c>
      <c r="N46" s="6">
        <v>260065.98</v>
      </c>
      <c r="O46">
        <f t="shared" si="1"/>
        <v>260065.98</v>
      </c>
    </row>
    <row r="47" hidden="1" spans="1:15">
      <c r="A47" s="7" t="s">
        <v>495</v>
      </c>
      <c r="B47" s="8" t="s">
        <v>496</v>
      </c>
      <c r="C47" s="7" t="s">
        <v>286</v>
      </c>
      <c r="D47" s="8" t="s">
        <v>214</v>
      </c>
      <c r="E47" s="7" t="s">
        <v>286</v>
      </c>
      <c r="F47" s="7" t="s">
        <v>497</v>
      </c>
      <c r="G47" s="7" t="s">
        <v>500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7" t="s">
        <v>500</v>
      </c>
      <c r="N47" s="9">
        <v>0</v>
      </c>
      <c r="O47">
        <f t="shared" si="1"/>
        <v>0</v>
      </c>
    </row>
    <row r="48" spans="1:15">
      <c r="A48" s="4" t="s">
        <v>495</v>
      </c>
      <c r="B48" s="5" t="s">
        <v>496</v>
      </c>
      <c r="C48" s="4" t="s">
        <v>286</v>
      </c>
      <c r="D48" s="5" t="s">
        <v>113</v>
      </c>
      <c r="E48" s="4" t="s">
        <v>286</v>
      </c>
      <c r="F48" s="4" t="s">
        <v>497</v>
      </c>
      <c r="G48" s="4" t="s">
        <v>498</v>
      </c>
      <c r="H48" s="6">
        <v>350296.93</v>
      </c>
      <c r="I48" s="6">
        <v>0</v>
      </c>
      <c r="J48" s="6">
        <v>0</v>
      </c>
      <c r="K48" s="6">
        <v>30000</v>
      </c>
      <c r="L48" s="6">
        <v>0</v>
      </c>
      <c r="M48" s="4" t="s">
        <v>498</v>
      </c>
      <c r="N48" s="6">
        <v>350296.93</v>
      </c>
      <c r="O48">
        <f t="shared" si="1"/>
        <v>350296.93</v>
      </c>
    </row>
    <row r="49" spans="1:15">
      <c r="A49" s="7" t="s">
        <v>495</v>
      </c>
      <c r="B49" s="8" t="s">
        <v>496</v>
      </c>
      <c r="C49" s="7" t="s">
        <v>286</v>
      </c>
      <c r="D49" s="8" t="s">
        <v>115</v>
      </c>
      <c r="E49" s="7" t="s">
        <v>286</v>
      </c>
      <c r="F49" s="7" t="s">
        <v>497</v>
      </c>
      <c r="G49" s="7" t="s">
        <v>498</v>
      </c>
      <c r="H49" s="9">
        <v>524211.34</v>
      </c>
      <c r="I49" s="9">
        <v>0</v>
      </c>
      <c r="J49" s="9">
        <v>0</v>
      </c>
      <c r="K49" s="9">
        <v>50000</v>
      </c>
      <c r="L49" s="9">
        <v>281997.82</v>
      </c>
      <c r="M49" s="7" t="s">
        <v>498</v>
      </c>
      <c r="N49" s="9">
        <v>524211.34</v>
      </c>
      <c r="O49">
        <f t="shared" si="1"/>
        <v>524211.34</v>
      </c>
    </row>
    <row r="50" hidden="1" spans="1:15">
      <c r="A50" s="4" t="s">
        <v>495</v>
      </c>
      <c r="B50" s="5" t="s">
        <v>496</v>
      </c>
      <c r="C50" s="4" t="s">
        <v>286</v>
      </c>
      <c r="D50" s="5" t="s">
        <v>509</v>
      </c>
      <c r="E50" s="4" t="s">
        <v>286</v>
      </c>
      <c r="F50" s="4" t="s">
        <v>497</v>
      </c>
      <c r="G50" s="4" t="s">
        <v>500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4" t="s">
        <v>500</v>
      </c>
      <c r="N50" s="6">
        <v>0</v>
      </c>
      <c r="O50">
        <f t="shared" si="1"/>
        <v>0</v>
      </c>
    </row>
    <row r="51" hidden="1" spans="1:15">
      <c r="A51" s="7" t="s">
        <v>495</v>
      </c>
      <c r="B51" s="8" t="s">
        <v>496</v>
      </c>
      <c r="C51" s="7" t="s">
        <v>286</v>
      </c>
      <c r="D51" s="8" t="s">
        <v>510</v>
      </c>
      <c r="E51" s="7" t="s">
        <v>286</v>
      </c>
      <c r="F51" s="7" t="s">
        <v>497</v>
      </c>
      <c r="G51" s="7" t="s">
        <v>500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7" t="s">
        <v>500</v>
      </c>
      <c r="N51" s="9">
        <v>0</v>
      </c>
      <c r="O51">
        <f t="shared" si="1"/>
        <v>0</v>
      </c>
    </row>
    <row r="52" hidden="1" spans="1:15">
      <c r="A52" s="4" t="s">
        <v>495</v>
      </c>
      <c r="B52" s="5" t="s">
        <v>496</v>
      </c>
      <c r="C52" s="4" t="s">
        <v>286</v>
      </c>
      <c r="D52" s="5" t="s">
        <v>511</v>
      </c>
      <c r="E52" s="4" t="s">
        <v>286</v>
      </c>
      <c r="F52" s="4" t="s">
        <v>497</v>
      </c>
      <c r="G52" s="4" t="s">
        <v>500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4" t="s">
        <v>500</v>
      </c>
      <c r="N52" s="6">
        <v>0</v>
      </c>
      <c r="O52">
        <f t="shared" si="1"/>
        <v>0</v>
      </c>
    </row>
    <row r="53" hidden="1" spans="1:15">
      <c r="A53" s="7" t="s">
        <v>495</v>
      </c>
      <c r="B53" s="8" t="s">
        <v>496</v>
      </c>
      <c r="C53" s="7" t="s">
        <v>286</v>
      </c>
      <c r="D53" s="8" t="s">
        <v>205</v>
      </c>
      <c r="E53" s="7" t="s">
        <v>286</v>
      </c>
      <c r="F53" s="7" t="s">
        <v>497</v>
      </c>
      <c r="G53" s="7" t="s">
        <v>500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7" t="s">
        <v>500</v>
      </c>
      <c r="N53" s="9">
        <v>0</v>
      </c>
      <c r="O53">
        <f t="shared" si="1"/>
        <v>0</v>
      </c>
    </row>
    <row r="54" hidden="1" spans="1:15">
      <c r="A54" s="4" t="s">
        <v>495</v>
      </c>
      <c r="B54" s="5" t="s">
        <v>496</v>
      </c>
      <c r="C54" s="4" t="s">
        <v>286</v>
      </c>
      <c r="D54" s="5" t="s">
        <v>512</v>
      </c>
      <c r="E54" s="4" t="s">
        <v>286</v>
      </c>
      <c r="F54" s="4" t="s">
        <v>497</v>
      </c>
      <c r="G54" s="4" t="s">
        <v>500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4" t="s">
        <v>500</v>
      </c>
      <c r="N54" s="6">
        <v>0</v>
      </c>
      <c r="O54">
        <f t="shared" si="1"/>
        <v>0</v>
      </c>
    </row>
    <row r="55" hidden="1" spans="1:15">
      <c r="A55" s="7" t="s">
        <v>495</v>
      </c>
      <c r="B55" s="8" t="s">
        <v>496</v>
      </c>
      <c r="C55" s="7" t="s">
        <v>286</v>
      </c>
      <c r="D55" s="8" t="s">
        <v>206</v>
      </c>
      <c r="E55" s="7" t="s">
        <v>286</v>
      </c>
      <c r="F55" s="7" t="s">
        <v>497</v>
      </c>
      <c r="G55" s="7" t="s">
        <v>500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7" t="s">
        <v>500</v>
      </c>
      <c r="N55" s="9">
        <v>0</v>
      </c>
      <c r="O55">
        <f t="shared" si="1"/>
        <v>0</v>
      </c>
    </row>
    <row r="56" spans="1:15">
      <c r="A56" s="4" t="s">
        <v>495</v>
      </c>
      <c r="B56" s="5" t="s">
        <v>496</v>
      </c>
      <c r="C56" s="4" t="s">
        <v>286</v>
      </c>
      <c r="D56" s="5" t="s">
        <v>223</v>
      </c>
      <c r="E56" s="4" t="s">
        <v>286</v>
      </c>
      <c r="F56" s="4" t="s">
        <v>497</v>
      </c>
      <c r="G56" s="4" t="s">
        <v>498</v>
      </c>
      <c r="H56" s="6">
        <v>29867.9</v>
      </c>
      <c r="I56" s="6">
        <v>0</v>
      </c>
      <c r="J56" s="6">
        <v>0</v>
      </c>
      <c r="K56" s="6">
        <v>15000</v>
      </c>
      <c r="L56" s="6">
        <v>0</v>
      </c>
      <c r="M56" s="4" t="s">
        <v>498</v>
      </c>
      <c r="N56" s="6">
        <v>29867.9</v>
      </c>
      <c r="O56">
        <f t="shared" si="1"/>
        <v>29867.9</v>
      </c>
    </row>
    <row r="57" hidden="1" spans="1:15">
      <c r="A57" s="7" t="s">
        <v>495</v>
      </c>
      <c r="B57" s="8" t="s">
        <v>496</v>
      </c>
      <c r="C57" s="7" t="s">
        <v>286</v>
      </c>
      <c r="D57" s="8" t="s">
        <v>513</v>
      </c>
      <c r="E57" s="7" t="s">
        <v>286</v>
      </c>
      <c r="F57" s="7" t="s">
        <v>497</v>
      </c>
      <c r="G57" s="7" t="s">
        <v>500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7" t="s">
        <v>500</v>
      </c>
      <c r="N57" s="9">
        <v>0</v>
      </c>
      <c r="O57">
        <f t="shared" si="1"/>
        <v>0</v>
      </c>
    </row>
    <row r="58" spans="1:15">
      <c r="A58" s="4" t="s">
        <v>495</v>
      </c>
      <c r="B58" s="5" t="s">
        <v>496</v>
      </c>
      <c r="C58" s="4" t="s">
        <v>286</v>
      </c>
      <c r="D58" s="5" t="s">
        <v>229</v>
      </c>
      <c r="E58" s="4" t="s">
        <v>286</v>
      </c>
      <c r="F58" s="4" t="s">
        <v>497</v>
      </c>
      <c r="G58" s="4" t="s">
        <v>498</v>
      </c>
      <c r="H58" s="6">
        <v>22286.9</v>
      </c>
      <c r="I58" s="6">
        <v>0</v>
      </c>
      <c r="J58" s="6">
        <v>0</v>
      </c>
      <c r="K58" s="6">
        <v>9919.14</v>
      </c>
      <c r="L58" s="6">
        <v>22286.9</v>
      </c>
      <c r="M58" s="4" t="s">
        <v>498</v>
      </c>
      <c r="N58" s="6">
        <v>22286.9</v>
      </c>
      <c r="O58">
        <f t="shared" si="1"/>
        <v>22286.9</v>
      </c>
    </row>
    <row r="59" hidden="1" spans="1:15">
      <c r="A59" s="7" t="s">
        <v>495</v>
      </c>
      <c r="B59" s="8" t="s">
        <v>496</v>
      </c>
      <c r="C59" s="7" t="s">
        <v>286</v>
      </c>
      <c r="D59" s="8" t="s">
        <v>514</v>
      </c>
      <c r="E59" s="7" t="s">
        <v>286</v>
      </c>
      <c r="F59" s="7" t="s">
        <v>497</v>
      </c>
      <c r="G59" s="7" t="s">
        <v>500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7" t="s">
        <v>500</v>
      </c>
      <c r="N59" s="9">
        <v>0</v>
      </c>
      <c r="O59">
        <f t="shared" si="1"/>
        <v>0</v>
      </c>
    </row>
    <row r="60" hidden="1" spans="1:15">
      <c r="A60" s="4" t="s">
        <v>495</v>
      </c>
      <c r="B60" s="5" t="s">
        <v>496</v>
      </c>
      <c r="C60" s="4" t="s">
        <v>286</v>
      </c>
      <c r="D60" s="5" t="s">
        <v>515</v>
      </c>
      <c r="E60" s="4" t="s">
        <v>286</v>
      </c>
      <c r="F60" s="4" t="s">
        <v>497</v>
      </c>
      <c r="G60" s="4" t="s">
        <v>500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4" t="s">
        <v>500</v>
      </c>
      <c r="N60" s="6">
        <v>0</v>
      </c>
      <c r="O60">
        <f t="shared" si="1"/>
        <v>0</v>
      </c>
    </row>
    <row r="61" hidden="1" spans="1:15">
      <c r="A61" s="7" t="s">
        <v>495</v>
      </c>
      <c r="B61" s="8" t="s">
        <v>496</v>
      </c>
      <c r="C61" s="7" t="s">
        <v>286</v>
      </c>
      <c r="D61" s="8" t="s">
        <v>208</v>
      </c>
      <c r="E61" s="7" t="s">
        <v>286</v>
      </c>
      <c r="F61" s="7" t="s">
        <v>497</v>
      </c>
      <c r="G61" s="7" t="s">
        <v>500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7" t="s">
        <v>500</v>
      </c>
      <c r="N61" s="9">
        <v>0</v>
      </c>
      <c r="O61">
        <f t="shared" si="1"/>
        <v>0</v>
      </c>
    </row>
    <row r="62" hidden="1" spans="1:15">
      <c r="A62" s="4" t="s">
        <v>495</v>
      </c>
      <c r="B62" s="5" t="s">
        <v>496</v>
      </c>
      <c r="C62" s="4" t="s">
        <v>286</v>
      </c>
      <c r="D62" s="5" t="s">
        <v>119</v>
      </c>
      <c r="E62" s="4" t="s">
        <v>286</v>
      </c>
      <c r="F62" s="4" t="s">
        <v>497</v>
      </c>
      <c r="G62" s="4" t="s">
        <v>500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4" t="s">
        <v>500</v>
      </c>
      <c r="N62" s="6">
        <v>0</v>
      </c>
      <c r="O62">
        <f t="shared" si="1"/>
        <v>0</v>
      </c>
    </row>
    <row r="63" hidden="1" spans="1:15">
      <c r="A63" s="7" t="s">
        <v>495</v>
      </c>
      <c r="B63" s="8" t="s">
        <v>496</v>
      </c>
      <c r="C63" s="7" t="s">
        <v>286</v>
      </c>
      <c r="D63" s="8" t="s">
        <v>121</v>
      </c>
      <c r="E63" s="7" t="s">
        <v>286</v>
      </c>
      <c r="F63" s="7" t="s">
        <v>497</v>
      </c>
      <c r="G63" s="7" t="s">
        <v>500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7" t="s">
        <v>500</v>
      </c>
      <c r="N63" s="9">
        <v>0</v>
      </c>
      <c r="O63">
        <f t="shared" si="1"/>
        <v>0</v>
      </c>
    </row>
    <row r="64" spans="1:15">
      <c r="A64" s="4" t="s">
        <v>495</v>
      </c>
      <c r="B64" s="5" t="s">
        <v>496</v>
      </c>
      <c r="C64" s="4" t="s">
        <v>286</v>
      </c>
      <c r="D64" s="5" t="s">
        <v>290</v>
      </c>
      <c r="E64" s="4" t="s">
        <v>286</v>
      </c>
      <c r="F64" s="4" t="s">
        <v>497</v>
      </c>
      <c r="G64" s="4" t="s">
        <v>498</v>
      </c>
      <c r="H64" s="6">
        <v>543515.92</v>
      </c>
      <c r="I64" s="6">
        <v>0</v>
      </c>
      <c r="J64" s="6">
        <v>0</v>
      </c>
      <c r="K64" s="6">
        <v>0</v>
      </c>
      <c r="L64" s="6">
        <v>81748.8</v>
      </c>
      <c r="M64" s="4" t="s">
        <v>498</v>
      </c>
      <c r="N64" s="6">
        <v>543515.92</v>
      </c>
      <c r="O64">
        <f t="shared" si="1"/>
        <v>543515.92</v>
      </c>
    </row>
    <row r="65" hidden="1" spans="1:15">
      <c r="A65" s="7" t="s">
        <v>495</v>
      </c>
      <c r="B65" s="8" t="s">
        <v>496</v>
      </c>
      <c r="C65" s="7" t="s">
        <v>286</v>
      </c>
      <c r="D65" s="8" t="s">
        <v>516</v>
      </c>
      <c r="E65" s="7" t="s">
        <v>286</v>
      </c>
      <c r="F65" s="7" t="s">
        <v>497</v>
      </c>
      <c r="G65" s="7" t="s">
        <v>500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7" t="s">
        <v>500</v>
      </c>
      <c r="N65" s="9">
        <v>0</v>
      </c>
      <c r="O65">
        <f t="shared" si="1"/>
        <v>0</v>
      </c>
    </row>
    <row r="66" hidden="1" spans="1:15">
      <c r="A66" s="4" t="s">
        <v>495</v>
      </c>
      <c r="B66" s="5" t="s">
        <v>496</v>
      </c>
      <c r="C66" s="4" t="s">
        <v>286</v>
      </c>
      <c r="D66" s="5" t="s">
        <v>517</v>
      </c>
      <c r="E66" s="4" t="s">
        <v>286</v>
      </c>
      <c r="F66" s="4" t="s">
        <v>497</v>
      </c>
      <c r="G66" s="4" t="s">
        <v>500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4" t="s">
        <v>500</v>
      </c>
      <c r="N66" s="6">
        <v>0</v>
      </c>
      <c r="O66">
        <f t="shared" si="1"/>
        <v>0</v>
      </c>
    </row>
    <row r="67" hidden="1" spans="1:15">
      <c r="A67" s="7" t="s">
        <v>495</v>
      </c>
      <c r="B67" s="8" t="s">
        <v>496</v>
      </c>
      <c r="C67" s="7" t="s">
        <v>286</v>
      </c>
      <c r="D67" s="8" t="s">
        <v>518</v>
      </c>
      <c r="E67" s="7" t="s">
        <v>286</v>
      </c>
      <c r="F67" s="7" t="s">
        <v>497</v>
      </c>
      <c r="G67" s="7" t="s">
        <v>500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7" t="s">
        <v>500</v>
      </c>
      <c r="N67" s="9">
        <v>0</v>
      </c>
      <c r="O67">
        <f t="shared" ref="O67:O98" si="2">IF(M67="贷",N67,-N67)</f>
        <v>0</v>
      </c>
    </row>
    <row r="68" hidden="1" spans="1:15">
      <c r="A68" s="4" t="s">
        <v>495</v>
      </c>
      <c r="B68" s="5" t="s">
        <v>496</v>
      </c>
      <c r="C68" s="4" t="s">
        <v>286</v>
      </c>
      <c r="D68" s="5" t="s">
        <v>519</v>
      </c>
      <c r="E68" s="4" t="s">
        <v>286</v>
      </c>
      <c r="F68" s="4" t="s">
        <v>497</v>
      </c>
      <c r="G68" s="4" t="s">
        <v>500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4" t="s">
        <v>500</v>
      </c>
      <c r="N68" s="6">
        <v>0</v>
      </c>
      <c r="O68">
        <f t="shared" si="2"/>
        <v>0</v>
      </c>
    </row>
    <row r="69" hidden="1" spans="1:15">
      <c r="A69" s="7" t="s">
        <v>495</v>
      </c>
      <c r="B69" s="8" t="s">
        <v>496</v>
      </c>
      <c r="C69" s="7" t="s">
        <v>286</v>
      </c>
      <c r="D69" s="8" t="s">
        <v>520</v>
      </c>
      <c r="E69" s="7" t="s">
        <v>286</v>
      </c>
      <c r="F69" s="7" t="s">
        <v>497</v>
      </c>
      <c r="G69" s="7" t="s">
        <v>500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7" t="s">
        <v>500</v>
      </c>
      <c r="N69" s="9">
        <v>0</v>
      </c>
      <c r="O69">
        <f t="shared" si="2"/>
        <v>0</v>
      </c>
    </row>
    <row r="70" hidden="1" spans="1:15">
      <c r="A70" s="4" t="s">
        <v>495</v>
      </c>
      <c r="B70" s="5" t="s">
        <v>496</v>
      </c>
      <c r="C70" s="4" t="s">
        <v>286</v>
      </c>
      <c r="D70" s="5" t="s">
        <v>521</v>
      </c>
      <c r="E70" s="4" t="s">
        <v>286</v>
      </c>
      <c r="F70" s="4" t="s">
        <v>497</v>
      </c>
      <c r="G70" s="4" t="s">
        <v>500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4" t="s">
        <v>500</v>
      </c>
      <c r="N70" s="6">
        <v>0</v>
      </c>
      <c r="O70">
        <f t="shared" si="2"/>
        <v>0</v>
      </c>
    </row>
    <row r="71" spans="1:15">
      <c r="A71" s="7" t="s">
        <v>495</v>
      </c>
      <c r="B71" s="8" t="s">
        <v>496</v>
      </c>
      <c r="C71" s="7" t="s">
        <v>286</v>
      </c>
      <c r="D71" s="8" t="s">
        <v>123</v>
      </c>
      <c r="E71" s="7" t="s">
        <v>286</v>
      </c>
      <c r="F71" s="7" t="s">
        <v>497</v>
      </c>
      <c r="G71" s="7" t="s">
        <v>498</v>
      </c>
      <c r="H71" s="9">
        <v>405053.23</v>
      </c>
      <c r="I71" s="9">
        <v>70000</v>
      </c>
      <c r="J71" s="9">
        <v>0</v>
      </c>
      <c r="K71" s="9">
        <v>70000</v>
      </c>
      <c r="L71" s="9">
        <v>67127.11</v>
      </c>
      <c r="M71" s="7" t="s">
        <v>498</v>
      </c>
      <c r="N71" s="9">
        <v>335053.23</v>
      </c>
      <c r="O71">
        <f t="shared" si="2"/>
        <v>335053.23</v>
      </c>
    </row>
    <row r="72" spans="1:15">
      <c r="A72" s="4" t="s">
        <v>495</v>
      </c>
      <c r="B72" s="5" t="s">
        <v>496</v>
      </c>
      <c r="C72" s="4" t="s">
        <v>286</v>
      </c>
      <c r="D72" s="5" t="s">
        <v>125</v>
      </c>
      <c r="E72" s="4" t="s">
        <v>286</v>
      </c>
      <c r="F72" s="4" t="s">
        <v>497</v>
      </c>
      <c r="G72" s="4" t="s">
        <v>498</v>
      </c>
      <c r="H72" s="6">
        <v>43378.44</v>
      </c>
      <c r="I72" s="6">
        <v>0</v>
      </c>
      <c r="J72" s="6">
        <v>0</v>
      </c>
      <c r="K72" s="6">
        <v>0</v>
      </c>
      <c r="L72" s="6">
        <v>0</v>
      </c>
      <c r="M72" s="4" t="s">
        <v>498</v>
      </c>
      <c r="N72" s="6">
        <v>43378.44</v>
      </c>
      <c r="O72">
        <f t="shared" si="2"/>
        <v>43378.44</v>
      </c>
    </row>
    <row r="73" hidden="1" spans="1:15">
      <c r="A73" s="7" t="s">
        <v>495</v>
      </c>
      <c r="B73" s="8" t="s">
        <v>496</v>
      </c>
      <c r="C73" s="7" t="s">
        <v>286</v>
      </c>
      <c r="D73" s="8" t="s">
        <v>522</v>
      </c>
      <c r="E73" s="7" t="s">
        <v>286</v>
      </c>
      <c r="F73" s="7" t="s">
        <v>497</v>
      </c>
      <c r="G73" s="7" t="s">
        <v>500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7" t="s">
        <v>500</v>
      </c>
      <c r="N73" s="9">
        <v>0</v>
      </c>
      <c r="O73">
        <f t="shared" si="2"/>
        <v>0</v>
      </c>
    </row>
    <row r="74" hidden="1" spans="1:15">
      <c r="A74" s="4" t="s">
        <v>495</v>
      </c>
      <c r="B74" s="5" t="s">
        <v>496</v>
      </c>
      <c r="C74" s="4" t="s">
        <v>286</v>
      </c>
      <c r="D74" s="5" t="s">
        <v>523</v>
      </c>
      <c r="E74" s="4" t="s">
        <v>286</v>
      </c>
      <c r="F74" s="4" t="s">
        <v>497</v>
      </c>
      <c r="G74" s="4" t="s">
        <v>500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4" t="s">
        <v>500</v>
      </c>
      <c r="N74" s="6">
        <v>0</v>
      </c>
      <c r="O74">
        <f t="shared" si="2"/>
        <v>0</v>
      </c>
    </row>
    <row r="75" hidden="1" spans="1:15">
      <c r="A75" s="7" t="s">
        <v>495</v>
      </c>
      <c r="B75" s="8" t="s">
        <v>496</v>
      </c>
      <c r="C75" s="7" t="s">
        <v>286</v>
      </c>
      <c r="D75" s="8" t="s">
        <v>524</v>
      </c>
      <c r="E75" s="7" t="s">
        <v>286</v>
      </c>
      <c r="F75" s="7" t="s">
        <v>497</v>
      </c>
      <c r="G75" s="7" t="s">
        <v>500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7" t="s">
        <v>500</v>
      </c>
      <c r="N75" s="9">
        <v>0</v>
      </c>
      <c r="O75">
        <f t="shared" si="2"/>
        <v>0</v>
      </c>
    </row>
    <row r="76" hidden="1" spans="1:15">
      <c r="A76" s="4" t="s">
        <v>495</v>
      </c>
      <c r="B76" s="5" t="s">
        <v>496</v>
      </c>
      <c r="C76" s="4" t="s">
        <v>286</v>
      </c>
      <c r="D76" s="5" t="s">
        <v>525</v>
      </c>
      <c r="E76" s="4" t="s">
        <v>286</v>
      </c>
      <c r="F76" s="4" t="s">
        <v>497</v>
      </c>
      <c r="G76" s="4" t="s">
        <v>500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4" t="s">
        <v>500</v>
      </c>
      <c r="N76" s="6">
        <v>0</v>
      </c>
      <c r="O76">
        <f t="shared" si="2"/>
        <v>0</v>
      </c>
    </row>
    <row r="77" hidden="1" spans="1:15">
      <c r="A77" s="7" t="s">
        <v>495</v>
      </c>
      <c r="B77" s="8" t="s">
        <v>496</v>
      </c>
      <c r="C77" s="7" t="s">
        <v>286</v>
      </c>
      <c r="D77" s="8" t="s">
        <v>526</v>
      </c>
      <c r="E77" s="7" t="s">
        <v>286</v>
      </c>
      <c r="F77" s="7" t="s">
        <v>497</v>
      </c>
      <c r="G77" s="7" t="s">
        <v>500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7" t="s">
        <v>500</v>
      </c>
      <c r="N77" s="9">
        <v>0</v>
      </c>
      <c r="O77">
        <f t="shared" si="2"/>
        <v>0</v>
      </c>
    </row>
    <row r="78" hidden="1" spans="1:15">
      <c r="A78" s="4" t="s">
        <v>495</v>
      </c>
      <c r="B78" s="5" t="s">
        <v>496</v>
      </c>
      <c r="C78" s="4" t="s">
        <v>286</v>
      </c>
      <c r="D78" s="5" t="s">
        <v>451</v>
      </c>
      <c r="E78" s="4" t="s">
        <v>286</v>
      </c>
      <c r="F78" s="4" t="s">
        <v>497</v>
      </c>
      <c r="G78" s="4" t="s">
        <v>498</v>
      </c>
      <c r="H78" s="6">
        <v>27752.79</v>
      </c>
      <c r="I78" s="6">
        <v>0</v>
      </c>
      <c r="J78" s="6">
        <v>0</v>
      </c>
      <c r="K78" s="6">
        <v>0</v>
      </c>
      <c r="L78" s="6">
        <v>27752.79</v>
      </c>
      <c r="M78" s="4" t="s">
        <v>498</v>
      </c>
      <c r="N78" s="6">
        <v>27752.79</v>
      </c>
      <c r="O78">
        <f t="shared" si="2"/>
        <v>27752.79</v>
      </c>
    </row>
    <row r="79" hidden="1" spans="1:15">
      <c r="A79" s="7" t="s">
        <v>495</v>
      </c>
      <c r="B79" s="8" t="s">
        <v>496</v>
      </c>
      <c r="C79" s="7" t="s">
        <v>286</v>
      </c>
      <c r="D79" s="8" t="s">
        <v>527</v>
      </c>
      <c r="E79" s="7" t="s">
        <v>286</v>
      </c>
      <c r="F79" s="7" t="s">
        <v>497</v>
      </c>
      <c r="G79" s="7" t="s">
        <v>500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7" t="s">
        <v>500</v>
      </c>
      <c r="N79" s="9">
        <v>0</v>
      </c>
      <c r="O79">
        <f t="shared" si="2"/>
        <v>0</v>
      </c>
    </row>
    <row r="80" hidden="1" spans="1:15">
      <c r="A80" s="4" t="s">
        <v>495</v>
      </c>
      <c r="B80" s="5" t="s">
        <v>496</v>
      </c>
      <c r="C80" s="4" t="s">
        <v>286</v>
      </c>
      <c r="D80" s="5" t="s">
        <v>127</v>
      </c>
      <c r="E80" s="4" t="s">
        <v>286</v>
      </c>
      <c r="F80" s="4" t="s">
        <v>497</v>
      </c>
      <c r="G80" s="4" t="s">
        <v>500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4" t="s">
        <v>500</v>
      </c>
      <c r="N80" s="6">
        <v>0</v>
      </c>
      <c r="O80">
        <f t="shared" si="2"/>
        <v>0</v>
      </c>
    </row>
    <row r="81" hidden="1" spans="1:15">
      <c r="A81" s="7" t="s">
        <v>495</v>
      </c>
      <c r="B81" s="8" t="s">
        <v>496</v>
      </c>
      <c r="C81" s="7" t="s">
        <v>286</v>
      </c>
      <c r="D81" s="8" t="s">
        <v>528</v>
      </c>
      <c r="E81" s="7" t="s">
        <v>286</v>
      </c>
      <c r="F81" s="7" t="s">
        <v>497</v>
      </c>
      <c r="G81" s="7" t="s">
        <v>500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7" t="s">
        <v>500</v>
      </c>
      <c r="N81" s="9">
        <v>0</v>
      </c>
      <c r="O81">
        <f t="shared" si="2"/>
        <v>0</v>
      </c>
    </row>
    <row r="82" spans="1:15">
      <c r="A82" s="4" t="s">
        <v>495</v>
      </c>
      <c r="B82" s="5" t="s">
        <v>496</v>
      </c>
      <c r="C82" s="4" t="s">
        <v>286</v>
      </c>
      <c r="D82" s="5" t="s">
        <v>529</v>
      </c>
      <c r="E82" s="4" t="s">
        <v>286</v>
      </c>
      <c r="F82" s="4" t="s">
        <v>497</v>
      </c>
      <c r="G82" s="4" t="s">
        <v>500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4" t="s">
        <v>500</v>
      </c>
      <c r="N82" s="6">
        <v>0</v>
      </c>
      <c r="O82">
        <f t="shared" si="2"/>
        <v>0</v>
      </c>
    </row>
    <row r="83" spans="1:15">
      <c r="A83" s="7" t="s">
        <v>495</v>
      </c>
      <c r="B83" s="8" t="s">
        <v>496</v>
      </c>
      <c r="C83" s="7" t="s">
        <v>286</v>
      </c>
      <c r="D83" s="8" t="s">
        <v>129</v>
      </c>
      <c r="E83" s="7" t="s">
        <v>286</v>
      </c>
      <c r="F83" s="7" t="s">
        <v>497</v>
      </c>
      <c r="G83" s="7" t="s">
        <v>498</v>
      </c>
      <c r="H83" s="9">
        <v>146352.4</v>
      </c>
      <c r="I83" s="9">
        <v>0</v>
      </c>
      <c r="J83" s="9">
        <v>0</v>
      </c>
      <c r="K83" s="9">
        <v>20000</v>
      </c>
      <c r="L83" s="9">
        <v>0</v>
      </c>
      <c r="M83" s="7" t="s">
        <v>498</v>
      </c>
      <c r="N83" s="9">
        <v>146352.4</v>
      </c>
      <c r="O83">
        <f t="shared" si="2"/>
        <v>146352.4</v>
      </c>
    </row>
    <row r="84" hidden="1" spans="1:15">
      <c r="A84" s="4" t="s">
        <v>495</v>
      </c>
      <c r="B84" s="5" t="s">
        <v>496</v>
      </c>
      <c r="C84" s="4" t="s">
        <v>286</v>
      </c>
      <c r="D84" s="5" t="s">
        <v>131</v>
      </c>
      <c r="E84" s="4" t="s">
        <v>286</v>
      </c>
      <c r="F84" s="4" t="s">
        <v>497</v>
      </c>
      <c r="G84" s="4" t="s">
        <v>498</v>
      </c>
      <c r="H84" s="6">
        <v>7000</v>
      </c>
      <c r="I84" s="6">
        <v>0</v>
      </c>
      <c r="J84" s="6">
        <v>0</v>
      </c>
      <c r="K84" s="6">
        <v>0</v>
      </c>
      <c r="L84" s="6">
        <v>0</v>
      </c>
      <c r="M84" s="4" t="s">
        <v>498</v>
      </c>
      <c r="N84" s="6">
        <v>7000</v>
      </c>
      <c r="O84">
        <f t="shared" si="2"/>
        <v>7000</v>
      </c>
    </row>
    <row r="85" hidden="1" spans="1:15">
      <c r="A85" s="7" t="s">
        <v>495</v>
      </c>
      <c r="B85" s="8" t="s">
        <v>496</v>
      </c>
      <c r="C85" s="7" t="s">
        <v>286</v>
      </c>
      <c r="D85" s="8" t="s">
        <v>180</v>
      </c>
      <c r="E85" s="7" t="s">
        <v>286</v>
      </c>
      <c r="F85" s="7" t="s">
        <v>497</v>
      </c>
      <c r="G85" s="7" t="s">
        <v>500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7" t="s">
        <v>500</v>
      </c>
      <c r="N85" s="9">
        <v>0</v>
      </c>
      <c r="O85">
        <f t="shared" si="2"/>
        <v>0</v>
      </c>
    </row>
    <row r="86" spans="1:15">
      <c r="A86" s="4" t="s">
        <v>495</v>
      </c>
      <c r="B86" s="5" t="s">
        <v>496</v>
      </c>
      <c r="C86" s="4" t="s">
        <v>286</v>
      </c>
      <c r="D86" s="5" t="s">
        <v>530</v>
      </c>
      <c r="E86" s="4" t="s">
        <v>286</v>
      </c>
      <c r="F86" s="4" t="s">
        <v>497</v>
      </c>
      <c r="G86" s="4" t="s">
        <v>500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4" t="s">
        <v>500</v>
      </c>
      <c r="N86" s="6">
        <v>0</v>
      </c>
      <c r="O86">
        <f t="shared" si="2"/>
        <v>0</v>
      </c>
    </row>
    <row r="87" hidden="1" spans="1:15">
      <c r="A87" s="7" t="s">
        <v>495</v>
      </c>
      <c r="B87" s="8" t="s">
        <v>496</v>
      </c>
      <c r="C87" s="7" t="s">
        <v>286</v>
      </c>
      <c r="D87" s="8" t="s">
        <v>133</v>
      </c>
      <c r="E87" s="7" t="s">
        <v>286</v>
      </c>
      <c r="F87" s="7" t="s">
        <v>497</v>
      </c>
      <c r="G87" s="7" t="s">
        <v>498</v>
      </c>
      <c r="H87" s="9">
        <v>379.93</v>
      </c>
      <c r="I87" s="9">
        <v>0</v>
      </c>
      <c r="J87" s="9">
        <v>0</v>
      </c>
      <c r="K87" s="9">
        <v>0</v>
      </c>
      <c r="L87" s="9">
        <v>0</v>
      </c>
      <c r="M87" s="7" t="s">
        <v>498</v>
      </c>
      <c r="N87" s="9">
        <v>379.93</v>
      </c>
      <c r="O87">
        <f t="shared" si="2"/>
        <v>379.93</v>
      </c>
    </row>
    <row r="88" hidden="1" spans="1:15">
      <c r="A88" s="4" t="s">
        <v>495</v>
      </c>
      <c r="B88" s="5" t="s">
        <v>496</v>
      </c>
      <c r="C88" s="4" t="s">
        <v>286</v>
      </c>
      <c r="D88" s="5" t="s">
        <v>531</v>
      </c>
      <c r="E88" s="4" t="s">
        <v>286</v>
      </c>
      <c r="F88" s="4" t="s">
        <v>497</v>
      </c>
      <c r="G88" s="4" t="s">
        <v>500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4" t="s">
        <v>500</v>
      </c>
      <c r="N88" s="6">
        <v>0</v>
      </c>
      <c r="O88">
        <f t="shared" si="2"/>
        <v>0</v>
      </c>
    </row>
    <row r="89" hidden="1" spans="1:15">
      <c r="A89" s="7" t="s">
        <v>495</v>
      </c>
      <c r="B89" s="8" t="s">
        <v>496</v>
      </c>
      <c r="C89" s="7" t="s">
        <v>286</v>
      </c>
      <c r="D89" s="8" t="s">
        <v>532</v>
      </c>
      <c r="E89" s="7" t="s">
        <v>286</v>
      </c>
      <c r="F89" s="7" t="s">
        <v>497</v>
      </c>
      <c r="G89" s="7" t="s">
        <v>500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7" t="s">
        <v>500</v>
      </c>
      <c r="N89" s="9">
        <v>0</v>
      </c>
      <c r="O89">
        <f t="shared" si="2"/>
        <v>0</v>
      </c>
    </row>
    <row r="90" spans="1:15">
      <c r="A90" s="4" t="s">
        <v>495</v>
      </c>
      <c r="B90" s="5" t="s">
        <v>496</v>
      </c>
      <c r="C90" s="4" t="s">
        <v>286</v>
      </c>
      <c r="D90" s="5" t="s">
        <v>533</v>
      </c>
      <c r="E90" s="4" t="s">
        <v>286</v>
      </c>
      <c r="F90" s="4" t="s">
        <v>497</v>
      </c>
      <c r="G90" s="4" t="s">
        <v>500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4" t="s">
        <v>500</v>
      </c>
      <c r="N90" s="6">
        <v>0</v>
      </c>
      <c r="O90">
        <f t="shared" si="2"/>
        <v>0</v>
      </c>
    </row>
    <row r="91" hidden="1" spans="1:15">
      <c r="A91" s="7" t="s">
        <v>495</v>
      </c>
      <c r="B91" s="8" t="s">
        <v>496</v>
      </c>
      <c r="C91" s="7" t="s">
        <v>286</v>
      </c>
      <c r="D91" s="8" t="s">
        <v>137</v>
      </c>
      <c r="E91" s="7" t="s">
        <v>286</v>
      </c>
      <c r="F91" s="7" t="s">
        <v>497</v>
      </c>
      <c r="G91" s="7" t="s">
        <v>498</v>
      </c>
      <c r="H91" s="9">
        <v>301257.19</v>
      </c>
      <c r="I91" s="9">
        <v>0</v>
      </c>
      <c r="J91" s="9">
        <v>0</v>
      </c>
      <c r="K91" s="9">
        <v>140000</v>
      </c>
      <c r="L91" s="9">
        <v>0</v>
      </c>
      <c r="M91" s="7" t="s">
        <v>498</v>
      </c>
      <c r="N91" s="9">
        <v>301257.19</v>
      </c>
      <c r="O91">
        <f t="shared" si="2"/>
        <v>301257.19</v>
      </c>
    </row>
    <row r="92" hidden="1" spans="1:15">
      <c r="A92" s="4" t="s">
        <v>495</v>
      </c>
      <c r="B92" s="5" t="s">
        <v>496</v>
      </c>
      <c r="C92" s="4" t="s">
        <v>286</v>
      </c>
      <c r="D92" s="5" t="s">
        <v>534</v>
      </c>
      <c r="E92" s="4" t="s">
        <v>286</v>
      </c>
      <c r="F92" s="4" t="s">
        <v>497</v>
      </c>
      <c r="G92" s="4" t="s">
        <v>500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4" t="s">
        <v>500</v>
      </c>
      <c r="N92" s="6">
        <v>0</v>
      </c>
      <c r="O92">
        <f t="shared" si="2"/>
        <v>0</v>
      </c>
    </row>
    <row r="93" hidden="1" spans="1:15">
      <c r="A93" s="7" t="s">
        <v>495</v>
      </c>
      <c r="B93" s="8" t="s">
        <v>496</v>
      </c>
      <c r="C93" s="7" t="s">
        <v>286</v>
      </c>
      <c r="D93" s="8" t="s">
        <v>535</v>
      </c>
      <c r="E93" s="7" t="s">
        <v>286</v>
      </c>
      <c r="F93" s="7" t="s">
        <v>497</v>
      </c>
      <c r="G93" s="7" t="s">
        <v>500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7" t="s">
        <v>500</v>
      </c>
      <c r="N93" s="9">
        <v>0</v>
      </c>
      <c r="O93">
        <f t="shared" si="2"/>
        <v>0</v>
      </c>
    </row>
    <row r="94" hidden="1" spans="1:15">
      <c r="A94" s="4" t="s">
        <v>495</v>
      </c>
      <c r="B94" s="5" t="s">
        <v>496</v>
      </c>
      <c r="C94" s="4" t="s">
        <v>286</v>
      </c>
      <c r="D94" s="5" t="s">
        <v>139</v>
      </c>
      <c r="E94" s="4" t="s">
        <v>286</v>
      </c>
      <c r="F94" s="4" t="s">
        <v>497</v>
      </c>
      <c r="G94" s="4" t="s">
        <v>500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4" t="s">
        <v>500</v>
      </c>
      <c r="N94" s="6">
        <v>0</v>
      </c>
      <c r="O94">
        <f t="shared" si="2"/>
        <v>0</v>
      </c>
    </row>
    <row r="95" hidden="1" spans="1:15">
      <c r="A95" s="7" t="s">
        <v>495</v>
      </c>
      <c r="B95" s="8" t="s">
        <v>496</v>
      </c>
      <c r="C95" s="7" t="s">
        <v>286</v>
      </c>
      <c r="D95" s="8" t="s">
        <v>536</v>
      </c>
      <c r="E95" s="7" t="s">
        <v>286</v>
      </c>
      <c r="F95" s="7" t="s">
        <v>497</v>
      </c>
      <c r="G95" s="7" t="s">
        <v>500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7" t="s">
        <v>500</v>
      </c>
      <c r="N95" s="9">
        <v>0</v>
      </c>
      <c r="O95">
        <f t="shared" si="2"/>
        <v>0</v>
      </c>
    </row>
    <row r="96" spans="1:15">
      <c r="A96" s="4" t="s">
        <v>495</v>
      </c>
      <c r="B96" s="5" t="s">
        <v>496</v>
      </c>
      <c r="C96" s="4" t="s">
        <v>286</v>
      </c>
      <c r="D96" s="5" t="s">
        <v>537</v>
      </c>
      <c r="E96" s="4" t="s">
        <v>286</v>
      </c>
      <c r="F96" s="4" t="s">
        <v>497</v>
      </c>
      <c r="G96" s="4" t="s">
        <v>500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4" t="s">
        <v>500</v>
      </c>
      <c r="N96" s="6">
        <v>0</v>
      </c>
      <c r="O96">
        <f t="shared" si="2"/>
        <v>0</v>
      </c>
    </row>
    <row r="97" spans="1:15">
      <c r="A97" s="7" t="s">
        <v>495</v>
      </c>
      <c r="B97" s="8" t="s">
        <v>496</v>
      </c>
      <c r="C97" s="7" t="s">
        <v>286</v>
      </c>
      <c r="D97" s="8" t="s">
        <v>213</v>
      </c>
      <c r="E97" s="7" t="s">
        <v>286</v>
      </c>
      <c r="F97" s="7" t="s">
        <v>497</v>
      </c>
      <c r="G97" s="7" t="s">
        <v>498</v>
      </c>
      <c r="H97" s="9">
        <v>403623.8</v>
      </c>
      <c r="I97" s="9">
        <v>100000</v>
      </c>
      <c r="J97" s="9">
        <v>0</v>
      </c>
      <c r="K97" s="9">
        <v>100000</v>
      </c>
      <c r="L97" s="9">
        <v>0</v>
      </c>
      <c r="M97" s="7" t="s">
        <v>498</v>
      </c>
      <c r="N97" s="9">
        <v>303623.8</v>
      </c>
      <c r="O97">
        <f t="shared" si="2"/>
        <v>303623.8</v>
      </c>
    </row>
    <row r="98" hidden="1" spans="1:15">
      <c r="A98" s="4" t="s">
        <v>495</v>
      </c>
      <c r="B98" s="5" t="s">
        <v>496</v>
      </c>
      <c r="C98" s="4" t="s">
        <v>286</v>
      </c>
      <c r="D98" s="5" t="s">
        <v>538</v>
      </c>
      <c r="E98" s="4" t="s">
        <v>286</v>
      </c>
      <c r="F98" s="4" t="s">
        <v>497</v>
      </c>
      <c r="G98" s="4" t="s">
        <v>498</v>
      </c>
      <c r="H98" s="6">
        <v>593668.01</v>
      </c>
      <c r="I98" s="6">
        <v>0</v>
      </c>
      <c r="J98" s="6">
        <v>379374.36</v>
      </c>
      <c r="K98" s="6">
        <v>2311972.66</v>
      </c>
      <c r="L98" s="6">
        <v>2475669.34</v>
      </c>
      <c r="M98" s="4" t="s">
        <v>498</v>
      </c>
      <c r="N98" s="6">
        <v>973042.37</v>
      </c>
      <c r="O98">
        <f t="shared" si="2"/>
        <v>973042.37</v>
      </c>
    </row>
    <row r="99" hidden="1" spans="1:15">
      <c r="A99" s="7" t="s">
        <v>495</v>
      </c>
      <c r="B99" s="8" t="s">
        <v>496</v>
      </c>
      <c r="C99" s="7" t="s">
        <v>286</v>
      </c>
      <c r="D99" s="8" t="s">
        <v>178</v>
      </c>
      <c r="E99" s="7" t="s">
        <v>286</v>
      </c>
      <c r="F99" s="7" t="s">
        <v>497</v>
      </c>
      <c r="G99" s="7" t="s">
        <v>500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7" t="s">
        <v>500</v>
      </c>
      <c r="N99" s="9">
        <v>0</v>
      </c>
      <c r="O99">
        <f t="shared" ref="O99:O122" si="3">IF(M99="贷",N99,-N99)</f>
        <v>0</v>
      </c>
    </row>
    <row r="100" spans="1:15">
      <c r="A100" s="4" t="s">
        <v>495</v>
      </c>
      <c r="B100" s="5" t="s">
        <v>496</v>
      </c>
      <c r="C100" s="4" t="s">
        <v>286</v>
      </c>
      <c r="D100" s="5" t="s">
        <v>185</v>
      </c>
      <c r="E100" s="4" t="s">
        <v>286</v>
      </c>
      <c r="F100" s="4" t="s">
        <v>497</v>
      </c>
      <c r="G100" s="4" t="s">
        <v>498</v>
      </c>
      <c r="H100" s="6">
        <v>70884.45</v>
      </c>
      <c r="I100" s="6">
        <v>0</v>
      </c>
      <c r="J100" s="6">
        <v>0</v>
      </c>
      <c r="K100" s="6">
        <v>27965.24</v>
      </c>
      <c r="L100" s="6">
        <v>98849.69</v>
      </c>
      <c r="M100" s="4" t="s">
        <v>498</v>
      </c>
      <c r="N100" s="6">
        <v>70884.45</v>
      </c>
      <c r="O100">
        <f t="shared" si="3"/>
        <v>70884.45</v>
      </c>
    </row>
    <row r="101" hidden="1" spans="1:15">
      <c r="A101" s="7" t="s">
        <v>495</v>
      </c>
      <c r="B101" s="8" t="s">
        <v>496</v>
      </c>
      <c r="C101" s="7" t="s">
        <v>286</v>
      </c>
      <c r="D101" s="8" t="s">
        <v>323</v>
      </c>
      <c r="E101" s="7" t="s">
        <v>286</v>
      </c>
      <c r="F101" s="7" t="s">
        <v>497</v>
      </c>
      <c r="G101" s="7" t="s">
        <v>498</v>
      </c>
      <c r="H101" s="9">
        <v>468692.44</v>
      </c>
      <c r="I101" s="9">
        <v>0</v>
      </c>
      <c r="J101" s="9">
        <v>47882.62</v>
      </c>
      <c r="K101" s="9">
        <v>80000</v>
      </c>
      <c r="L101" s="9">
        <v>152379.14</v>
      </c>
      <c r="M101" s="7" t="s">
        <v>498</v>
      </c>
      <c r="N101" s="9">
        <v>516575.06</v>
      </c>
      <c r="O101">
        <f t="shared" si="3"/>
        <v>516575.06</v>
      </c>
    </row>
    <row r="102" hidden="1" spans="1:15">
      <c r="A102" s="4" t="s">
        <v>495</v>
      </c>
      <c r="B102" s="5" t="s">
        <v>496</v>
      </c>
      <c r="C102" s="4" t="s">
        <v>286</v>
      </c>
      <c r="D102" s="5" t="s">
        <v>539</v>
      </c>
      <c r="E102" s="4" t="s">
        <v>286</v>
      </c>
      <c r="F102" s="4" t="s">
        <v>497</v>
      </c>
      <c r="G102" s="4" t="s">
        <v>500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4" t="s">
        <v>500</v>
      </c>
      <c r="N102" s="6">
        <v>0</v>
      </c>
      <c r="O102">
        <f t="shared" si="3"/>
        <v>0</v>
      </c>
    </row>
    <row r="103" hidden="1" spans="1:15">
      <c r="A103" s="7" t="s">
        <v>495</v>
      </c>
      <c r="B103" s="8" t="s">
        <v>496</v>
      </c>
      <c r="C103" s="7" t="s">
        <v>286</v>
      </c>
      <c r="D103" s="8" t="s">
        <v>319</v>
      </c>
      <c r="E103" s="7" t="s">
        <v>286</v>
      </c>
      <c r="F103" s="7" t="s">
        <v>497</v>
      </c>
      <c r="G103" s="7" t="s">
        <v>500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7" t="s">
        <v>500</v>
      </c>
      <c r="N103" s="9">
        <v>0</v>
      </c>
      <c r="O103">
        <f t="shared" si="3"/>
        <v>0</v>
      </c>
    </row>
    <row r="104" hidden="1" spans="1:15">
      <c r="A104" s="4" t="s">
        <v>495</v>
      </c>
      <c r="B104" s="5" t="s">
        <v>496</v>
      </c>
      <c r="C104" s="4" t="s">
        <v>286</v>
      </c>
      <c r="D104" s="5" t="s">
        <v>292</v>
      </c>
      <c r="E104" s="4" t="s">
        <v>286</v>
      </c>
      <c r="F104" s="4" t="s">
        <v>497</v>
      </c>
      <c r="G104" s="4" t="s">
        <v>500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4" t="s">
        <v>500</v>
      </c>
      <c r="N104" s="6">
        <v>0</v>
      </c>
      <c r="O104">
        <f t="shared" si="3"/>
        <v>0</v>
      </c>
    </row>
    <row r="105" spans="1:15">
      <c r="A105" s="7" t="s">
        <v>495</v>
      </c>
      <c r="B105" s="8" t="s">
        <v>496</v>
      </c>
      <c r="C105" s="7" t="s">
        <v>286</v>
      </c>
      <c r="D105" s="8" t="s">
        <v>219</v>
      </c>
      <c r="E105" s="7" t="s">
        <v>286</v>
      </c>
      <c r="F105" s="7" t="s">
        <v>497</v>
      </c>
      <c r="G105" s="7" t="s">
        <v>500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7" t="s">
        <v>500</v>
      </c>
      <c r="N105" s="9">
        <v>0</v>
      </c>
      <c r="O105">
        <f t="shared" si="3"/>
        <v>0</v>
      </c>
    </row>
    <row r="106" hidden="1" spans="1:15">
      <c r="A106" s="4" t="s">
        <v>495</v>
      </c>
      <c r="B106" s="5" t="s">
        <v>496</v>
      </c>
      <c r="C106" s="4" t="s">
        <v>286</v>
      </c>
      <c r="D106" s="5" t="s">
        <v>268</v>
      </c>
      <c r="E106" s="4" t="s">
        <v>286</v>
      </c>
      <c r="F106" s="4" t="s">
        <v>497</v>
      </c>
      <c r="G106" s="4" t="s">
        <v>498</v>
      </c>
      <c r="H106" s="6">
        <v>120198.73</v>
      </c>
      <c r="I106" s="6">
        <v>0</v>
      </c>
      <c r="J106" s="6">
        <v>0</v>
      </c>
      <c r="K106" s="6">
        <v>434096.1</v>
      </c>
      <c r="L106" s="6">
        <v>333592.09</v>
      </c>
      <c r="M106" s="4" t="s">
        <v>498</v>
      </c>
      <c r="N106" s="6">
        <v>120198.73</v>
      </c>
      <c r="O106">
        <f t="shared" si="3"/>
        <v>120198.73</v>
      </c>
    </row>
    <row r="107" hidden="1" spans="1:15">
      <c r="A107" s="7" t="s">
        <v>495</v>
      </c>
      <c r="B107" s="8" t="s">
        <v>496</v>
      </c>
      <c r="C107" s="7" t="s">
        <v>286</v>
      </c>
      <c r="D107" s="8" t="s">
        <v>540</v>
      </c>
      <c r="E107" s="7" t="s">
        <v>286</v>
      </c>
      <c r="F107" s="7" t="s">
        <v>497</v>
      </c>
      <c r="G107" s="7" t="s">
        <v>500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7" t="s">
        <v>500</v>
      </c>
      <c r="N107" s="9">
        <v>0</v>
      </c>
      <c r="O107">
        <f t="shared" si="3"/>
        <v>0</v>
      </c>
    </row>
    <row r="108" spans="1:15">
      <c r="A108" s="4" t="s">
        <v>495</v>
      </c>
      <c r="B108" s="5" t="s">
        <v>496</v>
      </c>
      <c r="C108" s="4" t="s">
        <v>286</v>
      </c>
      <c r="D108" s="5" t="s">
        <v>317</v>
      </c>
      <c r="E108" s="4" t="s">
        <v>286</v>
      </c>
      <c r="F108" s="4" t="s">
        <v>497</v>
      </c>
      <c r="G108" s="4" t="s">
        <v>498</v>
      </c>
      <c r="H108" s="6">
        <v>2815.34</v>
      </c>
      <c r="I108" s="6">
        <v>0</v>
      </c>
      <c r="J108" s="6">
        <v>0</v>
      </c>
      <c r="K108" s="6">
        <v>0</v>
      </c>
      <c r="L108" s="6">
        <v>2815.34</v>
      </c>
      <c r="M108" s="4" t="s">
        <v>498</v>
      </c>
      <c r="N108" s="6">
        <v>2815.34</v>
      </c>
      <c r="O108">
        <f t="shared" si="3"/>
        <v>2815.34</v>
      </c>
    </row>
    <row r="109" spans="1:15">
      <c r="A109" s="7" t="s">
        <v>495</v>
      </c>
      <c r="B109" s="8" t="s">
        <v>496</v>
      </c>
      <c r="C109" s="7" t="s">
        <v>286</v>
      </c>
      <c r="D109" s="8" t="s">
        <v>275</v>
      </c>
      <c r="E109" s="7" t="s">
        <v>286</v>
      </c>
      <c r="F109" s="7" t="s">
        <v>497</v>
      </c>
      <c r="G109" s="7" t="s">
        <v>498</v>
      </c>
      <c r="H109" s="9">
        <v>414215.06</v>
      </c>
      <c r="I109" s="9">
        <v>30000</v>
      </c>
      <c r="J109" s="9">
        <v>0</v>
      </c>
      <c r="K109" s="9">
        <v>198098.8</v>
      </c>
      <c r="L109" s="9">
        <v>414215.06</v>
      </c>
      <c r="M109" s="7" t="s">
        <v>498</v>
      </c>
      <c r="N109" s="9">
        <v>384215.06</v>
      </c>
      <c r="O109">
        <f t="shared" si="3"/>
        <v>384215.06</v>
      </c>
    </row>
    <row r="110" hidden="1" spans="1:15">
      <c r="A110" s="4" t="s">
        <v>495</v>
      </c>
      <c r="B110" s="5" t="s">
        <v>496</v>
      </c>
      <c r="C110" s="4" t="s">
        <v>286</v>
      </c>
      <c r="D110" s="5" t="s">
        <v>452</v>
      </c>
      <c r="E110" s="4" t="s">
        <v>286</v>
      </c>
      <c r="F110" s="4" t="s">
        <v>497</v>
      </c>
      <c r="G110" s="4" t="s">
        <v>500</v>
      </c>
      <c r="H110" s="6">
        <v>0</v>
      </c>
      <c r="I110" s="6">
        <v>0</v>
      </c>
      <c r="J110" s="6">
        <v>42973.3</v>
      </c>
      <c r="K110" s="6">
        <v>0</v>
      </c>
      <c r="L110" s="6">
        <v>42973.3</v>
      </c>
      <c r="M110" s="4" t="s">
        <v>498</v>
      </c>
      <c r="N110" s="6">
        <v>42973.3</v>
      </c>
      <c r="O110">
        <f t="shared" si="3"/>
        <v>42973.3</v>
      </c>
    </row>
    <row r="111" spans="1:15">
      <c r="A111" s="7" t="s">
        <v>495</v>
      </c>
      <c r="B111" s="8" t="s">
        <v>496</v>
      </c>
      <c r="C111" s="7" t="s">
        <v>286</v>
      </c>
      <c r="D111" s="8" t="s">
        <v>315</v>
      </c>
      <c r="E111" s="7" t="s">
        <v>286</v>
      </c>
      <c r="F111" s="7" t="s">
        <v>497</v>
      </c>
      <c r="G111" s="7" t="s">
        <v>498</v>
      </c>
      <c r="H111" s="9">
        <v>286684.24</v>
      </c>
      <c r="I111" s="9">
        <v>0</v>
      </c>
      <c r="J111" s="9">
        <v>0</v>
      </c>
      <c r="K111" s="9">
        <v>0</v>
      </c>
      <c r="L111" s="9">
        <v>53155.2</v>
      </c>
      <c r="M111" s="7" t="s">
        <v>498</v>
      </c>
      <c r="N111" s="9">
        <v>286684.24</v>
      </c>
      <c r="O111">
        <f t="shared" si="3"/>
        <v>286684.24</v>
      </c>
    </row>
    <row r="112" hidden="1" spans="1:15">
      <c r="A112" s="4" t="s">
        <v>495</v>
      </c>
      <c r="B112" s="5" t="s">
        <v>496</v>
      </c>
      <c r="C112" s="4" t="s">
        <v>286</v>
      </c>
      <c r="D112" s="5" t="s">
        <v>541</v>
      </c>
      <c r="E112" s="4" t="s">
        <v>286</v>
      </c>
      <c r="F112" s="4" t="s">
        <v>497</v>
      </c>
      <c r="G112" s="4" t="s">
        <v>498</v>
      </c>
      <c r="H112" s="6">
        <v>30000</v>
      </c>
      <c r="I112" s="6">
        <v>30000</v>
      </c>
      <c r="J112" s="6">
        <v>0</v>
      </c>
      <c r="K112" s="6">
        <v>37495</v>
      </c>
      <c r="L112" s="6">
        <v>37495</v>
      </c>
      <c r="M112" s="4" t="s">
        <v>500</v>
      </c>
      <c r="N112" s="6">
        <v>0</v>
      </c>
      <c r="O112">
        <f t="shared" si="3"/>
        <v>0</v>
      </c>
    </row>
    <row r="113" spans="1:15">
      <c r="A113" s="7" t="s">
        <v>495</v>
      </c>
      <c r="B113" s="8" t="s">
        <v>496</v>
      </c>
      <c r="C113" s="7" t="s">
        <v>286</v>
      </c>
      <c r="D113" s="8" t="s">
        <v>542</v>
      </c>
      <c r="E113" s="7" t="s">
        <v>286</v>
      </c>
      <c r="F113" s="7" t="s">
        <v>497</v>
      </c>
      <c r="G113" s="7" t="s">
        <v>500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7" t="s">
        <v>500</v>
      </c>
      <c r="N113" s="9">
        <v>0</v>
      </c>
      <c r="O113">
        <f t="shared" si="3"/>
        <v>0</v>
      </c>
    </row>
    <row r="114" spans="1:15">
      <c r="A114" s="4" t="s">
        <v>495</v>
      </c>
      <c r="B114" s="5" t="s">
        <v>496</v>
      </c>
      <c r="C114" s="4" t="s">
        <v>286</v>
      </c>
      <c r="D114" s="5" t="s">
        <v>337</v>
      </c>
      <c r="E114" s="4" t="s">
        <v>286</v>
      </c>
      <c r="F114" s="4" t="s">
        <v>497</v>
      </c>
      <c r="G114" s="4" t="s">
        <v>498</v>
      </c>
      <c r="H114" s="6">
        <v>41188.95</v>
      </c>
      <c r="I114" s="6">
        <v>0</v>
      </c>
      <c r="J114" s="6">
        <v>0</v>
      </c>
      <c r="K114" s="6">
        <v>0</v>
      </c>
      <c r="L114" s="6">
        <v>0</v>
      </c>
      <c r="M114" s="4" t="s">
        <v>498</v>
      </c>
      <c r="N114" s="6">
        <v>41188.95</v>
      </c>
      <c r="O114">
        <f t="shared" si="3"/>
        <v>41188.95</v>
      </c>
    </row>
    <row r="115" spans="1:15">
      <c r="A115" s="7" t="s">
        <v>495</v>
      </c>
      <c r="B115" s="8" t="s">
        <v>496</v>
      </c>
      <c r="C115" s="7" t="s">
        <v>286</v>
      </c>
      <c r="D115" s="8" t="s">
        <v>543</v>
      </c>
      <c r="E115" s="7" t="s">
        <v>286</v>
      </c>
      <c r="F115" s="7" t="s">
        <v>497</v>
      </c>
      <c r="G115" s="7" t="s">
        <v>500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7" t="s">
        <v>500</v>
      </c>
      <c r="N115" s="9">
        <v>0</v>
      </c>
      <c r="O115">
        <f t="shared" si="3"/>
        <v>0</v>
      </c>
    </row>
    <row r="116" hidden="1" spans="1:15">
      <c r="A116" s="4" t="s">
        <v>495</v>
      </c>
      <c r="B116" s="5" t="s">
        <v>496</v>
      </c>
      <c r="C116" s="4" t="s">
        <v>286</v>
      </c>
      <c r="D116" s="5" t="s">
        <v>333</v>
      </c>
      <c r="E116" s="4" t="s">
        <v>286</v>
      </c>
      <c r="F116" s="4" t="s">
        <v>497</v>
      </c>
      <c r="G116" s="4" t="s">
        <v>498</v>
      </c>
      <c r="H116" s="6">
        <v>1370247.39</v>
      </c>
      <c r="I116" s="6">
        <v>150000</v>
      </c>
      <c r="J116" s="6">
        <v>0</v>
      </c>
      <c r="K116" s="6">
        <v>450000</v>
      </c>
      <c r="L116" s="6">
        <v>969553.76</v>
      </c>
      <c r="M116" s="4" t="s">
        <v>498</v>
      </c>
      <c r="N116" s="6">
        <v>1220247.39</v>
      </c>
      <c r="O116">
        <f t="shared" si="3"/>
        <v>1220247.39</v>
      </c>
    </row>
    <row r="117" spans="1:15">
      <c r="A117" s="7" t="s">
        <v>495</v>
      </c>
      <c r="B117" s="8" t="s">
        <v>496</v>
      </c>
      <c r="C117" s="7" t="s">
        <v>286</v>
      </c>
      <c r="D117" s="8" t="s">
        <v>336</v>
      </c>
      <c r="E117" s="7" t="s">
        <v>286</v>
      </c>
      <c r="F117" s="7" t="s">
        <v>497</v>
      </c>
      <c r="G117" s="7" t="s">
        <v>498</v>
      </c>
      <c r="H117" s="9">
        <v>5237.55</v>
      </c>
      <c r="I117" s="9">
        <v>0</v>
      </c>
      <c r="J117" s="9">
        <v>0</v>
      </c>
      <c r="K117" s="9">
        <v>0</v>
      </c>
      <c r="L117" s="9">
        <v>0</v>
      </c>
      <c r="M117" s="7" t="s">
        <v>498</v>
      </c>
      <c r="N117" s="9">
        <v>5237.55</v>
      </c>
      <c r="O117">
        <f t="shared" si="3"/>
        <v>5237.55</v>
      </c>
    </row>
    <row r="118" hidden="1" spans="1:15">
      <c r="A118" s="4" t="s">
        <v>495</v>
      </c>
      <c r="B118" s="5" t="s">
        <v>496</v>
      </c>
      <c r="C118" s="4" t="s">
        <v>286</v>
      </c>
      <c r="D118" s="5" t="s">
        <v>450</v>
      </c>
      <c r="E118" s="4" t="s">
        <v>286</v>
      </c>
      <c r="F118" s="4" t="s">
        <v>497</v>
      </c>
      <c r="G118" s="4" t="s">
        <v>498</v>
      </c>
      <c r="H118" s="6">
        <v>0.09</v>
      </c>
      <c r="I118" s="6">
        <v>0</v>
      </c>
      <c r="J118" s="6">
        <v>0</v>
      </c>
      <c r="K118" s="6">
        <v>0</v>
      </c>
      <c r="L118" s="6">
        <v>0</v>
      </c>
      <c r="M118" s="4" t="s">
        <v>498</v>
      </c>
      <c r="N118" s="6">
        <v>0.09</v>
      </c>
      <c r="O118">
        <f t="shared" si="3"/>
        <v>0.09</v>
      </c>
    </row>
    <row r="119" spans="1:15">
      <c r="A119" s="7" t="s">
        <v>495</v>
      </c>
      <c r="B119" s="8" t="s">
        <v>496</v>
      </c>
      <c r="C119" s="7" t="s">
        <v>286</v>
      </c>
      <c r="D119" s="8" t="s">
        <v>437</v>
      </c>
      <c r="E119" s="7" t="s">
        <v>286</v>
      </c>
      <c r="F119" s="7" t="s">
        <v>497</v>
      </c>
      <c r="G119" s="7" t="s">
        <v>500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7" t="s">
        <v>500</v>
      </c>
      <c r="N119" s="9">
        <v>0</v>
      </c>
      <c r="O119">
        <f t="shared" si="3"/>
        <v>0</v>
      </c>
    </row>
    <row r="120" spans="1:15">
      <c r="A120" s="4" t="s">
        <v>495</v>
      </c>
      <c r="B120" s="5" t="s">
        <v>496</v>
      </c>
      <c r="C120" s="4" t="s">
        <v>286</v>
      </c>
      <c r="D120" s="5" t="s">
        <v>334</v>
      </c>
      <c r="E120" s="4" t="s">
        <v>286</v>
      </c>
      <c r="F120" s="4" t="s">
        <v>497</v>
      </c>
      <c r="G120" s="4" t="s">
        <v>498</v>
      </c>
      <c r="H120" s="6">
        <v>28982.13</v>
      </c>
      <c r="I120" s="6">
        <v>0</v>
      </c>
      <c r="J120" s="6">
        <v>0</v>
      </c>
      <c r="K120" s="6">
        <v>0</v>
      </c>
      <c r="L120" s="6">
        <v>0</v>
      </c>
      <c r="M120" s="4" t="s">
        <v>498</v>
      </c>
      <c r="N120" s="6">
        <v>28982.13</v>
      </c>
      <c r="O120">
        <f t="shared" si="3"/>
        <v>28982.13</v>
      </c>
    </row>
    <row r="121" hidden="1" spans="1:15">
      <c r="A121" s="7" t="s">
        <v>495</v>
      </c>
      <c r="B121" s="8" t="s">
        <v>496</v>
      </c>
      <c r="C121" s="7" t="s">
        <v>286</v>
      </c>
      <c r="D121" s="8" t="s">
        <v>446</v>
      </c>
      <c r="E121" s="7" t="s">
        <v>286</v>
      </c>
      <c r="F121" s="7" t="s">
        <v>497</v>
      </c>
      <c r="G121" s="7" t="s">
        <v>500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7" t="s">
        <v>500</v>
      </c>
      <c r="N121" s="9">
        <v>0</v>
      </c>
      <c r="O121">
        <f t="shared" si="3"/>
        <v>0</v>
      </c>
    </row>
    <row r="122" hidden="1" spans="1:15">
      <c r="A122" s="1" t="s">
        <v>544</v>
      </c>
      <c r="B122" s="1" t="s">
        <v>545</v>
      </c>
      <c r="C122" s="1" t="s">
        <v>286</v>
      </c>
      <c r="D122" s="1" t="s">
        <v>286</v>
      </c>
      <c r="E122" s="1" t="s">
        <v>286</v>
      </c>
      <c r="F122" s="1" t="s">
        <v>497</v>
      </c>
      <c r="G122" s="1" t="s">
        <v>498</v>
      </c>
      <c r="H122" s="1">
        <v>1956196.53</v>
      </c>
      <c r="I122" s="1">
        <v>122623.59</v>
      </c>
      <c r="J122" s="1">
        <v>15011.28</v>
      </c>
      <c r="K122" s="1">
        <v>2433603</v>
      </c>
      <c r="L122" s="1">
        <v>1889574.76</v>
      </c>
      <c r="M122" s="1" t="s">
        <v>498</v>
      </c>
      <c r="N122" s="1">
        <v>1848584.22</v>
      </c>
      <c r="O122">
        <f t="shared" si="3"/>
        <v>1848584.22</v>
      </c>
    </row>
    <row r="123" hidden="1" spans="1:15">
      <c r="A123" s="1" t="s">
        <v>544</v>
      </c>
      <c r="B123" s="1" t="s">
        <v>545</v>
      </c>
      <c r="C123" s="1" t="s">
        <v>546</v>
      </c>
      <c r="D123" s="1" t="s">
        <v>286</v>
      </c>
      <c r="E123" s="1" t="s">
        <v>286</v>
      </c>
      <c r="F123" s="1" t="s">
        <v>497</v>
      </c>
      <c r="G123" s="1" t="s">
        <v>498</v>
      </c>
      <c r="H123" s="1">
        <v>123794.17</v>
      </c>
      <c r="I123" s="1">
        <v>298.11</v>
      </c>
      <c r="J123" s="1">
        <v>96644.83</v>
      </c>
      <c r="K123" s="1">
        <v>1201826.97</v>
      </c>
      <c r="L123" s="1">
        <v>617256.42</v>
      </c>
      <c r="M123" s="1" t="s">
        <v>498</v>
      </c>
      <c r="N123" s="1">
        <v>220140.89</v>
      </c>
      <c r="O123">
        <f t="shared" ref="O123:O135" si="4">IF(M123="贷",N123,-N123)</f>
        <v>220140.89</v>
      </c>
    </row>
    <row r="124" spans="1:15">
      <c r="A124" s="1" t="s">
        <v>544</v>
      </c>
      <c r="B124" s="1" t="s">
        <v>545</v>
      </c>
      <c r="C124" s="1" t="s">
        <v>547</v>
      </c>
      <c r="D124" s="1" t="s">
        <v>286</v>
      </c>
      <c r="E124" s="1" t="s">
        <v>286</v>
      </c>
      <c r="F124" s="1" t="s">
        <v>497</v>
      </c>
      <c r="G124" s="1" t="s">
        <v>500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 t="s">
        <v>500</v>
      </c>
      <c r="N124" s="1">
        <v>0</v>
      </c>
      <c r="O124">
        <f t="shared" si="4"/>
        <v>0</v>
      </c>
    </row>
    <row r="125" spans="1:15">
      <c r="A125" s="1" t="s">
        <v>544</v>
      </c>
      <c r="B125" s="1" t="s">
        <v>545</v>
      </c>
      <c r="C125" s="1" t="s">
        <v>548</v>
      </c>
      <c r="D125" s="1" t="s">
        <v>286</v>
      </c>
      <c r="E125" s="1" t="s">
        <v>286</v>
      </c>
      <c r="F125" s="1" t="s">
        <v>497</v>
      </c>
      <c r="G125" s="1" t="s">
        <v>500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 t="s">
        <v>500</v>
      </c>
      <c r="N125" s="1">
        <v>0</v>
      </c>
      <c r="O125">
        <f t="shared" si="4"/>
        <v>0</v>
      </c>
    </row>
    <row r="126" spans="1:15">
      <c r="A126" s="1" t="s">
        <v>544</v>
      </c>
      <c r="B126" s="1" t="s">
        <v>545</v>
      </c>
      <c r="C126" s="1" t="s">
        <v>549</v>
      </c>
      <c r="D126" s="1" t="s">
        <v>286</v>
      </c>
      <c r="E126" s="1" t="s">
        <v>286</v>
      </c>
      <c r="F126" s="1" t="s">
        <v>497</v>
      </c>
      <c r="G126" s="1" t="s">
        <v>500</v>
      </c>
      <c r="H126" s="1">
        <v>0</v>
      </c>
      <c r="I126" s="1">
        <v>339164.28</v>
      </c>
      <c r="J126" s="1">
        <v>339164.28</v>
      </c>
      <c r="K126" s="1">
        <v>2547909</v>
      </c>
      <c r="L126" s="1">
        <v>2547909</v>
      </c>
      <c r="M126" s="1" t="s">
        <v>500</v>
      </c>
      <c r="N126" s="1">
        <v>0</v>
      </c>
      <c r="O126">
        <f t="shared" si="4"/>
        <v>0</v>
      </c>
    </row>
    <row r="127" spans="1:15">
      <c r="A127" s="1" t="s">
        <v>544</v>
      </c>
      <c r="B127" s="1" t="s">
        <v>545</v>
      </c>
      <c r="C127" s="1" t="s">
        <v>550</v>
      </c>
      <c r="D127" s="1" t="s">
        <v>286</v>
      </c>
      <c r="E127" s="1" t="s">
        <v>286</v>
      </c>
      <c r="F127" s="1" t="s">
        <v>497</v>
      </c>
      <c r="G127" s="1" t="s">
        <v>498</v>
      </c>
      <c r="H127" s="1">
        <v>0.01</v>
      </c>
      <c r="I127" s="1">
        <v>0</v>
      </c>
      <c r="J127" s="1">
        <v>0</v>
      </c>
      <c r="K127" s="1">
        <v>0</v>
      </c>
      <c r="L127" s="1">
        <v>0</v>
      </c>
      <c r="M127" s="1" t="s">
        <v>498</v>
      </c>
      <c r="N127" s="1">
        <v>0.01</v>
      </c>
      <c r="O127">
        <f t="shared" si="4"/>
        <v>0.01</v>
      </c>
    </row>
    <row r="128" spans="1:15">
      <c r="A128" s="1" t="s">
        <v>544</v>
      </c>
      <c r="B128" s="1" t="s">
        <v>545</v>
      </c>
      <c r="C128" s="1" t="s">
        <v>551</v>
      </c>
      <c r="D128" s="1" t="s">
        <v>286</v>
      </c>
      <c r="E128" s="1" t="s">
        <v>286</v>
      </c>
      <c r="F128" s="1" t="s">
        <v>497</v>
      </c>
      <c r="G128" s="1" t="s">
        <v>498</v>
      </c>
      <c r="H128" s="1">
        <v>13178.1</v>
      </c>
      <c r="I128" s="1">
        <v>22487.5</v>
      </c>
      <c r="J128" s="1">
        <v>58548.7</v>
      </c>
      <c r="K128" s="1">
        <v>193981.9</v>
      </c>
      <c r="L128" s="1">
        <v>132804.7</v>
      </c>
      <c r="M128" s="1" t="s">
        <v>498</v>
      </c>
      <c r="N128" s="1">
        <v>49239.3</v>
      </c>
      <c r="O128">
        <f t="shared" si="4"/>
        <v>49239.3</v>
      </c>
    </row>
    <row r="129" hidden="1" spans="1:15">
      <c r="A129" s="1" t="s">
        <v>544</v>
      </c>
      <c r="B129" s="1" t="s">
        <v>545</v>
      </c>
      <c r="C129" s="1" t="s">
        <v>552</v>
      </c>
      <c r="D129" s="1" t="s">
        <v>286</v>
      </c>
      <c r="E129" s="1" t="s">
        <v>286</v>
      </c>
      <c r="F129" s="1" t="s">
        <v>497</v>
      </c>
      <c r="G129" s="1" t="s">
        <v>498</v>
      </c>
      <c r="H129" s="1">
        <v>1766622</v>
      </c>
      <c r="I129" s="1">
        <v>32789.97</v>
      </c>
      <c r="J129" s="1">
        <v>129840.74</v>
      </c>
      <c r="K129" s="1">
        <v>3497642.74</v>
      </c>
      <c r="L129" s="1">
        <v>2610490.61</v>
      </c>
      <c r="M129" s="1" t="s">
        <v>498</v>
      </c>
      <c r="N129" s="1">
        <v>1863672.77</v>
      </c>
      <c r="O129">
        <f t="shared" si="4"/>
        <v>1863672.77</v>
      </c>
    </row>
    <row r="130" hidden="1" spans="1:15">
      <c r="A130" s="1" t="s">
        <v>544</v>
      </c>
      <c r="B130" s="1" t="s">
        <v>545</v>
      </c>
      <c r="C130" s="1" t="s">
        <v>553</v>
      </c>
      <c r="D130" s="1" t="s">
        <v>286</v>
      </c>
      <c r="E130" s="1" t="s">
        <v>286</v>
      </c>
      <c r="F130" s="1" t="s">
        <v>497</v>
      </c>
      <c r="G130" s="1" t="s">
        <v>498</v>
      </c>
      <c r="H130" s="1">
        <v>137500</v>
      </c>
      <c r="I130" s="1">
        <v>0</v>
      </c>
      <c r="J130" s="1">
        <v>0</v>
      </c>
      <c r="K130" s="1">
        <v>0</v>
      </c>
      <c r="L130" s="1">
        <v>0</v>
      </c>
      <c r="M130" s="1" t="s">
        <v>498</v>
      </c>
      <c r="N130" s="1">
        <v>137500</v>
      </c>
      <c r="O130">
        <f t="shared" si="4"/>
        <v>137500</v>
      </c>
    </row>
    <row r="131" hidden="1" spans="1:15">
      <c r="A131" s="1" t="s">
        <v>544</v>
      </c>
      <c r="B131" s="1" t="s">
        <v>545</v>
      </c>
      <c r="C131" s="1" t="s">
        <v>554</v>
      </c>
      <c r="D131" s="1" t="s">
        <v>286</v>
      </c>
      <c r="E131" s="1" t="s">
        <v>286</v>
      </c>
      <c r="F131" s="1" t="s">
        <v>497</v>
      </c>
      <c r="G131" s="1" t="s">
        <v>498</v>
      </c>
      <c r="H131" s="1">
        <v>22522.4</v>
      </c>
      <c r="I131" s="1">
        <v>0</v>
      </c>
      <c r="J131" s="1">
        <v>0</v>
      </c>
      <c r="K131" s="1">
        <v>237.6</v>
      </c>
      <c r="L131" s="1">
        <v>2533</v>
      </c>
      <c r="M131" s="1" t="s">
        <v>498</v>
      </c>
      <c r="N131" s="1">
        <v>22522.4</v>
      </c>
      <c r="O131">
        <f t="shared" si="4"/>
        <v>22522.4</v>
      </c>
    </row>
    <row r="132" hidden="1" spans="15:15">
      <c r="O132">
        <f t="shared" si="4"/>
        <v>0</v>
      </c>
    </row>
    <row r="133" hidden="1" spans="15:15">
      <c r="O133">
        <f t="shared" si="4"/>
        <v>0</v>
      </c>
    </row>
    <row r="134" hidden="1" spans="15:15">
      <c r="O134">
        <f t="shared" si="4"/>
        <v>0</v>
      </c>
    </row>
    <row r="135" hidden="1" spans="15:15">
      <c r="O135">
        <f t="shared" si="4"/>
        <v>0</v>
      </c>
    </row>
  </sheetData>
  <autoFilter ref="A1:O135">
    <filterColumn colId="13">
      <filters>
        <filter val="11,865.00"/>
        <filter val="6,915.50"/>
        <filter val="398,950.31"/>
        <filter val="292,213.52"/>
        <filter val="379.93"/>
        <filter val="220,702.74"/>
        <filter val="168,098.80"/>
        <filter val="12,475.20"/>
        <filter val="337,926.12"/>
        <filter val="498,228.44"/>
        <filter val="284,557.84"/>
        <filter val="804,711.44"/>
        <filter val="110416.5"/>
        <filter val="164,900.45"/>
        <filter val="650,950.46"/>
        <filter val="20227"/>
        <filter val="591,530.39"/>
        <filter val="62.70"/>
        <filter val="7,000.00"/>
        <filter val="403,623.80"/>
        <filter val="44,867.90"/>
        <filter val="444,195.92"/>
        <filter val="380,296.93"/>
        <filter val="28,982.13"/>
        <filter val="43,378.44"/>
        <filter val="1,500.64"/>
        <filter val="233,529.04"/>
        <filter val="147,990.48"/>
        <filter val="137,012.09"/>
        <filter val="809,345.69"/>
        <filter val="78,871.99"/>
        <filter val="137500"/>
        <filter val="166,352.40"/>
        <filter val="16,725.00"/>
        <filter val="0.01"/>
        <filter val="461,767.12"/>
        <filter val="700,693.63"/>
        <filter val="9,919.14"/>
        <filter val="51,962.54"/>
        <filter val="41,188.95"/>
        <filter val="5,237.55"/>
        <filter val="28,728.25"/>
        <filter val="2,392,612.46"/>
        <filter val="162,072.46"/>
        <filter val="1,207,481.37"/>
        <filter val="60,504.28"/>
        <filter val="0.09"/>
        <filter val="2750824.9"/>
        <filter val="238,150.69"/>
        <filter val="441,257.19"/>
        <filter val="26,581.89"/>
      </filters>
    </filterColumn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Y103"/>
  <sheetViews>
    <sheetView zoomScale="89" zoomScaleNormal="89" workbookViewId="0">
      <pane xSplit="46" ySplit="4" topLeftCell="CH5" activePane="bottomRight" state="frozen"/>
      <selection/>
      <selection pane="topRight"/>
      <selection pane="bottomLeft"/>
      <selection pane="bottomRight" activeCell="CV28" sqref="CV28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8" width="13.7" style="13" hidden="1" customWidth="1"/>
    <col min="9" max="17" width="15" style="13" hidden="1" customWidth="1"/>
    <col min="18" max="22" width="13.7" style="13" hidden="1" customWidth="1"/>
    <col min="23" max="26" width="12.9" style="13" hidden="1" customWidth="1"/>
    <col min="27" max="27" width="13.7" style="13" hidden="1" customWidth="1"/>
    <col min="28" max="28" width="11.2" style="13" hidden="1" customWidth="1"/>
    <col min="29" max="34" width="12" style="13" hidden="1" customWidth="1"/>
    <col min="35" max="37" width="13" style="215" hidden="1" customWidth="1"/>
    <col min="38" max="38" width="13.4" style="215" hidden="1" customWidth="1"/>
    <col min="39" max="39" width="13.1" style="215" hidden="1" customWidth="1"/>
    <col min="40" max="41" width="13" style="215" hidden="1" customWidth="1"/>
    <col min="42" max="46" width="13.2" style="215" hidden="1" customWidth="1"/>
    <col min="47" max="47" width="13.2" style="215" customWidth="1"/>
    <col min="48" max="48" width="13.2" style="376" hidden="1" customWidth="1"/>
    <col min="49" max="55" width="13.2" style="215" hidden="1" customWidth="1"/>
    <col min="56" max="56" width="12.9" style="215" hidden="1" customWidth="1"/>
    <col min="57" max="58" width="14.2" style="215" hidden="1" customWidth="1"/>
    <col min="59" max="59" width="13.6" style="215" hidden="1" customWidth="1"/>
    <col min="60" max="77" width="14.2" style="215" customWidth="1"/>
    <col min="78" max="78" width="14.5" style="215" customWidth="1"/>
    <col min="79" max="79" width="1.6" style="215" hidden="1" customWidth="1"/>
    <col min="80" max="80" width="2" style="215" hidden="1" customWidth="1"/>
    <col min="81" max="81" width="3.7" style="13" hidden="1" customWidth="1"/>
    <col min="82" max="82" width="0.9" style="13" hidden="1" customWidth="1"/>
    <col min="83" max="83" width="5.2" style="13" customWidth="1"/>
    <col min="84" max="84" width="4.5" style="13" customWidth="1"/>
    <col min="85" max="85" width="4.9" style="13" customWidth="1"/>
    <col min="86" max="86" width="15" style="216" customWidth="1"/>
    <col min="87" max="87" width="9.5" style="216" hidden="1" customWidth="1"/>
    <col min="88" max="88" width="16.4" style="216" customWidth="1"/>
    <col min="89" max="99" width="13" style="216" customWidth="1"/>
    <col min="100" max="101" width="15.7" style="13" customWidth="1"/>
    <col min="102" max="102" width="8" style="13"/>
    <col min="103" max="103" width="15.2" style="13" customWidth="1"/>
    <col min="104" max="16384" width="8" style="13"/>
  </cols>
  <sheetData>
    <row r="1" ht="20.95" customHeight="1" spans="2:101">
      <c r="B1" s="20" t="s">
        <v>157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412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21"/>
      <c r="CD1" s="21"/>
      <c r="CE1" s="21"/>
      <c r="CF1" s="21"/>
      <c r="CG1" s="21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21"/>
      <c r="CW1" s="21"/>
    </row>
    <row r="2" ht="18" customHeight="1" spans="2:101">
      <c r="B2" s="377" t="s">
        <v>1</v>
      </c>
      <c r="C2" s="378" t="s">
        <v>2</v>
      </c>
      <c r="D2" s="378" t="s">
        <v>3</v>
      </c>
      <c r="E2" s="379" t="s">
        <v>4</v>
      </c>
      <c r="F2" s="379" t="s">
        <v>5</v>
      </c>
      <c r="G2" s="379" t="s">
        <v>6</v>
      </c>
      <c r="H2" s="379" t="s">
        <v>7</v>
      </c>
      <c r="I2" s="379" t="s">
        <v>8</v>
      </c>
      <c r="J2" s="379" t="s">
        <v>9</v>
      </c>
      <c r="K2" s="379" t="s">
        <v>10</v>
      </c>
      <c r="L2" s="379" t="s">
        <v>11</v>
      </c>
      <c r="M2" s="379" t="s">
        <v>12</v>
      </c>
      <c r="N2" s="379" t="s">
        <v>13</v>
      </c>
      <c r="O2" s="379" t="s">
        <v>14</v>
      </c>
      <c r="P2" s="379" t="s">
        <v>15</v>
      </c>
      <c r="Q2" s="379" t="s">
        <v>16</v>
      </c>
      <c r="R2" s="379" t="s">
        <v>17</v>
      </c>
      <c r="S2" s="379" t="s">
        <v>18</v>
      </c>
      <c r="T2" s="379" t="s">
        <v>19</v>
      </c>
      <c r="U2" s="379" t="s">
        <v>20</v>
      </c>
      <c r="V2" s="379" t="s">
        <v>21</v>
      </c>
      <c r="W2" s="379" t="s">
        <v>22</v>
      </c>
      <c r="X2" s="379" t="s">
        <v>23</v>
      </c>
      <c r="Y2" s="379" t="s">
        <v>24</v>
      </c>
      <c r="Z2" s="379" t="s">
        <v>25</v>
      </c>
      <c r="AA2" s="379" t="s">
        <v>26</v>
      </c>
      <c r="AB2" s="406" t="s">
        <v>27</v>
      </c>
      <c r="AC2" s="406" t="s">
        <v>28</v>
      </c>
      <c r="AD2" s="406" t="s">
        <v>29</v>
      </c>
      <c r="AE2" s="406" t="s">
        <v>30</v>
      </c>
      <c r="AF2" s="406" t="s">
        <v>31</v>
      </c>
      <c r="AG2" s="406" t="s">
        <v>32</v>
      </c>
      <c r="AH2" s="410" t="s">
        <v>33</v>
      </c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413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415"/>
      <c r="BH2" s="415"/>
      <c r="BI2" s="415"/>
      <c r="BJ2" s="415"/>
      <c r="BK2" s="415"/>
      <c r="BL2" s="415"/>
      <c r="BM2" s="415"/>
      <c r="BN2" s="415"/>
      <c r="BO2" s="415"/>
      <c r="BP2" s="415"/>
      <c r="BQ2" s="415"/>
      <c r="BR2" s="415"/>
      <c r="BS2" s="415"/>
      <c r="BT2" s="415"/>
      <c r="BU2" s="415"/>
      <c r="BV2" s="415"/>
      <c r="BW2" s="415"/>
      <c r="BX2" s="415"/>
      <c r="BY2" s="415"/>
      <c r="BZ2" s="245"/>
      <c r="CA2" s="415" t="s">
        <v>34</v>
      </c>
      <c r="CB2" s="415"/>
      <c r="CC2" s="378" t="s">
        <v>35</v>
      </c>
      <c r="CD2" s="378" t="s">
        <v>36</v>
      </c>
      <c r="CE2" s="301" t="s">
        <v>37</v>
      </c>
      <c r="CF2" s="301"/>
      <c r="CG2" s="301"/>
      <c r="CH2" s="415"/>
      <c r="CI2" s="415"/>
      <c r="CJ2" s="245" t="s">
        <v>38</v>
      </c>
      <c r="CK2" s="245" t="s">
        <v>158</v>
      </c>
      <c r="CL2" s="245" t="s">
        <v>159</v>
      </c>
      <c r="CM2" s="245" t="s">
        <v>160</v>
      </c>
      <c r="CN2" s="245" t="s">
        <v>161</v>
      </c>
      <c r="CO2" s="245" t="s">
        <v>162</v>
      </c>
      <c r="CP2" s="245" t="s">
        <v>163</v>
      </c>
      <c r="CQ2" s="245" t="s">
        <v>164</v>
      </c>
      <c r="CR2" s="245" t="s">
        <v>165</v>
      </c>
      <c r="CS2" s="245" t="s">
        <v>166</v>
      </c>
      <c r="CT2" s="245" t="s">
        <v>167</v>
      </c>
      <c r="CU2" s="245" t="s">
        <v>39</v>
      </c>
      <c r="CV2" s="452" t="s">
        <v>168</v>
      </c>
      <c r="CW2" s="453" t="s">
        <v>41</v>
      </c>
    </row>
    <row r="3" ht="31.6" customHeight="1" spans="2:101">
      <c r="B3" s="380"/>
      <c r="C3" s="381"/>
      <c r="D3" s="381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  <c r="Z3" s="382"/>
      <c r="AA3" s="382"/>
      <c r="AB3" s="407"/>
      <c r="AC3" s="407"/>
      <c r="AD3" s="407"/>
      <c r="AE3" s="408"/>
      <c r="AF3" s="408"/>
      <c r="AG3" s="408"/>
      <c r="AH3" s="408"/>
      <c r="AI3" s="383" t="s">
        <v>42</v>
      </c>
      <c r="AJ3" s="383" t="s">
        <v>43</v>
      </c>
      <c r="AK3" s="383" t="s">
        <v>44</v>
      </c>
      <c r="AL3" s="383" t="s">
        <v>45</v>
      </c>
      <c r="AM3" s="383" t="s">
        <v>46</v>
      </c>
      <c r="AN3" s="383" t="s">
        <v>47</v>
      </c>
      <c r="AO3" s="383" t="s">
        <v>48</v>
      </c>
      <c r="AP3" s="383" t="s">
        <v>49</v>
      </c>
      <c r="AQ3" s="383" t="s">
        <v>50</v>
      </c>
      <c r="AR3" s="383" t="s">
        <v>51</v>
      </c>
      <c r="AS3" s="383" t="s">
        <v>52</v>
      </c>
      <c r="AT3" s="383" t="s">
        <v>53</v>
      </c>
      <c r="AU3" s="383" t="s">
        <v>54</v>
      </c>
      <c r="AV3" s="383" t="s">
        <v>55</v>
      </c>
      <c r="AW3" s="383" t="s">
        <v>56</v>
      </c>
      <c r="AX3" s="383" t="s">
        <v>57</v>
      </c>
      <c r="AY3" s="383" t="s">
        <v>58</v>
      </c>
      <c r="AZ3" s="383" t="s">
        <v>59</v>
      </c>
      <c r="BA3" s="383" t="s">
        <v>60</v>
      </c>
      <c r="BB3" s="383" t="s">
        <v>61</v>
      </c>
      <c r="BC3" s="383" t="s">
        <v>62</v>
      </c>
      <c r="BD3" s="383" t="s">
        <v>63</v>
      </c>
      <c r="BE3" s="383" t="s">
        <v>64</v>
      </c>
      <c r="BF3" s="383" t="s">
        <v>65</v>
      </c>
      <c r="BG3" s="383" t="s">
        <v>66</v>
      </c>
      <c r="BH3" s="383" t="s">
        <v>67</v>
      </c>
      <c r="BI3" s="383" t="s">
        <v>68</v>
      </c>
      <c r="BJ3" s="383" t="s">
        <v>69</v>
      </c>
      <c r="BK3" s="383" t="s">
        <v>70</v>
      </c>
      <c r="BL3" s="383" t="s">
        <v>71</v>
      </c>
      <c r="BM3" s="229" t="s">
        <v>72</v>
      </c>
      <c r="BN3" s="229" t="s">
        <v>73</v>
      </c>
      <c r="BO3" s="229" t="s">
        <v>74</v>
      </c>
      <c r="BP3" s="229" t="s">
        <v>169</v>
      </c>
      <c r="BQ3" s="229" t="s">
        <v>170</v>
      </c>
      <c r="BR3" s="229" t="s">
        <v>171</v>
      </c>
      <c r="BS3" s="229" t="s">
        <v>172</v>
      </c>
      <c r="BT3" s="229" t="s">
        <v>173</v>
      </c>
      <c r="BU3" s="229" t="s">
        <v>174</v>
      </c>
      <c r="BV3" s="229" t="s">
        <v>175</v>
      </c>
      <c r="BW3" s="229" t="s">
        <v>70</v>
      </c>
      <c r="BX3" s="229" t="s">
        <v>71</v>
      </c>
      <c r="BY3" s="229" t="s">
        <v>72</v>
      </c>
      <c r="BZ3" s="383" t="s">
        <v>75</v>
      </c>
      <c r="CA3" s="383" t="s">
        <v>70</v>
      </c>
      <c r="CB3" s="383" t="s">
        <v>71</v>
      </c>
      <c r="CC3" s="381"/>
      <c r="CD3" s="381"/>
      <c r="CE3" s="353" t="s">
        <v>76</v>
      </c>
      <c r="CF3" s="353" t="s">
        <v>77</v>
      </c>
      <c r="CG3" s="353" t="s">
        <v>78</v>
      </c>
      <c r="CH3" s="383" t="s">
        <v>79</v>
      </c>
      <c r="CI3" s="439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454"/>
      <c r="CW3" s="455"/>
    </row>
    <row r="4" ht="18" customHeight="1" spans="2:101">
      <c r="B4" s="380"/>
      <c r="C4" s="381"/>
      <c r="D4" s="381"/>
      <c r="E4" s="383"/>
      <c r="F4" s="383"/>
      <c r="G4" s="383"/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 t="s">
        <v>80</v>
      </c>
      <c r="S4" s="383"/>
      <c r="T4" s="383"/>
      <c r="U4" s="383"/>
      <c r="V4" s="383"/>
      <c r="W4" s="383"/>
      <c r="X4" s="383"/>
      <c r="Y4" s="383"/>
      <c r="Z4" s="383"/>
      <c r="AA4" s="383"/>
      <c r="AB4" s="409"/>
      <c r="AC4" s="409"/>
      <c r="AD4" s="409"/>
      <c r="AE4" s="408"/>
      <c r="AF4" s="408"/>
      <c r="AG4" s="408"/>
      <c r="AH4" s="408"/>
      <c r="AI4" s="383"/>
      <c r="AJ4" s="383"/>
      <c r="AK4" s="383"/>
      <c r="AL4" s="383"/>
      <c r="AM4" s="383"/>
      <c r="AN4" s="383"/>
      <c r="AO4" s="383"/>
      <c r="AP4" s="383"/>
      <c r="AQ4" s="383"/>
      <c r="AR4" s="383"/>
      <c r="AS4" s="383"/>
      <c r="AT4" s="383"/>
      <c r="AU4" s="383"/>
      <c r="AV4" s="383"/>
      <c r="AW4" s="383"/>
      <c r="AX4" s="383"/>
      <c r="AY4" s="383"/>
      <c r="AZ4" s="383"/>
      <c r="BA4" s="383"/>
      <c r="BB4" s="383"/>
      <c r="BC4" s="383"/>
      <c r="BD4" s="383"/>
      <c r="BE4" s="383"/>
      <c r="BF4" s="383"/>
      <c r="BG4" s="383"/>
      <c r="BH4" s="383"/>
      <c r="BI4" s="383"/>
      <c r="BJ4" s="383"/>
      <c r="BK4" s="383"/>
      <c r="BL4" s="383"/>
      <c r="BM4" s="231"/>
      <c r="BN4" s="231"/>
      <c r="BO4" s="231"/>
      <c r="BP4" s="231"/>
      <c r="BQ4" s="231"/>
      <c r="BR4" s="231"/>
      <c r="BS4" s="231"/>
      <c r="BT4" s="231"/>
      <c r="BU4" s="231"/>
      <c r="BV4" s="231"/>
      <c r="BW4" s="231"/>
      <c r="BX4" s="231"/>
      <c r="BY4" s="231"/>
      <c r="BZ4" s="383"/>
      <c r="CA4" s="383"/>
      <c r="CB4" s="383"/>
      <c r="CC4" s="381"/>
      <c r="CD4" s="381"/>
      <c r="CE4" s="353"/>
      <c r="CF4" s="353"/>
      <c r="CG4" s="353"/>
      <c r="CH4" s="440"/>
      <c r="CI4" s="440"/>
      <c r="CJ4" s="247"/>
      <c r="CK4" s="247"/>
      <c r="CL4" s="247"/>
      <c r="CM4" s="247"/>
      <c r="CN4" s="247"/>
      <c r="CO4" s="247"/>
      <c r="CP4" s="247"/>
      <c r="CQ4" s="247"/>
      <c r="CR4" s="247"/>
      <c r="CS4" s="247"/>
      <c r="CT4" s="247"/>
      <c r="CU4" s="247"/>
      <c r="CV4" s="456"/>
      <c r="CW4" s="455"/>
    </row>
    <row r="5" s="10" customFormat="1" ht="24.05" customHeight="1" spans="2:103">
      <c r="B5" s="384" t="s">
        <v>81</v>
      </c>
      <c r="C5" s="385" t="s">
        <v>82</v>
      </c>
      <c r="D5" s="386" t="s">
        <v>83</v>
      </c>
      <c r="E5" s="387">
        <v>5392098.39</v>
      </c>
      <c r="F5" s="387">
        <v>5856735.21</v>
      </c>
      <c r="G5" s="387">
        <v>6096339.17</v>
      </c>
      <c r="H5" s="387">
        <v>5864306.57</v>
      </c>
      <c r="I5" s="387">
        <v>5864306.57</v>
      </c>
      <c r="J5" s="387">
        <v>6227067.54</v>
      </c>
      <c r="K5" s="387">
        <v>6167255.15</v>
      </c>
      <c r="L5" s="387">
        <v>6077546</v>
      </c>
      <c r="M5" s="387">
        <v>6647576.21</v>
      </c>
      <c r="N5" s="387">
        <v>6480354.13</v>
      </c>
      <c r="O5" s="387">
        <v>6659039.58</v>
      </c>
      <c r="P5" s="387">
        <v>7510390.09</v>
      </c>
      <c r="Q5" s="387">
        <v>7495456.12</v>
      </c>
      <c r="R5" s="401">
        <v>500000</v>
      </c>
      <c r="S5" s="401">
        <v>500000</v>
      </c>
      <c r="T5" s="401">
        <v>1000000</v>
      </c>
      <c r="U5" s="402">
        <v>0</v>
      </c>
      <c r="V5" s="402">
        <v>1000000</v>
      </c>
      <c r="W5" s="402">
        <v>1000000</v>
      </c>
      <c r="X5" s="402">
        <v>1030000</v>
      </c>
      <c r="Y5" s="402">
        <v>0</v>
      </c>
      <c r="Z5" s="402">
        <v>500000</v>
      </c>
      <c r="AA5" s="402">
        <v>1000000</v>
      </c>
      <c r="AB5" s="402">
        <v>0</v>
      </c>
      <c r="AC5" s="402">
        <v>650000</v>
      </c>
      <c r="AD5" s="402">
        <v>1000000</v>
      </c>
      <c r="AE5" s="402">
        <v>500000</v>
      </c>
      <c r="AF5" s="402">
        <v>950000</v>
      </c>
      <c r="AG5" s="402"/>
      <c r="AH5" s="402">
        <v>992500</v>
      </c>
      <c r="AI5" s="409">
        <f>E5-R5-S5-T5-U5-V5-W5-X5-Y5</f>
        <v>362098.39</v>
      </c>
      <c r="AJ5" s="409">
        <f>F5-S5-T5-U5-V5-W5-X5-Y5</f>
        <v>1326735.21</v>
      </c>
      <c r="AK5" s="409">
        <f>G5-T5-U5-V5-W5-X5-Y5</f>
        <v>2066339.17</v>
      </c>
      <c r="AL5" s="409">
        <f>H5-U5-V5-W5-X5-Y5-Z5-AA5</f>
        <v>1334306.57</v>
      </c>
      <c r="AM5" s="409">
        <f>I5-V5-W5-X5-Y5-Z5-AA5-AB5-AC5</f>
        <v>684306.57</v>
      </c>
      <c r="AN5" s="409">
        <f>J5-W5-X5-Y5-Z5-AA5-AB5-AC5</f>
        <v>2047067.54</v>
      </c>
      <c r="AO5" s="409">
        <f>K5-X5-Y5-Z5-AA5-AB5-AC5-AD5-AE5</f>
        <v>1487255.15</v>
      </c>
      <c r="AP5" s="409">
        <f>L5-Y5-Z5-AA5-AB5-AC5-AD5-AE5</f>
        <v>2427546</v>
      </c>
      <c r="AQ5" s="409"/>
      <c r="AR5" s="409"/>
      <c r="AS5" s="409"/>
      <c r="AT5" s="409">
        <f t="shared" ref="AT5:AT13" si="0">P5-AC5-AD5-AE5-AF5-AG5</f>
        <v>4410390.09</v>
      </c>
      <c r="AU5" s="409"/>
      <c r="AV5" s="409">
        <v>964636.82</v>
      </c>
      <c r="AW5" s="409">
        <v>739603.96</v>
      </c>
      <c r="AX5" s="409">
        <v>767967.4</v>
      </c>
      <c r="AY5" s="409">
        <v>453286.73</v>
      </c>
      <c r="AZ5" s="409">
        <v>909474.24</v>
      </c>
      <c r="BA5" s="409">
        <v>940187.61</v>
      </c>
      <c r="BB5" s="409">
        <v>940290.85</v>
      </c>
      <c r="BC5" s="409">
        <v>570030.21</v>
      </c>
      <c r="BD5" s="409">
        <v>332777.92</v>
      </c>
      <c r="BE5" s="409">
        <v>1178685.45</v>
      </c>
      <c r="BF5" s="409">
        <v>851350.51</v>
      </c>
      <c r="BG5" s="409">
        <v>635066.03</v>
      </c>
      <c r="BH5" s="409">
        <v>0</v>
      </c>
      <c r="BI5" s="409">
        <v>0</v>
      </c>
      <c r="BJ5" s="409">
        <v>397337.38</v>
      </c>
      <c r="BK5" s="409">
        <v>246283.5</v>
      </c>
      <c r="BL5" s="409">
        <v>0</v>
      </c>
      <c r="BM5" s="409">
        <v>0</v>
      </c>
      <c r="BN5" s="409">
        <v>134634.98</v>
      </c>
      <c r="BO5" s="409"/>
      <c r="BP5" s="409"/>
      <c r="BQ5" s="409"/>
      <c r="BR5" s="409"/>
      <c r="BS5" s="409"/>
      <c r="BT5" s="409">
        <v>329395</v>
      </c>
      <c r="BU5" s="409"/>
      <c r="BV5" s="409"/>
      <c r="BW5" s="409"/>
      <c r="BX5" s="409"/>
      <c r="BY5" s="409"/>
      <c r="BZ5" s="409">
        <f>AU5+BH5+BI5+BJ5+BK5+BL5+BM5+BN5+BO5+BP5+BQ5+BR5+BS5+BT5+BU5+BV5+BW5+BX5+BY5</f>
        <v>1107650.86</v>
      </c>
      <c r="CA5" s="409"/>
      <c r="CB5" s="409"/>
      <c r="CC5" s="356"/>
      <c r="CD5" s="356"/>
      <c r="CE5" s="356"/>
      <c r="CF5" s="310"/>
      <c r="CG5" s="310" t="s">
        <v>84</v>
      </c>
      <c r="CH5" s="441">
        <f>BZ5</f>
        <v>1107650.86</v>
      </c>
      <c r="CI5" s="441">
        <f t="shared" ref="CI5:CI13" si="1">CH5/BZ5</f>
        <v>1</v>
      </c>
      <c r="CJ5" s="441">
        <v>492567</v>
      </c>
      <c r="CK5" s="441">
        <v>151053.88</v>
      </c>
      <c r="CL5" s="441"/>
      <c r="CM5" s="441"/>
      <c r="CN5" s="441"/>
      <c r="CO5" s="441">
        <v>134634.98</v>
      </c>
      <c r="CP5" s="441"/>
      <c r="CQ5" s="441">
        <v>150000</v>
      </c>
      <c r="CR5" s="441">
        <v>179395</v>
      </c>
      <c r="CS5" s="441"/>
      <c r="CT5" s="441"/>
      <c r="CU5" s="441">
        <f>CH5-CJ5-CK5-CL5-CM5-CN5-CO5-CP5-CQ5-CR5-CS5-CT5</f>
        <v>0</v>
      </c>
      <c r="CV5" s="402">
        <f>IF(CU5-BY5-BX5&lt;0,0,CU5-BY5-BX5)</f>
        <v>0</v>
      </c>
      <c r="CW5" s="402" t="s">
        <v>85</v>
      </c>
      <c r="CY5" s="101"/>
    </row>
    <row r="6" s="10" customFormat="1" ht="24.05" customHeight="1" spans="1:103">
      <c r="A6" s="220"/>
      <c r="B6" s="384" t="s">
        <v>81</v>
      </c>
      <c r="C6" s="385" t="s">
        <v>86</v>
      </c>
      <c r="D6" s="386" t="s">
        <v>87</v>
      </c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  <c r="P6" s="388"/>
      <c r="Q6" s="403">
        <v>0</v>
      </c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>
        <v>0</v>
      </c>
      <c r="AH6" s="404">
        <v>0</v>
      </c>
      <c r="AI6" s="409"/>
      <c r="AJ6" s="409"/>
      <c r="AK6" s="409"/>
      <c r="AL6" s="409"/>
      <c r="AM6" s="409"/>
      <c r="AN6" s="409"/>
      <c r="AO6" s="409"/>
      <c r="AP6" s="409"/>
      <c r="AQ6" s="409"/>
      <c r="AR6" s="409"/>
      <c r="AS6" s="409"/>
      <c r="AT6" s="409">
        <f t="shared" si="0"/>
        <v>0</v>
      </c>
      <c r="AU6" s="409"/>
      <c r="AV6" s="409"/>
      <c r="AW6" s="409"/>
      <c r="AX6" s="409"/>
      <c r="AY6" s="409"/>
      <c r="AZ6" s="409"/>
      <c r="BA6" s="409"/>
      <c r="BB6" s="409"/>
      <c r="BC6" s="409"/>
      <c r="BD6" s="409"/>
      <c r="BE6" s="409"/>
      <c r="BF6" s="409"/>
      <c r="BG6" s="416"/>
      <c r="BH6" s="409">
        <v>0</v>
      </c>
      <c r="BI6" s="409">
        <v>447763.07</v>
      </c>
      <c r="BJ6" s="409">
        <v>681909.81</v>
      </c>
      <c r="BK6" s="409">
        <v>549134.83</v>
      </c>
      <c r="BL6" s="409">
        <v>0</v>
      </c>
      <c r="BM6" s="409">
        <v>0</v>
      </c>
      <c r="BN6" s="409"/>
      <c r="BO6" s="409"/>
      <c r="BP6" s="409">
        <v>132775</v>
      </c>
      <c r="BQ6" s="409"/>
      <c r="BR6" s="409"/>
      <c r="BS6" s="409"/>
      <c r="BT6" s="409">
        <v>295980.9</v>
      </c>
      <c r="BU6" s="409">
        <v>298636.4</v>
      </c>
      <c r="BV6" s="409">
        <v>26555</v>
      </c>
      <c r="BW6" s="409">
        <v>561530.9</v>
      </c>
      <c r="BX6" s="409"/>
      <c r="BY6" s="409"/>
      <c r="BZ6" s="409">
        <f t="shared" ref="BZ6:BZ36" si="2">AU6+BH6+BI6+BJ6+BK6+BL6+BM6+BN6+BO6+BP6+BQ6+BR6+BS6+BT6+BU6+BV6+BW6+BX6+BY6</f>
        <v>2994285.91</v>
      </c>
      <c r="CA6" s="430">
        <v>1918501</v>
      </c>
      <c r="CB6" s="416"/>
      <c r="CC6" s="356"/>
      <c r="CD6" s="356"/>
      <c r="CE6" s="310"/>
      <c r="CF6" s="310"/>
      <c r="CG6" s="310" t="s">
        <v>84</v>
      </c>
      <c r="CH6" s="441">
        <f>BZ6</f>
        <v>2994285.91</v>
      </c>
      <c r="CI6" s="441">
        <f t="shared" si="1"/>
        <v>1</v>
      </c>
      <c r="CJ6" s="441">
        <f>182213.07+549134.83</f>
        <v>731347.9</v>
      </c>
      <c r="CK6" s="441">
        <v>547459.81</v>
      </c>
      <c r="CL6" s="441"/>
      <c r="CM6" s="441">
        <v>532775</v>
      </c>
      <c r="CN6" s="441"/>
      <c r="CO6" s="441"/>
      <c r="CP6" s="441"/>
      <c r="CQ6" s="441">
        <v>295980.9</v>
      </c>
      <c r="CR6" s="441"/>
      <c r="CS6" s="441">
        <f>250000+75191.4</f>
        <v>325191.4</v>
      </c>
      <c r="CT6" s="441">
        <v>561530.9</v>
      </c>
      <c r="CU6" s="441">
        <f t="shared" ref="CU6:CU36" si="3">CH6-CJ6-CK6-CL6-CM6-CN6-CO6-CP6-CQ6-CR6-CS6-CT6</f>
        <v>0</v>
      </c>
      <c r="CV6" s="402">
        <f t="shared" ref="CV6:CV29" si="4">IF(CU6-BY6-BX6&lt;0,0,CU6-BY6-BX6)</f>
        <v>0</v>
      </c>
      <c r="CW6" s="402" t="s">
        <v>85</v>
      </c>
      <c r="CY6" s="101"/>
    </row>
    <row r="7" s="10" customFormat="1" ht="24.05" customHeight="1" spans="2:103">
      <c r="B7" s="384" t="s">
        <v>81</v>
      </c>
      <c r="C7" s="385" t="s">
        <v>88</v>
      </c>
      <c r="D7" s="386" t="s">
        <v>89</v>
      </c>
      <c r="E7" s="388">
        <v>4304521.28</v>
      </c>
      <c r="F7" s="388">
        <v>4892961.58</v>
      </c>
      <c r="G7" s="387">
        <v>5103831.3</v>
      </c>
      <c r="H7" s="387">
        <v>5080738.42</v>
      </c>
      <c r="I7" s="387">
        <v>5340551.96</v>
      </c>
      <c r="J7" s="387">
        <v>4679989.68</v>
      </c>
      <c r="K7" s="387">
        <v>4452410.29</v>
      </c>
      <c r="L7" s="387">
        <v>4531515.63</v>
      </c>
      <c r="M7" s="387">
        <v>4813282.31</v>
      </c>
      <c r="N7" s="387">
        <v>5213661.06</v>
      </c>
      <c r="O7" s="387">
        <v>5122119.61</v>
      </c>
      <c r="P7" s="387">
        <v>5541782.14</v>
      </c>
      <c r="Q7" s="387">
        <v>4351997.25</v>
      </c>
      <c r="R7" s="388">
        <v>855</v>
      </c>
      <c r="S7" s="388">
        <v>0</v>
      </c>
      <c r="T7" s="388">
        <v>1000000</v>
      </c>
      <c r="U7" s="402">
        <v>0</v>
      </c>
      <c r="V7" s="402">
        <v>1000000</v>
      </c>
      <c r="W7" s="402">
        <v>501300</v>
      </c>
      <c r="X7" s="402">
        <v>700000</v>
      </c>
      <c r="Y7" s="402">
        <v>1330</v>
      </c>
      <c r="Z7" s="402">
        <v>0</v>
      </c>
      <c r="AA7" s="402">
        <v>603000</v>
      </c>
      <c r="AB7" s="402">
        <v>0</v>
      </c>
      <c r="AC7" s="402">
        <v>1400000</v>
      </c>
      <c r="AD7" s="402">
        <v>201301.3</v>
      </c>
      <c r="AE7" s="402">
        <v>30900</v>
      </c>
      <c r="AF7" s="402">
        <v>707600</v>
      </c>
      <c r="AG7" s="402">
        <v>200000</v>
      </c>
      <c r="AH7" s="402">
        <v>600000</v>
      </c>
      <c r="AI7" s="409">
        <f t="shared" ref="AI7:AI13" si="5">E7-R7-S7-T7-U7-V7-W7-X7-Y7</f>
        <v>1101036.28</v>
      </c>
      <c r="AJ7" s="409">
        <f t="shared" ref="AJ7:AJ13" si="6">F7-S7-T7-U7-V7-W7-X7-Y7</f>
        <v>1690331.58</v>
      </c>
      <c r="AK7" s="409">
        <f t="shared" ref="AK7:AK13" si="7">G7-T7-U7-V7-W7-X7-Y7</f>
        <v>1901201.3</v>
      </c>
      <c r="AL7" s="409">
        <f t="shared" ref="AL7:AL13" si="8">H7-U7-V7-W7-X7-Y7-Z7-AA7</f>
        <v>2275108.42</v>
      </c>
      <c r="AM7" s="409">
        <f t="shared" ref="AM7:AM13" si="9">I7-V7-W7-X7-Y7-Z7-AA7-AB7-AC7</f>
        <v>1134921.96</v>
      </c>
      <c r="AN7" s="409">
        <f t="shared" ref="AN7:AN13" si="10">J7-W7-X7-Y7-Z7-AA7-AB7-AC7</f>
        <v>1474359.68</v>
      </c>
      <c r="AO7" s="409">
        <f t="shared" ref="AO7:AO13" si="11">K7-X7-Y7-Z7-AA7-AB7-AC7-AD7-AE7</f>
        <v>1515878.99</v>
      </c>
      <c r="AP7" s="409">
        <f t="shared" ref="AP7:AP13" si="12">L7-Y7-Z7-AA7-AB7-AC7-AD7-AE7</f>
        <v>2294984.33</v>
      </c>
      <c r="AQ7" s="409"/>
      <c r="AR7" s="409"/>
      <c r="AS7" s="409"/>
      <c r="AT7" s="409">
        <f t="shared" si="0"/>
        <v>3001980.84</v>
      </c>
      <c r="AU7" s="409"/>
      <c r="AV7" s="409">
        <v>589295.3</v>
      </c>
      <c r="AW7" s="409">
        <v>210869.72</v>
      </c>
      <c r="AX7" s="409">
        <v>976907.12</v>
      </c>
      <c r="AY7" s="409">
        <v>259813.54</v>
      </c>
      <c r="AZ7" s="409">
        <v>339437.72</v>
      </c>
      <c r="BA7" s="409">
        <v>273720.61</v>
      </c>
      <c r="BB7" s="409">
        <v>779105.34</v>
      </c>
      <c r="BC7" s="409">
        <v>283096.68</v>
      </c>
      <c r="BD7" s="409">
        <v>400378.75</v>
      </c>
      <c r="BE7" s="409">
        <v>511458.55</v>
      </c>
      <c r="BF7" s="409">
        <v>419662.53</v>
      </c>
      <c r="BG7" s="409">
        <v>210215.11</v>
      </c>
      <c r="BH7" s="409">
        <v>0</v>
      </c>
      <c r="BI7" s="409">
        <v>19634.08</v>
      </c>
      <c r="BJ7" s="409">
        <v>41685.7</v>
      </c>
      <c r="BK7" s="409">
        <v>51674.9</v>
      </c>
      <c r="BL7" s="409">
        <v>20554.7</v>
      </c>
      <c r="BM7" s="409">
        <v>88477.42</v>
      </c>
      <c r="BN7" s="409">
        <v>75687.4</v>
      </c>
      <c r="BO7" s="409"/>
      <c r="BP7" s="409"/>
      <c r="BQ7" s="409"/>
      <c r="BR7" s="409"/>
      <c r="BS7" s="409"/>
      <c r="BT7" s="409">
        <v>30351.8</v>
      </c>
      <c r="BU7" s="409"/>
      <c r="BV7" s="409"/>
      <c r="BW7" s="409"/>
      <c r="BX7" s="409"/>
      <c r="BY7" s="409"/>
      <c r="BZ7" s="409">
        <f t="shared" si="2"/>
        <v>328066</v>
      </c>
      <c r="CA7" s="409">
        <v>351407.22</v>
      </c>
      <c r="CB7" s="409"/>
      <c r="CC7" s="356"/>
      <c r="CD7" s="356"/>
      <c r="CE7" s="310"/>
      <c r="CF7" s="310"/>
      <c r="CG7" s="310" t="s">
        <v>84</v>
      </c>
      <c r="CH7" s="441">
        <f>BZ7</f>
        <v>328066</v>
      </c>
      <c r="CI7" s="441">
        <f t="shared" si="1"/>
        <v>1</v>
      </c>
      <c r="CJ7" s="441">
        <f>19593.2+41685.7+51674.9+40.88</f>
        <v>112994.68</v>
      </c>
      <c r="CK7" s="441"/>
      <c r="CL7" s="441">
        <v>88477.42</v>
      </c>
      <c r="CM7" s="441"/>
      <c r="CN7" s="441"/>
      <c r="CO7" s="441">
        <f>30000+50000</f>
        <v>80000</v>
      </c>
      <c r="CP7" s="441"/>
      <c r="CQ7" s="441"/>
      <c r="CR7" s="441">
        <v>25000</v>
      </c>
      <c r="CS7" s="441">
        <v>10000</v>
      </c>
      <c r="CT7" s="441">
        <v>11593.9</v>
      </c>
      <c r="CU7" s="441">
        <f t="shared" si="3"/>
        <v>-4.91127138957381e-11</v>
      </c>
      <c r="CV7" s="402">
        <f t="shared" si="4"/>
        <v>0</v>
      </c>
      <c r="CW7" s="402" t="s">
        <v>85</v>
      </c>
      <c r="CY7" s="101"/>
    </row>
    <row r="8" s="10" customFormat="1" ht="24.05" customHeight="1" spans="2:103">
      <c r="B8" s="384" t="s">
        <v>81</v>
      </c>
      <c r="C8" s="385" t="s">
        <v>90</v>
      </c>
      <c r="D8" s="386" t="s">
        <v>91</v>
      </c>
      <c r="E8" s="388">
        <v>2905780.04</v>
      </c>
      <c r="F8" s="388">
        <v>2346161.22</v>
      </c>
      <c r="G8" s="387">
        <v>3012275.11</v>
      </c>
      <c r="H8" s="387">
        <v>3064774.7</v>
      </c>
      <c r="I8" s="387">
        <v>2974070.08</v>
      </c>
      <c r="J8" s="387">
        <v>3477472.33</v>
      </c>
      <c r="K8" s="387">
        <v>3380421.07</v>
      </c>
      <c r="L8" s="387">
        <v>3386744.71</v>
      </c>
      <c r="M8" s="387">
        <v>3561228.68</v>
      </c>
      <c r="N8" s="387">
        <v>3981880.75</v>
      </c>
      <c r="O8" s="387">
        <v>4081138.55</v>
      </c>
      <c r="P8" s="387">
        <v>4393093.27</v>
      </c>
      <c r="Q8" s="387">
        <v>4171066.37</v>
      </c>
      <c r="R8" s="388">
        <v>1030000</v>
      </c>
      <c r="S8" s="388">
        <v>0</v>
      </c>
      <c r="T8" s="388">
        <v>400000</v>
      </c>
      <c r="U8" s="402">
        <v>500000</v>
      </c>
      <c r="V8" s="402">
        <v>0</v>
      </c>
      <c r="W8" s="402">
        <v>400000</v>
      </c>
      <c r="X8" s="402">
        <v>500000</v>
      </c>
      <c r="Y8" s="402">
        <v>100000</v>
      </c>
      <c r="Z8" s="402">
        <v>0</v>
      </c>
      <c r="AA8" s="402">
        <v>400000</v>
      </c>
      <c r="AB8" s="402">
        <v>200000</v>
      </c>
      <c r="AC8" s="402">
        <v>700000</v>
      </c>
      <c r="AD8" s="402">
        <v>500000</v>
      </c>
      <c r="AE8" s="402">
        <v>17897.2</v>
      </c>
      <c r="AF8" s="402">
        <v>829384.4</v>
      </c>
      <c r="AG8" s="402">
        <v>-162297.8</v>
      </c>
      <c r="AH8" s="402">
        <v>400000</v>
      </c>
      <c r="AI8" s="409">
        <f t="shared" si="5"/>
        <v>-24219.96</v>
      </c>
      <c r="AJ8" s="409">
        <f t="shared" si="6"/>
        <v>446161.22</v>
      </c>
      <c r="AK8" s="409">
        <f t="shared" si="7"/>
        <v>1112275.11</v>
      </c>
      <c r="AL8" s="409">
        <f t="shared" si="8"/>
        <v>1164774.7</v>
      </c>
      <c r="AM8" s="409">
        <f t="shared" si="9"/>
        <v>674070.08</v>
      </c>
      <c r="AN8" s="409">
        <f t="shared" si="10"/>
        <v>1177472.33</v>
      </c>
      <c r="AO8" s="409">
        <f t="shared" si="11"/>
        <v>962523.87</v>
      </c>
      <c r="AP8" s="409">
        <f t="shared" si="12"/>
        <v>1468847.51</v>
      </c>
      <c r="AQ8" s="409"/>
      <c r="AR8" s="409"/>
      <c r="AS8" s="409"/>
      <c r="AT8" s="409">
        <f t="shared" si="0"/>
        <v>2508109.47</v>
      </c>
      <c r="AU8" s="409"/>
      <c r="AV8" s="409">
        <v>470381.18</v>
      </c>
      <c r="AW8" s="409">
        <v>666113.89</v>
      </c>
      <c r="AX8" s="409">
        <v>452499.59</v>
      </c>
      <c r="AY8" s="409">
        <v>409295.38</v>
      </c>
      <c r="AZ8" s="409">
        <v>503402.25</v>
      </c>
      <c r="BA8" s="409">
        <v>302948.74</v>
      </c>
      <c r="BB8" s="409">
        <v>506323.64</v>
      </c>
      <c r="BC8" s="409">
        <v>274483.97</v>
      </c>
      <c r="BD8" s="409">
        <v>420652.07</v>
      </c>
      <c r="BE8" s="409">
        <v>499257.8</v>
      </c>
      <c r="BF8" s="409">
        <v>511954.72</v>
      </c>
      <c r="BG8" s="409">
        <v>477973.1</v>
      </c>
      <c r="BH8" s="409"/>
      <c r="BI8" s="409"/>
      <c r="BJ8" s="409"/>
      <c r="BK8" s="409"/>
      <c r="BL8" s="409">
        <v>188506.6</v>
      </c>
      <c r="BM8" s="409">
        <v>0</v>
      </c>
      <c r="BN8" s="409">
        <v>0</v>
      </c>
      <c r="BO8" s="409"/>
      <c r="BP8" s="409"/>
      <c r="BQ8" s="409"/>
      <c r="BR8" s="409"/>
      <c r="BS8" s="409"/>
      <c r="BT8" s="409">
        <f>67009+62941+20566</f>
        <v>150516</v>
      </c>
      <c r="BU8" s="409"/>
      <c r="BV8" s="409"/>
      <c r="BW8" s="409"/>
      <c r="BX8" s="409"/>
      <c r="BY8" s="409"/>
      <c r="BZ8" s="409">
        <f t="shared" si="2"/>
        <v>339022.6</v>
      </c>
      <c r="CA8" s="409">
        <v>803257.6</v>
      </c>
      <c r="CB8" s="409"/>
      <c r="CC8" s="356"/>
      <c r="CD8" s="356"/>
      <c r="CE8" s="310"/>
      <c r="CF8" s="310"/>
      <c r="CG8" s="310" t="s">
        <v>84</v>
      </c>
      <c r="CH8" s="441">
        <f t="shared" ref="CH8:CH36" si="13">BZ8</f>
        <v>339022.6</v>
      </c>
      <c r="CI8" s="441">
        <f t="shared" si="1"/>
        <v>1</v>
      </c>
      <c r="CJ8" s="441">
        <v>0</v>
      </c>
      <c r="CK8" s="441"/>
      <c r="CL8" s="441">
        <v>50000</v>
      </c>
      <c r="CM8" s="441">
        <v>50000</v>
      </c>
      <c r="CN8" s="441"/>
      <c r="CO8" s="441">
        <f>30000+50000</f>
        <v>80000</v>
      </c>
      <c r="CP8" s="441"/>
      <c r="CQ8" s="441">
        <v>8000</v>
      </c>
      <c r="CR8" s="441">
        <v>50000</v>
      </c>
      <c r="CS8" s="441">
        <v>50000</v>
      </c>
      <c r="CT8" s="441"/>
      <c r="CU8" s="441">
        <f t="shared" si="3"/>
        <v>51022.6</v>
      </c>
      <c r="CV8" s="402">
        <f t="shared" si="4"/>
        <v>51022.6</v>
      </c>
      <c r="CW8" s="402" t="s">
        <v>85</v>
      </c>
      <c r="CY8" s="101"/>
    </row>
    <row r="9" s="10" customFormat="1" ht="24.05" customHeight="1" spans="2:103">
      <c r="B9" s="384" t="s">
        <v>81</v>
      </c>
      <c r="C9" s="385" t="s">
        <v>92</v>
      </c>
      <c r="D9" s="386" t="s">
        <v>93</v>
      </c>
      <c r="E9" s="388">
        <v>2520333.98</v>
      </c>
      <c r="F9" s="388">
        <v>2547367.38</v>
      </c>
      <c r="G9" s="387">
        <v>2873716.8</v>
      </c>
      <c r="H9" s="387">
        <v>2034618.82</v>
      </c>
      <c r="I9" s="387">
        <v>1651001.42</v>
      </c>
      <c r="J9" s="387">
        <v>1850675.01</v>
      </c>
      <c r="K9" s="387">
        <v>1991190.21</v>
      </c>
      <c r="L9" s="387">
        <v>1898873.65</v>
      </c>
      <c r="M9" s="387">
        <v>2740149.02</v>
      </c>
      <c r="N9" s="387">
        <v>3322573.02</v>
      </c>
      <c r="O9" s="387">
        <v>3923994.15</v>
      </c>
      <c r="P9" s="387">
        <v>5393137.21</v>
      </c>
      <c r="Q9" s="387">
        <v>4713273.94</v>
      </c>
      <c r="R9" s="388">
        <v>721000</v>
      </c>
      <c r="S9" s="388">
        <v>0</v>
      </c>
      <c r="T9" s="388">
        <v>1000000</v>
      </c>
      <c r="U9" s="402">
        <v>500000</v>
      </c>
      <c r="V9" s="402">
        <v>0</v>
      </c>
      <c r="W9" s="402">
        <v>0</v>
      </c>
      <c r="X9" s="402">
        <v>500000</v>
      </c>
      <c r="Y9" s="402">
        <v>0</v>
      </c>
      <c r="Z9" s="402">
        <v>0</v>
      </c>
      <c r="AA9" s="402">
        <v>600000</v>
      </c>
      <c r="AB9" s="402">
        <v>200000</v>
      </c>
      <c r="AC9" s="402">
        <v>2000000</v>
      </c>
      <c r="AD9" s="402">
        <v>200000</v>
      </c>
      <c r="AE9" s="402">
        <v>392000</v>
      </c>
      <c r="AF9" s="402">
        <v>1130000</v>
      </c>
      <c r="AG9" s="402">
        <v>0</v>
      </c>
      <c r="AH9" s="402">
        <v>1050000</v>
      </c>
      <c r="AI9" s="409">
        <f t="shared" si="5"/>
        <v>-200666.02</v>
      </c>
      <c r="AJ9" s="409">
        <f t="shared" si="6"/>
        <v>547367.38</v>
      </c>
      <c r="AK9" s="409">
        <f t="shared" si="7"/>
        <v>873716.8</v>
      </c>
      <c r="AL9" s="409">
        <f t="shared" si="8"/>
        <v>434618.82</v>
      </c>
      <c r="AM9" s="409">
        <f t="shared" si="9"/>
        <v>-1648998.58</v>
      </c>
      <c r="AN9" s="409">
        <f t="shared" si="10"/>
        <v>-1449324.99</v>
      </c>
      <c r="AO9" s="409">
        <f t="shared" si="11"/>
        <v>-1900809.79</v>
      </c>
      <c r="AP9" s="409">
        <f t="shared" si="12"/>
        <v>-1493126.35</v>
      </c>
      <c r="AQ9" s="409"/>
      <c r="AR9" s="409"/>
      <c r="AS9" s="409"/>
      <c r="AT9" s="409">
        <f t="shared" si="0"/>
        <v>1671137.21</v>
      </c>
      <c r="AU9" s="409">
        <v>411.32</v>
      </c>
      <c r="AV9" s="409">
        <v>748033.4</v>
      </c>
      <c r="AW9" s="409">
        <v>326349.42</v>
      </c>
      <c r="AX9" s="409">
        <v>160902.02</v>
      </c>
      <c r="AY9" s="409">
        <v>116382.6</v>
      </c>
      <c r="AZ9" s="409">
        <v>199673.59</v>
      </c>
      <c r="BA9" s="409">
        <v>140515.2</v>
      </c>
      <c r="BB9" s="409">
        <v>407683.44</v>
      </c>
      <c r="BC9" s="409">
        <v>841275.37</v>
      </c>
      <c r="BD9" s="409">
        <v>582424</v>
      </c>
      <c r="BE9" s="409">
        <v>1201421.13</v>
      </c>
      <c r="BF9" s="409">
        <v>1669143.06</v>
      </c>
      <c r="BG9" s="409">
        <v>1320136.73</v>
      </c>
      <c r="BH9" s="409"/>
      <c r="BI9" s="409"/>
      <c r="BJ9" s="409"/>
      <c r="BK9" s="409"/>
      <c r="BL9" s="409"/>
      <c r="BM9" s="409"/>
      <c r="BN9" s="409"/>
      <c r="BO9" s="409"/>
      <c r="BP9" s="409"/>
      <c r="BQ9" s="409"/>
      <c r="BR9" s="409"/>
      <c r="BS9" s="409"/>
      <c r="BT9" s="409"/>
      <c r="BU9" s="409"/>
      <c r="BV9" s="409"/>
      <c r="BW9" s="409"/>
      <c r="BX9" s="409"/>
      <c r="BY9" s="409"/>
      <c r="BZ9" s="409">
        <f t="shared" si="2"/>
        <v>411.32</v>
      </c>
      <c r="CA9" s="409">
        <v>980251.74</v>
      </c>
      <c r="CB9" s="409"/>
      <c r="CC9" s="356"/>
      <c r="CD9" s="356"/>
      <c r="CE9" s="310"/>
      <c r="CF9" s="310"/>
      <c r="CG9" s="310" t="s">
        <v>84</v>
      </c>
      <c r="CH9" s="441">
        <f t="shared" si="13"/>
        <v>411.32</v>
      </c>
      <c r="CI9" s="441">
        <f t="shared" si="1"/>
        <v>1</v>
      </c>
      <c r="CJ9" s="441">
        <v>411.32</v>
      </c>
      <c r="CK9" s="441"/>
      <c r="CL9" s="441"/>
      <c r="CM9" s="441"/>
      <c r="CN9" s="441"/>
      <c r="CO9" s="441"/>
      <c r="CP9" s="441"/>
      <c r="CQ9" s="441"/>
      <c r="CR9" s="441"/>
      <c r="CS9" s="441"/>
      <c r="CT9" s="441"/>
      <c r="CU9" s="441">
        <f t="shared" si="3"/>
        <v>0</v>
      </c>
      <c r="CV9" s="402">
        <f t="shared" si="4"/>
        <v>0</v>
      </c>
      <c r="CW9" s="402" t="s">
        <v>85</v>
      </c>
      <c r="CY9" s="101"/>
    </row>
    <row r="10" s="10" customFormat="1" ht="24.05" customHeight="1" spans="2:103">
      <c r="B10" s="384" t="s">
        <v>81</v>
      </c>
      <c r="C10" s="385" t="s">
        <v>94</v>
      </c>
      <c r="D10" s="386" t="s">
        <v>95</v>
      </c>
      <c r="E10" s="388">
        <v>1617237.13</v>
      </c>
      <c r="F10" s="388">
        <v>1587881.47</v>
      </c>
      <c r="G10" s="387">
        <v>1801075.59</v>
      </c>
      <c r="H10" s="387">
        <v>1501075.59</v>
      </c>
      <c r="I10" s="387">
        <v>1990948.53</v>
      </c>
      <c r="J10" s="387">
        <v>1916209.63</v>
      </c>
      <c r="K10" s="387">
        <v>1872584.46</v>
      </c>
      <c r="L10" s="387">
        <v>2149683.38</v>
      </c>
      <c r="M10" s="387">
        <v>2031935</v>
      </c>
      <c r="N10" s="387">
        <v>2358624.27</v>
      </c>
      <c r="O10" s="387">
        <v>2442588.21</v>
      </c>
      <c r="P10" s="387">
        <v>2626768.37</v>
      </c>
      <c r="Q10" s="387">
        <v>2344089.4</v>
      </c>
      <c r="R10" s="388">
        <v>412000</v>
      </c>
      <c r="S10" s="388">
        <v>0</v>
      </c>
      <c r="T10" s="388">
        <v>300000</v>
      </c>
      <c r="U10" s="402">
        <v>0</v>
      </c>
      <c r="V10" s="402">
        <v>300000</v>
      </c>
      <c r="W10" s="402">
        <v>350000</v>
      </c>
      <c r="X10" s="402"/>
      <c r="Y10" s="402">
        <v>350000</v>
      </c>
      <c r="Z10" s="402">
        <v>0</v>
      </c>
      <c r="AA10" s="402">
        <v>280000</v>
      </c>
      <c r="AB10" s="402">
        <v>0</v>
      </c>
      <c r="AC10" s="402">
        <v>550000</v>
      </c>
      <c r="AD10" s="402"/>
      <c r="AE10" s="402"/>
      <c r="AF10" s="402">
        <v>400000</v>
      </c>
      <c r="AG10" s="402">
        <v>170000</v>
      </c>
      <c r="AH10" s="402">
        <v>100000</v>
      </c>
      <c r="AI10" s="409">
        <f t="shared" si="5"/>
        <v>-94762.8700000001</v>
      </c>
      <c r="AJ10" s="409">
        <f t="shared" si="6"/>
        <v>287881.47</v>
      </c>
      <c r="AK10" s="409">
        <f t="shared" si="7"/>
        <v>501075.59</v>
      </c>
      <c r="AL10" s="409">
        <f t="shared" si="8"/>
        <v>221075.59</v>
      </c>
      <c r="AM10" s="409">
        <f t="shared" si="9"/>
        <v>160948.53</v>
      </c>
      <c r="AN10" s="409">
        <f t="shared" si="10"/>
        <v>386209.63</v>
      </c>
      <c r="AO10" s="409">
        <f t="shared" si="11"/>
        <v>692584.46</v>
      </c>
      <c r="AP10" s="409">
        <f t="shared" si="12"/>
        <v>969683.38</v>
      </c>
      <c r="AQ10" s="409"/>
      <c r="AR10" s="409"/>
      <c r="AS10" s="409"/>
      <c r="AT10" s="409">
        <f t="shared" si="0"/>
        <v>1506768.37</v>
      </c>
      <c r="AU10" s="409">
        <v>0</v>
      </c>
      <c r="AV10" s="409">
        <v>382644.34</v>
      </c>
      <c r="AW10" s="409">
        <v>213194.12</v>
      </c>
      <c r="AX10" s="409"/>
      <c r="AY10" s="409">
        <v>489872.94</v>
      </c>
      <c r="AZ10" s="409">
        <v>225261.1</v>
      </c>
      <c r="BA10" s="409">
        <v>306374.83</v>
      </c>
      <c r="BB10" s="409">
        <v>277098.92</v>
      </c>
      <c r="BC10" s="409">
        <v>232251.62</v>
      </c>
      <c r="BD10" s="409">
        <v>326689.27</v>
      </c>
      <c r="BE10" s="409">
        <v>363963.94</v>
      </c>
      <c r="BF10" s="409">
        <v>184180.16</v>
      </c>
      <c r="BG10" s="409">
        <v>267321.03</v>
      </c>
      <c r="BH10" s="409"/>
      <c r="BI10" s="409"/>
      <c r="BJ10" s="409"/>
      <c r="BK10" s="409"/>
      <c r="BL10" s="409"/>
      <c r="BM10" s="409">
        <v>10735</v>
      </c>
      <c r="BN10" s="409"/>
      <c r="BO10" s="409"/>
      <c r="BP10" s="409"/>
      <c r="BQ10" s="409"/>
      <c r="BR10" s="409"/>
      <c r="BS10" s="409"/>
      <c r="BT10" s="409"/>
      <c r="BU10" s="409"/>
      <c r="BV10" s="409"/>
      <c r="BW10" s="409"/>
      <c r="BX10" s="409"/>
      <c r="BY10" s="409"/>
      <c r="BZ10" s="409">
        <f t="shared" si="2"/>
        <v>10735</v>
      </c>
      <c r="CA10" s="409">
        <v>212014.83</v>
      </c>
      <c r="CB10" s="409"/>
      <c r="CC10" s="356"/>
      <c r="CD10" s="356"/>
      <c r="CE10" s="310"/>
      <c r="CF10" s="310"/>
      <c r="CG10" s="310" t="s">
        <v>84</v>
      </c>
      <c r="CH10" s="441">
        <f t="shared" si="13"/>
        <v>10735</v>
      </c>
      <c r="CI10" s="441">
        <f t="shared" si="1"/>
        <v>1</v>
      </c>
      <c r="CJ10" s="441">
        <v>10735</v>
      </c>
      <c r="CK10" s="441"/>
      <c r="CL10" s="441"/>
      <c r="CM10" s="441"/>
      <c r="CN10" s="441"/>
      <c r="CO10" s="441"/>
      <c r="CP10" s="441"/>
      <c r="CQ10" s="441"/>
      <c r="CR10" s="441"/>
      <c r="CS10" s="441"/>
      <c r="CT10" s="441"/>
      <c r="CU10" s="441">
        <f t="shared" si="3"/>
        <v>0</v>
      </c>
      <c r="CV10" s="402">
        <f>CU10-BW10-BX10</f>
        <v>0</v>
      </c>
      <c r="CW10" s="402" t="s">
        <v>96</v>
      </c>
      <c r="CY10" s="101"/>
    </row>
    <row r="11" s="10" customFormat="1" ht="24.05" customHeight="1" spans="2:103">
      <c r="B11" s="384" t="s">
        <v>81</v>
      </c>
      <c r="C11" s="385" t="s">
        <v>97</v>
      </c>
      <c r="D11" s="386" t="s">
        <v>98</v>
      </c>
      <c r="E11" s="388">
        <v>1309036.87</v>
      </c>
      <c r="F11" s="388">
        <v>1600881.53</v>
      </c>
      <c r="G11" s="387">
        <v>1566714.49</v>
      </c>
      <c r="H11" s="387">
        <v>1359630.87</v>
      </c>
      <c r="I11" s="387">
        <v>1586478.1</v>
      </c>
      <c r="J11" s="387">
        <v>1599877.12</v>
      </c>
      <c r="K11" s="387">
        <v>1434908.17</v>
      </c>
      <c r="L11" s="387">
        <v>2118266.36</v>
      </c>
      <c r="M11" s="387">
        <v>2152748.86</v>
      </c>
      <c r="N11" s="387">
        <v>2341616.98</v>
      </c>
      <c r="O11" s="387">
        <v>2527439.32</v>
      </c>
      <c r="P11" s="387">
        <v>2837549.93</v>
      </c>
      <c r="Q11" s="387">
        <v>2827844.14</v>
      </c>
      <c r="R11" s="388">
        <v>0</v>
      </c>
      <c r="S11" s="388">
        <v>200000</v>
      </c>
      <c r="T11" s="388">
        <v>400000</v>
      </c>
      <c r="U11" s="402"/>
      <c r="V11" s="402">
        <v>200000</v>
      </c>
      <c r="W11" s="402">
        <v>485000</v>
      </c>
      <c r="X11" s="402"/>
      <c r="Y11" s="402">
        <v>200000</v>
      </c>
      <c r="Z11" s="402">
        <v>95000</v>
      </c>
      <c r="AA11" s="402">
        <v>300000</v>
      </c>
      <c r="AB11" s="402">
        <v>100000</v>
      </c>
      <c r="AC11" s="402">
        <v>450000</v>
      </c>
      <c r="AD11" s="402">
        <v>100000</v>
      </c>
      <c r="AE11" s="402">
        <v>100000</v>
      </c>
      <c r="AF11" s="402">
        <v>272035</v>
      </c>
      <c r="AG11" s="402">
        <v>180312.5</v>
      </c>
      <c r="AH11" s="402">
        <v>400000</v>
      </c>
      <c r="AI11" s="409">
        <f t="shared" si="5"/>
        <v>-175963.13</v>
      </c>
      <c r="AJ11" s="409">
        <f t="shared" si="6"/>
        <v>115881.53</v>
      </c>
      <c r="AK11" s="409">
        <f t="shared" si="7"/>
        <v>281714.49</v>
      </c>
      <c r="AL11" s="409">
        <f t="shared" si="8"/>
        <v>79630.8700000001</v>
      </c>
      <c r="AM11" s="409">
        <f t="shared" si="9"/>
        <v>-243521.9</v>
      </c>
      <c r="AN11" s="409">
        <f t="shared" si="10"/>
        <v>-30122.8799999999</v>
      </c>
      <c r="AO11" s="409">
        <f t="shared" si="11"/>
        <v>89908.1699999999</v>
      </c>
      <c r="AP11" s="409">
        <f t="shared" si="12"/>
        <v>773266.36</v>
      </c>
      <c r="AQ11" s="409"/>
      <c r="AR11" s="409"/>
      <c r="AS11" s="409"/>
      <c r="AT11" s="409">
        <f t="shared" si="0"/>
        <v>1735202.43</v>
      </c>
      <c r="AU11" s="409"/>
      <c r="AV11" s="409">
        <v>291844.66</v>
      </c>
      <c r="AW11" s="409">
        <v>165832.96</v>
      </c>
      <c r="AX11" s="409">
        <v>192916.38</v>
      </c>
      <c r="AY11" s="409">
        <v>226847.23</v>
      </c>
      <c r="AZ11" s="409">
        <v>213399.02</v>
      </c>
      <c r="BA11" s="409">
        <v>335031.05</v>
      </c>
      <c r="BB11" s="409">
        <v>683358.19</v>
      </c>
      <c r="BC11" s="409">
        <v>234482.5</v>
      </c>
      <c r="BD11" s="409">
        <v>283868.12</v>
      </c>
      <c r="BE11" s="409">
        <v>485822.34</v>
      </c>
      <c r="BF11" s="409">
        <v>410110.61</v>
      </c>
      <c r="BG11" s="409">
        <v>440294.21</v>
      </c>
      <c r="BH11" s="409">
        <v>2169.6</v>
      </c>
      <c r="BI11" s="409">
        <v>7458</v>
      </c>
      <c r="BJ11" s="409">
        <v>29312.2</v>
      </c>
      <c r="BK11" s="409">
        <v>0</v>
      </c>
      <c r="BL11" s="409">
        <v>41086.8</v>
      </c>
      <c r="BM11" s="409">
        <v>16882.2</v>
      </c>
      <c r="BN11" s="409">
        <v>10170</v>
      </c>
      <c r="BO11" s="409">
        <v>20340</v>
      </c>
      <c r="BP11" s="409"/>
      <c r="BQ11" s="409"/>
      <c r="BR11" s="409"/>
      <c r="BS11" s="409"/>
      <c r="BT11" s="409"/>
      <c r="BU11" s="409"/>
      <c r="BV11" s="409"/>
      <c r="BW11" s="409"/>
      <c r="BX11" s="409"/>
      <c r="BY11" s="409"/>
      <c r="BZ11" s="409">
        <f t="shared" si="2"/>
        <v>127418.8</v>
      </c>
      <c r="CA11" s="409">
        <v>217405.24</v>
      </c>
      <c r="CB11" s="409"/>
      <c r="CC11" s="356"/>
      <c r="CD11" s="356"/>
      <c r="CE11" s="310"/>
      <c r="CF11" s="310"/>
      <c r="CG11" s="310" t="s">
        <v>84</v>
      </c>
      <c r="CH11" s="441">
        <f t="shared" si="13"/>
        <v>127418.8</v>
      </c>
      <c r="CI11" s="441">
        <f t="shared" si="1"/>
        <v>1</v>
      </c>
      <c r="CJ11" s="441">
        <v>9627.6</v>
      </c>
      <c r="CK11" s="441"/>
      <c r="CL11" s="441">
        <v>40000</v>
      </c>
      <c r="CM11" s="441">
        <v>30000</v>
      </c>
      <c r="CN11" s="441"/>
      <c r="CO11" s="441">
        <v>30000</v>
      </c>
      <c r="CP11" s="441"/>
      <c r="CQ11" s="441">
        <v>17791.2</v>
      </c>
      <c r="CR11" s="441"/>
      <c r="CS11" s="441"/>
      <c r="CT11" s="441"/>
      <c r="CU11" s="441">
        <f t="shared" si="3"/>
        <v>0</v>
      </c>
      <c r="CV11" s="402">
        <f t="shared" si="4"/>
        <v>0</v>
      </c>
      <c r="CW11" s="402" t="s">
        <v>85</v>
      </c>
      <c r="CY11" s="101"/>
    </row>
    <row r="12" s="10" customFormat="1" ht="24.05" customHeight="1" spans="2:103">
      <c r="B12" s="384" t="s">
        <v>81</v>
      </c>
      <c r="C12" s="385" t="s">
        <v>99</v>
      </c>
      <c r="D12" s="386" t="s">
        <v>100</v>
      </c>
      <c r="E12" s="388">
        <v>836579.35</v>
      </c>
      <c r="F12" s="388">
        <v>836579.35</v>
      </c>
      <c r="G12" s="387">
        <v>1590596.91</v>
      </c>
      <c r="H12" s="387">
        <v>1860409.89</v>
      </c>
      <c r="I12" s="387">
        <v>1360409.89</v>
      </c>
      <c r="J12" s="387">
        <v>1661907.57</v>
      </c>
      <c r="K12" s="387">
        <v>1927609.19</v>
      </c>
      <c r="L12" s="387">
        <v>927609.19</v>
      </c>
      <c r="M12" s="387">
        <v>927609.19</v>
      </c>
      <c r="N12" s="387">
        <v>627609.19</v>
      </c>
      <c r="O12" s="387">
        <v>327609.19</v>
      </c>
      <c r="P12" s="387">
        <v>1413158.32</v>
      </c>
      <c r="Q12" s="387">
        <v>970967.72</v>
      </c>
      <c r="R12" s="388"/>
      <c r="S12" s="388">
        <v>150000</v>
      </c>
      <c r="T12" s="388">
        <v>300000</v>
      </c>
      <c r="U12" s="402">
        <v>500000</v>
      </c>
      <c r="V12" s="402">
        <v>500000</v>
      </c>
      <c r="W12" s="402"/>
      <c r="X12" s="402">
        <v>1000000</v>
      </c>
      <c r="Y12" s="402"/>
      <c r="Z12" s="402">
        <v>300000</v>
      </c>
      <c r="AA12" s="402">
        <v>300000</v>
      </c>
      <c r="AB12" s="402"/>
      <c r="AC12" s="402">
        <v>750000</v>
      </c>
      <c r="AD12" s="402">
        <v>300000</v>
      </c>
      <c r="AE12" s="402"/>
      <c r="AF12" s="402">
        <v>200000</v>
      </c>
      <c r="AG12" s="402">
        <v>300000</v>
      </c>
      <c r="AH12" s="402">
        <v>200000</v>
      </c>
      <c r="AI12" s="409">
        <f t="shared" si="5"/>
        <v>-1613420.65</v>
      </c>
      <c r="AJ12" s="409">
        <f t="shared" si="6"/>
        <v>-1613420.65</v>
      </c>
      <c r="AK12" s="409">
        <f t="shared" si="7"/>
        <v>-709403.09</v>
      </c>
      <c r="AL12" s="409">
        <f t="shared" si="8"/>
        <v>-739590.11</v>
      </c>
      <c r="AM12" s="409">
        <f t="shared" si="9"/>
        <v>-1489590.11</v>
      </c>
      <c r="AN12" s="409">
        <f t="shared" si="10"/>
        <v>-688092.43</v>
      </c>
      <c r="AO12" s="409">
        <f t="shared" si="11"/>
        <v>-722390.81</v>
      </c>
      <c r="AP12" s="409">
        <f t="shared" si="12"/>
        <v>-722390.81</v>
      </c>
      <c r="AQ12" s="409"/>
      <c r="AR12" s="409"/>
      <c r="AS12" s="409"/>
      <c r="AT12" s="409">
        <f t="shared" si="0"/>
        <v>-136841.68</v>
      </c>
      <c r="AU12" s="409"/>
      <c r="AV12" s="409"/>
      <c r="AW12" s="409">
        <v>904017.56</v>
      </c>
      <c r="AX12" s="409">
        <v>569812.98</v>
      </c>
      <c r="AY12" s="409"/>
      <c r="AZ12" s="409">
        <v>801497.68</v>
      </c>
      <c r="BA12" s="409">
        <v>265701.62</v>
      </c>
      <c r="BB12" s="409"/>
      <c r="BC12" s="409"/>
      <c r="BD12" s="409"/>
      <c r="BE12" s="409"/>
      <c r="BF12" s="409">
        <v>1085549.13</v>
      </c>
      <c r="BG12" s="409">
        <v>307809.4</v>
      </c>
      <c r="BH12" s="409">
        <v>25764</v>
      </c>
      <c r="BI12" s="409">
        <v>25764</v>
      </c>
      <c r="BJ12" s="409">
        <v>137803.5</v>
      </c>
      <c r="BK12" s="409"/>
      <c r="BL12" s="409"/>
      <c r="BM12" s="409"/>
      <c r="BN12" s="409">
        <v>432507.5</v>
      </c>
      <c r="BO12" s="409">
        <v>128255</v>
      </c>
      <c r="BP12" s="409">
        <v>275607</v>
      </c>
      <c r="BQ12" s="409"/>
      <c r="BR12" s="409">
        <v>171195</v>
      </c>
      <c r="BS12" s="409"/>
      <c r="BT12" s="409">
        <v>76275</v>
      </c>
      <c r="BU12" s="409"/>
      <c r="BV12" s="409">
        <v>25425</v>
      </c>
      <c r="BW12" s="409">
        <v>9322.5</v>
      </c>
      <c r="BX12" s="409"/>
      <c r="BY12" s="409"/>
      <c r="BZ12" s="409">
        <f t="shared" si="2"/>
        <v>1307918.5</v>
      </c>
      <c r="CA12" s="409">
        <v>0</v>
      </c>
      <c r="CB12" s="409"/>
      <c r="CC12" s="356"/>
      <c r="CD12" s="356"/>
      <c r="CE12" s="310"/>
      <c r="CF12" s="310"/>
      <c r="CG12" s="310" t="s">
        <v>84</v>
      </c>
      <c r="CH12" s="441">
        <f t="shared" si="13"/>
        <v>1307918.5</v>
      </c>
      <c r="CI12" s="441">
        <f t="shared" si="1"/>
        <v>1</v>
      </c>
      <c r="CJ12" s="441">
        <f>189331.5</f>
        <v>189331.5</v>
      </c>
      <c r="CK12" s="441">
        <v>150000</v>
      </c>
      <c r="CL12" s="441">
        <v>82507.5</v>
      </c>
      <c r="CM12" s="441">
        <v>328255</v>
      </c>
      <c r="CN12" s="441"/>
      <c r="CO12" s="441">
        <f>100000+180000</f>
        <v>280000</v>
      </c>
      <c r="CP12" s="441"/>
      <c r="CQ12" s="441">
        <f>50000+116802</f>
        <v>166802</v>
      </c>
      <c r="CR12" s="441"/>
      <c r="CS12" s="441">
        <v>50000</v>
      </c>
      <c r="CT12" s="441">
        <f>51700+9322.5</f>
        <v>61022.5</v>
      </c>
      <c r="CU12" s="441">
        <f t="shared" si="3"/>
        <v>0</v>
      </c>
      <c r="CV12" s="402">
        <f>CU12-BX12</f>
        <v>0</v>
      </c>
      <c r="CW12" s="402" t="s">
        <v>101</v>
      </c>
      <c r="CY12" s="101"/>
    </row>
    <row r="13" s="10" customFormat="1" ht="24.05" customHeight="1" spans="2:103">
      <c r="B13" s="384" t="s">
        <v>81</v>
      </c>
      <c r="C13" s="385" t="s">
        <v>105</v>
      </c>
      <c r="D13" s="386" t="s">
        <v>106</v>
      </c>
      <c r="E13" s="388">
        <v>1498539.37</v>
      </c>
      <c r="F13" s="388">
        <v>1833556.83</v>
      </c>
      <c r="G13" s="387">
        <v>1783994.71</v>
      </c>
      <c r="H13" s="387">
        <v>1731445.82</v>
      </c>
      <c r="I13" s="387">
        <v>1496251.57</v>
      </c>
      <c r="J13" s="387">
        <v>1879297.55</v>
      </c>
      <c r="K13" s="387">
        <v>1647417.69</v>
      </c>
      <c r="L13" s="387">
        <v>1620500.94</v>
      </c>
      <c r="M13" s="387">
        <v>1837806.72</v>
      </c>
      <c r="N13" s="387">
        <v>2145443.28</v>
      </c>
      <c r="O13" s="387">
        <v>1264344.7</v>
      </c>
      <c r="P13" s="387">
        <v>1632954.85</v>
      </c>
      <c r="Q13" s="387">
        <v>1560168.6</v>
      </c>
      <c r="R13" s="388">
        <v>0</v>
      </c>
      <c r="S13" s="388">
        <v>313641</v>
      </c>
      <c r="T13" s="388">
        <v>322673.16</v>
      </c>
      <c r="U13" s="402">
        <v>525507.01</v>
      </c>
      <c r="V13" s="402"/>
      <c r="W13" s="402">
        <v>613364.31</v>
      </c>
      <c r="X13" s="402">
        <v>400000</v>
      </c>
      <c r="Y13" s="402">
        <v>60604.21</v>
      </c>
      <c r="Z13" s="402">
        <v>53693.69</v>
      </c>
      <c r="AA13" s="402">
        <v>1250000</v>
      </c>
      <c r="AB13" s="402">
        <v>0</v>
      </c>
      <c r="AC13" s="402">
        <v>450000</v>
      </c>
      <c r="AD13" s="402">
        <v>351189.16</v>
      </c>
      <c r="AE13" s="402"/>
      <c r="AF13" s="402">
        <v>268116.33</v>
      </c>
      <c r="AG13" s="402">
        <v>50000</v>
      </c>
      <c r="AH13" s="402">
        <v>200000</v>
      </c>
      <c r="AI13" s="409">
        <f t="shared" si="5"/>
        <v>-737250.32</v>
      </c>
      <c r="AJ13" s="409">
        <f t="shared" si="6"/>
        <v>-402232.86</v>
      </c>
      <c r="AK13" s="409">
        <f t="shared" si="7"/>
        <v>-138153.98</v>
      </c>
      <c r="AL13" s="409">
        <f t="shared" si="8"/>
        <v>-1171723.4</v>
      </c>
      <c r="AM13" s="409">
        <f t="shared" si="9"/>
        <v>-1331410.64</v>
      </c>
      <c r="AN13" s="409">
        <f t="shared" si="10"/>
        <v>-948364.66</v>
      </c>
      <c r="AO13" s="409">
        <f t="shared" si="11"/>
        <v>-918069.37</v>
      </c>
      <c r="AP13" s="409">
        <f t="shared" si="12"/>
        <v>-544986.12</v>
      </c>
      <c r="AQ13" s="409"/>
      <c r="AR13" s="409"/>
      <c r="AS13" s="409"/>
      <c r="AT13" s="409">
        <f t="shared" si="0"/>
        <v>513649.36</v>
      </c>
      <c r="AU13" s="409"/>
      <c r="AV13" s="409">
        <v>335017.46</v>
      </c>
      <c r="AW13" s="409">
        <v>264078.88</v>
      </c>
      <c r="AX13" s="409">
        <v>270124.27</v>
      </c>
      <c r="AY13" s="409">
        <v>290312.76</v>
      </c>
      <c r="AZ13" s="409">
        <v>383045.98</v>
      </c>
      <c r="BA13" s="409">
        <v>381484.45</v>
      </c>
      <c r="BB13" s="409">
        <v>373083.25</v>
      </c>
      <c r="BC13" s="409">
        <v>277909.99</v>
      </c>
      <c r="BD13" s="409">
        <v>361330.25</v>
      </c>
      <c r="BE13" s="409">
        <v>368901.42</v>
      </c>
      <c r="BF13" s="409">
        <v>368610.15</v>
      </c>
      <c r="BG13" s="409">
        <v>377213.75</v>
      </c>
      <c r="BH13" s="409">
        <v>17290.13</v>
      </c>
      <c r="BI13" s="409">
        <v>66518.11</v>
      </c>
      <c r="BJ13" s="409">
        <v>191765.52</v>
      </c>
      <c r="BK13" s="409">
        <v>180562.61</v>
      </c>
      <c r="BL13" s="409">
        <v>224393.49</v>
      </c>
      <c r="BM13" s="409"/>
      <c r="BN13" s="409">
        <v>222983.92</v>
      </c>
      <c r="BO13" s="409">
        <v>143494.68</v>
      </c>
      <c r="BP13" s="409"/>
      <c r="BQ13" s="409">
        <v>110359.91</v>
      </c>
      <c r="BR13" s="409">
        <v>59522.97</v>
      </c>
      <c r="BS13" s="409">
        <v>29092.89</v>
      </c>
      <c r="BT13" s="409">
        <v>77544.75</v>
      </c>
      <c r="BU13" s="409"/>
      <c r="BV13" s="409">
        <v>115246.48</v>
      </c>
      <c r="BW13" s="409">
        <v>127463.01</v>
      </c>
      <c r="BX13" s="409"/>
      <c r="BY13" s="409"/>
      <c r="BZ13" s="409">
        <f t="shared" si="2"/>
        <v>1566238.47</v>
      </c>
      <c r="CA13" s="409">
        <v>454636.08</v>
      </c>
      <c r="CB13" s="409"/>
      <c r="CC13" s="356"/>
      <c r="CD13" s="356"/>
      <c r="CE13" s="310"/>
      <c r="CF13" s="310"/>
      <c r="CG13" s="310" t="s">
        <v>84</v>
      </c>
      <c r="CH13" s="441">
        <f t="shared" si="13"/>
        <v>1566238.47</v>
      </c>
      <c r="CI13" s="441">
        <f t="shared" si="1"/>
        <v>1</v>
      </c>
      <c r="CJ13" s="441">
        <f>23453.9+438846.54-6164.07</f>
        <v>456136.37</v>
      </c>
      <c r="CK13" s="441">
        <v>120000</v>
      </c>
      <c r="CL13" s="441">
        <f>104393.49+157704.65</f>
        <v>262098.14</v>
      </c>
      <c r="CM13" s="441">
        <v>60000</v>
      </c>
      <c r="CN13" s="441"/>
      <c r="CO13" s="441">
        <f>90000+100000</f>
        <v>190000</v>
      </c>
      <c r="CP13" s="441"/>
      <c r="CQ13" s="441">
        <v>75000</v>
      </c>
      <c r="CR13" s="441">
        <v>60000</v>
      </c>
      <c r="CS13" s="441">
        <v>80000</v>
      </c>
      <c r="CT13" s="441">
        <f>80000+100000</f>
        <v>180000</v>
      </c>
      <c r="CU13" s="441">
        <f t="shared" si="3"/>
        <v>83003.9599999996</v>
      </c>
      <c r="CV13" s="402">
        <f t="shared" si="4"/>
        <v>83003.9599999996</v>
      </c>
      <c r="CW13" s="402" t="s">
        <v>85</v>
      </c>
      <c r="CY13" s="101"/>
    </row>
    <row r="14" s="10" customFormat="1" ht="24.05" customHeight="1" spans="2:103">
      <c r="B14" s="384" t="s">
        <v>81</v>
      </c>
      <c r="C14" s="385" t="s">
        <v>107</v>
      </c>
      <c r="D14" s="386" t="s">
        <v>108</v>
      </c>
      <c r="E14" s="388"/>
      <c r="F14" s="388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8"/>
      <c r="S14" s="388"/>
      <c r="T14" s="388"/>
      <c r="U14" s="402"/>
      <c r="V14" s="402"/>
      <c r="W14" s="402"/>
      <c r="X14" s="402"/>
      <c r="Y14" s="402"/>
      <c r="Z14" s="402"/>
      <c r="AA14" s="402"/>
      <c r="AB14" s="402"/>
      <c r="AC14" s="402"/>
      <c r="AD14" s="402"/>
      <c r="AE14" s="402"/>
      <c r="AF14" s="402"/>
      <c r="AG14" s="402"/>
      <c r="AH14" s="402"/>
      <c r="AI14" s="409"/>
      <c r="AJ14" s="409"/>
      <c r="AK14" s="409"/>
      <c r="AL14" s="409"/>
      <c r="AM14" s="409"/>
      <c r="AN14" s="409"/>
      <c r="AO14" s="409"/>
      <c r="AP14" s="409"/>
      <c r="AQ14" s="409"/>
      <c r="AR14" s="409"/>
      <c r="AS14" s="409"/>
      <c r="AT14" s="409"/>
      <c r="AU14" s="409">
        <v>9153</v>
      </c>
      <c r="AV14" s="409"/>
      <c r="AW14" s="409"/>
      <c r="AX14" s="409"/>
      <c r="AY14" s="409"/>
      <c r="AZ14" s="409"/>
      <c r="BA14" s="409"/>
      <c r="BB14" s="409"/>
      <c r="BC14" s="409"/>
      <c r="BD14" s="409"/>
      <c r="BE14" s="409"/>
      <c r="BF14" s="409"/>
      <c r="BG14" s="409"/>
      <c r="BH14" s="409">
        <v>146662.52</v>
      </c>
      <c r="BI14" s="409">
        <v>330679.58</v>
      </c>
      <c r="BJ14" s="409">
        <v>551132.64</v>
      </c>
      <c r="BK14" s="409">
        <v>440714.75</v>
      </c>
      <c r="BL14" s="409">
        <v>595223.25</v>
      </c>
      <c r="BM14" s="409"/>
      <c r="BN14" s="409">
        <v>317309.51</v>
      </c>
      <c r="BO14" s="409">
        <v>101959.54</v>
      </c>
      <c r="BP14" s="409"/>
      <c r="BQ14" s="409">
        <f>540572.52+206674.74</f>
        <v>747247.26</v>
      </c>
      <c r="BR14" s="409"/>
      <c r="BS14" s="409">
        <v>92069.42</v>
      </c>
      <c r="BT14" s="409">
        <v>574377.78</v>
      </c>
      <c r="BU14" s="409">
        <v>219867.26</v>
      </c>
      <c r="BV14" s="409">
        <v>439734.53</v>
      </c>
      <c r="BW14" s="409">
        <v>274834.08</v>
      </c>
      <c r="BX14" s="409"/>
      <c r="BY14" s="409"/>
      <c r="BZ14" s="409">
        <f t="shared" si="2"/>
        <v>4840965.12</v>
      </c>
      <c r="CA14" s="409"/>
      <c r="CB14" s="409"/>
      <c r="CC14" s="356"/>
      <c r="CD14" s="356"/>
      <c r="CE14" s="310"/>
      <c r="CF14" s="310"/>
      <c r="CG14" s="310" t="s">
        <v>84</v>
      </c>
      <c r="CH14" s="441">
        <f t="shared" si="13"/>
        <v>4840965.12</v>
      </c>
      <c r="CI14" s="441"/>
      <c r="CJ14" s="441">
        <f>155815.52+551132.64</f>
        <v>706948.16</v>
      </c>
      <c r="CK14" s="441">
        <v>950000</v>
      </c>
      <c r="CL14" s="441">
        <f>200000+300000</f>
        <v>500000</v>
      </c>
      <c r="CM14" s="441">
        <v>20000</v>
      </c>
      <c r="CN14" s="441">
        <v>300000</v>
      </c>
      <c r="CO14" s="441">
        <v>500000</v>
      </c>
      <c r="CP14" s="441">
        <v>300000</v>
      </c>
      <c r="CQ14" s="441">
        <v>500000</v>
      </c>
      <c r="CR14" s="441"/>
      <c r="CS14" s="441">
        <v>349448.35</v>
      </c>
      <c r="CT14" s="441">
        <f>439734.53+274834.08</f>
        <v>714568.61</v>
      </c>
      <c r="CU14" s="441">
        <f t="shared" si="3"/>
        <v>0</v>
      </c>
      <c r="CV14" s="402">
        <f t="shared" si="4"/>
        <v>0</v>
      </c>
      <c r="CW14" s="402" t="s">
        <v>85</v>
      </c>
      <c r="CY14" s="101"/>
    </row>
    <row r="15" s="10" customFormat="1" ht="24.05" customHeight="1" spans="2:103">
      <c r="B15" s="384" t="s">
        <v>81</v>
      </c>
      <c r="C15" s="385" t="s">
        <v>109</v>
      </c>
      <c r="D15" s="386" t="s">
        <v>110</v>
      </c>
      <c r="E15" s="388"/>
      <c r="F15" s="388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8"/>
      <c r="S15" s="388"/>
      <c r="T15" s="388"/>
      <c r="U15" s="402"/>
      <c r="V15" s="402"/>
      <c r="W15" s="402"/>
      <c r="X15" s="402"/>
      <c r="Y15" s="402"/>
      <c r="Z15" s="402"/>
      <c r="AA15" s="402"/>
      <c r="AB15" s="402"/>
      <c r="AC15" s="402"/>
      <c r="AD15" s="402"/>
      <c r="AE15" s="402"/>
      <c r="AF15" s="402"/>
      <c r="AG15" s="402"/>
      <c r="AH15" s="402"/>
      <c r="AI15" s="409"/>
      <c r="AJ15" s="409"/>
      <c r="AK15" s="409"/>
      <c r="AL15" s="409"/>
      <c r="AM15" s="409"/>
      <c r="AN15" s="409"/>
      <c r="AO15" s="409"/>
      <c r="AP15" s="409"/>
      <c r="AQ15" s="409"/>
      <c r="AR15" s="409"/>
      <c r="AS15" s="409"/>
      <c r="AT15" s="409"/>
      <c r="AU15" s="409"/>
      <c r="AV15" s="409"/>
      <c r="AW15" s="409"/>
      <c r="AX15" s="409"/>
      <c r="AY15" s="409"/>
      <c r="AZ15" s="409"/>
      <c r="BA15" s="409"/>
      <c r="BB15" s="409"/>
      <c r="BC15" s="409"/>
      <c r="BD15" s="409"/>
      <c r="BE15" s="409"/>
      <c r="BF15" s="409"/>
      <c r="BG15" s="409"/>
      <c r="BH15" s="409">
        <v>0</v>
      </c>
      <c r="BI15" s="409">
        <v>32437.78</v>
      </c>
      <c r="BJ15" s="409">
        <v>50978.93</v>
      </c>
      <c r="BK15" s="409">
        <v>45880.7</v>
      </c>
      <c r="BL15" s="409">
        <v>27783.75</v>
      </c>
      <c r="BM15" s="409">
        <v>30894.83</v>
      </c>
      <c r="BN15" s="409"/>
      <c r="BO15" s="409"/>
      <c r="BP15" s="409">
        <v>21225.34</v>
      </c>
      <c r="BQ15" s="409">
        <v>23171.12</v>
      </c>
      <c r="BR15" s="409">
        <v>14736.51</v>
      </c>
      <c r="BS15" s="409">
        <v>7094.59</v>
      </c>
      <c r="BT15" s="409"/>
      <c r="BU15" s="409"/>
      <c r="BV15" s="409">
        <f>3842.9+15371.62</f>
        <v>19214.52</v>
      </c>
      <c r="BW15" s="409">
        <f>28378.37+18588.97</f>
        <v>46967.34</v>
      </c>
      <c r="BX15" s="409">
        <v>15405.75</v>
      </c>
      <c r="BY15" s="409">
        <v>10937.5</v>
      </c>
      <c r="BZ15" s="409">
        <f t="shared" si="2"/>
        <v>346728.66</v>
      </c>
      <c r="CA15" s="409"/>
      <c r="CB15" s="409"/>
      <c r="CC15" s="356"/>
      <c r="CD15" s="356"/>
      <c r="CE15" s="310"/>
      <c r="CF15" s="310"/>
      <c r="CG15" s="310" t="s">
        <v>84</v>
      </c>
      <c r="CH15" s="441">
        <f t="shared" si="13"/>
        <v>346728.66</v>
      </c>
      <c r="CI15" s="441"/>
      <c r="CJ15" s="441">
        <v>187975.99</v>
      </c>
      <c r="CK15" s="441"/>
      <c r="CL15" s="441"/>
      <c r="CM15" s="441">
        <v>30000</v>
      </c>
      <c r="CN15" s="441"/>
      <c r="CO15" s="441">
        <f>29113.17+7094.59</f>
        <v>36207.76</v>
      </c>
      <c r="CP15" s="441"/>
      <c r="CQ15" s="441"/>
      <c r="CR15" s="441">
        <v>19209.59</v>
      </c>
      <c r="CS15" s="441">
        <v>46967.34</v>
      </c>
      <c r="CT15" s="441">
        <f>15405.75+10937.5</f>
        <v>26343.25</v>
      </c>
      <c r="CU15" s="441">
        <f t="shared" si="3"/>
        <v>24.7300000000541</v>
      </c>
      <c r="CV15" s="402">
        <f>CU15</f>
        <v>24.7300000000541</v>
      </c>
      <c r="CW15" s="402" t="s">
        <v>111</v>
      </c>
      <c r="CY15" s="101"/>
    </row>
    <row r="16" s="10" customFormat="1" ht="24.05" customHeight="1" spans="2:103">
      <c r="B16" s="384" t="s">
        <v>81</v>
      </c>
      <c r="C16" s="385" t="s">
        <v>112</v>
      </c>
      <c r="D16" s="386" t="s">
        <v>113</v>
      </c>
      <c r="E16" s="388"/>
      <c r="F16" s="388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8"/>
      <c r="S16" s="388"/>
      <c r="T16" s="388"/>
      <c r="U16" s="402"/>
      <c r="V16" s="402"/>
      <c r="W16" s="402"/>
      <c r="X16" s="402"/>
      <c r="Y16" s="402"/>
      <c r="Z16" s="402"/>
      <c r="AA16" s="402"/>
      <c r="AB16" s="402"/>
      <c r="AC16" s="402"/>
      <c r="AD16" s="402"/>
      <c r="AE16" s="402"/>
      <c r="AF16" s="402"/>
      <c r="AG16" s="402"/>
      <c r="AH16" s="402"/>
      <c r="AI16" s="409"/>
      <c r="AJ16" s="409"/>
      <c r="AK16" s="409"/>
      <c r="AL16" s="409"/>
      <c r="AM16" s="409"/>
      <c r="AN16" s="409"/>
      <c r="AO16" s="409"/>
      <c r="AP16" s="409"/>
      <c r="AQ16" s="409"/>
      <c r="AR16" s="409"/>
      <c r="AS16" s="409"/>
      <c r="AT16" s="409"/>
      <c r="AU16" s="409"/>
      <c r="AV16" s="409"/>
      <c r="AW16" s="409"/>
      <c r="AX16" s="409"/>
      <c r="AY16" s="409"/>
      <c r="AZ16" s="409"/>
      <c r="BA16" s="409"/>
      <c r="BB16" s="409"/>
      <c r="BC16" s="409"/>
      <c r="BD16" s="409"/>
      <c r="BE16" s="409"/>
      <c r="BF16" s="409"/>
      <c r="BG16" s="409"/>
      <c r="BH16" s="417">
        <v>24799.21</v>
      </c>
      <c r="BI16" s="417">
        <v>113930.39</v>
      </c>
      <c r="BJ16" s="409">
        <v>253114.35</v>
      </c>
      <c r="BK16" s="417">
        <v>179138.9</v>
      </c>
      <c r="BL16" s="409">
        <v>280997.44</v>
      </c>
      <c r="BM16" s="409"/>
      <c r="BN16" s="409">
        <v>265871.49</v>
      </c>
      <c r="BO16" s="409"/>
      <c r="BP16" s="409">
        <v>192405.66</v>
      </c>
      <c r="BQ16" s="409">
        <v>170747.76</v>
      </c>
      <c r="BR16" s="409">
        <v>144402.7</v>
      </c>
      <c r="BS16" s="409">
        <v>46263.33</v>
      </c>
      <c r="BT16" s="409">
        <v>141292.54</v>
      </c>
      <c r="BU16" s="409">
        <v>126884.98</v>
      </c>
      <c r="BV16" s="409">
        <v>74379.76</v>
      </c>
      <c r="BW16" s="409">
        <v>173327.19</v>
      </c>
      <c r="BX16" s="409"/>
      <c r="BY16" s="409"/>
      <c r="BZ16" s="409">
        <f t="shared" si="2"/>
        <v>2187555.7</v>
      </c>
      <c r="CA16" s="409"/>
      <c r="CB16" s="409"/>
      <c r="CC16" s="356"/>
      <c r="CD16" s="356"/>
      <c r="CE16" s="310"/>
      <c r="CF16" s="310"/>
      <c r="CG16" s="310" t="s">
        <v>84</v>
      </c>
      <c r="CH16" s="441">
        <f t="shared" si="13"/>
        <v>2187555.7</v>
      </c>
      <c r="CI16" s="441"/>
      <c r="CJ16" s="441">
        <f>138729.6+179138.9</f>
        <v>317868.5</v>
      </c>
      <c r="CK16" s="441">
        <v>100000</v>
      </c>
      <c r="CL16" s="441">
        <f>200000+100000</f>
        <v>300000</v>
      </c>
      <c r="CM16" s="441">
        <v>200000</v>
      </c>
      <c r="CN16" s="441"/>
      <c r="CO16" s="441">
        <f>130000+200000</f>
        <v>330000</v>
      </c>
      <c r="CP16" s="441"/>
      <c r="CQ16" s="441">
        <f>110000+150000</f>
        <v>260000</v>
      </c>
      <c r="CR16" s="441"/>
      <c r="CS16" s="441">
        <v>150000</v>
      </c>
      <c r="CT16" s="441">
        <v>150000</v>
      </c>
      <c r="CU16" s="441">
        <f t="shared" si="3"/>
        <v>379687.2</v>
      </c>
      <c r="CV16" s="402">
        <f t="shared" si="4"/>
        <v>379687.2</v>
      </c>
      <c r="CW16" s="402" t="s">
        <v>85</v>
      </c>
      <c r="CY16" s="101"/>
    </row>
    <row r="17" s="10" customFormat="1" ht="24.05" customHeight="1" spans="2:103">
      <c r="B17" s="384" t="s">
        <v>81</v>
      </c>
      <c r="C17" s="385" t="s">
        <v>114</v>
      </c>
      <c r="D17" s="386" t="s">
        <v>115</v>
      </c>
      <c r="E17" s="388"/>
      <c r="F17" s="388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8"/>
      <c r="S17" s="388"/>
      <c r="T17" s="388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9"/>
      <c r="AJ17" s="409"/>
      <c r="AK17" s="409"/>
      <c r="AL17" s="409"/>
      <c r="AM17" s="409"/>
      <c r="AN17" s="409"/>
      <c r="AO17" s="409"/>
      <c r="AP17" s="409"/>
      <c r="AQ17" s="409"/>
      <c r="AR17" s="409"/>
      <c r="AS17" s="409"/>
      <c r="AT17" s="409"/>
      <c r="AU17" s="409">
        <v>3868.47</v>
      </c>
      <c r="AV17" s="409"/>
      <c r="AW17" s="409"/>
      <c r="AX17" s="409"/>
      <c r="AY17" s="409"/>
      <c r="AZ17" s="409"/>
      <c r="BA17" s="409"/>
      <c r="BB17" s="409"/>
      <c r="BC17" s="409"/>
      <c r="BD17" s="409"/>
      <c r="BE17" s="409"/>
      <c r="BF17" s="409"/>
      <c r="BG17" s="409"/>
      <c r="BH17" s="409">
        <v>2834.04</v>
      </c>
      <c r="BI17" s="409">
        <v>26767.51</v>
      </c>
      <c r="BJ17" s="409">
        <v>114778.62</v>
      </c>
      <c r="BK17" s="409">
        <v>0</v>
      </c>
      <c r="BL17" s="409">
        <v>213360.7</v>
      </c>
      <c r="BM17" s="409"/>
      <c r="BN17" s="409">
        <v>0</v>
      </c>
      <c r="BO17" s="409"/>
      <c r="BP17" s="409"/>
      <c r="BQ17" s="409"/>
      <c r="BR17" s="409"/>
      <c r="BS17" s="409">
        <f>94468+42439.74</f>
        <v>136907.74</v>
      </c>
      <c r="BT17" s="409"/>
      <c r="BU17" s="409"/>
      <c r="BV17" s="409"/>
      <c r="BW17" s="409"/>
      <c r="BX17" s="409"/>
      <c r="BY17" s="409"/>
      <c r="BZ17" s="409">
        <f t="shared" si="2"/>
        <v>498517.08</v>
      </c>
      <c r="CA17" s="409"/>
      <c r="CB17" s="409"/>
      <c r="CC17" s="356"/>
      <c r="CD17" s="356"/>
      <c r="CE17" s="310"/>
      <c r="CF17" s="310"/>
      <c r="CG17" s="310" t="s">
        <v>84</v>
      </c>
      <c r="CH17" s="441">
        <f t="shared" si="13"/>
        <v>498517.08</v>
      </c>
      <c r="CI17" s="441"/>
      <c r="CJ17" s="441">
        <f>33470.02+114778.62</f>
        <v>148248.64</v>
      </c>
      <c r="CK17" s="441"/>
      <c r="CL17" s="441">
        <v>100000</v>
      </c>
      <c r="CM17" s="441"/>
      <c r="CN17" s="441"/>
      <c r="CO17" s="441">
        <f>80000+30000</f>
        <v>110000</v>
      </c>
      <c r="CP17" s="441"/>
      <c r="CQ17" s="441">
        <f>50000+30000</f>
        <v>80000</v>
      </c>
      <c r="CR17" s="441"/>
      <c r="CS17" s="441">
        <v>30000</v>
      </c>
      <c r="CT17" s="441">
        <v>30000</v>
      </c>
      <c r="CU17" s="441">
        <f t="shared" si="3"/>
        <v>268.439999999944</v>
      </c>
      <c r="CV17" s="402">
        <f t="shared" si="4"/>
        <v>268.439999999944</v>
      </c>
      <c r="CW17" s="402" t="s">
        <v>85</v>
      </c>
      <c r="CY17" s="101"/>
    </row>
    <row r="18" s="10" customFormat="1" ht="24.05" customHeight="1" spans="2:103">
      <c r="B18" s="384" t="s">
        <v>81</v>
      </c>
      <c r="C18" s="385" t="s">
        <v>116</v>
      </c>
      <c r="D18" s="386" t="s">
        <v>176</v>
      </c>
      <c r="E18" s="388"/>
      <c r="F18" s="388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8"/>
      <c r="S18" s="388"/>
      <c r="T18" s="388"/>
      <c r="U18" s="402"/>
      <c r="V18" s="402"/>
      <c r="W18" s="402"/>
      <c r="X18" s="402"/>
      <c r="Y18" s="402"/>
      <c r="Z18" s="402"/>
      <c r="AA18" s="402"/>
      <c r="AB18" s="402"/>
      <c r="AC18" s="402"/>
      <c r="AD18" s="402"/>
      <c r="AE18" s="402"/>
      <c r="AF18" s="402"/>
      <c r="AG18" s="402"/>
      <c r="AH18" s="402"/>
      <c r="AI18" s="409"/>
      <c r="AJ18" s="409"/>
      <c r="AK18" s="409"/>
      <c r="AL18" s="409"/>
      <c r="AM18" s="409"/>
      <c r="AN18" s="409"/>
      <c r="AO18" s="409"/>
      <c r="AP18" s="409"/>
      <c r="AQ18" s="409"/>
      <c r="AR18" s="409"/>
      <c r="AS18" s="409"/>
      <c r="AT18" s="409"/>
      <c r="AU18" s="409"/>
      <c r="AV18" s="409"/>
      <c r="AW18" s="409"/>
      <c r="AX18" s="409"/>
      <c r="AY18" s="409"/>
      <c r="AZ18" s="409"/>
      <c r="BA18" s="409"/>
      <c r="BB18" s="409"/>
      <c r="BC18" s="409"/>
      <c r="BD18" s="409"/>
      <c r="BE18" s="409"/>
      <c r="BF18" s="409"/>
      <c r="BG18" s="409"/>
      <c r="BH18" s="409">
        <v>0</v>
      </c>
      <c r="BI18" s="409">
        <v>9824.22</v>
      </c>
      <c r="BJ18" s="409">
        <v>23910.8</v>
      </c>
      <c r="BK18" s="409">
        <v>47301.8</v>
      </c>
      <c r="BL18" s="409">
        <v>30408.3</v>
      </c>
      <c r="BM18" s="409"/>
      <c r="BN18" s="409">
        <v>53799.3</v>
      </c>
      <c r="BO18" s="409"/>
      <c r="BP18" s="409">
        <v>15594</v>
      </c>
      <c r="BQ18" s="409"/>
      <c r="BR18" s="409">
        <v>20385.2</v>
      </c>
      <c r="BS18" s="409">
        <v>4088.5</v>
      </c>
      <c r="BT18" s="409">
        <v>18563.64</v>
      </c>
      <c r="BU18" s="409">
        <v>17831.4</v>
      </c>
      <c r="BV18" s="409">
        <v>11675.16</v>
      </c>
      <c r="BW18" s="409"/>
      <c r="BX18" s="409">
        <v>28601.2</v>
      </c>
      <c r="BY18" s="409"/>
      <c r="BZ18" s="409">
        <f t="shared" si="2"/>
        <v>281983.52</v>
      </c>
      <c r="CA18" s="409"/>
      <c r="CB18" s="409"/>
      <c r="CC18" s="356"/>
      <c r="CD18" s="356"/>
      <c r="CE18" s="310"/>
      <c r="CF18" s="310"/>
      <c r="CG18" s="310" t="s">
        <v>84</v>
      </c>
      <c r="CH18" s="441">
        <f t="shared" si="13"/>
        <v>281983.52</v>
      </c>
      <c r="CI18" s="441"/>
      <c r="CJ18" s="441">
        <f>9824.22+71212.6</f>
        <v>81036.82</v>
      </c>
      <c r="CK18" s="441"/>
      <c r="CL18" s="441">
        <v>50000</v>
      </c>
      <c r="CM18" s="441"/>
      <c r="CN18" s="441"/>
      <c r="CO18" s="441">
        <f>40000+9000</f>
        <v>49000</v>
      </c>
      <c r="CP18" s="441"/>
      <c r="CQ18" s="441">
        <v>25275.3</v>
      </c>
      <c r="CR18" s="441"/>
      <c r="CS18" s="441">
        <v>20000</v>
      </c>
      <c r="CT18" s="441">
        <v>20000</v>
      </c>
      <c r="CU18" s="441">
        <f t="shared" si="3"/>
        <v>36671.4</v>
      </c>
      <c r="CV18" s="402">
        <f t="shared" si="4"/>
        <v>8070.20000000001</v>
      </c>
      <c r="CW18" s="402" t="s">
        <v>85</v>
      </c>
      <c r="CY18" s="101"/>
    </row>
    <row r="19" s="10" customFormat="1" ht="24.05" customHeight="1" spans="2:103">
      <c r="B19" s="384" t="s">
        <v>81</v>
      </c>
      <c r="C19" s="385" t="s">
        <v>118</v>
      </c>
      <c r="D19" s="386" t="s">
        <v>119</v>
      </c>
      <c r="E19" s="388"/>
      <c r="F19" s="388"/>
      <c r="G19" s="387"/>
      <c r="H19" s="387"/>
      <c r="I19" s="387"/>
      <c r="J19" s="387"/>
      <c r="K19" s="387"/>
      <c r="L19" s="387"/>
      <c r="M19" s="387"/>
      <c r="N19" s="387"/>
      <c r="O19" s="387"/>
      <c r="P19" s="387"/>
      <c r="Q19" s="387"/>
      <c r="R19" s="388"/>
      <c r="S19" s="388"/>
      <c r="T19" s="388"/>
      <c r="U19" s="402"/>
      <c r="V19" s="402"/>
      <c r="W19" s="402"/>
      <c r="X19" s="402"/>
      <c r="Y19" s="402"/>
      <c r="Z19" s="402"/>
      <c r="AA19" s="402"/>
      <c r="AB19" s="402"/>
      <c r="AC19" s="402"/>
      <c r="AD19" s="402"/>
      <c r="AE19" s="402"/>
      <c r="AF19" s="402"/>
      <c r="AG19" s="402"/>
      <c r="AH19" s="402"/>
      <c r="AI19" s="409"/>
      <c r="AJ19" s="409"/>
      <c r="AK19" s="409"/>
      <c r="AL19" s="409"/>
      <c r="AM19" s="409"/>
      <c r="AN19" s="409"/>
      <c r="AO19" s="409"/>
      <c r="AP19" s="409"/>
      <c r="AQ19" s="409"/>
      <c r="AR19" s="409"/>
      <c r="AS19" s="409"/>
      <c r="AT19" s="409"/>
      <c r="AU19" s="409"/>
      <c r="AV19" s="409"/>
      <c r="AW19" s="409"/>
      <c r="AX19" s="409"/>
      <c r="AY19" s="409"/>
      <c r="AZ19" s="409"/>
      <c r="BA19" s="409"/>
      <c r="BB19" s="409"/>
      <c r="BC19" s="409"/>
      <c r="BD19" s="409"/>
      <c r="BE19" s="409"/>
      <c r="BF19" s="409"/>
      <c r="BG19" s="409"/>
      <c r="BH19" s="409">
        <v>34049.73</v>
      </c>
      <c r="BI19" s="409">
        <v>452429.4</v>
      </c>
      <c r="BJ19" s="409">
        <v>51302</v>
      </c>
      <c r="BK19" s="409">
        <v>413410.5</v>
      </c>
      <c r="BL19" s="409">
        <v>205208</v>
      </c>
      <c r="BM19" s="409"/>
      <c r="BN19" s="409">
        <v>0</v>
      </c>
      <c r="BO19" s="409"/>
      <c r="BP19" s="409"/>
      <c r="BQ19" s="409"/>
      <c r="BR19" s="409"/>
      <c r="BS19" s="409"/>
      <c r="BT19" s="409"/>
      <c r="BU19" s="409"/>
      <c r="BV19" s="409"/>
      <c r="BW19" s="409"/>
      <c r="BX19" s="409"/>
      <c r="BY19" s="409"/>
      <c r="BZ19" s="409">
        <f t="shared" si="2"/>
        <v>1156399.63</v>
      </c>
      <c r="CA19" s="409"/>
      <c r="CB19" s="409"/>
      <c r="CC19" s="356"/>
      <c r="CD19" s="356"/>
      <c r="CE19" s="310"/>
      <c r="CF19" s="310"/>
      <c r="CG19" s="310" t="s">
        <v>84</v>
      </c>
      <c r="CH19" s="441">
        <f t="shared" si="13"/>
        <v>1156399.63</v>
      </c>
      <c r="CI19" s="441"/>
      <c r="CJ19" s="441">
        <v>73068.63</v>
      </c>
      <c r="CK19" s="441"/>
      <c r="CL19" s="441"/>
      <c r="CM19" s="441">
        <f>30000+170000</f>
        <v>200000</v>
      </c>
      <c r="CN19" s="441"/>
      <c r="CO19" s="441">
        <f>100000+100000</f>
        <v>200000</v>
      </c>
      <c r="CP19" s="441"/>
      <c r="CQ19" s="441">
        <v>100000</v>
      </c>
      <c r="CR19" s="441">
        <v>100000</v>
      </c>
      <c r="CS19" s="441">
        <v>100000</v>
      </c>
      <c r="CT19" s="441">
        <v>100000</v>
      </c>
      <c r="CU19" s="441">
        <f t="shared" si="3"/>
        <v>283331</v>
      </c>
      <c r="CV19" s="402">
        <f t="shared" si="4"/>
        <v>283331</v>
      </c>
      <c r="CW19" s="402" t="s">
        <v>85</v>
      </c>
      <c r="CY19" s="101"/>
    </row>
    <row r="20" s="10" customFormat="1" ht="24.05" customHeight="1" spans="2:103">
      <c r="B20" s="389" t="s">
        <v>81</v>
      </c>
      <c r="C20" s="385" t="s">
        <v>120</v>
      </c>
      <c r="D20" s="386" t="s">
        <v>121</v>
      </c>
      <c r="E20" s="388"/>
      <c r="F20" s="388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8"/>
      <c r="S20" s="388"/>
      <c r="T20" s="388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  <c r="AH20" s="402"/>
      <c r="AI20" s="409"/>
      <c r="AJ20" s="409"/>
      <c r="AK20" s="409"/>
      <c r="AL20" s="409"/>
      <c r="AM20" s="409"/>
      <c r="AN20" s="409"/>
      <c r="AO20" s="409"/>
      <c r="AP20" s="409"/>
      <c r="AQ20" s="409"/>
      <c r="AR20" s="409"/>
      <c r="AS20" s="409"/>
      <c r="AT20" s="409"/>
      <c r="AU20" s="409"/>
      <c r="AV20" s="409"/>
      <c r="AW20" s="409"/>
      <c r="AX20" s="409"/>
      <c r="AY20" s="409"/>
      <c r="AZ20" s="409"/>
      <c r="BA20" s="409"/>
      <c r="BB20" s="409"/>
      <c r="BC20" s="409"/>
      <c r="BD20" s="409"/>
      <c r="BE20" s="409"/>
      <c r="BF20" s="409"/>
      <c r="BG20" s="409"/>
      <c r="BH20" s="409">
        <v>1899.53</v>
      </c>
      <c r="BI20" s="409">
        <v>0</v>
      </c>
      <c r="BJ20" s="409">
        <v>64394.07</v>
      </c>
      <c r="BK20" s="409">
        <v>0</v>
      </c>
      <c r="BL20" s="409">
        <v>0</v>
      </c>
      <c r="BM20" s="409"/>
      <c r="BN20" s="409"/>
      <c r="BO20" s="409"/>
      <c r="BP20" s="409"/>
      <c r="BQ20" s="409"/>
      <c r="BR20" s="409"/>
      <c r="BS20" s="409"/>
      <c r="BT20" s="409"/>
      <c r="BU20" s="409"/>
      <c r="BV20" s="409"/>
      <c r="BW20" s="409"/>
      <c r="BX20" s="409"/>
      <c r="BY20" s="409"/>
      <c r="BZ20" s="409">
        <f t="shared" si="2"/>
        <v>66293.6</v>
      </c>
      <c r="CA20" s="409"/>
      <c r="CB20" s="409"/>
      <c r="CC20" s="356"/>
      <c r="CD20" s="356"/>
      <c r="CE20" s="310"/>
      <c r="CF20" s="310"/>
      <c r="CG20" s="310" t="s">
        <v>84</v>
      </c>
      <c r="CH20" s="441">
        <f t="shared" si="13"/>
        <v>66293.6</v>
      </c>
      <c r="CI20" s="441"/>
      <c r="CJ20" s="441">
        <f>66293.6</f>
        <v>66293.6</v>
      </c>
      <c r="CK20" s="441"/>
      <c r="CL20" s="441"/>
      <c r="CM20" s="441"/>
      <c r="CN20" s="441"/>
      <c r="CO20" s="441"/>
      <c r="CP20" s="441"/>
      <c r="CQ20" s="441"/>
      <c r="CR20" s="441"/>
      <c r="CS20" s="441"/>
      <c r="CT20" s="441"/>
      <c r="CU20" s="441">
        <f t="shared" si="3"/>
        <v>0</v>
      </c>
      <c r="CV20" s="402">
        <f t="shared" si="4"/>
        <v>0</v>
      </c>
      <c r="CW20" s="457" t="s">
        <v>85</v>
      </c>
      <c r="CY20" s="101"/>
    </row>
    <row r="21" s="10" customFormat="1" ht="24.05" customHeight="1" spans="2:103">
      <c r="B21" s="389" t="s">
        <v>81</v>
      </c>
      <c r="C21" s="385" t="s">
        <v>122</v>
      </c>
      <c r="D21" s="386" t="s">
        <v>123</v>
      </c>
      <c r="E21" s="388"/>
      <c r="F21" s="388"/>
      <c r="G21" s="387"/>
      <c r="H21" s="387"/>
      <c r="I21" s="387"/>
      <c r="J21" s="387"/>
      <c r="K21" s="387"/>
      <c r="L21" s="387"/>
      <c r="M21" s="387"/>
      <c r="N21" s="387"/>
      <c r="O21" s="387"/>
      <c r="P21" s="387"/>
      <c r="Q21" s="387"/>
      <c r="R21" s="388"/>
      <c r="S21" s="388"/>
      <c r="T21" s="388"/>
      <c r="U21" s="402"/>
      <c r="V21" s="402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9"/>
      <c r="AJ21" s="409"/>
      <c r="AK21" s="409"/>
      <c r="AL21" s="409"/>
      <c r="AM21" s="409"/>
      <c r="AN21" s="409"/>
      <c r="AO21" s="409"/>
      <c r="AP21" s="409"/>
      <c r="AQ21" s="409"/>
      <c r="AR21" s="409"/>
      <c r="AS21" s="409"/>
      <c r="AT21" s="409"/>
      <c r="AU21" s="409"/>
      <c r="AV21" s="409"/>
      <c r="AW21" s="409"/>
      <c r="AX21" s="409"/>
      <c r="AY21" s="409"/>
      <c r="AZ21" s="409"/>
      <c r="BA21" s="409"/>
      <c r="BB21" s="409"/>
      <c r="BC21" s="409"/>
      <c r="BD21" s="409"/>
      <c r="BE21" s="409"/>
      <c r="BF21" s="409"/>
      <c r="BG21" s="409"/>
      <c r="BH21" s="409"/>
      <c r="BI21" s="409"/>
      <c r="BJ21" s="409">
        <v>713170.02</v>
      </c>
      <c r="BK21" s="409">
        <v>650672.08</v>
      </c>
      <c r="BL21" s="409">
        <v>553653.11</v>
      </c>
      <c r="BM21" s="409"/>
      <c r="BN21" s="409">
        <v>639616.73</v>
      </c>
      <c r="BO21" s="409">
        <v>478638.62</v>
      </c>
      <c r="BP21" s="409">
        <v>170899.74</v>
      </c>
      <c r="BQ21" s="409">
        <v>384064.97</v>
      </c>
      <c r="BR21" s="409">
        <f>100603.34*3+85129.68+97544.43*2+85129.68+72548.26+111847.4+91620.4+85902.6</f>
        <v>1029076.9</v>
      </c>
      <c r="BS21" s="409">
        <v>329974.13</v>
      </c>
      <c r="BT21" s="409">
        <v>497798.28</v>
      </c>
      <c r="BU21" s="409">
        <v>453880.23</v>
      </c>
      <c r="BV21" s="409">
        <v>443881.09</v>
      </c>
      <c r="BW21" s="409">
        <v>568253.28</v>
      </c>
      <c r="BX21" s="409"/>
      <c r="BY21" s="409"/>
      <c r="BZ21" s="409">
        <f t="shared" si="2"/>
        <v>6913579.18</v>
      </c>
      <c r="CA21" s="409"/>
      <c r="CB21" s="409"/>
      <c r="CC21" s="356"/>
      <c r="CD21" s="356"/>
      <c r="CE21" s="310"/>
      <c r="CF21" s="310"/>
      <c r="CG21" s="310" t="s">
        <v>84</v>
      </c>
      <c r="CH21" s="441">
        <f t="shared" si="13"/>
        <v>6913579.18</v>
      </c>
      <c r="CI21" s="441"/>
      <c r="CJ21" s="441">
        <f>713170.02+1000000</f>
        <v>1713170.02</v>
      </c>
      <c r="CK21" s="441"/>
      <c r="CL21" s="441">
        <f>200000+300000</f>
        <v>500000</v>
      </c>
      <c r="CM21" s="441">
        <v>250000</v>
      </c>
      <c r="CN21" s="441">
        <v>500000</v>
      </c>
      <c r="CO21" s="441">
        <v>500000</v>
      </c>
      <c r="CP21" s="441">
        <v>1000000</v>
      </c>
      <c r="CQ21" s="441">
        <v>400000</v>
      </c>
      <c r="CR21" s="441"/>
      <c r="CS21" s="441">
        <v>584394.56</v>
      </c>
      <c r="CT21" s="441">
        <f>453880.23+443881.09</f>
        <v>897761.32</v>
      </c>
      <c r="CU21" s="441">
        <f t="shared" si="3"/>
        <v>568253.28</v>
      </c>
      <c r="CV21" s="402">
        <f t="shared" si="4"/>
        <v>568253.28</v>
      </c>
      <c r="CW21" s="457" t="s">
        <v>85</v>
      </c>
      <c r="CY21" s="101"/>
    </row>
    <row r="22" s="10" customFormat="1" ht="24.05" customHeight="1" spans="2:103">
      <c r="B22" s="389" t="s">
        <v>81</v>
      </c>
      <c r="C22" s="385" t="s">
        <v>124</v>
      </c>
      <c r="D22" s="386" t="s">
        <v>125</v>
      </c>
      <c r="E22" s="388"/>
      <c r="F22" s="388"/>
      <c r="G22" s="387"/>
      <c r="H22" s="387"/>
      <c r="I22" s="387"/>
      <c r="J22" s="387"/>
      <c r="K22" s="387"/>
      <c r="L22" s="387"/>
      <c r="M22" s="387"/>
      <c r="N22" s="387"/>
      <c r="O22" s="387"/>
      <c r="P22" s="387"/>
      <c r="Q22" s="387"/>
      <c r="R22" s="388"/>
      <c r="S22" s="388"/>
      <c r="T22" s="388"/>
      <c r="U22" s="402"/>
      <c r="V22" s="402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9"/>
      <c r="AJ22" s="409"/>
      <c r="AK22" s="409"/>
      <c r="AL22" s="409"/>
      <c r="AM22" s="409"/>
      <c r="AN22" s="409"/>
      <c r="AO22" s="409"/>
      <c r="AP22" s="409"/>
      <c r="AQ22" s="409"/>
      <c r="AR22" s="409"/>
      <c r="AS22" s="409"/>
      <c r="AT22" s="409"/>
      <c r="AU22" s="409"/>
      <c r="AV22" s="409"/>
      <c r="AW22" s="409"/>
      <c r="AX22" s="409"/>
      <c r="AY22" s="409"/>
      <c r="AZ22" s="409"/>
      <c r="BA22" s="409"/>
      <c r="BB22" s="409"/>
      <c r="BC22" s="409"/>
      <c r="BD22" s="409"/>
      <c r="BE22" s="409"/>
      <c r="BF22" s="409"/>
      <c r="BG22" s="409"/>
      <c r="BH22" s="409">
        <v>0</v>
      </c>
      <c r="BI22" s="409">
        <v>0</v>
      </c>
      <c r="BJ22" s="409">
        <v>0</v>
      </c>
      <c r="BK22" s="409">
        <v>114622.68</v>
      </c>
      <c r="BL22" s="409">
        <v>23843</v>
      </c>
      <c r="BM22" s="409">
        <v>0</v>
      </c>
      <c r="BN22" s="409">
        <v>68071.2</v>
      </c>
      <c r="BO22" s="409"/>
      <c r="BP22" s="409">
        <v>63167</v>
      </c>
      <c r="BQ22" s="409"/>
      <c r="BR22" s="409">
        <v>71717.82</v>
      </c>
      <c r="BS22" s="409">
        <v>105795.57</v>
      </c>
      <c r="BT22" s="409">
        <v>21439.72</v>
      </c>
      <c r="BU22" s="409">
        <v>25248.72</v>
      </c>
      <c r="BV22" s="409"/>
      <c r="BW22" s="409">
        <v>38917.2</v>
      </c>
      <c r="BX22" s="409"/>
      <c r="BY22" s="409"/>
      <c r="BZ22" s="409">
        <f t="shared" si="2"/>
        <v>532822.91</v>
      </c>
      <c r="CA22" s="409"/>
      <c r="CB22" s="409"/>
      <c r="CC22" s="356"/>
      <c r="CD22" s="356"/>
      <c r="CE22" s="310"/>
      <c r="CF22" s="310"/>
      <c r="CG22" s="310" t="s">
        <v>84</v>
      </c>
      <c r="CH22" s="441">
        <f t="shared" si="13"/>
        <v>532822.91</v>
      </c>
      <c r="CI22" s="441"/>
      <c r="CJ22" s="441">
        <v>138465.68</v>
      </c>
      <c r="CK22" s="441"/>
      <c r="CL22" s="441">
        <v>30000</v>
      </c>
      <c r="CM22" s="441">
        <v>40000</v>
      </c>
      <c r="CN22" s="441"/>
      <c r="CO22" s="441">
        <f>50000+100000</f>
        <v>150000</v>
      </c>
      <c r="CP22" s="441"/>
      <c r="CQ22" s="441">
        <f>65821.18+22930.41</f>
        <v>88751.59</v>
      </c>
      <c r="CR22" s="441"/>
      <c r="CS22" s="441">
        <v>21439.72</v>
      </c>
      <c r="CT22" s="441">
        <f>21439.72+35000</f>
        <v>56439.72</v>
      </c>
      <c r="CU22" s="441">
        <f t="shared" si="3"/>
        <v>7726.19999999992</v>
      </c>
      <c r="CV22" s="402">
        <f t="shared" si="4"/>
        <v>7726.19999999992</v>
      </c>
      <c r="CW22" s="457" t="s">
        <v>85</v>
      </c>
      <c r="CY22" s="101"/>
    </row>
    <row r="23" s="10" customFormat="1" ht="24.05" customHeight="1" spans="2:103">
      <c r="B23" s="389" t="s">
        <v>81</v>
      </c>
      <c r="C23" s="385" t="s">
        <v>126</v>
      </c>
      <c r="D23" s="386" t="s">
        <v>127</v>
      </c>
      <c r="E23" s="388"/>
      <c r="F23" s="388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8"/>
      <c r="S23" s="388"/>
      <c r="T23" s="388"/>
      <c r="U23" s="402"/>
      <c r="V23" s="402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9"/>
      <c r="AJ23" s="409"/>
      <c r="AK23" s="409"/>
      <c r="AL23" s="409"/>
      <c r="AM23" s="409"/>
      <c r="AN23" s="409"/>
      <c r="AO23" s="409"/>
      <c r="AP23" s="409"/>
      <c r="AQ23" s="409"/>
      <c r="AR23" s="409"/>
      <c r="AS23" s="409"/>
      <c r="AT23" s="409"/>
      <c r="AU23" s="409"/>
      <c r="AV23" s="409"/>
      <c r="AW23" s="409"/>
      <c r="AX23" s="409"/>
      <c r="AY23" s="409"/>
      <c r="AZ23" s="409"/>
      <c r="BA23" s="409"/>
      <c r="BB23" s="409"/>
      <c r="BC23" s="409"/>
      <c r="BD23" s="409"/>
      <c r="BE23" s="409"/>
      <c r="BF23" s="409"/>
      <c r="BG23" s="409"/>
      <c r="BH23" s="409">
        <v>2727.82</v>
      </c>
      <c r="BI23" s="409">
        <v>0</v>
      </c>
      <c r="BJ23" s="409">
        <v>5455.64</v>
      </c>
      <c r="BK23" s="409">
        <v>0</v>
      </c>
      <c r="BL23" s="409">
        <v>0</v>
      </c>
      <c r="BM23" s="409">
        <v>0</v>
      </c>
      <c r="BN23" s="409"/>
      <c r="BO23" s="409"/>
      <c r="BP23" s="409"/>
      <c r="BQ23" s="409"/>
      <c r="BR23" s="409"/>
      <c r="BS23" s="409">
        <v>4828</v>
      </c>
      <c r="BT23" s="409"/>
      <c r="BU23" s="409"/>
      <c r="BV23" s="409"/>
      <c r="BW23" s="409">
        <v>5455.64</v>
      </c>
      <c r="BX23" s="409"/>
      <c r="BY23" s="409"/>
      <c r="BZ23" s="409">
        <f t="shared" si="2"/>
        <v>18467.1</v>
      </c>
      <c r="CA23" s="409"/>
      <c r="CB23" s="409"/>
      <c r="CC23" s="356"/>
      <c r="CD23" s="356"/>
      <c r="CE23" s="310"/>
      <c r="CF23" s="310"/>
      <c r="CG23" s="310" t="s">
        <v>84</v>
      </c>
      <c r="CH23" s="441">
        <f t="shared" si="13"/>
        <v>18467.1</v>
      </c>
      <c r="CI23" s="441"/>
      <c r="CJ23" s="441">
        <v>8183.46</v>
      </c>
      <c r="CK23" s="441"/>
      <c r="CL23" s="441"/>
      <c r="CM23" s="441"/>
      <c r="CN23" s="441">
        <v>4828</v>
      </c>
      <c r="CO23" s="441"/>
      <c r="CP23" s="441"/>
      <c r="CQ23" s="441"/>
      <c r="CR23" s="441">
        <v>5455.64</v>
      </c>
      <c r="CS23" s="441"/>
      <c r="CT23" s="441"/>
      <c r="CU23" s="441">
        <f t="shared" si="3"/>
        <v>0</v>
      </c>
      <c r="CV23" s="402">
        <f>IF(CU23-BW23-BX23&lt;0,0,CU23-BW23-BX23)</f>
        <v>0</v>
      </c>
      <c r="CW23" s="457" t="s">
        <v>96</v>
      </c>
      <c r="CY23" s="101"/>
    </row>
    <row r="24" s="10" customFormat="1" ht="24.05" customHeight="1" spans="2:103">
      <c r="B24" s="389" t="s">
        <v>81</v>
      </c>
      <c r="C24" s="385" t="s">
        <v>128</v>
      </c>
      <c r="D24" s="386" t="s">
        <v>129</v>
      </c>
      <c r="E24" s="388"/>
      <c r="F24" s="388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8"/>
      <c r="S24" s="388"/>
      <c r="T24" s="388"/>
      <c r="U24" s="402"/>
      <c r="V24" s="402"/>
      <c r="W24" s="402"/>
      <c r="X24" s="402"/>
      <c r="Y24" s="402"/>
      <c r="Z24" s="402"/>
      <c r="AA24" s="402"/>
      <c r="AB24" s="402"/>
      <c r="AC24" s="402"/>
      <c r="AD24" s="402"/>
      <c r="AE24" s="402"/>
      <c r="AF24" s="402"/>
      <c r="AG24" s="402"/>
      <c r="AH24" s="402"/>
      <c r="AI24" s="409"/>
      <c r="AJ24" s="409"/>
      <c r="AK24" s="409"/>
      <c r="AL24" s="409"/>
      <c r="AM24" s="409"/>
      <c r="AN24" s="409"/>
      <c r="AO24" s="409"/>
      <c r="AP24" s="409"/>
      <c r="AQ24" s="409"/>
      <c r="AR24" s="409"/>
      <c r="AS24" s="409"/>
      <c r="AT24" s="409"/>
      <c r="AU24" s="409">
        <v>4079.3</v>
      </c>
      <c r="AV24" s="409"/>
      <c r="AW24" s="409"/>
      <c r="AX24" s="409"/>
      <c r="AY24" s="409"/>
      <c r="AZ24" s="409"/>
      <c r="BA24" s="409"/>
      <c r="BB24" s="409"/>
      <c r="BC24" s="409"/>
      <c r="BD24" s="409"/>
      <c r="BE24" s="409"/>
      <c r="BF24" s="409"/>
      <c r="BG24" s="409"/>
      <c r="BH24" s="409">
        <v>59459.33</v>
      </c>
      <c r="BI24" s="409">
        <v>0</v>
      </c>
      <c r="BJ24" s="409">
        <v>72778.73</v>
      </c>
      <c r="BK24" s="409">
        <v>63602.05</v>
      </c>
      <c r="BL24" s="409">
        <v>8678.4</v>
      </c>
      <c r="BM24" s="409">
        <v>261193.39</v>
      </c>
      <c r="BN24" s="409">
        <v>0</v>
      </c>
      <c r="BO24" s="409">
        <v>32061.81</v>
      </c>
      <c r="BP24" s="409"/>
      <c r="BQ24" s="409"/>
      <c r="BR24" s="409"/>
      <c r="BS24" s="409"/>
      <c r="BT24" s="409">
        <v>13735.15</v>
      </c>
      <c r="BU24" s="409">
        <v>51766.43</v>
      </c>
      <c r="BV24" s="409">
        <v>22464.4</v>
      </c>
      <c r="BW24" s="409">
        <v>72360.68</v>
      </c>
      <c r="BX24" s="409"/>
      <c r="BY24" s="409"/>
      <c r="BZ24" s="409">
        <f t="shared" si="2"/>
        <v>662179.67</v>
      </c>
      <c r="CA24" s="409"/>
      <c r="CB24" s="409"/>
      <c r="CC24" s="356"/>
      <c r="CD24" s="356"/>
      <c r="CE24" s="310"/>
      <c r="CF24" s="310"/>
      <c r="CG24" s="310" t="s">
        <v>84</v>
      </c>
      <c r="CH24" s="441">
        <f t="shared" si="13"/>
        <v>662179.67</v>
      </c>
      <c r="CI24" s="441"/>
      <c r="CJ24" s="441">
        <v>6520.1</v>
      </c>
      <c r="CK24" s="441"/>
      <c r="CL24" s="441">
        <f>92654.22+80000</f>
        <v>172654.22</v>
      </c>
      <c r="CM24" s="441">
        <v>50000</v>
      </c>
      <c r="CN24" s="441"/>
      <c r="CO24" s="441">
        <f>50000+80000</f>
        <v>130000</v>
      </c>
      <c r="CP24" s="441"/>
      <c r="CQ24" s="441">
        <v>60000</v>
      </c>
      <c r="CR24" s="441">
        <v>60000</v>
      </c>
      <c r="CS24" s="441">
        <v>60000</v>
      </c>
      <c r="CT24" s="441">
        <v>48101.05</v>
      </c>
      <c r="CU24" s="441">
        <f t="shared" si="3"/>
        <v>74904.3</v>
      </c>
      <c r="CV24" s="402">
        <f t="shared" si="4"/>
        <v>74904.3</v>
      </c>
      <c r="CW24" s="457" t="s">
        <v>85</v>
      </c>
      <c r="CY24" s="101"/>
    </row>
    <row r="25" s="10" customFormat="1" ht="24.05" customHeight="1" spans="2:103">
      <c r="B25" s="389" t="s">
        <v>81</v>
      </c>
      <c r="C25" s="385" t="s">
        <v>130</v>
      </c>
      <c r="D25" s="386" t="s">
        <v>131</v>
      </c>
      <c r="E25" s="388"/>
      <c r="F25" s="388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8"/>
      <c r="S25" s="388"/>
      <c r="T25" s="388"/>
      <c r="U25" s="402"/>
      <c r="V25" s="402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9"/>
      <c r="AJ25" s="409"/>
      <c r="AK25" s="409"/>
      <c r="AL25" s="409"/>
      <c r="AM25" s="409"/>
      <c r="AN25" s="409"/>
      <c r="AO25" s="409"/>
      <c r="AP25" s="409"/>
      <c r="AQ25" s="409"/>
      <c r="AR25" s="409"/>
      <c r="AS25" s="409"/>
      <c r="AT25" s="409"/>
      <c r="AU25" s="409"/>
      <c r="AV25" s="409"/>
      <c r="AW25" s="409"/>
      <c r="AX25" s="409"/>
      <c r="AY25" s="409"/>
      <c r="AZ25" s="409"/>
      <c r="BA25" s="409"/>
      <c r="BB25" s="409"/>
      <c r="BC25" s="409"/>
      <c r="BD25" s="409"/>
      <c r="BE25" s="409"/>
      <c r="BF25" s="409"/>
      <c r="BG25" s="409"/>
      <c r="BH25" s="409">
        <v>0</v>
      </c>
      <c r="BI25" s="409">
        <v>0</v>
      </c>
      <c r="BJ25" s="409">
        <v>0</v>
      </c>
      <c r="BK25" s="409">
        <v>0</v>
      </c>
      <c r="BL25" s="409">
        <v>15576.8</v>
      </c>
      <c r="BM25" s="409">
        <v>0</v>
      </c>
      <c r="BN25" s="409">
        <v>0</v>
      </c>
      <c r="BO25" s="409"/>
      <c r="BP25" s="409"/>
      <c r="BQ25" s="409"/>
      <c r="BR25" s="409"/>
      <c r="BS25" s="409"/>
      <c r="BT25" s="409"/>
      <c r="BU25" s="409"/>
      <c r="BV25" s="409"/>
      <c r="BW25" s="409"/>
      <c r="BX25" s="409"/>
      <c r="BY25" s="409"/>
      <c r="BZ25" s="409">
        <f t="shared" si="2"/>
        <v>15576.8</v>
      </c>
      <c r="CA25" s="409"/>
      <c r="CB25" s="409"/>
      <c r="CC25" s="356"/>
      <c r="CD25" s="356"/>
      <c r="CE25" s="310"/>
      <c r="CF25" s="310"/>
      <c r="CG25" s="310" t="s">
        <v>84</v>
      </c>
      <c r="CH25" s="441">
        <f t="shared" si="13"/>
        <v>15576.8</v>
      </c>
      <c r="CI25" s="441"/>
      <c r="CJ25" s="441"/>
      <c r="CK25" s="441"/>
      <c r="CL25" s="441"/>
      <c r="CM25" s="441"/>
      <c r="CN25" s="441"/>
      <c r="CO25" s="441"/>
      <c r="CP25" s="441"/>
      <c r="CQ25" s="441">
        <f>15576.8+15576.8</f>
        <v>31153.6</v>
      </c>
      <c r="CR25" s="441"/>
      <c r="CS25" s="441"/>
      <c r="CT25" s="441"/>
      <c r="CU25" s="441">
        <f t="shared" si="3"/>
        <v>-15576.8</v>
      </c>
      <c r="CV25" s="402">
        <f t="shared" si="4"/>
        <v>0</v>
      </c>
      <c r="CW25" s="457" t="s">
        <v>85</v>
      </c>
      <c r="CY25" s="101"/>
    </row>
    <row r="26" s="10" customFormat="1" ht="24.05" customHeight="1" spans="2:103">
      <c r="B26" s="384" t="s">
        <v>81</v>
      </c>
      <c r="C26" s="385" t="s">
        <v>102</v>
      </c>
      <c r="D26" s="390" t="s">
        <v>103</v>
      </c>
      <c r="E26" s="388">
        <v>2298406.19</v>
      </c>
      <c r="F26" s="388">
        <v>3231324.59</v>
      </c>
      <c r="G26" s="387">
        <v>1807612.59</v>
      </c>
      <c r="H26" s="387">
        <v>1807612.59</v>
      </c>
      <c r="I26" s="387">
        <v>2248380.11</v>
      </c>
      <c r="J26" s="387">
        <v>1248380.11</v>
      </c>
      <c r="K26" s="387">
        <v>1741922.99</v>
      </c>
      <c r="L26" s="387">
        <v>1741922.99</v>
      </c>
      <c r="M26" s="387">
        <v>2371602.54</v>
      </c>
      <c r="N26" s="387">
        <v>1210715.74</v>
      </c>
      <c r="O26" s="387">
        <v>1731729.26</v>
      </c>
      <c r="P26" s="387">
        <v>1221376.41</v>
      </c>
      <c r="Q26" s="387">
        <v>2281849.77</v>
      </c>
      <c r="R26" s="388"/>
      <c r="S26" s="388">
        <v>2000000</v>
      </c>
      <c r="T26" s="388"/>
      <c r="U26" s="402"/>
      <c r="V26" s="402">
        <v>1000000</v>
      </c>
      <c r="W26" s="402"/>
      <c r="X26" s="402"/>
      <c r="Y26" s="402"/>
      <c r="Z26" s="402">
        <v>1655074.64</v>
      </c>
      <c r="AA26" s="402">
        <v>450000</v>
      </c>
      <c r="AB26" s="402">
        <v>743433.2</v>
      </c>
      <c r="AC26" s="402"/>
      <c r="AD26" s="402"/>
      <c r="AE26" s="402">
        <v>1000000</v>
      </c>
      <c r="AF26" s="402"/>
      <c r="AG26" s="402">
        <v>1100000</v>
      </c>
      <c r="AH26" s="402">
        <v>400000</v>
      </c>
      <c r="AI26" s="409">
        <f>E26-R26-S26-T26-U26-V26-W26-X26-Y26</f>
        <v>-701593.81</v>
      </c>
      <c r="AJ26" s="409">
        <f>F26-S26-T26-U26-V26-W26-X26-Y26</f>
        <v>231324.59</v>
      </c>
      <c r="AK26" s="409">
        <f>G26-T26-U26-V26-W26-X26-Y26</f>
        <v>807612.59</v>
      </c>
      <c r="AL26" s="409">
        <f>H26-U26-V26-W26-X26-Y26-Z26-AA26</f>
        <v>-1297462.05</v>
      </c>
      <c r="AM26" s="409">
        <f>I26-V26-W26-X26-Y26-Z26-AA26-AB26-AC26</f>
        <v>-1600127.73</v>
      </c>
      <c r="AN26" s="409">
        <f>J26-W26-X26-Y26-Z26-AA26-AB26-AC26</f>
        <v>-1600127.73</v>
      </c>
      <c r="AO26" s="409">
        <f>K26-X26-Y26-Z26-AA26-AB26-AC26-AD26-AE26</f>
        <v>-2106584.85</v>
      </c>
      <c r="AP26" s="409">
        <f>L26-Y26-Z26-AA26-AB26-AC26-AD26-AE26</f>
        <v>-2106584.85</v>
      </c>
      <c r="AQ26" s="409"/>
      <c r="AR26" s="409"/>
      <c r="AS26" s="409"/>
      <c r="AT26" s="409">
        <f>P26-AC26-AD26-AE26-AF26-AG26</f>
        <v>-878623.59</v>
      </c>
      <c r="AU26" s="409"/>
      <c r="AV26" s="409"/>
      <c r="AW26" s="409"/>
      <c r="AX26" s="409"/>
      <c r="AY26" s="409"/>
      <c r="AZ26" s="409"/>
      <c r="BA26" s="409"/>
      <c r="BB26" s="409"/>
      <c r="BC26" s="409"/>
      <c r="BD26" s="409"/>
      <c r="BE26" s="409"/>
      <c r="BF26" s="409"/>
      <c r="BG26" s="409"/>
      <c r="BH26" s="409">
        <v>0</v>
      </c>
      <c r="BI26" s="409">
        <v>0</v>
      </c>
      <c r="BJ26" s="409">
        <v>0</v>
      </c>
      <c r="BK26" s="409">
        <v>233106.08</v>
      </c>
      <c r="BL26" s="409">
        <v>392053.48</v>
      </c>
      <c r="BM26" s="409">
        <v>416448.24</v>
      </c>
      <c r="BN26" s="409">
        <v>385932</v>
      </c>
      <c r="BO26" s="409"/>
      <c r="BP26" s="409">
        <f>373250.6+140713.33</f>
        <v>513963.93</v>
      </c>
      <c r="BQ26" s="409">
        <v>493111.99</v>
      </c>
      <c r="BR26" s="409">
        <f>397737.46</f>
        <v>397737.46</v>
      </c>
      <c r="BS26" s="409">
        <v>332276.46</v>
      </c>
      <c r="BT26" s="409">
        <v>350664.92</v>
      </c>
      <c r="BU26" s="409">
        <v>304848.94</v>
      </c>
      <c r="BV26" s="409">
        <v>264742.4</v>
      </c>
      <c r="BW26" s="409"/>
      <c r="BX26" s="409"/>
      <c r="BY26" s="409"/>
      <c r="BZ26" s="409">
        <f t="shared" si="2"/>
        <v>4084885.9</v>
      </c>
      <c r="CA26" s="409"/>
      <c r="CB26" s="409"/>
      <c r="CC26" s="356"/>
      <c r="CD26" s="356"/>
      <c r="CE26" s="310"/>
      <c r="CF26" s="310"/>
      <c r="CG26" s="310" t="s">
        <v>84</v>
      </c>
      <c r="CH26" s="441">
        <f t="shared" si="13"/>
        <v>4084885.9</v>
      </c>
      <c r="CI26" s="441">
        <f>CH26/BZ26</f>
        <v>1</v>
      </c>
      <c r="CJ26" s="441">
        <f>392053.48+233106.08</f>
        <v>625159.56</v>
      </c>
      <c r="CK26" s="441"/>
      <c r="CL26" s="441">
        <f>330334.5276+845296.31</f>
        <v>1175630.8376</v>
      </c>
      <c r="CM26" s="441">
        <v>493111.99</v>
      </c>
      <c r="CN26" s="441">
        <f>140713.33+397737.45</f>
        <v>538450.78</v>
      </c>
      <c r="CO26" s="441">
        <v>332276.45</v>
      </c>
      <c r="CP26" s="441">
        <v>350664.92</v>
      </c>
      <c r="CQ26" s="441">
        <v>304848.91</v>
      </c>
      <c r="CR26" s="441">
        <v>264742.39</v>
      </c>
      <c r="CS26" s="441">
        <v>327734.07</v>
      </c>
      <c r="CT26" s="441">
        <v>216787.2</v>
      </c>
      <c r="CU26" s="441">
        <f t="shared" si="3"/>
        <v>-544521.2076</v>
      </c>
      <c r="CV26" s="402">
        <f>IF(CU26-BW26-BX26&lt;0,0,CU26-BW26-BX26)</f>
        <v>0</v>
      </c>
      <c r="CW26" s="402" t="s">
        <v>104</v>
      </c>
      <c r="CY26" s="101"/>
    </row>
    <row r="27" s="10" customFormat="1" ht="24.05" customHeight="1" spans="2:103">
      <c r="B27" s="389" t="s">
        <v>81</v>
      </c>
      <c r="C27" s="385" t="s">
        <v>132</v>
      </c>
      <c r="D27" s="390" t="s">
        <v>133</v>
      </c>
      <c r="E27" s="388"/>
      <c r="F27" s="388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8"/>
      <c r="S27" s="388"/>
      <c r="T27" s="388"/>
      <c r="U27" s="402"/>
      <c r="V27" s="402"/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402"/>
      <c r="AI27" s="409"/>
      <c r="AJ27" s="409"/>
      <c r="AK27" s="409"/>
      <c r="AL27" s="409"/>
      <c r="AM27" s="409"/>
      <c r="AN27" s="409"/>
      <c r="AO27" s="409"/>
      <c r="AP27" s="409"/>
      <c r="AQ27" s="409"/>
      <c r="AR27" s="409"/>
      <c r="AS27" s="409"/>
      <c r="AT27" s="409"/>
      <c r="AU27" s="409"/>
      <c r="AV27" s="409"/>
      <c r="AW27" s="409"/>
      <c r="AX27" s="409"/>
      <c r="AY27" s="409"/>
      <c r="AZ27" s="409"/>
      <c r="BA27" s="409"/>
      <c r="BB27" s="409"/>
      <c r="BC27" s="409"/>
      <c r="BD27" s="409"/>
      <c r="BE27" s="409"/>
      <c r="BF27" s="409"/>
      <c r="BG27" s="409"/>
      <c r="BH27" s="409"/>
      <c r="BI27" s="409"/>
      <c r="BJ27" s="409"/>
      <c r="BK27" s="409">
        <v>224865.48</v>
      </c>
      <c r="BL27" s="409">
        <v>192741.84</v>
      </c>
      <c r="BM27" s="409"/>
      <c r="BN27" s="409">
        <v>1060080.12</v>
      </c>
      <c r="BO27" s="409"/>
      <c r="BP27" s="409"/>
      <c r="BQ27" s="409"/>
      <c r="BR27" s="409">
        <v>578225.52</v>
      </c>
      <c r="BS27" s="409">
        <v>1027956.48</v>
      </c>
      <c r="BT27" s="409">
        <v>578225.52</v>
      </c>
      <c r="BU27" s="409"/>
      <c r="BV27" s="409">
        <v>610349.16</v>
      </c>
      <c r="BW27" s="409">
        <v>160618.2</v>
      </c>
      <c r="BX27" s="409"/>
      <c r="BY27" s="409"/>
      <c r="BZ27" s="409">
        <f t="shared" si="2"/>
        <v>4433062.32</v>
      </c>
      <c r="CA27" s="409"/>
      <c r="CB27" s="409"/>
      <c r="CC27" s="356"/>
      <c r="CD27" s="356"/>
      <c r="CE27" s="310"/>
      <c r="CF27" s="310"/>
      <c r="CG27" s="310" t="s">
        <v>84</v>
      </c>
      <c r="CH27" s="441">
        <f t="shared" si="13"/>
        <v>4433062.32</v>
      </c>
      <c r="CI27" s="441"/>
      <c r="CJ27" s="441">
        <v>224865.48</v>
      </c>
      <c r="CK27" s="441"/>
      <c r="CL27" s="441">
        <f>125557+300000</f>
        <v>425557</v>
      </c>
      <c r="CM27" s="441">
        <v>253493.16</v>
      </c>
      <c r="CN27" s="441">
        <v>638189.65</v>
      </c>
      <c r="CO27" s="441">
        <v>905886.65</v>
      </c>
      <c r="CP27" s="441">
        <v>623734.01</v>
      </c>
      <c r="CQ27" s="441">
        <v>519332.18</v>
      </c>
      <c r="CR27" s="441">
        <v>504608.85</v>
      </c>
      <c r="CS27" s="441">
        <v>299285.25</v>
      </c>
      <c r="CT27" s="441">
        <v>13384.85</v>
      </c>
      <c r="CU27" s="441">
        <f t="shared" si="3"/>
        <v>24725.24</v>
      </c>
      <c r="CV27" s="402">
        <f>IF(CU27-BY27-BX27&lt;0,0,CU27-BY27-BX27)</f>
        <v>24725.24</v>
      </c>
      <c r="CW27" s="457" t="s">
        <v>85</v>
      </c>
      <c r="CY27" s="101"/>
    </row>
    <row r="28" s="10" customFormat="1" ht="24.05" customHeight="1" spans="2:103">
      <c r="B28" s="389" t="s">
        <v>134</v>
      </c>
      <c r="C28" s="385">
        <v>1951024</v>
      </c>
      <c r="D28" s="386" t="s">
        <v>135</v>
      </c>
      <c r="E28" s="388"/>
      <c r="F28" s="388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8"/>
      <c r="S28" s="388"/>
      <c r="T28" s="388"/>
      <c r="U28" s="402"/>
      <c r="V28" s="402"/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402"/>
      <c r="AI28" s="409"/>
      <c r="AJ28" s="409"/>
      <c r="AK28" s="409"/>
      <c r="AL28" s="409"/>
      <c r="AM28" s="409"/>
      <c r="AN28" s="409"/>
      <c r="AO28" s="409"/>
      <c r="AP28" s="409"/>
      <c r="AQ28" s="409"/>
      <c r="AR28" s="409"/>
      <c r="AS28" s="409"/>
      <c r="AT28" s="409"/>
      <c r="AU28" s="409"/>
      <c r="AV28" s="409"/>
      <c r="AW28" s="409"/>
      <c r="AX28" s="409"/>
      <c r="AY28" s="409"/>
      <c r="AZ28" s="409"/>
      <c r="BA28" s="409"/>
      <c r="BB28" s="409"/>
      <c r="BC28" s="409"/>
      <c r="BD28" s="409"/>
      <c r="BE28" s="409"/>
      <c r="BF28" s="409"/>
      <c r="BG28" s="409"/>
      <c r="BH28" s="409"/>
      <c r="BI28" s="409"/>
      <c r="BJ28" s="409">
        <v>0</v>
      </c>
      <c r="BK28" s="409"/>
      <c r="BL28" s="409">
        <v>207645.47</v>
      </c>
      <c r="BM28" s="409"/>
      <c r="BN28" s="409"/>
      <c r="BO28" s="409"/>
      <c r="BP28" s="409"/>
      <c r="BQ28" s="409"/>
      <c r="BR28" s="409"/>
      <c r="BS28" s="409"/>
      <c r="BT28" s="409"/>
      <c r="BU28" s="409"/>
      <c r="BV28" s="409"/>
      <c r="BW28" s="409"/>
      <c r="BX28" s="409"/>
      <c r="BY28" s="409"/>
      <c r="BZ28" s="409">
        <f t="shared" si="2"/>
        <v>207645.47</v>
      </c>
      <c r="CA28" s="409"/>
      <c r="CB28" s="409"/>
      <c r="CC28" s="356"/>
      <c r="CD28" s="356"/>
      <c r="CE28" s="310"/>
      <c r="CF28" s="310"/>
      <c r="CG28" s="310" t="s">
        <v>84</v>
      </c>
      <c r="CH28" s="441">
        <f t="shared" si="13"/>
        <v>207645.47</v>
      </c>
      <c r="CI28" s="441"/>
      <c r="CJ28" s="441">
        <v>207645.47</v>
      </c>
      <c r="CK28" s="441"/>
      <c r="CL28" s="441"/>
      <c r="CM28" s="441"/>
      <c r="CN28" s="441"/>
      <c r="CO28" s="441"/>
      <c r="CP28" s="441"/>
      <c r="CQ28" s="441"/>
      <c r="CR28" s="441"/>
      <c r="CS28" s="441"/>
      <c r="CT28" s="441"/>
      <c r="CU28" s="441">
        <f t="shared" si="3"/>
        <v>0</v>
      </c>
      <c r="CV28" s="402">
        <f>CU28-BW28-BX28</f>
        <v>0</v>
      </c>
      <c r="CW28" s="457" t="s">
        <v>111</v>
      </c>
      <c r="CY28" s="101"/>
    </row>
    <row r="29" s="10" customFormat="1" ht="24.05" customHeight="1" spans="2:103">
      <c r="B29" s="389" t="s">
        <v>81</v>
      </c>
      <c r="C29" s="391" t="s">
        <v>136</v>
      </c>
      <c r="D29" s="392" t="s">
        <v>137</v>
      </c>
      <c r="E29" s="388"/>
      <c r="F29" s="388"/>
      <c r="G29" s="387"/>
      <c r="H29" s="387"/>
      <c r="I29" s="387"/>
      <c r="J29" s="387"/>
      <c r="K29" s="387"/>
      <c r="L29" s="387"/>
      <c r="M29" s="387"/>
      <c r="N29" s="387"/>
      <c r="O29" s="387"/>
      <c r="P29" s="387"/>
      <c r="Q29" s="387"/>
      <c r="R29" s="388"/>
      <c r="S29" s="388"/>
      <c r="T29" s="388"/>
      <c r="U29" s="402"/>
      <c r="V29" s="402"/>
      <c r="W29" s="402"/>
      <c r="X29" s="402"/>
      <c r="Y29" s="402"/>
      <c r="Z29" s="402"/>
      <c r="AA29" s="402"/>
      <c r="AB29" s="402"/>
      <c r="AC29" s="402"/>
      <c r="AD29" s="402"/>
      <c r="AE29" s="402"/>
      <c r="AF29" s="402"/>
      <c r="AG29" s="402"/>
      <c r="AH29" s="402"/>
      <c r="AI29" s="409"/>
      <c r="AJ29" s="409"/>
      <c r="AK29" s="409"/>
      <c r="AL29" s="409"/>
      <c r="AM29" s="409"/>
      <c r="AN29" s="409"/>
      <c r="AO29" s="409"/>
      <c r="AP29" s="409"/>
      <c r="AQ29" s="409"/>
      <c r="AR29" s="409"/>
      <c r="AS29" s="409"/>
      <c r="AT29" s="409"/>
      <c r="AU29" s="409"/>
      <c r="AV29" s="409"/>
      <c r="AW29" s="409"/>
      <c r="AX29" s="409"/>
      <c r="AY29" s="409"/>
      <c r="AZ29" s="409"/>
      <c r="BA29" s="409"/>
      <c r="BB29" s="409"/>
      <c r="BC29" s="409"/>
      <c r="BD29" s="409"/>
      <c r="BE29" s="409"/>
      <c r="BF29" s="409"/>
      <c r="BG29" s="409"/>
      <c r="BH29" s="409"/>
      <c r="BI29" s="409"/>
      <c r="BJ29" s="409"/>
      <c r="BK29" s="409"/>
      <c r="BL29" s="409"/>
      <c r="BM29" s="409">
        <v>79579.74</v>
      </c>
      <c r="BN29" s="409"/>
      <c r="BO29" s="409"/>
      <c r="BP29" s="409">
        <f>19708.73+76813.83</f>
        <v>96522.56</v>
      </c>
      <c r="BQ29" s="409"/>
      <c r="BR29" s="409">
        <v>253943.78</v>
      </c>
      <c r="BS29" s="409">
        <v>181254.33</v>
      </c>
      <c r="BT29" s="409">
        <v>97678.85</v>
      </c>
      <c r="BU29" s="409"/>
      <c r="BV29" s="409">
        <v>55572.89</v>
      </c>
      <c r="BW29" s="409">
        <v>91703.4</v>
      </c>
      <c r="BX29" s="409"/>
      <c r="BY29" s="409"/>
      <c r="BZ29" s="409">
        <f t="shared" si="2"/>
        <v>856255.55</v>
      </c>
      <c r="CA29" s="431"/>
      <c r="CB29" s="431"/>
      <c r="CC29" s="442"/>
      <c r="CD29" s="442"/>
      <c r="CE29" s="313"/>
      <c r="CF29" s="313"/>
      <c r="CG29" s="310" t="s">
        <v>84</v>
      </c>
      <c r="CH29" s="441">
        <f t="shared" si="13"/>
        <v>856255.55</v>
      </c>
      <c r="CI29" s="443"/>
      <c r="CJ29" s="443"/>
      <c r="CK29" s="441"/>
      <c r="CL29" s="441">
        <v>50000</v>
      </c>
      <c r="CM29" s="441"/>
      <c r="CN29" s="441"/>
      <c r="CO29" s="441">
        <f>40000+200000</f>
        <v>240000</v>
      </c>
      <c r="CP29" s="441">
        <v>150000</v>
      </c>
      <c r="CQ29" s="441">
        <v>171300.41</v>
      </c>
      <c r="CR29" s="441"/>
      <c r="CS29" s="441">
        <v>60000</v>
      </c>
      <c r="CT29" s="441">
        <f>90000+50000</f>
        <v>140000</v>
      </c>
      <c r="CU29" s="441">
        <f t="shared" si="3"/>
        <v>44955.1399999999</v>
      </c>
      <c r="CV29" s="402">
        <f t="shared" si="4"/>
        <v>44955.1399999999</v>
      </c>
      <c r="CW29" s="458" t="s">
        <v>85</v>
      </c>
      <c r="CY29" s="101"/>
    </row>
    <row r="30" s="10" customFormat="1" ht="24.05" customHeight="1" spans="2:103">
      <c r="B30" s="389" t="s">
        <v>81</v>
      </c>
      <c r="C30" s="391" t="s">
        <v>138</v>
      </c>
      <c r="D30" s="392" t="s">
        <v>139</v>
      </c>
      <c r="E30" s="388"/>
      <c r="F30" s="388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8"/>
      <c r="S30" s="388"/>
      <c r="T30" s="388"/>
      <c r="U30" s="402"/>
      <c r="V30" s="402"/>
      <c r="W30" s="402"/>
      <c r="X30" s="402"/>
      <c r="Y30" s="402"/>
      <c r="Z30" s="402"/>
      <c r="AA30" s="402"/>
      <c r="AB30" s="402"/>
      <c r="AC30" s="402"/>
      <c r="AD30" s="402"/>
      <c r="AE30" s="402"/>
      <c r="AF30" s="402"/>
      <c r="AG30" s="402"/>
      <c r="AH30" s="402"/>
      <c r="AI30" s="409"/>
      <c r="AJ30" s="409"/>
      <c r="AK30" s="409"/>
      <c r="AL30" s="409"/>
      <c r="AM30" s="409"/>
      <c r="AN30" s="409"/>
      <c r="AO30" s="409"/>
      <c r="AP30" s="409"/>
      <c r="AQ30" s="409"/>
      <c r="AR30" s="409"/>
      <c r="AS30" s="409"/>
      <c r="AT30" s="409"/>
      <c r="AU30" s="409"/>
      <c r="AV30" s="409"/>
      <c r="AW30" s="409"/>
      <c r="AX30" s="409"/>
      <c r="AY30" s="409"/>
      <c r="AZ30" s="409"/>
      <c r="BA30" s="409"/>
      <c r="BB30" s="409"/>
      <c r="BC30" s="409"/>
      <c r="BD30" s="409"/>
      <c r="BE30" s="409"/>
      <c r="BF30" s="409"/>
      <c r="BG30" s="409"/>
      <c r="BH30" s="409"/>
      <c r="BI30" s="409"/>
      <c r="BJ30" s="409"/>
      <c r="BK30" s="409"/>
      <c r="BL30" s="409"/>
      <c r="BM30" s="429">
        <v>4430</v>
      </c>
      <c r="BN30" s="409"/>
      <c r="BO30" s="409"/>
      <c r="BP30" s="409"/>
      <c r="BQ30" s="409"/>
      <c r="BR30" s="409"/>
      <c r="BS30" s="409"/>
      <c r="BT30" s="409"/>
      <c r="BU30" s="409"/>
      <c r="BV30" s="409"/>
      <c r="BW30" s="409"/>
      <c r="BX30" s="409"/>
      <c r="BY30" s="409"/>
      <c r="BZ30" s="409">
        <f t="shared" si="2"/>
        <v>4430</v>
      </c>
      <c r="CA30" s="431"/>
      <c r="CB30" s="431"/>
      <c r="CC30" s="442"/>
      <c r="CD30" s="442"/>
      <c r="CE30" s="313"/>
      <c r="CF30" s="313"/>
      <c r="CG30" s="310" t="s">
        <v>84</v>
      </c>
      <c r="CH30" s="441">
        <f t="shared" si="13"/>
        <v>4430</v>
      </c>
      <c r="CI30" s="443"/>
      <c r="CJ30" s="443"/>
      <c r="CK30" s="441"/>
      <c r="CL30" s="441"/>
      <c r="CM30" s="441">
        <v>4430</v>
      </c>
      <c r="CN30" s="441"/>
      <c r="CO30" s="441"/>
      <c r="CP30" s="441"/>
      <c r="CQ30" s="441"/>
      <c r="CR30" s="441"/>
      <c r="CS30" s="441"/>
      <c r="CT30" s="441"/>
      <c r="CU30" s="441">
        <f t="shared" si="3"/>
        <v>0</v>
      </c>
      <c r="CV30" s="402">
        <f>CU30-BW30-BX30</f>
        <v>0</v>
      </c>
      <c r="CW30" s="458" t="s">
        <v>101</v>
      </c>
      <c r="CY30" s="101"/>
    </row>
    <row r="31" s="10" customFormat="1" ht="24.05" customHeight="1" spans="2:103">
      <c r="B31" s="389" t="s">
        <v>81</v>
      </c>
      <c r="C31" s="391" t="s">
        <v>140</v>
      </c>
      <c r="D31" s="392" t="s">
        <v>141</v>
      </c>
      <c r="E31" s="388"/>
      <c r="F31" s="388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8"/>
      <c r="S31" s="388"/>
      <c r="T31" s="388"/>
      <c r="U31" s="402"/>
      <c r="V31" s="402"/>
      <c r="W31" s="402"/>
      <c r="X31" s="402"/>
      <c r="Y31" s="402"/>
      <c r="Z31" s="402"/>
      <c r="AA31" s="402"/>
      <c r="AB31" s="402"/>
      <c r="AC31" s="402"/>
      <c r="AD31" s="402"/>
      <c r="AE31" s="402"/>
      <c r="AF31" s="402"/>
      <c r="AG31" s="402"/>
      <c r="AH31" s="402"/>
      <c r="AI31" s="409"/>
      <c r="AJ31" s="409"/>
      <c r="AK31" s="409"/>
      <c r="AL31" s="409"/>
      <c r="AM31" s="409"/>
      <c r="AN31" s="409"/>
      <c r="AO31" s="409"/>
      <c r="AP31" s="409"/>
      <c r="AQ31" s="409"/>
      <c r="AR31" s="409"/>
      <c r="AS31" s="409"/>
      <c r="AT31" s="409"/>
      <c r="AU31" s="409"/>
      <c r="AV31" s="409"/>
      <c r="AW31" s="409"/>
      <c r="AX31" s="409"/>
      <c r="AY31" s="409"/>
      <c r="AZ31" s="409"/>
      <c r="BA31" s="409"/>
      <c r="BB31" s="409"/>
      <c r="BC31" s="409"/>
      <c r="BD31" s="409"/>
      <c r="BE31" s="409"/>
      <c r="BF31" s="409"/>
      <c r="BG31" s="409"/>
      <c r="BH31" s="409"/>
      <c r="BI31" s="409"/>
      <c r="BJ31" s="409"/>
      <c r="BK31" s="409"/>
      <c r="BL31" s="409"/>
      <c r="BM31" s="429"/>
      <c r="BN31" s="409">
        <v>40002</v>
      </c>
      <c r="BO31" s="409"/>
      <c r="BP31" s="409"/>
      <c r="BQ31" s="409"/>
      <c r="BR31" s="409"/>
      <c r="BS31" s="409"/>
      <c r="BT31" s="409"/>
      <c r="BU31" s="409"/>
      <c r="BV31" s="409"/>
      <c r="BW31" s="409"/>
      <c r="BX31" s="409"/>
      <c r="BY31" s="409"/>
      <c r="BZ31" s="409">
        <f t="shared" si="2"/>
        <v>40002</v>
      </c>
      <c r="CA31" s="431"/>
      <c r="CB31" s="431"/>
      <c r="CC31" s="442"/>
      <c r="CD31" s="442"/>
      <c r="CE31" s="313"/>
      <c r="CF31" s="313"/>
      <c r="CG31" s="310" t="s">
        <v>84</v>
      </c>
      <c r="CH31" s="441">
        <f t="shared" si="13"/>
        <v>40002</v>
      </c>
      <c r="CI31" s="443"/>
      <c r="CJ31" s="443"/>
      <c r="CK31" s="441"/>
      <c r="CL31" s="441"/>
      <c r="CM31" s="441"/>
      <c r="CN31" s="441"/>
      <c r="CO31" s="441">
        <f>20000+20002</f>
        <v>40002</v>
      </c>
      <c r="CP31" s="441"/>
      <c r="CQ31" s="441"/>
      <c r="CR31" s="441"/>
      <c r="CS31" s="441"/>
      <c r="CT31" s="441"/>
      <c r="CU31" s="441">
        <f t="shared" si="3"/>
        <v>0</v>
      </c>
      <c r="CV31" s="402">
        <f>CU31-BW31-BX31</f>
        <v>0</v>
      </c>
      <c r="CW31" s="458" t="s">
        <v>101</v>
      </c>
      <c r="CY31" s="101"/>
    </row>
    <row r="32" s="10" customFormat="1" ht="24.05" customHeight="1" spans="2:103">
      <c r="B32" s="389" t="s">
        <v>81</v>
      </c>
      <c r="C32" s="393" t="s">
        <v>177</v>
      </c>
      <c r="D32" s="392" t="s">
        <v>178</v>
      </c>
      <c r="E32" s="388"/>
      <c r="F32" s="388"/>
      <c r="G32" s="387"/>
      <c r="H32" s="387"/>
      <c r="I32" s="387"/>
      <c r="J32" s="387"/>
      <c r="K32" s="387"/>
      <c r="L32" s="387"/>
      <c r="M32" s="387"/>
      <c r="N32" s="387"/>
      <c r="O32" s="387"/>
      <c r="P32" s="387"/>
      <c r="Q32" s="387"/>
      <c r="R32" s="388"/>
      <c r="S32" s="388"/>
      <c r="T32" s="388"/>
      <c r="U32" s="402"/>
      <c r="V32" s="402"/>
      <c r="W32" s="402"/>
      <c r="X32" s="402"/>
      <c r="Y32" s="402"/>
      <c r="Z32" s="402"/>
      <c r="AA32" s="402"/>
      <c r="AB32" s="402"/>
      <c r="AC32" s="402"/>
      <c r="AD32" s="402"/>
      <c r="AE32" s="402"/>
      <c r="AF32" s="402"/>
      <c r="AG32" s="402"/>
      <c r="AH32" s="402"/>
      <c r="AI32" s="409"/>
      <c r="AJ32" s="409"/>
      <c r="AK32" s="409"/>
      <c r="AL32" s="409"/>
      <c r="AM32" s="409"/>
      <c r="AN32" s="409"/>
      <c r="AO32" s="409"/>
      <c r="AP32" s="409"/>
      <c r="AQ32" s="409"/>
      <c r="AR32" s="409"/>
      <c r="AS32" s="409"/>
      <c r="AT32" s="409"/>
      <c r="AU32" s="409"/>
      <c r="AV32" s="409"/>
      <c r="AW32" s="409"/>
      <c r="AX32" s="409"/>
      <c r="AY32" s="409"/>
      <c r="AZ32" s="409"/>
      <c r="BA32" s="409"/>
      <c r="BB32" s="409"/>
      <c r="BC32" s="409"/>
      <c r="BD32" s="409"/>
      <c r="BE32" s="409"/>
      <c r="BF32" s="409"/>
      <c r="BG32" s="409"/>
      <c r="BH32" s="409"/>
      <c r="BI32" s="409"/>
      <c r="BJ32" s="409"/>
      <c r="BK32" s="409"/>
      <c r="BL32" s="409"/>
      <c r="BM32" s="429"/>
      <c r="BN32" s="409"/>
      <c r="BO32" s="409"/>
      <c r="BP32" s="409"/>
      <c r="BQ32" s="409"/>
      <c r="BR32" s="409"/>
      <c r="BS32" s="409">
        <v>21244</v>
      </c>
      <c r="BT32" s="409">
        <f>42488+58534.4</f>
        <v>101022.4</v>
      </c>
      <c r="BU32" s="409"/>
      <c r="BV32" s="409">
        <v>3300</v>
      </c>
      <c r="BW32" s="409"/>
      <c r="BX32" s="409"/>
      <c r="BY32" s="409"/>
      <c r="BZ32" s="409">
        <f t="shared" si="2"/>
        <v>125566.4</v>
      </c>
      <c r="CA32" s="431"/>
      <c r="CB32" s="431"/>
      <c r="CC32" s="442"/>
      <c r="CD32" s="442"/>
      <c r="CE32" s="313"/>
      <c r="CF32" s="313"/>
      <c r="CG32" s="310" t="s">
        <v>84</v>
      </c>
      <c r="CH32" s="441">
        <f t="shared" si="13"/>
        <v>125566.4</v>
      </c>
      <c r="CI32" s="443"/>
      <c r="CJ32" s="443"/>
      <c r="CK32" s="443"/>
      <c r="CL32" s="443"/>
      <c r="CM32" s="443"/>
      <c r="CN32" s="443">
        <v>21244</v>
      </c>
      <c r="CO32" s="443">
        <v>42488</v>
      </c>
      <c r="CP32" s="443"/>
      <c r="CQ32" s="443">
        <v>58534.4</v>
      </c>
      <c r="CR32" s="443">
        <f>58534.4-55234.4</f>
        <v>3300</v>
      </c>
      <c r="CS32" s="443"/>
      <c r="CT32" s="443"/>
      <c r="CU32" s="441">
        <f t="shared" si="3"/>
        <v>-7.27595761418343e-12</v>
      </c>
      <c r="CV32" s="402">
        <f>IF(CU32-BW32-BX32&lt;0,0,CU32-BW32-BX32)</f>
        <v>0</v>
      </c>
      <c r="CW32" s="458"/>
      <c r="CY32" s="101"/>
    </row>
    <row r="33" s="10" customFormat="1" ht="24.05" customHeight="1" spans="2:103">
      <c r="B33" s="389" t="s">
        <v>81</v>
      </c>
      <c r="C33" s="393" t="s">
        <v>179</v>
      </c>
      <c r="D33" s="392" t="s">
        <v>180</v>
      </c>
      <c r="E33" s="388"/>
      <c r="F33" s="388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8"/>
      <c r="S33" s="388"/>
      <c r="T33" s="388"/>
      <c r="U33" s="402"/>
      <c r="V33" s="402"/>
      <c r="W33" s="402"/>
      <c r="X33" s="402"/>
      <c r="Y33" s="402"/>
      <c r="Z33" s="402"/>
      <c r="AA33" s="402"/>
      <c r="AB33" s="402"/>
      <c r="AC33" s="402"/>
      <c r="AD33" s="402"/>
      <c r="AE33" s="402"/>
      <c r="AF33" s="402"/>
      <c r="AG33" s="402"/>
      <c r="AH33" s="402"/>
      <c r="AI33" s="409"/>
      <c r="AJ33" s="409"/>
      <c r="AK33" s="409"/>
      <c r="AL33" s="409"/>
      <c r="AM33" s="409"/>
      <c r="AN33" s="409"/>
      <c r="AO33" s="409"/>
      <c r="AP33" s="409"/>
      <c r="AQ33" s="409"/>
      <c r="AR33" s="409"/>
      <c r="AS33" s="409"/>
      <c r="AT33" s="409"/>
      <c r="AU33" s="409"/>
      <c r="AV33" s="409"/>
      <c r="AW33" s="409"/>
      <c r="AX33" s="409"/>
      <c r="AY33" s="409"/>
      <c r="AZ33" s="409"/>
      <c r="BA33" s="409"/>
      <c r="BB33" s="409"/>
      <c r="BC33" s="409"/>
      <c r="BD33" s="409"/>
      <c r="BE33" s="409"/>
      <c r="BF33" s="409"/>
      <c r="BG33" s="409"/>
      <c r="BH33" s="409"/>
      <c r="BI33" s="409"/>
      <c r="BJ33" s="409"/>
      <c r="BK33" s="409"/>
      <c r="BL33" s="409"/>
      <c r="BM33" s="429"/>
      <c r="BN33" s="409"/>
      <c r="BO33" s="409"/>
      <c r="BP33" s="409"/>
      <c r="BQ33" s="409"/>
      <c r="BR33" s="409"/>
      <c r="BS33" s="409">
        <v>83620</v>
      </c>
      <c r="BT33" s="409">
        <f>41584+103960</f>
        <v>145544</v>
      </c>
      <c r="BU33" s="409">
        <v>103960</v>
      </c>
      <c r="BV33" s="409"/>
      <c r="BW33" s="409"/>
      <c r="BX33" s="409"/>
      <c r="BY33" s="409"/>
      <c r="BZ33" s="409">
        <f t="shared" si="2"/>
        <v>333124</v>
      </c>
      <c r="CA33" s="431"/>
      <c r="CB33" s="431"/>
      <c r="CC33" s="442"/>
      <c r="CD33" s="442"/>
      <c r="CE33" s="313"/>
      <c r="CF33" s="313"/>
      <c r="CG33" s="310" t="s">
        <v>84</v>
      </c>
      <c r="CH33" s="441">
        <f t="shared" si="13"/>
        <v>333124</v>
      </c>
      <c r="CI33" s="443"/>
      <c r="CJ33" s="443"/>
      <c r="CK33" s="443"/>
      <c r="CL33" s="443"/>
      <c r="CM33" s="443">
        <v>83620</v>
      </c>
      <c r="CN33" s="443"/>
      <c r="CO33" s="443"/>
      <c r="CP33" s="443"/>
      <c r="CQ33" s="443"/>
      <c r="CR33" s="443"/>
      <c r="CS33" s="443"/>
      <c r="CT33" s="443">
        <v>207920</v>
      </c>
      <c r="CU33" s="441">
        <f t="shared" si="3"/>
        <v>41584</v>
      </c>
      <c r="CV33" s="402">
        <f t="shared" ref="CV33" si="14">IF(CU33-BY33-BX33&lt;0,0,CU33-BY33-BX33)</f>
        <v>41584</v>
      </c>
      <c r="CW33" s="458"/>
      <c r="CY33" s="101"/>
    </row>
    <row r="34" s="10" customFormat="1" ht="24.05" customHeight="1" spans="2:103">
      <c r="B34" s="389" t="s">
        <v>81</v>
      </c>
      <c r="C34" s="393" t="s">
        <v>181</v>
      </c>
      <c r="D34" s="392" t="s">
        <v>182</v>
      </c>
      <c r="E34" s="388"/>
      <c r="F34" s="388"/>
      <c r="G34" s="387"/>
      <c r="H34" s="387"/>
      <c r="I34" s="387"/>
      <c r="J34" s="387"/>
      <c r="K34" s="387"/>
      <c r="L34" s="387"/>
      <c r="M34" s="387"/>
      <c r="N34" s="387"/>
      <c r="O34" s="387"/>
      <c r="P34" s="387"/>
      <c r="Q34" s="387"/>
      <c r="R34" s="388"/>
      <c r="S34" s="388"/>
      <c r="T34" s="388"/>
      <c r="U34" s="402"/>
      <c r="V34" s="402"/>
      <c r="W34" s="402"/>
      <c r="X34" s="402"/>
      <c r="Y34" s="402"/>
      <c r="Z34" s="402"/>
      <c r="AA34" s="402"/>
      <c r="AB34" s="402"/>
      <c r="AC34" s="402"/>
      <c r="AD34" s="402"/>
      <c r="AE34" s="402"/>
      <c r="AF34" s="402"/>
      <c r="AG34" s="402"/>
      <c r="AH34" s="402"/>
      <c r="AI34" s="409"/>
      <c r="AJ34" s="409"/>
      <c r="AK34" s="409"/>
      <c r="AL34" s="409"/>
      <c r="AM34" s="409"/>
      <c r="AN34" s="409"/>
      <c r="AO34" s="409"/>
      <c r="AP34" s="409"/>
      <c r="AQ34" s="409"/>
      <c r="AR34" s="409"/>
      <c r="AS34" s="409"/>
      <c r="AT34" s="409"/>
      <c r="AU34" s="409"/>
      <c r="AV34" s="409"/>
      <c r="AW34" s="409"/>
      <c r="AX34" s="409"/>
      <c r="AY34" s="409"/>
      <c r="AZ34" s="409"/>
      <c r="BA34" s="409"/>
      <c r="BB34" s="409"/>
      <c r="BC34" s="409"/>
      <c r="BD34" s="409"/>
      <c r="BE34" s="409"/>
      <c r="BF34" s="409"/>
      <c r="BG34" s="409"/>
      <c r="BH34" s="409"/>
      <c r="BI34" s="409"/>
      <c r="BJ34" s="409"/>
      <c r="BK34" s="409"/>
      <c r="BL34" s="409"/>
      <c r="BM34" s="429"/>
      <c r="BN34" s="409"/>
      <c r="BO34" s="409"/>
      <c r="BP34" s="409"/>
      <c r="BQ34" s="409"/>
      <c r="BR34" s="409"/>
      <c r="BS34" s="409"/>
      <c r="BT34" s="409"/>
      <c r="BU34" s="409"/>
      <c r="BV34" s="409"/>
      <c r="BW34" s="409"/>
      <c r="BX34" s="409"/>
      <c r="BY34" s="409"/>
      <c r="BZ34" s="409">
        <f t="shared" si="2"/>
        <v>0</v>
      </c>
      <c r="CA34" s="431"/>
      <c r="CB34" s="431"/>
      <c r="CC34" s="442"/>
      <c r="CD34" s="442"/>
      <c r="CE34" s="313"/>
      <c r="CF34" s="313"/>
      <c r="CG34" s="310" t="s">
        <v>84</v>
      </c>
      <c r="CH34" s="441">
        <f t="shared" si="13"/>
        <v>0</v>
      </c>
      <c r="CI34" s="443"/>
      <c r="CJ34" s="443"/>
      <c r="CK34" s="443"/>
      <c r="CL34" s="443"/>
      <c r="CM34" s="443"/>
      <c r="CN34" s="443"/>
      <c r="CO34" s="443"/>
      <c r="CP34" s="443"/>
      <c r="CQ34" s="443">
        <v>55087.69</v>
      </c>
      <c r="CR34" s="443">
        <f>3390+5424</f>
        <v>8814</v>
      </c>
      <c r="CS34" s="443"/>
      <c r="CT34" s="443">
        <v>2712</v>
      </c>
      <c r="CU34" s="441">
        <f t="shared" si="3"/>
        <v>-66613.69</v>
      </c>
      <c r="CV34" s="402">
        <f>IF(CU34-BW34-BX34&lt;0,0,CU34-BW34-BX34)</f>
        <v>0</v>
      </c>
      <c r="CW34" s="458" t="s">
        <v>183</v>
      </c>
      <c r="CY34" s="101"/>
    </row>
    <row r="35" s="10" customFormat="1" ht="24.05" customHeight="1" spans="2:103">
      <c r="B35" s="389" t="s">
        <v>81</v>
      </c>
      <c r="C35" s="393" t="s">
        <v>184</v>
      </c>
      <c r="D35" s="392" t="s">
        <v>185</v>
      </c>
      <c r="E35" s="388"/>
      <c r="F35" s="388"/>
      <c r="G35" s="387"/>
      <c r="H35" s="387"/>
      <c r="I35" s="387"/>
      <c r="J35" s="387"/>
      <c r="K35" s="387"/>
      <c r="L35" s="387"/>
      <c r="M35" s="387"/>
      <c r="N35" s="387"/>
      <c r="O35" s="387"/>
      <c r="P35" s="387"/>
      <c r="Q35" s="387"/>
      <c r="R35" s="388"/>
      <c r="S35" s="388"/>
      <c r="T35" s="388"/>
      <c r="U35" s="402"/>
      <c r="V35" s="402"/>
      <c r="W35" s="402"/>
      <c r="X35" s="402"/>
      <c r="Y35" s="402"/>
      <c r="Z35" s="402"/>
      <c r="AA35" s="402"/>
      <c r="AB35" s="402"/>
      <c r="AC35" s="402"/>
      <c r="AD35" s="402"/>
      <c r="AE35" s="402"/>
      <c r="AF35" s="402"/>
      <c r="AG35" s="402"/>
      <c r="AH35" s="402"/>
      <c r="AI35" s="409"/>
      <c r="AJ35" s="409"/>
      <c r="AK35" s="409"/>
      <c r="AL35" s="409"/>
      <c r="AM35" s="409"/>
      <c r="AN35" s="409"/>
      <c r="AO35" s="409"/>
      <c r="AP35" s="409"/>
      <c r="AQ35" s="409"/>
      <c r="AR35" s="409"/>
      <c r="AS35" s="409"/>
      <c r="AT35" s="409"/>
      <c r="AU35" s="409"/>
      <c r="AV35" s="409"/>
      <c r="AW35" s="409"/>
      <c r="AX35" s="409"/>
      <c r="AY35" s="409"/>
      <c r="AZ35" s="409"/>
      <c r="BA35" s="409"/>
      <c r="BB35" s="409"/>
      <c r="BC35" s="409"/>
      <c r="BD35" s="409"/>
      <c r="BE35" s="409"/>
      <c r="BF35" s="409"/>
      <c r="BG35" s="409"/>
      <c r="BH35" s="409"/>
      <c r="BI35" s="409"/>
      <c r="BJ35" s="409"/>
      <c r="BK35" s="409"/>
      <c r="BL35" s="409"/>
      <c r="BM35" s="429"/>
      <c r="BN35" s="409"/>
      <c r="BO35" s="409"/>
      <c r="BP35" s="409"/>
      <c r="BQ35" s="409"/>
      <c r="BR35" s="409"/>
      <c r="BS35" s="409"/>
      <c r="BT35" s="409"/>
      <c r="BU35" s="409">
        <v>50319.8</v>
      </c>
      <c r="BV35" s="409"/>
      <c r="BW35" s="409"/>
      <c r="BX35" s="409"/>
      <c r="BY35" s="409"/>
      <c r="BZ35" s="409">
        <f t="shared" si="2"/>
        <v>50319.8</v>
      </c>
      <c r="CA35" s="431"/>
      <c r="CB35" s="431"/>
      <c r="CC35" s="442"/>
      <c r="CD35" s="442"/>
      <c r="CE35" s="313"/>
      <c r="CF35" s="313"/>
      <c r="CG35" s="310" t="s">
        <v>84</v>
      </c>
      <c r="CH35" s="441">
        <f t="shared" si="13"/>
        <v>50319.8</v>
      </c>
      <c r="CI35" s="443"/>
      <c r="CJ35" s="443"/>
      <c r="CK35" s="443"/>
      <c r="CL35" s="443"/>
      <c r="CM35" s="443"/>
      <c r="CN35" s="443"/>
      <c r="CO35" s="443"/>
      <c r="CP35" s="443"/>
      <c r="CQ35" s="443"/>
      <c r="CR35" s="443">
        <v>40000</v>
      </c>
      <c r="CS35" s="443"/>
      <c r="CT35" s="443">
        <v>10319.8</v>
      </c>
      <c r="CU35" s="441">
        <f t="shared" si="3"/>
        <v>0</v>
      </c>
      <c r="CV35" s="402">
        <f>CU35-BW35-BX35</f>
        <v>0</v>
      </c>
      <c r="CW35" s="458"/>
      <c r="CY35" s="101"/>
    </row>
    <row r="36" s="10" customFormat="1" ht="24.05" customHeight="1" spans="2:103">
      <c r="B36" s="394" t="s">
        <v>81</v>
      </c>
      <c r="C36" s="393" t="s">
        <v>186</v>
      </c>
      <c r="D36" s="392" t="s">
        <v>187</v>
      </c>
      <c r="E36" s="388"/>
      <c r="F36" s="388"/>
      <c r="G36" s="387"/>
      <c r="H36" s="387"/>
      <c r="I36" s="387"/>
      <c r="J36" s="387"/>
      <c r="K36" s="387"/>
      <c r="L36" s="387"/>
      <c r="M36" s="387"/>
      <c r="N36" s="387"/>
      <c r="O36" s="387"/>
      <c r="P36" s="387"/>
      <c r="Q36" s="387"/>
      <c r="R36" s="388"/>
      <c r="S36" s="388"/>
      <c r="T36" s="388"/>
      <c r="U36" s="402"/>
      <c r="V36" s="402"/>
      <c r="W36" s="402"/>
      <c r="X36" s="402"/>
      <c r="Y36" s="402"/>
      <c r="Z36" s="402"/>
      <c r="AA36" s="402"/>
      <c r="AB36" s="402"/>
      <c r="AC36" s="402"/>
      <c r="AD36" s="402"/>
      <c r="AE36" s="402"/>
      <c r="AF36" s="402"/>
      <c r="AG36" s="402"/>
      <c r="AH36" s="402"/>
      <c r="AI36" s="409"/>
      <c r="AJ36" s="409"/>
      <c r="AK36" s="409"/>
      <c r="AL36" s="409"/>
      <c r="AM36" s="409"/>
      <c r="AN36" s="409"/>
      <c r="AO36" s="409"/>
      <c r="AP36" s="409"/>
      <c r="AQ36" s="409"/>
      <c r="AR36" s="409"/>
      <c r="AS36" s="409"/>
      <c r="AT36" s="409"/>
      <c r="AU36" s="409"/>
      <c r="AV36" s="409"/>
      <c r="AW36" s="409"/>
      <c r="AX36" s="409"/>
      <c r="AY36" s="409"/>
      <c r="AZ36" s="409"/>
      <c r="BA36" s="409"/>
      <c r="BB36" s="409"/>
      <c r="BC36" s="409"/>
      <c r="BD36" s="409"/>
      <c r="BE36" s="409"/>
      <c r="BF36" s="409"/>
      <c r="BG36" s="409"/>
      <c r="BH36" s="409"/>
      <c r="BI36" s="409"/>
      <c r="BJ36" s="409"/>
      <c r="BK36" s="409"/>
      <c r="BL36" s="409"/>
      <c r="BM36" s="429"/>
      <c r="BN36" s="409"/>
      <c r="BO36" s="409"/>
      <c r="BP36" s="409"/>
      <c r="BQ36" s="409"/>
      <c r="BR36" s="409">
        <f>382969.99+224463.21</f>
        <v>607433.2</v>
      </c>
      <c r="BS36" s="409">
        <f>77000+611985.85</f>
        <v>688985.85</v>
      </c>
      <c r="BT36" s="409"/>
      <c r="BU36" s="409">
        <v>2966234.18</v>
      </c>
      <c r="BV36" s="409">
        <v>234870.5</v>
      </c>
      <c r="BW36" s="409">
        <f>342649.9+698034.9</f>
        <v>1040684.8</v>
      </c>
      <c r="BX36" s="409">
        <v>289573.8</v>
      </c>
      <c r="BY36" s="409">
        <v>16000</v>
      </c>
      <c r="BZ36" s="409">
        <f t="shared" si="2"/>
        <v>5843782.33</v>
      </c>
      <c r="CA36" s="431"/>
      <c r="CB36" s="431"/>
      <c r="CC36" s="442"/>
      <c r="CD36" s="442"/>
      <c r="CE36" s="313"/>
      <c r="CF36" s="310" t="s">
        <v>84</v>
      </c>
      <c r="CG36" s="310" t="s">
        <v>84</v>
      </c>
      <c r="CH36" s="441">
        <f t="shared" si="13"/>
        <v>5843782.33</v>
      </c>
      <c r="CI36" s="443"/>
      <c r="CJ36" s="443">
        <v>1600000</v>
      </c>
      <c r="CK36" s="443"/>
      <c r="CL36" s="443"/>
      <c r="CM36" s="443"/>
      <c r="CN36" s="443"/>
      <c r="CO36" s="443"/>
      <c r="CP36" s="443">
        <f>250000+1782600</f>
        <v>2032600</v>
      </c>
      <c r="CQ36" s="443"/>
      <c r="CR36" s="443">
        <v>200000</v>
      </c>
      <c r="CS36" s="443"/>
      <c r="CT36" s="443">
        <f>250000+16000</f>
        <v>266000</v>
      </c>
      <c r="CU36" s="441">
        <f t="shared" si="3"/>
        <v>1745182.33</v>
      </c>
      <c r="CV36" s="402">
        <f>CU36-BW36-BX36</f>
        <v>414923.73</v>
      </c>
      <c r="CW36" s="458"/>
      <c r="CY36" s="101"/>
    </row>
    <row r="37" s="12" customFormat="1" ht="24.05" customHeight="1" spans="2:101">
      <c r="B37" s="395"/>
      <c r="C37" s="396"/>
      <c r="D37" s="397" t="s">
        <v>142</v>
      </c>
      <c r="E37" s="398">
        <f t="shared" ref="E37:L37" si="15">SUM(E5:E28)</f>
        <v>22682532.6</v>
      </c>
      <c r="F37" s="398">
        <f t="shared" si="15"/>
        <v>24733449.16</v>
      </c>
      <c r="G37" s="398">
        <f t="shared" si="15"/>
        <v>25636156.67</v>
      </c>
      <c r="H37" s="398">
        <f t="shared" si="15"/>
        <v>24304613.27</v>
      </c>
      <c r="I37" s="398">
        <f t="shared" si="15"/>
        <v>24512398.23</v>
      </c>
      <c r="J37" s="398">
        <f t="shared" si="15"/>
        <v>24540876.54</v>
      </c>
      <c r="K37" s="398">
        <f t="shared" si="15"/>
        <v>24615719.22</v>
      </c>
      <c r="L37" s="398">
        <f t="shared" si="15"/>
        <v>24452662.85</v>
      </c>
      <c r="M37" s="398"/>
      <c r="N37" s="398"/>
      <c r="O37" s="398"/>
      <c r="P37" s="398"/>
      <c r="Q37" s="405" t="e">
        <f>VLOOKUP(D37,'[1]6期末'!$A$1:$D$65536,4,0)</f>
        <v>#N/A</v>
      </c>
      <c r="R37" s="398">
        <f t="shared" ref="R37:AA37" si="16">SUM(R5:R28)</f>
        <v>2663855</v>
      </c>
      <c r="S37" s="398">
        <f t="shared" si="16"/>
        <v>3163641</v>
      </c>
      <c r="T37" s="398">
        <f t="shared" si="16"/>
        <v>4722673.16</v>
      </c>
      <c r="U37" s="398">
        <f t="shared" si="16"/>
        <v>2025507.01</v>
      </c>
      <c r="V37" s="398">
        <f t="shared" si="16"/>
        <v>4000000</v>
      </c>
      <c r="W37" s="398">
        <f t="shared" si="16"/>
        <v>3349664.31</v>
      </c>
      <c r="X37" s="398">
        <f t="shared" si="16"/>
        <v>4130000</v>
      </c>
      <c r="Y37" s="398">
        <f t="shared" si="16"/>
        <v>711934.21</v>
      </c>
      <c r="Z37" s="398">
        <f t="shared" si="16"/>
        <v>2603768.33</v>
      </c>
      <c r="AA37" s="398">
        <f t="shared" si="16"/>
        <v>5183000</v>
      </c>
      <c r="AB37" s="398"/>
      <c r="AC37" s="398"/>
      <c r="AD37" s="398"/>
      <c r="AE37" s="398"/>
      <c r="AF37" s="398"/>
      <c r="AG37" s="411" t="e">
        <f>VLOOKUP(D37,'[1]10付款'!$A$1:$B$65536,2,0)</f>
        <v>#N/A</v>
      </c>
      <c r="AH37" s="411" t="e">
        <f>VLOOKUP(D37,'[1]11付款'!$A$1:$B$65536,2,0)</f>
        <v>#N/A</v>
      </c>
      <c r="AI37" s="398">
        <f t="shared" ref="AI37:AP37" si="17">SUM(AI5:AI28)</f>
        <v>-2084742.09</v>
      </c>
      <c r="AJ37" s="398">
        <f t="shared" si="17"/>
        <v>2630029.47</v>
      </c>
      <c r="AK37" s="398">
        <f t="shared" si="17"/>
        <v>6696377.98</v>
      </c>
      <c r="AL37" s="398">
        <f t="shared" si="17"/>
        <v>2300739.41</v>
      </c>
      <c r="AM37" s="398">
        <f t="shared" si="17"/>
        <v>-3659401.82</v>
      </c>
      <c r="AN37" s="398">
        <f t="shared" si="17"/>
        <v>369076.49</v>
      </c>
      <c r="AO37" s="398">
        <f t="shared" si="17"/>
        <v>-899704.179999999</v>
      </c>
      <c r="AP37" s="398">
        <f t="shared" si="17"/>
        <v>3067239.45</v>
      </c>
      <c r="AQ37" s="398"/>
      <c r="AR37" s="398"/>
      <c r="AS37" s="398"/>
      <c r="AT37" s="398"/>
      <c r="AU37" s="398">
        <f t="shared" ref="AU37:BV37" si="18">SUM(AU5:AU36)</f>
        <v>17512.09</v>
      </c>
      <c r="AV37" s="398">
        <f t="shared" si="18"/>
        <v>3781853.16</v>
      </c>
      <c r="AW37" s="398">
        <f t="shared" si="18"/>
        <v>3490060.51</v>
      </c>
      <c r="AX37" s="398">
        <f t="shared" si="18"/>
        <v>3391129.76</v>
      </c>
      <c r="AY37" s="398">
        <f t="shared" si="18"/>
        <v>2245811.18</v>
      </c>
      <c r="AZ37" s="398">
        <f t="shared" si="18"/>
        <v>3575191.58</v>
      </c>
      <c r="BA37" s="398">
        <f t="shared" si="18"/>
        <v>2945964.11</v>
      </c>
      <c r="BB37" s="398">
        <f t="shared" si="18"/>
        <v>3966943.63</v>
      </c>
      <c r="BC37" s="398">
        <f t="shared" si="18"/>
        <v>2713530.34</v>
      </c>
      <c r="BD37" s="398">
        <f t="shared" si="18"/>
        <v>2708120.38</v>
      </c>
      <c r="BE37" s="398">
        <f t="shared" si="18"/>
        <v>4609510.63</v>
      </c>
      <c r="BF37" s="398">
        <f t="shared" si="18"/>
        <v>5500560.87</v>
      </c>
      <c r="BG37" s="398">
        <f t="shared" si="18"/>
        <v>4036029.36</v>
      </c>
      <c r="BH37" s="398">
        <f t="shared" si="18"/>
        <v>317655.91</v>
      </c>
      <c r="BI37" s="398">
        <f t="shared" si="18"/>
        <v>1533206.14</v>
      </c>
      <c r="BJ37" s="398">
        <f t="shared" si="18"/>
        <v>3380829.91</v>
      </c>
      <c r="BK37" s="398">
        <f t="shared" si="18"/>
        <v>3440970.86</v>
      </c>
      <c r="BL37" s="398">
        <f t="shared" si="18"/>
        <v>3221715.13</v>
      </c>
      <c r="BM37" s="398">
        <f t="shared" si="18"/>
        <v>908640.82</v>
      </c>
      <c r="BN37" s="398">
        <f t="shared" si="18"/>
        <v>3706666.15</v>
      </c>
      <c r="BO37" s="398">
        <f t="shared" si="18"/>
        <v>904749.65</v>
      </c>
      <c r="BP37" s="398">
        <f t="shared" si="18"/>
        <v>1482160.23</v>
      </c>
      <c r="BQ37" s="398">
        <f t="shared" si="18"/>
        <v>1928703.01</v>
      </c>
      <c r="BR37" s="398">
        <f t="shared" si="18"/>
        <v>3348377.06</v>
      </c>
      <c r="BS37" s="398">
        <f t="shared" si="18"/>
        <v>3091451.29</v>
      </c>
      <c r="BT37" s="398">
        <f t="shared" si="18"/>
        <v>3500406.25</v>
      </c>
      <c r="BU37" s="398">
        <f t="shared" si="18"/>
        <v>4619478.34</v>
      </c>
      <c r="BV37" s="398">
        <f t="shared" si="18"/>
        <v>2347410.89</v>
      </c>
      <c r="BW37" s="398">
        <f t="shared" ref="BW37:BY37" si="19">SUM(BW5:BW36)</f>
        <v>3171438.22</v>
      </c>
      <c r="BX37" s="398">
        <f t="shared" si="19"/>
        <v>333580.75</v>
      </c>
      <c r="BY37" s="398">
        <f t="shared" si="19"/>
        <v>26937.5</v>
      </c>
      <c r="BZ37" s="398">
        <f>SUM(BZ5:BZ31)</f>
        <v>34929097.67</v>
      </c>
      <c r="CA37" s="366">
        <f t="shared" ref="CA37:CG37" si="20">SUM(CA5:CA28)</f>
        <v>4937473.71</v>
      </c>
      <c r="CB37" s="366">
        <f t="shared" si="20"/>
        <v>0</v>
      </c>
      <c r="CC37" s="366">
        <f t="shared" si="20"/>
        <v>0</v>
      </c>
      <c r="CD37" s="366">
        <f t="shared" si="20"/>
        <v>0</v>
      </c>
      <c r="CE37" s="366">
        <f t="shared" si="20"/>
        <v>0</v>
      </c>
      <c r="CF37" s="366">
        <f t="shared" si="20"/>
        <v>0</v>
      </c>
      <c r="CG37" s="366">
        <f t="shared" si="20"/>
        <v>0</v>
      </c>
      <c r="CH37" s="366">
        <f>SUM(CH5:CH31)</f>
        <v>34929097.67</v>
      </c>
      <c r="CI37" s="366">
        <f>SUM(CI5:CI28)</f>
        <v>10</v>
      </c>
      <c r="CJ37" s="366">
        <f>SUM(CJ5:CJ31)</f>
        <v>6508601.48</v>
      </c>
      <c r="CK37" s="366">
        <f>SUM(CK5:CK31)</f>
        <v>2018513.69</v>
      </c>
      <c r="CL37" s="366">
        <f>SUM(CL5:CL31)</f>
        <v>3826925.1176</v>
      </c>
      <c r="CM37" s="366">
        <f t="shared" ref="CM37:CQ37" si="21">SUM(CM5:CM31)</f>
        <v>2542065.15</v>
      </c>
      <c r="CN37" s="366">
        <f t="shared" si="21"/>
        <v>1981468.43</v>
      </c>
      <c r="CO37" s="366">
        <f t="shared" si="21"/>
        <v>4318007.84</v>
      </c>
      <c r="CP37" s="366"/>
      <c r="CQ37" s="366">
        <f t="shared" si="21"/>
        <v>3254236.09</v>
      </c>
      <c r="CR37" s="366">
        <f>SUM(CR5:CR36)</f>
        <v>1520525.47</v>
      </c>
      <c r="CS37" s="366">
        <f>SUM(CS5:CS36)</f>
        <v>2564460.69</v>
      </c>
      <c r="CT37" s="366">
        <f>SUM(CT5:CT36)</f>
        <v>3714485.1</v>
      </c>
      <c r="CU37" s="366">
        <f>SUM(CU5:CU36)</f>
        <v>2714628.1224</v>
      </c>
      <c r="CV37" s="366">
        <f>SUM(CV5:CV36)</f>
        <v>1982480.02</v>
      </c>
      <c r="CW37" s="367"/>
    </row>
    <row r="38" ht="15.05" customHeight="1" spans="5:81"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399"/>
      <c r="Y38" s="399"/>
      <c r="Z38" s="399"/>
      <c r="AA38" s="399"/>
      <c r="AB38" s="399"/>
      <c r="AC38" s="399"/>
      <c r="AD38" s="399"/>
      <c r="AE38" s="399"/>
      <c r="AF38" s="399"/>
      <c r="AG38" s="399"/>
      <c r="AH38" s="399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414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444"/>
    </row>
    <row r="39" ht="15.05" customHeight="1" spans="5:100">
      <c r="E39" s="399"/>
      <c r="F39" s="399"/>
      <c r="G39" s="399"/>
      <c r="H39" s="399"/>
      <c r="I39" s="399"/>
      <c r="J39" s="399"/>
      <c r="K39" s="399"/>
      <c r="L39" s="399"/>
      <c r="M39" s="399"/>
      <c r="N39" s="399"/>
      <c r="O39" s="399"/>
      <c r="P39" s="399"/>
      <c r="Q39" s="399"/>
      <c r="R39" s="399"/>
      <c r="S39" s="399"/>
      <c r="T39" s="399"/>
      <c r="U39" s="399"/>
      <c r="V39" s="399"/>
      <c r="W39" s="399"/>
      <c r="X39" s="399"/>
      <c r="Y39" s="399"/>
      <c r="Z39" s="399"/>
      <c r="AA39" s="399"/>
      <c r="AB39" s="399"/>
      <c r="AC39" s="399"/>
      <c r="AD39" s="399"/>
      <c r="AE39" s="399"/>
      <c r="AF39" s="399"/>
      <c r="AG39" s="399"/>
      <c r="AH39" s="399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414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444"/>
      <c r="CV39" s="19"/>
    </row>
    <row r="40" spans="4:100">
      <c r="D40" s="67" t="s">
        <v>143</v>
      </c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 t="s">
        <v>144</v>
      </c>
      <c r="S40" s="400"/>
      <c r="T40" s="400"/>
      <c r="U40" s="400"/>
      <c r="V40" s="40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CC40" s="400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9">
        <f>CU37-CV37</f>
        <v>732148.1024</v>
      </c>
    </row>
    <row r="41" spans="99:99">
      <c r="CU41" s="216">
        <v>2536180.95</v>
      </c>
    </row>
    <row r="51" spans="60:99">
      <c r="BH51" s="418"/>
      <c r="BI51" s="418"/>
      <c r="BJ51" s="418"/>
      <c r="BK51" s="419"/>
      <c r="BL51" s="419"/>
      <c r="BM51" s="419"/>
      <c r="BN51" s="419"/>
      <c r="BO51" s="419"/>
      <c r="BP51" s="419"/>
      <c r="BQ51" s="419"/>
      <c r="BR51" s="419"/>
      <c r="BS51" s="419"/>
      <c r="BT51" s="419"/>
      <c r="BU51" s="419"/>
      <c r="BV51" s="419"/>
      <c r="BW51" s="419"/>
      <c r="BX51" s="419"/>
      <c r="BY51" s="419"/>
      <c r="BZ51" s="419"/>
      <c r="CA51" s="432"/>
      <c r="CB51" s="432"/>
      <c r="CC51" s="432"/>
      <c r="CD51" s="432"/>
      <c r="CE51" s="432"/>
      <c r="CF51" s="432"/>
      <c r="CG51" s="432"/>
      <c r="CH51" s="445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</row>
    <row r="52" spans="60:99">
      <c r="BH52" s="418" t="s">
        <v>145</v>
      </c>
      <c r="BI52" s="418" t="s">
        <v>146</v>
      </c>
      <c r="BJ52" s="418" t="s">
        <v>147</v>
      </c>
      <c r="BK52" s="419"/>
      <c r="BL52" s="419"/>
      <c r="BM52" s="419"/>
      <c r="BN52" s="419"/>
      <c r="BO52" s="419"/>
      <c r="BP52" s="419"/>
      <c r="BQ52" s="419"/>
      <c r="BR52" s="419"/>
      <c r="BS52" s="419"/>
      <c r="BT52" s="419"/>
      <c r="BU52" s="419"/>
      <c r="BV52" s="419"/>
      <c r="BW52" s="419"/>
      <c r="BX52" s="419"/>
      <c r="BY52" s="419"/>
      <c r="BZ52" s="419" t="s">
        <v>36</v>
      </c>
      <c r="CA52" s="432"/>
      <c r="CB52" s="432"/>
      <c r="CC52" s="432"/>
      <c r="CD52" s="432"/>
      <c r="CE52" s="432"/>
      <c r="CF52" s="432"/>
      <c r="CG52" s="432"/>
      <c r="CH52" s="445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</row>
    <row r="53" spans="60:99">
      <c r="BH53" s="418">
        <v>220</v>
      </c>
      <c r="BI53" s="418" t="s">
        <v>148</v>
      </c>
      <c r="BJ53" s="420">
        <v>200</v>
      </c>
      <c r="BK53" s="420"/>
      <c r="BL53" s="420"/>
      <c r="BM53" s="420"/>
      <c r="BN53" s="420"/>
      <c r="BO53" s="420"/>
      <c r="BP53" s="420"/>
      <c r="BQ53" s="420"/>
      <c r="BR53" s="420"/>
      <c r="BS53" s="420"/>
      <c r="BT53" s="420"/>
      <c r="BU53" s="420"/>
      <c r="BV53" s="420"/>
      <c r="BW53" s="420"/>
      <c r="BX53" s="420"/>
      <c r="BY53" s="420"/>
      <c r="BZ53" s="418"/>
      <c r="CA53" s="418"/>
      <c r="CB53" s="418"/>
      <c r="CC53" s="418"/>
      <c r="CD53" s="418"/>
      <c r="CE53" s="418"/>
      <c r="CF53" s="418"/>
      <c r="CG53" s="418"/>
      <c r="CH53" s="418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</row>
    <row r="54" spans="60:99">
      <c r="BH54" s="418">
        <v>46</v>
      </c>
      <c r="BI54" s="418" t="s">
        <v>149</v>
      </c>
      <c r="BJ54" s="418">
        <v>750</v>
      </c>
      <c r="BK54" s="421"/>
      <c r="BL54" s="421"/>
      <c r="BM54" s="421"/>
      <c r="BN54" s="421"/>
      <c r="BO54" s="421"/>
      <c r="BP54" s="421"/>
      <c r="BQ54" s="421"/>
      <c r="BR54" s="421"/>
      <c r="BS54" s="421"/>
      <c r="BT54" s="421"/>
      <c r="BU54" s="421"/>
      <c r="BV54" s="421"/>
      <c r="BW54" s="421"/>
      <c r="BX54" s="421"/>
      <c r="BY54" s="421"/>
      <c r="BZ54" s="433" t="s">
        <v>150</v>
      </c>
      <c r="CA54" s="434"/>
      <c r="CB54" s="434"/>
      <c r="CC54" s="434"/>
      <c r="CD54" s="434"/>
      <c r="CE54" s="434"/>
      <c r="CF54" s="434"/>
      <c r="CG54" s="434"/>
      <c r="CH54" s="446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</row>
    <row r="55" spans="60:99">
      <c r="BH55" s="418">
        <v>247</v>
      </c>
      <c r="BI55" s="418" t="s">
        <v>149</v>
      </c>
      <c r="BJ55" s="418"/>
      <c r="BK55" s="422"/>
      <c r="BL55" s="422"/>
      <c r="BM55" s="422"/>
      <c r="BN55" s="422"/>
      <c r="BO55" s="422"/>
      <c r="BP55" s="422"/>
      <c r="BQ55" s="422"/>
      <c r="BR55" s="422"/>
      <c r="BS55" s="422"/>
      <c r="BT55" s="422"/>
      <c r="BU55" s="422"/>
      <c r="BV55" s="422"/>
      <c r="BW55" s="422"/>
      <c r="BX55" s="422"/>
      <c r="BY55" s="422"/>
      <c r="BZ55" s="435"/>
      <c r="CA55" s="436"/>
      <c r="CB55" s="436"/>
      <c r="CC55" s="436"/>
      <c r="CD55" s="436"/>
      <c r="CE55" s="436"/>
      <c r="CF55" s="436"/>
      <c r="CG55" s="436"/>
      <c r="CH55" s="447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</row>
    <row r="56" spans="2:99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418">
        <v>100</v>
      </c>
      <c r="BI56" s="418" t="s">
        <v>149</v>
      </c>
      <c r="BJ56" s="418"/>
      <c r="BK56" s="423"/>
      <c r="BL56" s="423"/>
      <c r="BM56" s="423"/>
      <c r="BN56" s="423"/>
      <c r="BO56" s="423"/>
      <c r="BP56" s="423"/>
      <c r="BQ56" s="423"/>
      <c r="BR56" s="423"/>
      <c r="BS56" s="423"/>
      <c r="BT56" s="423"/>
      <c r="BU56" s="423"/>
      <c r="BV56" s="423"/>
      <c r="BW56" s="423"/>
      <c r="BX56" s="423"/>
      <c r="BY56" s="423"/>
      <c r="BZ56" s="437"/>
      <c r="CA56" s="438"/>
      <c r="CB56" s="438"/>
      <c r="CC56" s="438"/>
      <c r="CD56" s="438"/>
      <c r="CE56" s="438"/>
      <c r="CF56" s="438"/>
      <c r="CG56" s="438"/>
      <c r="CH56" s="448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</row>
    <row r="57" spans="2:99">
      <c r="B57" s="13"/>
      <c r="D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418">
        <v>200</v>
      </c>
      <c r="BI57" s="418" t="s">
        <v>151</v>
      </c>
      <c r="BJ57" s="424">
        <v>200</v>
      </c>
      <c r="BK57" s="424"/>
      <c r="BL57" s="424"/>
      <c r="BM57" s="424"/>
      <c r="BN57" s="424"/>
      <c r="BO57" s="424"/>
      <c r="BP57" s="424"/>
      <c r="BQ57" s="424"/>
      <c r="BR57" s="424"/>
      <c r="BS57" s="424"/>
      <c r="BT57" s="424"/>
      <c r="BU57" s="424"/>
      <c r="BV57" s="424"/>
      <c r="BW57" s="424"/>
      <c r="BX57" s="424"/>
      <c r="BY57" s="424"/>
      <c r="BZ57" s="418"/>
      <c r="CA57" s="418"/>
      <c r="CB57" s="418"/>
      <c r="CC57" s="418"/>
      <c r="CD57" s="418"/>
      <c r="CE57" s="418"/>
      <c r="CF57" s="418"/>
      <c r="CG57" s="418"/>
      <c r="CH57" s="418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</row>
    <row r="58" spans="2:99">
      <c r="B58" s="13"/>
      <c r="D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418">
        <v>140</v>
      </c>
      <c r="BI58" s="418" t="s">
        <v>152</v>
      </c>
      <c r="BJ58" s="420">
        <v>320</v>
      </c>
      <c r="BK58" s="420"/>
      <c r="BL58" s="420"/>
      <c r="BM58" s="420"/>
      <c r="BN58" s="420"/>
      <c r="BO58" s="420"/>
      <c r="BP58" s="420"/>
      <c r="BQ58" s="420"/>
      <c r="BR58" s="420"/>
      <c r="BS58" s="420"/>
      <c r="BT58" s="420"/>
      <c r="BU58" s="420"/>
      <c r="BV58" s="420"/>
      <c r="BW58" s="420"/>
      <c r="BX58" s="420"/>
      <c r="BY58" s="420"/>
      <c r="BZ58" s="418" t="s">
        <v>153</v>
      </c>
      <c r="CA58" s="418"/>
      <c r="CB58" s="418"/>
      <c r="CC58" s="418"/>
      <c r="CD58" s="418"/>
      <c r="CE58" s="418"/>
      <c r="CF58" s="418"/>
      <c r="CG58" s="418"/>
      <c r="CH58" s="418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</row>
    <row r="59" spans="2:99">
      <c r="B59" s="13"/>
      <c r="D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418">
        <f>SUM(BH53:BH58)</f>
        <v>953</v>
      </c>
      <c r="BI59" s="418" t="s">
        <v>154</v>
      </c>
      <c r="BJ59" s="418">
        <f>SUM(BJ53:BJ58)</f>
        <v>1470</v>
      </c>
      <c r="BK59" s="418"/>
      <c r="BL59" s="418"/>
      <c r="BM59" s="418"/>
      <c r="BN59" s="418"/>
      <c r="BO59" s="418"/>
      <c r="BP59" s="418"/>
      <c r="BQ59" s="418"/>
      <c r="BR59" s="418"/>
      <c r="BS59" s="418"/>
      <c r="BT59" s="418"/>
      <c r="BU59" s="418"/>
      <c r="BV59" s="418"/>
      <c r="BW59" s="418"/>
      <c r="BX59" s="418"/>
      <c r="BY59" s="418"/>
      <c r="BZ59" s="418"/>
      <c r="CA59" s="418"/>
      <c r="CB59" s="418" t="s">
        <v>155</v>
      </c>
      <c r="CC59" s="449"/>
      <c r="CD59" s="449"/>
      <c r="CE59" s="449"/>
      <c r="CF59" s="449"/>
      <c r="CG59" s="449"/>
      <c r="CH59" s="424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</row>
    <row r="60" spans="2:99">
      <c r="B60" s="13"/>
      <c r="D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425" t="s">
        <v>156</v>
      </c>
      <c r="BI60" s="426"/>
      <c r="BJ60" s="426"/>
      <c r="BK60" s="426"/>
      <c r="BL60" s="426"/>
      <c r="BM60" s="426"/>
      <c r="BN60" s="426"/>
      <c r="BO60" s="426"/>
      <c r="BP60" s="426"/>
      <c r="BQ60" s="426"/>
      <c r="BR60" s="426"/>
      <c r="BS60" s="426"/>
      <c r="BT60" s="426"/>
      <c r="BU60" s="426"/>
      <c r="BV60" s="426"/>
      <c r="BW60" s="426"/>
      <c r="BX60" s="426"/>
      <c r="BY60" s="426"/>
      <c r="BZ60" s="426"/>
      <c r="CA60" s="426"/>
      <c r="CB60" s="426"/>
      <c r="CC60" s="426"/>
      <c r="CD60" s="426"/>
      <c r="CE60" s="426"/>
      <c r="CF60" s="426"/>
      <c r="CG60" s="426"/>
      <c r="CH60" s="450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</row>
    <row r="61" spans="2:99">
      <c r="B61" s="13"/>
      <c r="D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427"/>
      <c r="BI61" s="428"/>
      <c r="BJ61" s="428"/>
      <c r="BK61" s="428"/>
      <c r="BL61" s="428"/>
      <c r="BM61" s="428"/>
      <c r="BN61" s="428"/>
      <c r="BO61" s="428"/>
      <c r="BP61" s="428"/>
      <c r="BQ61" s="428"/>
      <c r="BR61" s="428"/>
      <c r="BS61" s="428"/>
      <c r="BT61" s="428"/>
      <c r="BU61" s="428"/>
      <c r="BV61" s="428"/>
      <c r="BW61" s="428"/>
      <c r="BX61" s="428"/>
      <c r="BY61" s="428"/>
      <c r="BZ61" s="428"/>
      <c r="CA61" s="428"/>
      <c r="CB61" s="428"/>
      <c r="CC61" s="428"/>
      <c r="CD61" s="428"/>
      <c r="CE61" s="428"/>
      <c r="CF61" s="428"/>
      <c r="CG61" s="428"/>
      <c r="CH61" s="451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</row>
    <row r="100" s="13" customFormat="1" spans="18:34">
      <c r="R100" s="459"/>
      <c r="S100" s="459"/>
      <c r="T100" s="459"/>
      <c r="U100" s="459"/>
      <c r="V100" s="459"/>
      <c r="W100" s="459"/>
      <c r="X100" s="459"/>
      <c r="Y100" s="459"/>
      <c r="Z100" s="459"/>
      <c r="AA100" s="459"/>
      <c r="AB100" s="459"/>
      <c r="AC100" s="459"/>
      <c r="AD100" s="459"/>
      <c r="AE100" s="459"/>
      <c r="AF100" s="459"/>
      <c r="AG100" s="459"/>
      <c r="AH100" s="459"/>
    </row>
    <row r="103" s="13" customFormat="1" spans="18:34">
      <c r="R103" s="460"/>
      <c r="S103" s="460"/>
      <c r="T103" s="460"/>
      <c r="U103" s="460"/>
      <c r="V103" s="460"/>
      <c r="W103" s="460"/>
      <c r="X103" s="460"/>
      <c r="Y103" s="460"/>
      <c r="Z103" s="460"/>
      <c r="AA103" s="460"/>
      <c r="AB103" s="460"/>
      <c r="AC103" s="460"/>
      <c r="AD103" s="460"/>
      <c r="AE103" s="460"/>
      <c r="AF103" s="460"/>
      <c r="AG103" s="460"/>
      <c r="AH103" s="460"/>
    </row>
  </sheetData>
  <autoFilter ref="A4:CY37">
    <extLst/>
  </autoFilter>
  <mergeCells count="109">
    <mergeCell ref="B1:CV1"/>
    <mergeCell ref="AI2:BZ2"/>
    <mergeCell ref="CA2:CB2"/>
    <mergeCell ref="CE2:CH2"/>
    <mergeCell ref="BZ51:CH51"/>
    <mergeCell ref="BZ52:CH52"/>
    <mergeCell ref="BZ53:CH53"/>
    <mergeCell ref="BZ57:CH57"/>
    <mergeCell ref="BZ58:CH58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54:BJ56"/>
    <mergeCell ref="BK3:BK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B3:CB4"/>
    <mergeCell ref="CC2:CC4"/>
    <mergeCell ref="CD2:CD4"/>
    <mergeCell ref="CE3:CE4"/>
    <mergeCell ref="CF3:CF4"/>
    <mergeCell ref="CG3:CG4"/>
    <mergeCell ref="CJ2:CJ4"/>
    <mergeCell ref="CK2:CK4"/>
    <mergeCell ref="CL2:CL4"/>
    <mergeCell ref="CM2:CM4"/>
    <mergeCell ref="CN2:CN4"/>
    <mergeCell ref="CO2:CO4"/>
    <mergeCell ref="CP2:CP4"/>
    <mergeCell ref="CQ2:CQ4"/>
    <mergeCell ref="CR2:CR4"/>
    <mergeCell ref="CS2:CS4"/>
    <mergeCell ref="CT2:CT4"/>
    <mergeCell ref="CU2:CU4"/>
    <mergeCell ref="CV2:CV4"/>
    <mergeCell ref="CW2:CW4"/>
    <mergeCell ref="BH60:CH61"/>
    <mergeCell ref="BZ54:CH56"/>
  </mergeCells>
  <conditionalFormatting sqref="D$1:D$1048576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3"/>
  <sheetViews>
    <sheetView zoomScale="80" zoomScaleNormal="80" workbookViewId="0">
      <pane xSplit="4" ySplit="4" topLeftCell="V5" activePane="bottomRight" state="frozen"/>
      <selection/>
      <selection pane="topRight"/>
      <selection pane="bottomLeft"/>
      <selection pane="bottomRight" activeCell="AM10" sqref="AM10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15" customWidth="1"/>
    <col min="7" max="8" width="12.2" style="215" customWidth="1"/>
    <col min="9" max="9" width="13.9" style="215" customWidth="1"/>
    <col min="10" max="11" width="12.2" style="215" customWidth="1"/>
    <col min="12" max="22" width="14.2" style="215" customWidth="1"/>
    <col min="23" max="24" width="14.2" style="215" hidden="1" customWidth="1"/>
    <col min="25" max="25" width="3.6" style="13" customWidth="1"/>
    <col min="26" max="26" width="6.7" style="13" customWidth="1"/>
    <col min="27" max="28" width="4.7" style="13" customWidth="1"/>
    <col min="29" max="30" width="16.4" style="216" customWidth="1"/>
    <col min="31" max="40" width="13" style="216" customWidth="1"/>
    <col min="41" max="44" width="17.2" style="15" customWidth="1"/>
    <col min="45" max="45" width="12.9" style="15" customWidth="1"/>
    <col min="46" max="46" width="15.7" style="13" customWidth="1"/>
    <col min="47" max="47" width="13.1" style="13" customWidth="1"/>
    <col min="48" max="48" width="13.9" style="13" customWidth="1"/>
    <col min="49" max="16384" width="8" style="13"/>
  </cols>
  <sheetData>
    <row r="1" ht="20.95" customHeight="1" spans="2:46">
      <c r="B1" s="20" t="s">
        <v>188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26" t="s">
        <v>189</v>
      </c>
      <c r="F2" s="227"/>
      <c r="G2" s="227"/>
      <c r="H2" s="227"/>
      <c r="I2" s="338" t="s">
        <v>190</v>
      </c>
      <c r="J2" s="339"/>
      <c r="K2" s="339"/>
      <c r="L2" s="340"/>
      <c r="M2" s="226" t="s">
        <v>191</v>
      </c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351" t="s">
        <v>36</v>
      </c>
      <c r="Z2" s="301" t="s">
        <v>37</v>
      </c>
      <c r="AA2" s="301"/>
      <c r="AB2" s="301"/>
      <c r="AC2" s="245" t="s">
        <v>192</v>
      </c>
      <c r="AD2" s="245" t="s">
        <v>193</v>
      </c>
      <c r="AE2" s="245" t="s">
        <v>158</v>
      </c>
      <c r="AF2" s="245" t="s">
        <v>159</v>
      </c>
      <c r="AG2" s="245" t="s">
        <v>160</v>
      </c>
      <c r="AH2" s="245" t="s">
        <v>161</v>
      </c>
      <c r="AI2" s="245" t="s">
        <v>162</v>
      </c>
      <c r="AJ2" s="245" t="s">
        <v>163</v>
      </c>
      <c r="AK2" s="245" t="s">
        <v>164</v>
      </c>
      <c r="AL2" s="245" t="s">
        <v>165</v>
      </c>
      <c r="AM2" s="245" t="s">
        <v>166</v>
      </c>
      <c r="AN2" s="357" t="s">
        <v>167</v>
      </c>
      <c r="AO2" s="263"/>
      <c r="AP2" s="70"/>
      <c r="AQ2" s="70"/>
      <c r="AR2" s="70"/>
      <c r="AS2" s="271"/>
      <c r="AT2" s="80" t="s">
        <v>36</v>
      </c>
    </row>
    <row r="3" ht="31.6" customHeight="1" spans="2:46">
      <c r="B3" s="30"/>
      <c r="C3" s="31"/>
      <c r="D3" s="32"/>
      <c r="E3" s="228" t="s">
        <v>194</v>
      </c>
      <c r="F3" s="229" t="s">
        <v>195</v>
      </c>
      <c r="G3" s="229" t="s">
        <v>196</v>
      </c>
      <c r="H3" s="229" t="s">
        <v>197</v>
      </c>
      <c r="I3" s="363" t="s">
        <v>195</v>
      </c>
      <c r="J3" s="363" t="s">
        <v>196</v>
      </c>
      <c r="K3" s="363" t="s">
        <v>197</v>
      </c>
      <c r="L3" s="341" t="s">
        <v>198</v>
      </c>
      <c r="M3" s="228" t="s">
        <v>73</v>
      </c>
      <c r="N3" s="229" t="s">
        <v>74</v>
      </c>
      <c r="O3" s="229" t="s">
        <v>169</v>
      </c>
      <c r="P3" s="229" t="s">
        <v>170</v>
      </c>
      <c r="Q3" s="229" t="s">
        <v>171</v>
      </c>
      <c r="R3" s="229" t="s">
        <v>172</v>
      </c>
      <c r="S3" s="229" t="s">
        <v>173</v>
      </c>
      <c r="T3" s="229" t="s">
        <v>174</v>
      </c>
      <c r="U3" s="229" t="s">
        <v>175</v>
      </c>
      <c r="V3" s="229" t="s">
        <v>70</v>
      </c>
      <c r="W3" s="229" t="s">
        <v>71</v>
      </c>
      <c r="X3" s="229" t="s">
        <v>72</v>
      </c>
      <c r="Y3" s="352"/>
      <c r="Z3" s="353" t="s">
        <v>76</v>
      </c>
      <c r="AA3" s="353" t="s">
        <v>77</v>
      </c>
      <c r="AB3" s="353" t="s">
        <v>78</v>
      </c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358"/>
      <c r="AO3" s="264" t="s">
        <v>199</v>
      </c>
      <c r="AP3" s="36" t="s">
        <v>200</v>
      </c>
      <c r="AQ3" s="272" t="s">
        <v>201</v>
      </c>
      <c r="AR3" s="36" t="s">
        <v>202</v>
      </c>
      <c r="AS3" s="273" t="s">
        <v>203</v>
      </c>
      <c r="AT3" s="83"/>
    </row>
    <row r="4" ht="18" customHeight="1" spans="2:46">
      <c r="B4" s="30"/>
      <c r="C4" s="31"/>
      <c r="D4" s="32"/>
      <c r="E4" s="230"/>
      <c r="F4" s="231"/>
      <c r="G4" s="231"/>
      <c r="H4" s="231"/>
      <c r="I4" s="231"/>
      <c r="J4" s="231"/>
      <c r="K4" s="231"/>
      <c r="L4" s="342"/>
      <c r="M4" s="230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52"/>
      <c r="Z4" s="353"/>
      <c r="AA4" s="353"/>
      <c r="AB4" s="353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358"/>
      <c r="AO4" s="264"/>
      <c r="AP4" s="36"/>
      <c r="AQ4" s="272"/>
      <c r="AR4" s="36"/>
      <c r="AS4" s="273"/>
      <c r="AT4" s="83"/>
    </row>
    <row r="5" s="10" customFormat="1" ht="24.05" customHeight="1" spans="2:48">
      <c r="B5" s="45" t="s">
        <v>81</v>
      </c>
      <c r="C5" s="325" t="s">
        <v>82</v>
      </c>
      <c r="D5" s="46" t="s">
        <v>83</v>
      </c>
      <c r="E5" s="326">
        <v>0</v>
      </c>
      <c r="F5" s="332"/>
      <c r="G5" s="333"/>
      <c r="H5" s="333"/>
      <c r="I5" s="332"/>
      <c r="J5" s="333"/>
      <c r="K5" s="333"/>
      <c r="L5" s="343">
        <f>SUM(I5:K5)+E5</f>
        <v>0</v>
      </c>
      <c r="M5" s="232"/>
      <c r="N5" s="233"/>
      <c r="O5" s="233"/>
      <c r="P5" s="233"/>
      <c r="Q5" s="233">
        <v>41950</v>
      </c>
      <c r="R5" s="233"/>
      <c r="S5" s="233">
        <v>41950</v>
      </c>
      <c r="T5" s="233"/>
      <c r="U5" s="233">
        <v>41950</v>
      </c>
      <c r="V5" s="233"/>
      <c r="W5" s="233"/>
      <c r="X5" s="233"/>
      <c r="Y5" s="354"/>
      <c r="Z5" s="356"/>
      <c r="AA5" s="310"/>
      <c r="AB5" s="310" t="s">
        <v>84</v>
      </c>
      <c r="AC5" s="250"/>
      <c r="AD5" s="250"/>
      <c r="AE5" s="250"/>
      <c r="AF5" s="250"/>
      <c r="AG5" s="250"/>
      <c r="AH5" s="250"/>
      <c r="AI5" s="250"/>
      <c r="AJ5" s="250">
        <v>41950</v>
      </c>
      <c r="AK5" s="250"/>
      <c r="AL5" s="250">
        <v>41950</v>
      </c>
      <c r="AM5" s="250"/>
      <c r="AN5" s="265"/>
      <c r="AO5" s="266">
        <f>SUM(L5:X5)</f>
        <v>125850</v>
      </c>
      <c r="AP5" s="274">
        <f>SUM(AC5:AN5)</f>
        <v>83900</v>
      </c>
      <c r="AQ5" s="359">
        <f>AO5-AP5</f>
        <v>41950</v>
      </c>
      <c r="AR5" s="360">
        <f>AQ5-U5-T5</f>
        <v>0</v>
      </c>
      <c r="AS5" s="276" t="s">
        <v>85</v>
      </c>
      <c r="AT5" s="277"/>
      <c r="AU5" s="101" t="e">
        <f>VLOOKUP(D5,#REF!,12,FALSE)</f>
        <v>#REF!</v>
      </c>
      <c r="AV5" s="101" t="e">
        <f>AQ5-AU5</f>
        <v>#REF!</v>
      </c>
    </row>
    <row r="6" s="10" customFormat="1" ht="24.05" customHeight="1" spans="1:48">
      <c r="A6" s="220"/>
      <c r="B6" s="45" t="s">
        <v>81</v>
      </c>
      <c r="C6" s="325" t="s">
        <v>86</v>
      </c>
      <c r="D6" s="46" t="s">
        <v>87</v>
      </c>
      <c r="E6" s="326">
        <v>0</v>
      </c>
      <c r="F6" s="332">
        <v>561530.9</v>
      </c>
      <c r="G6" s="333"/>
      <c r="H6" s="333"/>
      <c r="I6" s="332"/>
      <c r="J6" s="333">
        <v>334593</v>
      </c>
      <c r="K6" s="333"/>
      <c r="L6" s="343">
        <f t="shared" ref="L6:L45" si="0">SUM(I6:K6)+E6</f>
        <v>334593</v>
      </c>
      <c r="M6" s="232">
        <f>191196+131339</f>
        <v>322535</v>
      </c>
      <c r="N6" s="233"/>
      <c r="O6" s="233"/>
      <c r="P6" s="233">
        <v>561985.73</v>
      </c>
      <c r="Q6" s="233">
        <f>120458+193659.4</f>
        <v>314117.4</v>
      </c>
      <c r="R6" s="233">
        <v>43086.9</v>
      </c>
      <c r="S6" s="238"/>
      <c r="T6" s="238"/>
      <c r="U6" s="233"/>
      <c r="V6" s="233">
        <v>60229</v>
      </c>
      <c r="W6" s="233"/>
      <c r="X6" s="233"/>
      <c r="Y6" s="354"/>
      <c r="Z6" s="310"/>
      <c r="AA6" s="310"/>
      <c r="AB6" s="310" t="s">
        <v>84</v>
      </c>
      <c r="AC6" s="250"/>
      <c r="AD6" s="250">
        <v>334593</v>
      </c>
      <c r="AE6" s="250">
        <v>322535</v>
      </c>
      <c r="AF6" s="250"/>
      <c r="AG6" s="250"/>
      <c r="AH6" s="250"/>
      <c r="AI6" s="250"/>
      <c r="AJ6" s="250">
        <v>876103.13</v>
      </c>
      <c r="AK6" s="250">
        <v>43086.9</v>
      </c>
      <c r="AL6" s="250"/>
      <c r="AM6" s="250"/>
      <c r="AN6" s="265"/>
      <c r="AO6" s="266">
        <f t="shared" ref="AO6:AO35" si="1">SUM(L6:X6)</f>
        <v>1636547.03</v>
      </c>
      <c r="AP6" s="274">
        <f t="shared" ref="AP6:AP35" si="2">SUM(AC6:AN6)</f>
        <v>1576318.03</v>
      </c>
      <c r="AQ6" s="359">
        <f>AO6-AP6</f>
        <v>60229</v>
      </c>
      <c r="AR6" s="360">
        <f t="shared" ref="AR6:AR16" si="3">AQ6-U6-T6</f>
        <v>60229</v>
      </c>
      <c r="AS6" s="276" t="s">
        <v>85</v>
      </c>
      <c r="AT6" s="277"/>
      <c r="AU6" s="101" t="e">
        <f>VLOOKUP(D6,#REF!,12,FALSE)</f>
        <v>#REF!</v>
      </c>
      <c r="AV6" s="101" t="e">
        <f t="shared" ref="AV6:AV45" si="4">AQ6-AU6</f>
        <v>#REF!</v>
      </c>
    </row>
    <row r="7" s="10" customFormat="1" ht="24.05" customHeight="1" spans="2:48">
      <c r="B7" s="45" t="s">
        <v>81</v>
      </c>
      <c r="C7" s="325" t="s">
        <v>88</v>
      </c>
      <c r="D7" s="46" t="s">
        <v>89</v>
      </c>
      <c r="E7" s="326">
        <v>0</v>
      </c>
      <c r="F7" s="332"/>
      <c r="G7" s="333"/>
      <c r="H7" s="333"/>
      <c r="I7" s="332"/>
      <c r="J7" s="333"/>
      <c r="K7" s="333"/>
      <c r="L7" s="343">
        <f t="shared" si="0"/>
        <v>0</v>
      </c>
      <c r="M7" s="232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354"/>
      <c r="Z7" s="310"/>
      <c r="AA7" s="310"/>
      <c r="AB7" s="310" t="s">
        <v>84</v>
      </c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65"/>
      <c r="AO7" s="266">
        <f t="shared" si="1"/>
        <v>0</v>
      </c>
      <c r="AP7" s="274">
        <f t="shared" si="2"/>
        <v>0</v>
      </c>
      <c r="AQ7" s="359">
        <f t="shared" ref="AQ7:AQ35" si="5">AO7-AP7</f>
        <v>0</v>
      </c>
      <c r="AR7" s="360">
        <f t="shared" si="3"/>
        <v>0</v>
      </c>
      <c r="AS7" s="276" t="s">
        <v>85</v>
      </c>
      <c r="AT7" s="277"/>
      <c r="AU7" s="101" t="e">
        <f>VLOOKUP(D7,#REF!,12,FALSE)</f>
        <v>#REF!</v>
      </c>
      <c r="AV7" s="101" t="e">
        <f t="shared" si="4"/>
        <v>#REF!</v>
      </c>
    </row>
    <row r="8" s="10" customFormat="1" ht="24.05" customHeight="1" spans="2:48">
      <c r="B8" s="45" t="s">
        <v>81</v>
      </c>
      <c r="C8" s="325" t="s">
        <v>90</v>
      </c>
      <c r="D8" s="46" t="s">
        <v>91</v>
      </c>
      <c r="E8" s="326">
        <v>51022.6</v>
      </c>
      <c r="F8" s="332"/>
      <c r="G8" s="333"/>
      <c r="H8" s="333"/>
      <c r="I8" s="332"/>
      <c r="J8" s="333">
        <f>53675+103056</f>
        <v>156731</v>
      </c>
      <c r="K8" s="333"/>
      <c r="L8" s="343">
        <f t="shared" si="0"/>
        <v>207753.6</v>
      </c>
      <c r="M8" s="232"/>
      <c r="N8" s="233"/>
      <c r="O8" s="233">
        <v>40674.58</v>
      </c>
      <c r="P8" s="233"/>
      <c r="Q8" s="233"/>
      <c r="R8" s="233"/>
      <c r="S8" s="233"/>
      <c r="T8" s="233"/>
      <c r="U8" s="233"/>
      <c r="V8" s="233">
        <f>110627+91421.52+64726.4</f>
        <v>266774.92</v>
      </c>
      <c r="W8" s="233"/>
      <c r="X8" s="233"/>
      <c r="Y8" s="354"/>
      <c r="Z8" s="310"/>
      <c r="AA8" s="310"/>
      <c r="AB8" s="310" t="s">
        <v>84</v>
      </c>
      <c r="AC8" s="250"/>
      <c r="AD8" s="250">
        <v>51022.6</v>
      </c>
      <c r="AE8" s="250"/>
      <c r="AF8" s="250"/>
      <c r="AG8" s="250"/>
      <c r="AH8" s="250"/>
      <c r="AI8" s="250"/>
      <c r="AJ8" s="250">
        <v>40000</v>
      </c>
      <c r="AK8" s="250">
        <v>156731</v>
      </c>
      <c r="AL8" s="250"/>
      <c r="AM8" s="250"/>
      <c r="AN8" s="265"/>
      <c r="AO8" s="266">
        <f t="shared" si="1"/>
        <v>515203.1</v>
      </c>
      <c r="AP8" s="274">
        <f t="shared" si="2"/>
        <v>247753.6</v>
      </c>
      <c r="AQ8" s="359">
        <f t="shared" si="5"/>
        <v>267449.5</v>
      </c>
      <c r="AR8" s="360">
        <f t="shared" si="3"/>
        <v>267449.5</v>
      </c>
      <c r="AS8" s="276" t="s">
        <v>85</v>
      </c>
      <c r="AT8" s="277"/>
      <c r="AU8" s="101" t="e">
        <f>VLOOKUP(D8,#REF!,12,FALSE)</f>
        <v>#REF!</v>
      </c>
      <c r="AV8" s="101" t="e">
        <f t="shared" si="4"/>
        <v>#REF!</v>
      </c>
    </row>
    <row r="9" s="10" customFormat="1" ht="24.05" customHeight="1" spans="2:48">
      <c r="B9" s="45" t="s">
        <v>81</v>
      </c>
      <c r="C9" s="325" t="s">
        <v>92</v>
      </c>
      <c r="D9" s="46" t="s">
        <v>93</v>
      </c>
      <c r="E9" s="326">
        <v>0</v>
      </c>
      <c r="F9" s="332"/>
      <c r="G9" s="333"/>
      <c r="H9" s="333"/>
      <c r="I9" s="332"/>
      <c r="J9" s="333">
        <v>15959.36</v>
      </c>
      <c r="K9" s="333"/>
      <c r="L9" s="343">
        <f t="shared" si="0"/>
        <v>15959.36</v>
      </c>
      <c r="M9" s="232"/>
      <c r="N9" s="233"/>
      <c r="O9" s="233">
        <v>5243.2</v>
      </c>
      <c r="P9" s="233"/>
      <c r="Q9" s="233"/>
      <c r="R9" s="233"/>
      <c r="S9" s="233"/>
      <c r="T9" s="233"/>
      <c r="U9" s="233"/>
      <c r="V9" s="233"/>
      <c r="W9" s="233"/>
      <c r="X9" s="233"/>
      <c r="Y9" s="354"/>
      <c r="Z9" s="310"/>
      <c r="AA9" s="310"/>
      <c r="AB9" s="310" t="s">
        <v>84</v>
      </c>
      <c r="AC9" s="250"/>
      <c r="AD9" s="250"/>
      <c r="AE9" s="250"/>
      <c r="AF9" s="250"/>
      <c r="AG9" s="250"/>
      <c r="AH9" s="250"/>
      <c r="AI9" s="250"/>
      <c r="AJ9" s="250"/>
      <c r="AK9" s="250"/>
      <c r="AL9" s="250">
        <v>21202.56</v>
      </c>
      <c r="AM9" s="250"/>
      <c r="AN9" s="265"/>
      <c r="AO9" s="266">
        <f t="shared" si="1"/>
        <v>21202.56</v>
      </c>
      <c r="AP9" s="274">
        <f t="shared" si="2"/>
        <v>21202.56</v>
      </c>
      <c r="AQ9" s="359">
        <f t="shared" si="5"/>
        <v>0</v>
      </c>
      <c r="AR9" s="360">
        <f t="shared" si="3"/>
        <v>0</v>
      </c>
      <c r="AS9" s="276" t="s">
        <v>85</v>
      </c>
      <c r="AT9" s="277"/>
      <c r="AU9" s="101" t="e">
        <f>VLOOKUP(D9,#REF!,12,FALSE)</f>
        <v>#REF!</v>
      </c>
      <c r="AV9" s="101" t="e">
        <f t="shared" si="4"/>
        <v>#REF!</v>
      </c>
    </row>
    <row r="10" s="10" customFormat="1" ht="24.05" customHeight="1" spans="2:48">
      <c r="B10" s="45" t="s">
        <v>81</v>
      </c>
      <c r="C10" s="325" t="s">
        <v>94</v>
      </c>
      <c r="D10" s="46" t="s">
        <v>95</v>
      </c>
      <c r="E10" s="326">
        <v>0</v>
      </c>
      <c r="F10" s="332"/>
      <c r="G10" s="333"/>
      <c r="H10" s="333"/>
      <c r="I10" s="332"/>
      <c r="J10" s="333"/>
      <c r="K10" s="333"/>
      <c r="L10" s="343">
        <f t="shared" si="0"/>
        <v>0</v>
      </c>
      <c r="M10" s="232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354"/>
      <c r="Z10" s="310"/>
      <c r="AA10" s="310"/>
      <c r="AB10" s="310" t="s">
        <v>84</v>
      </c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65"/>
      <c r="AO10" s="266">
        <f t="shared" si="1"/>
        <v>0</v>
      </c>
      <c r="AP10" s="274">
        <f t="shared" si="2"/>
        <v>0</v>
      </c>
      <c r="AQ10" s="359">
        <f t="shared" si="5"/>
        <v>0</v>
      </c>
      <c r="AR10" s="360">
        <f t="shared" si="3"/>
        <v>0</v>
      </c>
      <c r="AS10" s="276" t="s">
        <v>96</v>
      </c>
      <c r="AT10" s="277"/>
      <c r="AU10" s="101" t="e">
        <f>VLOOKUP(D10,#REF!,12,FALSE)</f>
        <v>#REF!</v>
      </c>
      <c r="AV10" s="101" t="e">
        <f t="shared" si="4"/>
        <v>#REF!</v>
      </c>
    </row>
    <row r="11" s="10" customFormat="1" ht="24.05" customHeight="1" spans="2:48">
      <c r="B11" s="45" t="s">
        <v>81</v>
      </c>
      <c r="C11" s="325" t="s">
        <v>97</v>
      </c>
      <c r="D11" s="46" t="s">
        <v>98</v>
      </c>
      <c r="E11" s="326">
        <v>0</v>
      </c>
      <c r="F11" s="332"/>
      <c r="G11" s="333"/>
      <c r="H11" s="333"/>
      <c r="I11" s="332">
        <v>39998.95</v>
      </c>
      <c r="J11" s="333"/>
      <c r="K11" s="333"/>
      <c r="L11" s="343">
        <f t="shared" si="0"/>
        <v>39998.95</v>
      </c>
      <c r="M11" s="232"/>
      <c r="N11" s="233">
        <v>4881.6</v>
      </c>
      <c r="O11" s="233"/>
      <c r="P11" s="233"/>
      <c r="Q11" s="233"/>
      <c r="R11" s="233"/>
      <c r="S11" s="233"/>
      <c r="T11" s="233"/>
      <c r="U11" s="233">
        <v>4865.78</v>
      </c>
      <c r="V11" s="233">
        <v>16012.1</v>
      </c>
      <c r="W11" s="233"/>
      <c r="X11" s="233"/>
      <c r="Y11" s="354"/>
      <c r="Z11" s="310"/>
      <c r="AA11" s="310"/>
      <c r="AB11" s="310" t="s">
        <v>84</v>
      </c>
      <c r="AC11" s="250"/>
      <c r="AD11" s="250">
        <v>39998.95</v>
      </c>
      <c r="AE11" s="250"/>
      <c r="AF11" s="250"/>
      <c r="AG11" s="250"/>
      <c r="AH11" s="250"/>
      <c r="AI11" s="250"/>
      <c r="AJ11" s="250"/>
      <c r="AK11" s="250"/>
      <c r="AL11" s="250">
        <v>4881.6</v>
      </c>
      <c r="AM11" s="250"/>
      <c r="AN11" s="265"/>
      <c r="AO11" s="266">
        <f t="shared" si="1"/>
        <v>65758.43</v>
      </c>
      <c r="AP11" s="274">
        <f t="shared" si="2"/>
        <v>44880.55</v>
      </c>
      <c r="AQ11" s="359">
        <f t="shared" si="5"/>
        <v>20877.88</v>
      </c>
      <c r="AR11" s="360">
        <f t="shared" si="3"/>
        <v>16012.1</v>
      </c>
      <c r="AS11" s="276" t="s">
        <v>85</v>
      </c>
      <c r="AT11" s="277"/>
      <c r="AU11" s="101" t="e">
        <f>VLOOKUP(D11,#REF!,12,FALSE)</f>
        <v>#REF!</v>
      </c>
      <c r="AV11" s="101" t="e">
        <f t="shared" si="4"/>
        <v>#REF!</v>
      </c>
    </row>
    <row r="12" s="10" customFormat="1" ht="24.05" customHeight="1" spans="2:48">
      <c r="B12" s="45" t="s">
        <v>81</v>
      </c>
      <c r="C12" s="325" t="s">
        <v>99</v>
      </c>
      <c r="D12" s="46" t="s">
        <v>100</v>
      </c>
      <c r="E12" s="326">
        <v>0</v>
      </c>
      <c r="F12" s="332">
        <v>9322.5</v>
      </c>
      <c r="G12" s="333"/>
      <c r="H12" s="333"/>
      <c r="I12" s="332"/>
      <c r="J12" s="333"/>
      <c r="K12" s="333"/>
      <c r="L12" s="343">
        <f t="shared" si="0"/>
        <v>0</v>
      </c>
      <c r="M12" s="232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354"/>
      <c r="Z12" s="310"/>
      <c r="AA12" s="310"/>
      <c r="AB12" s="310" t="s">
        <v>84</v>
      </c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65"/>
      <c r="AO12" s="266">
        <f t="shared" si="1"/>
        <v>0</v>
      </c>
      <c r="AP12" s="274">
        <f t="shared" si="2"/>
        <v>0</v>
      </c>
      <c r="AQ12" s="359">
        <f t="shared" si="5"/>
        <v>0</v>
      </c>
      <c r="AR12" s="360">
        <f t="shared" si="3"/>
        <v>0</v>
      </c>
      <c r="AS12" s="276" t="s">
        <v>101</v>
      </c>
      <c r="AT12" s="277"/>
      <c r="AU12" s="101" t="e">
        <f>VLOOKUP(D12,#REF!,12,FALSE)</f>
        <v>#REF!</v>
      </c>
      <c r="AV12" s="101" t="e">
        <f t="shared" si="4"/>
        <v>#REF!</v>
      </c>
    </row>
    <row r="13" s="10" customFormat="1" ht="24.05" customHeight="1" spans="2:48">
      <c r="B13" s="45" t="s">
        <v>81</v>
      </c>
      <c r="C13" s="325" t="s">
        <v>105</v>
      </c>
      <c r="D13" s="46" t="s">
        <v>106</v>
      </c>
      <c r="E13" s="326">
        <v>83003.9599999996</v>
      </c>
      <c r="F13" s="332">
        <v>127463.01</v>
      </c>
      <c r="G13" s="333"/>
      <c r="H13" s="333"/>
      <c r="I13" s="332">
        <v>72568.4</v>
      </c>
      <c r="J13" s="333">
        <v>101651.24</v>
      </c>
      <c r="K13" s="333"/>
      <c r="L13" s="343">
        <f t="shared" si="0"/>
        <v>257223.6</v>
      </c>
      <c r="M13" s="232">
        <f>81484.05+157016.28</f>
        <v>238500.33</v>
      </c>
      <c r="N13" s="233"/>
      <c r="O13" s="233">
        <v>44482.97</v>
      </c>
      <c r="P13" s="233">
        <v>105602.27</v>
      </c>
      <c r="Q13" s="233">
        <v>183228.64</v>
      </c>
      <c r="R13" s="233">
        <v>165595.12</v>
      </c>
      <c r="S13" s="233">
        <v>146213.94</v>
      </c>
      <c r="T13" s="233"/>
      <c r="U13" s="233"/>
      <c r="V13" s="233"/>
      <c r="W13" s="233"/>
      <c r="X13" s="233"/>
      <c r="Y13" s="354"/>
      <c r="Z13" s="310"/>
      <c r="AA13" s="310"/>
      <c r="AB13" s="310" t="s">
        <v>84</v>
      </c>
      <c r="AC13" s="250"/>
      <c r="AD13" s="250">
        <v>60000</v>
      </c>
      <c r="AE13" s="250">
        <v>200000</v>
      </c>
      <c r="AF13" s="250"/>
      <c r="AG13" s="250"/>
      <c r="AH13" s="250">
        <v>200000</v>
      </c>
      <c r="AI13" s="250">
        <v>75000</v>
      </c>
      <c r="AJ13" s="250">
        <v>180000</v>
      </c>
      <c r="AK13" s="250">
        <v>150000</v>
      </c>
      <c r="AL13" s="250">
        <v>150000</v>
      </c>
      <c r="AM13" s="250"/>
      <c r="AN13" s="265"/>
      <c r="AO13" s="266">
        <f t="shared" si="1"/>
        <v>1140846.87</v>
      </c>
      <c r="AP13" s="274">
        <f t="shared" si="2"/>
        <v>1015000</v>
      </c>
      <c r="AQ13" s="359">
        <f t="shared" si="5"/>
        <v>125846.87</v>
      </c>
      <c r="AR13" s="360">
        <f t="shared" si="3"/>
        <v>125846.87</v>
      </c>
      <c r="AS13" s="276" t="s">
        <v>85</v>
      </c>
      <c r="AT13" s="277"/>
      <c r="AU13" s="101" t="e">
        <f>VLOOKUP(D13,#REF!,12,FALSE)</f>
        <v>#REF!</v>
      </c>
      <c r="AV13" s="101" t="e">
        <f t="shared" si="4"/>
        <v>#REF!</v>
      </c>
    </row>
    <row r="14" s="10" customFormat="1" ht="24.05" customHeight="1" spans="2:48">
      <c r="B14" s="45" t="s">
        <v>81</v>
      </c>
      <c r="C14" s="325" t="s">
        <v>107</v>
      </c>
      <c r="D14" s="46" t="s">
        <v>108</v>
      </c>
      <c r="E14" s="326">
        <v>0</v>
      </c>
      <c r="F14" s="332">
        <v>274834.08</v>
      </c>
      <c r="G14" s="333"/>
      <c r="H14" s="333"/>
      <c r="I14" s="332"/>
      <c r="J14" s="333">
        <v>275114</v>
      </c>
      <c r="K14" s="333">
        <v>384487.79</v>
      </c>
      <c r="L14" s="343">
        <f t="shared" si="0"/>
        <v>659601.79</v>
      </c>
      <c r="M14" s="232">
        <v>274834.08</v>
      </c>
      <c r="N14" s="233">
        <v>219867.26</v>
      </c>
      <c r="O14" s="233"/>
      <c r="P14" s="233">
        <v>219867.26</v>
      </c>
      <c r="Q14" s="233">
        <v>549668.16</v>
      </c>
      <c r="R14" s="233">
        <v>404006.1</v>
      </c>
      <c r="S14" s="233">
        <v>329800.9</v>
      </c>
      <c r="T14" s="233">
        <v>54966.82</v>
      </c>
      <c r="U14" s="233">
        <v>54966.82</v>
      </c>
      <c r="V14" s="233">
        <v>219867.26</v>
      </c>
      <c r="W14" s="233"/>
      <c r="X14" s="233"/>
      <c r="Y14" s="354"/>
      <c r="Z14" s="310"/>
      <c r="AA14" s="310"/>
      <c r="AB14" s="310" t="s">
        <v>84</v>
      </c>
      <c r="AC14" s="250"/>
      <c r="AD14" s="250">
        <v>200000</v>
      </c>
      <c r="AE14" s="250">
        <v>459601.79</v>
      </c>
      <c r="AF14" s="250">
        <v>274834.08</v>
      </c>
      <c r="AG14" s="250">
        <v>219867.26</v>
      </c>
      <c r="AH14" s="250"/>
      <c r="AI14" s="250">
        <v>219867.26</v>
      </c>
      <c r="AJ14" s="250">
        <v>549668.16</v>
      </c>
      <c r="AK14" s="250">
        <v>458972.92</v>
      </c>
      <c r="AL14" s="250">
        <v>274834.08</v>
      </c>
      <c r="AM14" s="250"/>
      <c r="AN14" s="265"/>
      <c r="AO14" s="266">
        <f t="shared" si="1"/>
        <v>2987446.45</v>
      </c>
      <c r="AP14" s="274">
        <f t="shared" si="2"/>
        <v>2657645.55</v>
      </c>
      <c r="AQ14" s="359">
        <f t="shared" si="5"/>
        <v>329800.9</v>
      </c>
      <c r="AR14" s="360">
        <f t="shared" si="3"/>
        <v>219867.26</v>
      </c>
      <c r="AS14" s="276" t="s">
        <v>85</v>
      </c>
      <c r="AT14" s="277"/>
      <c r="AU14" s="101" t="e">
        <f>VLOOKUP(D14,#REF!,12,FALSE)</f>
        <v>#REF!</v>
      </c>
      <c r="AV14" s="101" t="e">
        <f t="shared" si="4"/>
        <v>#REF!</v>
      </c>
    </row>
    <row r="15" s="10" customFormat="1" ht="24.05" customHeight="1" spans="2:48">
      <c r="B15" s="45" t="s">
        <v>81</v>
      </c>
      <c r="C15" s="325" t="s">
        <v>109</v>
      </c>
      <c r="D15" s="46" t="s">
        <v>204</v>
      </c>
      <c r="E15" s="326">
        <v>24.7300000000541</v>
      </c>
      <c r="F15" s="332">
        <v>46967.34</v>
      </c>
      <c r="G15" s="333">
        <v>15405.75</v>
      </c>
      <c r="H15" s="333">
        <v>10937.5</v>
      </c>
      <c r="I15" s="332"/>
      <c r="J15" s="333"/>
      <c r="K15" s="333">
        <v>16455.51</v>
      </c>
      <c r="L15" s="343">
        <f t="shared" si="0"/>
        <v>16480.2400000001</v>
      </c>
      <c r="M15" s="232"/>
      <c r="N15" s="233">
        <f>7685.81-0.99</f>
        <v>7684.82</v>
      </c>
      <c r="O15" s="233">
        <f>16159+17289</f>
        <v>33448</v>
      </c>
      <c r="P15" s="233">
        <v>13901.26</v>
      </c>
      <c r="Q15" s="233">
        <f>11300+13749.84</f>
        <v>25049.84</v>
      </c>
      <c r="R15" s="233">
        <v>33765.53</v>
      </c>
      <c r="S15" s="233"/>
      <c r="T15" s="233">
        <v>22780.8</v>
      </c>
      <c r="U15" s="233"/>
      <c r="V15" s="233">
        <v>6597.88</v>
      </c>
      <c r="W15" s="233"/>
      <c r="X15" s="233"/>
      <c r="Y15" s="354"/>
      <c r="Z15" s="310"/>
      <c r="AA15" s="310"/>
      <c r="AB15" s="310" t="s">
        <v>84</v>
      </c>
      <c r="AC15" s="250"/>
      <c r="AD15" s="250">
        <v>16455.51</v>
      </c>
      <c r="AE15" s="250">
        <v>7684.82</v>
      </c>
      <c r="AF15" s="250">
        <v>33448</v>
      </c>
      <c r="AG15" s="250">
        <v>25201.26</v>
      </c>
      <c r="AH15" s="250">
        <v>13749.84</v>
      </c>
      <c r="AI15" s="250">
        <v>33765.53</v>
      </c>
      <c r="AJ15" s="250"/>
      <c r="AK15" s="250">
        <v>22780.8</v>
      </c>
      <c r="AL15" s="250">
        <v>6597.88</v>
      </c>
      <c r="AM15" s="250"/>
      <c r="AN15" s="265"/>
      <c r="AO15" s="266">
        <f t="shared" si="1"/>
        <v>159708.37</v>
      </c>
      <c r="AP15" s="274">
        <f t="shared" si="2"/>
        <v>159683.64</v>
      </c>
      <c r="AQ15" s="359">
        <f t="shared" si="5"/>
        <v>24.7300000000687</v>
      </c>
      <c r="AR15" s="360">
        <f>AQ15</f>
        <v>24.7300000000687</v>
      </c>
      <c r="AS15" s="276" t="s">
        <v>111</v>
      </c>
      <c r="AT15" s="277"/>
      <c r="AU15" s="101" t="e">
        <f>VLOOKUP(D15,#REF!,12,FALSE)</f>
        <v>#REF!</v>
      </c>
      <c r="AV15" s="101" t="e">
        <f t="shared" si="4"/>
        <v>#REF!</v>
      </c>
    </row>
    <row r="16" s="10" customFormat="1" ht="24.05" customHeight="1" spans="2:48">
      <c r="B16" s="45" t="s">
        <v>81</v>
      </c>
      <c r="C16" s="325" t="s">
        <v>112</v>
      </c>
      <c r="D16" s="46" t="s">
        <v>113</v>
      </c>
      <c r="E16" s="326">
        <v>379687.2</v>
      </c>
      <c r="F16" s="332">
        <v>173327.19</v>
      </c>
      <c r="G16" s="333"/>
      <c r="H16" s="333"/>
      <c r="I16" s="332"/>
      <c r="J16" s="333">
        <f>44175.26+85444.78</f>
        <v>129620.04</v>
      </c>
      <c r="K16" s="333"/>
      <c r="L16" s="343">
        <f t="shared" si="0"/>
        <v>509307.24</v>
      </c>
      <c r="M16" s="232">
        <v>41693.56</v>
      </c>
      <c r="N16" s="233"/>
      <c r="O16" s="233"/>
      <c r="P16" s="233">
        <v>68983.39</v>
      </c>
      <c r="Q16" s="233">
        <f>93334.56</f>
        <v>93334.56</v>
      </c>
      <c r="R16" s="233">
        <f>95831.35+42720.16</f>
        <v>138551.51</v>
      </c>
      <c r="S16" s="233">
        <v>90801.54</v>
      </c>
      <c r="T16" s="233">
        <v>20924.89</v>
      </c>
      <c r="U16" s="233"/>
      <c r="V16" s="233">
        <v>64055.69</v>
      </c>
      <c r="W16" s="233"/>
      <c r="X16" s="233"/>
      <c r="Y16" s="354"/>
      <c r="Z16" s="310"/>
      <c r="AA16" s="310"/>
      <c r="AB16" s="310" t="s">
        <v>84</v>
      </c>
      <c r="AC16" s="250"/>
      <c r="AD16" s="250">
        <v>300000</v>
      </c>
      <c r="AE16" s="250"/>
      <c r="AF16" s="250"/>
      <c r="AG16" s="250"/>
      <c r="AH16" s="250">
        <v>150000</v>
      </c>
      <c r="AI16" s="250"/>
      <c r="AJ16" s="250"/>
      <c r="AK16" s="250">
        <v>200000</v>
      </c>
      <c r="AL16" s="250">
        <v>200000</v>
      </c>
      <c r="AM16" s="250"/>
      <c r="AN16" s="265"/>
      <c r="AO16" s="266">
        <f t="shared" si="1"/>
        <v>1027652.38</v>
      </c>
      <c r="AP16" s="274">
        <f t="shared" si="2"/>
        <v>850000</v>
      </c>
      <c r="AQ16" s="359">
        <f t="shared" si="5"/>
        <v>177652.38</v>
      </c>
      <c r="AR16" s="360">
        <f t="shared" si="3"/>
        <v>156727.49</v>
      </c>
      <c r="AS16" s="276" t="s">
        <v>85</v>
      </c>
      <c r="AT16" s="277"/>
      <c r="AU16" s="101" t="e">
        <f>VLOOKUP(D16,#REF!,12,FALSE)</f>
        <v>#REF!</v>
      </c>
      <c r="AV16" s="101" t="e">
        <f t="shared" si="4"/>
        <v>#REF!</v>
      </c>
    </row>
    <row r="17" s="10" customFormat="1" ht="24.05" customHeight="1" spans="2:48">
      <c r="B17" s="45" t="s">
        <v>81</v>
      </c>
      <c r="C17" s="325" t="s">
        <v>114</v>
      </c>
      <c r="D17" s="46" t="s">
        <v>115</v>
      </c>
      <c r="E17" s="326">
        <v>268.440000000061</v>
      </c>
      <c r="F17" s="332"/>
      <c r="G17" s="333"/>
      <c r="H17" s="333"/>
      <c r="I17" s="332">
        <v>290622.44</v>
      </c>
      <c r="J17" s="333"/>
      <c r="K17" s="333"/>
      <c r="L17" s="343">
        <f t="shared" si="0"/>
        <v>290890.88</v>
      </c>
      <c r="M17" s="232">
        <v>306840.2</v>
      </c>
      <c r="N17" s="233"/>
      <c r="O17" s="233"/>
      <c r="P17" s="233"/>
      <c r="Q17" s="233">
        <v>109158</v>
      </c>
      <c r="R17" s="233"/>
      <c r="S17" s="233"/>
      <c r="T17" s="233"/>
      <c r="U17" s="233"/>
      <c r="V17" s="233"/>
      <c r="W17" s="233"/>
      <c r="X17" s="233"/>
      <c r="Y17" s="354"/>
      <c r="Z17" s="310"/>
      <c r="AA17" s="310"/>
      <c r="AB17" s="310" t="s">
        <v>84</v>
      </c>
      <c r="AC17" s="250"/>
      <c r="AD17" s="250">
        <v>100000</v>
      </c>
      <c r="AE17" s="250">
        <v>297731.38</v>
      </c>
      <c r="AF17" s="250"/>
      <c r="AG17" s="250">
        <v>199999.7</v>
      </c>
      <c r="AH17" s="250"/>
      <c r="AI17" s="250"/>
      <c r="AJ17" s="250">
        <v>109158</v>
      </c>
      <c r="AK17" s="250"/>
      <c r="AL17" s="250"/>
      <c r="AM17" s="250"/>
      <c r="AN17" s="265"/>
      <c r="AO17" s="266">
        <f t="shared" si="1"/>
        <v>706889.08</v>
      </c>
      <c r="AP17" s="274">
        <f t="shared" si="2"/>
        <v>706889.08</v>
      </c>
      <c r="AQ17" s="359">
        <f t="shared" si="5"/>
        <v>0</v>
      </c>
      <c r="AR17" s="360">
        <f t="shared" ref="AR17:AR24" si="6">AQ17-U17-V175</f>
        <v>0</v>
      </c>
      <c r="AS17" s="276" t="s">
        <v>85</v>
      </c>
      <c r="AT17" s="277"/>
      <c r="AU17" s="101" t="e">
        <f>VLOOKUP(D17,#REF!,12,FALSE)</f>
        <v>#REF!</v>
      </c>
      <c r="AV17" s="101" t="e">
        <f t="shared" si="4"/>
        <v>#REF!</v>
      </c>
    </row>
    <row r="18" s="10" customFormat="1" ht="24.05" customHeight="1" spans="2:48">
      <c r="B18" s="45" t="s">
        <v>81</v>
      </c>
      <c r="C18" s="325" t="s">
        <v>116</v>
      </c>
      <c r="D18" s="46" t="s">
        <v>205</v>
      </c>
      <c r="E18" s="326">
        <v>36671.4</v>
      </c>
      <c r="F18" s="332"/>
      <c r="G18" s="333">
        <v>28601.2</v>
      </c>
      <c r="H18" s="333"/>
      <c r="I18" s="332"/>
      <c r="J18" s="333"/>
      <c r="K18" s="333"/>
      <c r="L18" s="343">
        <f t="shared" si="0"/>
        <v>36671.4</v>
      </c>
      <c r="M18" s="232">
        <v>19717.03</v>
      </c>
      <c r="N18" s="233"/>
      <c r="O18" s="233"/>
      <c r="P18" s="233">
        <v>25264.02</v>
      </c>
      <c r="Q18" s="233">
        <v>32724.8</v>
      </c>
      <c r="R18" s="233"/>
      <c r="S18" s="233">
        <v>31278.4</v>
      </c>
      <c r="T18" s="233"/>
      <c r="U18" s="233">
        <v>9119.1</v>
      </c>
      <c r="V18" s="233">
        <v>8203.8</v>
      </c>
      <c r="W18" s="233"/>
      <c r="X18" s="233"/>
      <c r="Y18" s="354"/>
      <c r="Z18" s="310"/>
      <c r="AA18" s="310"/>
      <c r="AB18" s="310" t="s">
        <v>84</v>
      </c>
      <c r="AC18" s="250"/>
      <c r="AD18" s="250">
        <f>20000+8070.2</f>
        <v>28070.2</v>
      </c>
      <c r="AE18" s="250"/>
      <c r="AF18" s="250"/>
      <c r="AG18" s="250"/>
      <c r="AH18" s="250"/>
      <c r="AI18" s="250"/>
      <c r="AJ18" s="250">
        <v>61043.03</v>
      </c>
      <c r="AK18" s="250"/>
      <c r="AL18" s="250">
        <v>31278.4</v>
      </c>
      <c r="AM18" s="250"/>
      <c r="AN18" s="265"/>
      <c r="AO18" s="266">
        <f t="shared" si="1"/>
        <v>162978.55</v>
      </c>
      <c r="AP18" s="274">
        <f t="shared" si="2"/>
        <v>120391.63</v>
      </c>
      <c r="AQ18" s="359">
        <f t="shared" si="5"/>
        <v>42586.92</v>
      </c>
      <c r="AR18" s="360">
        <f t="shared" si="6"/>
        <v>33467.82</v>
      </c>
      <c r="AS18" s="276" t="s">
        <v>85</v>
      </c>
      <c r="AT18" s="277"/>
      <c r="AU18" s="101" t="e">
        <f>VLOOKUP(D18,#REF!,12,FALSE)</f>
        <v>#REF!</v>
      </c>
      <c r="AV18" s="101" t="e">
        <f t="shared" si="4"/>
        <v>#REF!</v>
      </c>
    </row>
    <row r="19" s="10" customFormat="1" ht="24.05" customHeight="1" spans="2:48">
      <c r="B19" s="45" t="s">
        <v>81</v>
      </c>
      <c r="C19" s="325" t="s">
        <v>118</v>
      </c>
      <c r="D19" s="46" t="s">
        <v>119</v>
      </c>
      <c r="E19" s="326">
        <v>283331</v>
      </c>
      <c r="F19" s="332"/>
      <c r="G19" s="333"/>
      <c r="H19" s="333"/>
      <c r="I19" s="332"/>
      <c r="J19" s="333"/>
      <c r="K19" s="333"/>
      <c r="L19" s="343">
        <f t="shared" si="0"/>
        <v>283331</v>
      </c>
      <c r="M19" s="232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354"/>
      <c r="Z19" s="310"/>
      <c r="AA19" s="310"/>
      <c r="AB19" s="310" t="s">
        <v>84</v>
      </c>
      <c r="AC19" s="250"/>
      <c r="AD19" s="250">
        <v>100000</v>
      </c>
      <c r="AE19" s="250">
        <v>100000</v>
      </c>
      <c r="AF19" s="250"/>
      <c r="AG19" s="250"/>
      <c r="AH19" s="250"/>
      <c r="AI19" s="250"/>
      <c r="AJ19" s="250">
        <v>83331</v>
      </c>
      <c r="AK19" s="250"/>
      <c r="AL19" s="250"/>
      <c r="AM19" s="250"/>
      <c r="AN19" s="265"/>
      <c r="AO19" s="266">
        <f t="shared" si="1"/>
        <v>283331</v>
      </c>
      <c r="AP19" s="274">
        <f t="shared" si="2"/>
        <v>283331</v>
      </c>
      <c r="AQ19" s="359">
        <f t="shared" si="5"/>
        <v>0</v>
      </c>
      <c r="AR19" s="360">
        <f t="shared" si="6"/>
        <v>0</v>
      </c>
      <c r="AS19" s="276" t="s">
        <v>85</v>
      </c>
      <c r="AT19" s="277"/>
      <c r="AU19" s="101" t="e">
        <f>VLOOKUP(D19,#REF!,12,FALSE)</f>
        <v>#REF!</v>
      </c>
      <c r="AV19" s="101" t="e">
        <f t="shared" si="4"/>
        <v>#REF!</v>
      </c>
    </row>
    <row r="20" s="10" customFormat="1" ht="24.05" customHeight="1" spans="2:48">
      <c r="B20" s="48" t="s">
        <v>81</v>
      </c>
      <c r="C20" s="325" t="s">
        <v>120</v>
      </c>
      <c r="D20" s="46" t="s">
        <v>121</v>
      </c>
      <c r="E20" s="326">
        <v>0</v>
      </c>
      <c r="F20" s="332"/>
      <c r="G20" s="333"/>
      <c r="H20" s="333"/>
      <c r="I20" s="332"/>
      <c r="J20" s="333"/>
      <c r="K20" s="333"/>
      <c r="L20" s="343">
        <f t="shared" si="0"/>
        <v>0</v>
      </c>
      <c r="M20" s="232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354"/>
      <c r="Z20" s="310"/>
      <c r="AA20" s="310"/>
      <c r="AB20" s="310" t="s">
        <v>84</v>
      </c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65"/>
      <c r="AO20" s="266">
        <f t="shared" si="1"/>
        <v>0</v>
      </c>
      <c r="AP20" s="274">
        <f t="shared" si="2"/>
        <v>0</v>
      </c>
      <c r="AQ20" s="359">
        <f t="shared" si="5"/>
        <v>0</v>
      </c>
      <c r="AR20" s="360">
        <f t="shared" si="6"/>
        <v>0</v>
      </c>
      <c r="AS20" s="276" t="s">
        <v>85</v>
      </c>
      <c r="AT20" s="277"/>
      <c r="AU20" s="101" t="e">
        <f>VLOOKUP(D20,#REF!,12,FALSE)</f>
        <v>#REF!</v>
      </c>
      <c r="AV20" s="101" t="e">
        <f t="shared" si="4"/>
        <v>#REF!</v>
      </c>
    </row>
    <row r="21" s="10" customFormat="1" ht="24.05" customHeight="1" spans="2:48">
      <c r="B21" s="48" t="s">
        <v>81</v>
      </c>
      <c r="C21" s="325" t="s">
        <v>122</v>
      </c>
      <c r="D21" s="46" t="s">
        <v>123</v>
      </c>
      <c r="E21" s="326">
        <v>568253.28</v>
      </c>
      <c r="F21" s="332">
        <v>568253.28</v>
      </c>
      <c r="G21" s="333"/>
      <c r="H21" s="333"/>
      <c r="I21" s="332"/>
      <c r="J21" s="333">
        <v>285575.32</v>
      </c>
      <c r="K21" s="333">
        <v>401604.1</v>
      </c>
      <c r="L21" s="343">
        <f t="shared" si="0"/>
        <v>1255432.7</v>
      </c>
      <c r="M21" s="232">
        <v>199090.48</v>
      </c>
      <c r="N21" s="233">
        <v>169506.78</v>
      </c>
      <c r="O21" s="233"/>
      <c r="P21" s="233">
        <v>422660.9</v>
      </c>
      <c r="Q21" s="233">
        <v>819237.83</v>
      </c>
      <c r="R21" s="233">
        <v>486674.09</v>
      </c>
      <c r="S21" s="233">
        <f>108777.24+108777.24+72151.07</f>
        <v>289705.55</v>
      </c>
      <c r="T21" s="233">
        <f>41724.12+92223.82</f>
        <v>133947.94</v>
      </c>
      <c r="U21" s="233">
        <f>91620.4+61839.2+110446.2</f>
        <v>263905.8</v>
      </c>
      <c r="V21" s="233">
        <f>61285.37+108657.35</f>
        <v>169942.72</v>
      </c>
      <c r="W21" s="233"/>
      <c r="X21" s="233"/>
      <c r="Y21" s="354"/>
      <c r="Z21" s="310"/>
      <c r="AA21" s="310"/>
      <c r="AB21" s="310" t="s">
        <v>84</v>
      </c>
      <c r="AC21" s="250"/>
      <c r="AD21" s="250">
        <v>400000</v>
      </c>
      <c r="AE21" s="250">
        <v>453828.6</v>
      </c>
      <c r="AF21" s="250">
        <v>401604.1</v>
      </c>
      <c r="AG21" s="250">
        <v>368597.26</v>
      </c>
      <c r="AH21" s="250">
        <v>401604.1</v>
      </c>
      <c r="AI21" s="250"/>
      <c r="AJ21" s="250">
        <v>500000</v>
      </c>
      <c r="AK21" s="250">
        <v>741898.73</v>
      </c>
      <c r="AL21" s="250">
        <v>374775.54</v>
      </c>
      <c r="AM21" s="250"/>
      <c r="AN21" s="265"/>
      <c r="AO21" s="266">
        <f t="shared" si="1"/>
        <v>4210104.79</v>
      </c>
      <c r="AP21" s="274">
        <f t="shared" si="2"/>
        <v>3642308.33</v>
      </c>
      <c r="AQ21" s="359">
        <f t="shared" si="5"/>
        <v>567796.46</v>
      </c>
      <c r="AR21" s="360">
        <f t="shared" si="6"/>
        <v>303890.66</v>
      </c>
      <c r="AS21" s="276" t="s">
        <v>85</v>
      </c>
      <c r="AT21" s="277"/>
      <c r="AU21" s="101" t="e">
        <f>VLOOKUP(D21,#REF!,12,FALSE)</f>
        <v>#REF!</v>
      </c>
      <c r="AV21" s="101" t="e">
        <f t="shared" si="4"/>
        <v>#REF!</v>
      </c>
    </row>
    <row r="22" s="10" customFormat="1" ht="24.05" customHeight="1" spans="2:48">
      <c r="B22" s="48" t="s">
        <v>81</v>
      </c>
      <c r="C22" s="325" t="s">
        <v>124</v>
      </c>
      <c r="D22" s="46" t="s">
        <v>125</v>
      </c>
      <c r="E22" s="326">
        <v>7726.19999999992</v>
      </c>
      <c r="F22" s="332">
        <v>38917.2</v>
      </c>
      <c r="G22" s="333"/>
      <c r="H22" s="333"/>
      <c r="I22" s="332">
        <v>22401.12</v>
      </c>
      <c r="J22" s="333"/>
      <c r="K22" s="333">
        <v>36373.34</v>
      </c>
      <c r="L22" s="343">
        <f t="shared" si="0"/>
        <v>66500.6599999999</v>
      </c>
      <c r="M22" s="232"/>
      <c r="N22" s="233"/>
      <c r="O22" s="233">
        <f>25248.72+13288.8</f>
        <v>38537.52</v>
      </c>
      <c r="P22" s="233"/>
      <c r="Q22" s="233"/>
      <c r="R22" s="233">
        <v>53060.28</v>
      </c>
      <c r="S22" s="233"/>
      <c r="T22" s="233">
        <v>19933.2</v>
      </c>
      <c r="U22" s="233"/>
      <c r="V22" s="233"/>
      <c r="W22" s="233"/>
      <c r="X22" s="233"/>
      <c r="Y22" s="354"/>
      <c r="Z22" s="310"/>
      <c r="AA22" s="310"/>
      <c r="AB22" s="310" t="s">
        <v>84</v>
      </c>
      <c r="AC22" s="250"/>
      <c r="AD22" s="250">
        <v>23000</v>
      </c>
      <c r="AE22" s="250"/>
      <c r="AF22" s="250"/>
      <c r="AG22" s="250"/>
      <c r="AH22" s="250"/>
      <c r="AI22" s="250"/>
      <c r="AJ22" s="250">
        <v>60938.64</v>
      </c>
      <c r="AK22" s="250"/>
      <c r="AL22" s="250">
        <v>56306.54</v>
      </c>
      <c r="AM22" s="250"/>
      <c r="AN22" s="265"/>
      <c r="AO22" s="266">
        <f t="shared" si="1"/>
        <v>178031.66</v>
      </c>
      <c r="AP22" s="274">
        <f t="shared" si="2"/>
        <v>140245.18</v>
      </c>
      <c r="AQ22" s="359">
        <f t="shared" si="5"/>
        <v>37786.4799999999</v>
      </c>
      <c r="AR22" s="360">
        <f t="shared" si="6"/>
        <v>37786.4799999999</v>
      </c>
      <c r="AS22" s="276" t="s">
        <v>85</v>
      </c>
      <c r="AT22" s="277"/>
      <c r="AU22" s="101" t="e">
        <f>VLOOKUP(D22,#REF!,12,FALSE)</f>
        <v>#REF!</v>
      </c>
      <c r="AV22" s="101" t="e">
        <f t="shared" si="4"/>
        <v>#REF!</v>
      </c>
    </row>
    <row r="23" s="10" customFormat="1" ht="24.05" customHeight="1" spans="2:48">
      <c r="B23" s="48" t="s">
        <v>81</v>
      </c>
      <c r="C23" s="325" t="s">
        <v>126</v>
      </c>
      <c r="D23" s="46" t="s">
        <v>127</v>
      </c>
      <c r="E23" s="326">
        <v>0</v>
      </c>
      <c r="F23" s="332">
        <v>5455.64</v>
      </c>
      <c r="G23" s="333"/>
      <c r="H23" s="333"/>
      <c r="I23" s="332"/>
      <c r="J23" s="333"/>
      <c r="K23" s="333"/>
      <c r="L23" s="343">
        <f t="shared" si="0"/>
        <v>0</v>
      </c>
      <c r="M23" s="232"/>
      <c r="N23" s="233"/>
      <c r="O23" s="233"/>
      <c r="P23" s="233"/>
      <c r="Q23" s="233">
        <v>5455.64</v>
      </c>
      <c r="R23" s="233"/>
      <c r="S23" s="233"/>
      <c r="T23" s="233"/>
      <c r="U23" s="233"/>
      <c r="V23" s="233"/>
      <c r="W23" s="233"/>
      <c r="X23" s="233"/>
      <c r="Y23" s="354"/>
      <c r="Z23" s="310"/>
      <c r="AA23" s="310"/>
      <c r="AB23" s="310" t="s">
        <v>84</v>
      </c>
      <c r="AC23" s="250"/>
      <c r="AD23" s="250"/>
      <c r="AE23" s="250"/>
      <c r="AF23" s="250">
        <v>5455.64</v>
      </c>
      <c r="AG23" s="250"/>
      <c r="AH23" s="250"/>
      <c r="AI23" s="250"/>
      <c r="AJ23" s="250"/>
      <c r="AK23" s="250"/>
      <c r="AL23" s="250"/>
      <c r="AM23" s="250"/>
      <c r="AN23" s="265"/>
      <c r="AO23" s="266">
        <f t="shared" si="1"/>
        <v>5455.64</v>
      </c>
      <c r="AP23" s="274">
        <f t="shared" si="2"/>
        <v>5455.64</v>
      </c>
      <c r="AQ23" s="359">
        <f t="shared" si="5"/>
        <v>0</v>
      </c>
      <c r="AR23" s="360">
        <f t="shared" si="6"/>
        <v>0</v>
      </c>
      <c r="AS23" s="276" t="s">
        <v>96</v>
      </c>
      <c r="AT23" s="277"/>
      <c r="AU23" s="101" t="e">
        <f>VLOOKUP(D23,#REF!,12,FALSE)</f>
        <v>#REF!</v>
      </c>
      <c r="AV23" s="101" t="e">
        <f t="shared" si="4"/>
        <v>#REF!</v>
      </c>
    </row>
    <row r="24" s="10" customFormat="1" ht="24.05" customHeight="1" spans="2:48">
      <c r="B24" s="48" t="s">
        <v>81</v>
      </c>
      <c r="C24" s="325" t="s">
        <v>128</v>
      </c>
      <c r="D24" s="46" t="s">
        <v>129</v>
      </c>
      <c r="E24" s="326">
        <v>74904.3</v>
      </c>
      <c r="F24" s="332">
        <v>72360.68</v>
      </c>
      <c r="G24" s="333"/>
      <c r="H24" s="333"/>
      <c r="I24" s="332"/>
      <c r="J24" s="333"/>
      <c r="K24" s="344"/>
      <c r="L24" s="343">
        <f t="shared" si="0"/>
        <v>74904.3</v>
      </c>
      <c r="M24" s="232"/>
      <c r="N24" s="233"/>
      <c r="O24" s="233"/>
      <c r="P24" s="233">
        <v>34952.03</v>
      </c>
      <c r="Q24" s="233">
        <v>60294.54</v>
      </c>
      <c r="R24" s="233"/>
      <c r="S24" s="233"/>
      <c r="T24" s="233"/>
      <c r="U24" s="233"/>
      <c r="V24" s="233"/>
      <c r="W24" s="233"/>
      <c r="X24" s="233"/>
      <c r="Y24" s="354"/>
      <c r="Z24" s="310"/>
      <c r="AA24" s="310"/>
      <c r="AB24" s="310" t="s">
        <v>84</v>
      </c>
      <c r="AC24" s="250"/>
      <c r="AD24" s="250">
        <v>74904.3</v>
      </c>
      <c r="AE24" s="250"/>
      <c r="AF24" s="250"/>
      <c r="AG24" s="250">
        <v>34952.03</v>
      </c>
      <c r="AH24" s="250"/>
      <c r="AI24" s="250"/>
      <c r="AJ24" s="250">
        <v>60294.54</v>
      </c>
      <c r="AK24" s="250"/>
      <c r="AL24" s="250"/>
      <c r="AM24" s="250"/>
      <c r="AN24" s="265"/>
      <c r="AO24" s="266">
        <f t="shared" si="1"/>
        <v>170150.87</v>
      </c>
      <c r="AP24" s="274">
        <f t="shared" si="2"/>
        <v>170150.87</v>
      </c>
      <c r="AQ24" s="359">
        <f t="shared" si="5"/>
        <v>0</v>
      </c>
      <c r="AR24" s="360">
        <f t="shared" si="6"/>
        <v>0</v>
      </c>
      <c r="AS24" s="276" t="s">
        <v>85</v>
      </c>
      <c r="AT24" s="277"/>
      <c r="AU24" s="101" t="e">
        <f>VLOOKUP(D24,#REF!,12,FALSE)</f>
        <v>#REF!</v>
      </c>
      <c r="AV24" s="101" t="e">
        <f t="shared" si="4"/>
        <v>#REF!</v>
      </c>
    </row>
    <row r="25" s="10" customFormat="1" ht="24.05" customHeight="1" spans="2:48">
      <c r="B25" s="48" t="s">
        <v>81</v>
      </c>
      <c r="C25" s="325" t="s">
        <v>130</v>
      </c>
      <c r="D25" s="46" t="s">
        <v>131</v>
      </c>
      <c r="E25" s="326">
        <v>-15576.8</v>
      </c>
      <c r="F25" s="332"/>
      <c r="G25" s="333"/>
      <c r="H25" s="333"/>
      <c r="I25" s="332">
        <v>2500</v>
      </c>
      <c r="J25" s="333">
        <v>1000</v>
      </c>
      <c r="K25" s="333"/>
      <c r="L25" s="343">
        <f t="shared" si="0"/>
        <v>-12076.8</v>
      </c>
      <c r="M25" s="232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354"/>
      <c r="Z25" s="310"/>
      <c r="AA25" s="310"/>
      <c r="AB25" s="310" t="s">
        <v>84</v>
      </c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65"/>
      <c r="AO25" s="266">
        <f t="shared" si="1"/>
        <v>-12076.8</v>
      </c>
      <c r="AP25" s="274">
        <f t="shared" si="2"/>
        <v>0</v>
      </c>
      <c r="AQ25" s="359">
        <f t="shared" si="5"/>
        <v>-12076.8</v>
      </c>
      <c r="AR25" s="360">
        <v>0</v>
      </c>
      <c r="AS25" s="276" t="s">
        <v>85</v>
      </c>
      <c r="AT25" s="277"/>
      <c r="AU25" s="101" t="e">
        <f>VLOOKUP(D25,#REF!,12,FALSE)</f>
        <v>#REF!</v>
      </c>
      <c r="AV25" s="101" t="e">
        <f t="shared" si="4"/>
        <v>#REF!</v>
      </c>
    </row>
    <row r="26" s="10" customFormat="1" ht="24.05" customHeight="1" spans="2:48">
      <c r="B26" s="45" t="s">
        <v>81</v>
      </c>
      <c r="C26" s="325" t="s">
        <v>102</v>
      </c>
      <c r="D26" s="40" t="s">
        <v>103</v>
      </c>
      <c r="E26" s="326">
        <v>-818228.05</v>
      </c>
      <c r="F26" s="332"/>
      <c r="G26" s="333"/>
      <c r="H26" s="333"/>
      <c r="I26" s="332">
        <v>327734.09</v>
      </c>
      <c r="J26" s="333">
        <v>216787.22</v>
      </c>
      <c r="K26" s="333">
        <v>273706.82</v>
      </c>
      <c r="L26" s="343">
        <f t="shared" si="0"/>
        <v>0.0800000000745058</v>
      </c>
      <c r="M26" s="232">
        <v>56034.82</v>
      </c>
      <c r="N26" s="232">
        <v>51304.4</v>
      </c>
      <c r="O26" s="233">
        <v>63529.76</v>
      </c>
      <c r="P26" s="233">
        <v>243381.98</v>
      </c>
      <c r="Q26" s="233">
        <v>377470.62</v>
      </c>
      <c r="R26" s="233">
        <v>353804.17</v>
      </c>
      <c r="S26" s="233">
        <v>14195.88</v>
      </c>
      <c r="T26" s="233">
        <v>47482.76</v>
      </c>
      <c r="U26" s="233">
        <v>116108.04</v>
      </c>
      <c r="V26" s="233">
        <v>83727.08</v>
      </c>
      <c r="W26" s="233"/>
      <c r="X26" s="233"/>
      <c r="Y26" s="354"/>
      <c r="Z26" s="310"/>
      <c r="AA26" s="310"/>
      <c r="AB26" s="310" t="s">
        <v>84</v>
      </c>
      <c r="AC26" s="250"/>
      <c r="AD26" s="250">
        <v>56034.8</v>
      </c>
      <c r="AE26" s="250">
        <v>51304.4</v>
      </c>
      <c r="AF26" s="250">
        <v>63529.78</v>
      </c>
      <c r="AG26" s="250">
        <v>243382</v>
      </c>
      <c r="AH26" s="250">
        <v>377470.59</v>
      </c>
      <c r="AI26" s="250">
        <v>353804.19</v>
      </c>
      <c r="AJ26" s="250">
        <v>14195.87</v>
      </c>
      <c r="AK26" s="250">
        <v>47482.78</v>
      </c>
      <c r="AL26" s="250">
        <v>116108.04</v>
      </c>
      <c r="AM26" s="250"/>
      <c r="AN26" s="265"/>
      <c r="AO26" s="266">
        <f t="shared" si="1"/>
        <v>1407039.59</v>
      </c>
      <c r="AP26" s="274">
        <f t="shared" si="2"/>
        <v>1323312.45</v>
      </c>
      <c r="AQ26" s="359">
        <f t="shared" si="5"/>
        <v>83727.1399999999</v>
      </c>
      <c r="AR26" s="360">
        <f t="shared" ref="AR26:AR33" si="7">AQ26-U26-V184</f>
        <v>-32380.9000000001</v>
      </c>
      <c r="AS26" s="276" t="s">
        <v>104</v>
      </c>
      <c r="AT26" s="277"/>
      <c r="AU26" s="101" t="e">
        <f>VLOOKUP(D26,#REF!,12,FALSE)</f>
        <v>#REF!</v>
      </c>
      <c r="AV26" s="101" t="e">
        <f t="shared" si="4"/>
        <v>#REF!</v>
      </c>
    </row>
    <row r="27" s="10" customFormat="1" ht="24.05" customHeight="1" spans="2:48">
      <c r="B27" s="48" t="s">
        <v>81</v>
      </c>
      <c r="C27" s="325" t="s">
        <v>132</v>
      </c>
      <c r="D27" s="40" t="s">
        <v>133</v>
      </c>
      <c r="E27" s="326">
        <v>341946.18</v>
      </c>
      <c r="F27" s="332">
        <v>160618.2</v>
      </c>
      <c r="G27" s="333"/>
      <c r="H27" s="333"/>
      <c r="I27" s="332"/>
      <c r="J27" s="333">
        <v>4283.15</v>
      </c>
      <c r="K27" s="333"/>
      <c r="L27" s="343">
        <f t="shared" si="0"/>
        <v>346229.33</v>
      </c>
      <c r="M27" s="232"/>
      <c r="N27" s="233"/>
      <c r="O27" s="233"/>
      <c r="P27" s="233"/>
      <c r="Q27" s="233">
        <v>256989.12</v>
      </c>
      <c r="R27" s="233">
        <v>224865.48</v>
      </c>
      <c r="S27" s="233"/>
      <c r="T27" s="233"/>
      <c r="U27" s="233">
        <v>578225.52</v>
      </c>
      <c r="V27" s="233"/>
      <c r="W27" s="233"/>
      <c r="X27" s="233"/>
      <c r="Y27" s="354"/>
      <c r="Z27" s="310"/>
      <c r="AA27" s="310"/>
      <c r="AB27" s="310" t="s">
        <v>84</v>
      </c>
      <c r="AC27" s="250"/>
      <c r="AD27" s="250">
        <v>535.4</v>
      </c>
      <c r="AE27" s="250"/>
      <c r="AF27" s="250"/>
      <c r="AG27" s="250">
        <v>3212.38</v>
      </c>
      <c r="AH27" s="250">
        <v>19809.58</v>
      </c>
      <c r="AI27" s="250">
        <v>146697.98</v>
      </c>
      <c r="AJ27" s="250">
        <v>4283.14</v>
      </c>
      <c r="AK27" s="250">
        <v>535.4</v>
      </c>
      <c r="AL27" s="250">
        <v>175073.84</v>
      </c>
      <c r="AM27" s="250"/>
      <c r="AN27" s="265"/>
      <c r="AO27" s="266">
        <f t="shared" si="1"/>
        <v>1406309.45</v>
      </c>
      <c r="AP27" s="274">
        <f t="shared" si="2"/>
        <v>350147.72</v>
      </c>
      <c r="AQ27" s="359">
        <f t="shared" si="5"/>
        <v>1056161.73</v>
      </c>
      <c r="AR27" s="360">
        <f t="shared" si="7"/>
        <v>477936.21</v>
      </c>
      <c r="AS27" s="276" t="s">
        <v>104</v>
      </c>
      <c r="AT27" s="277"/>
      <c r="AU27" s="101" t="e">
        <f>VLOOKUP(D27,#REF!,12,FALSE)</f>
        <v>#REF!</v>
      </c>
      <c r="AV27" s="101" t="e">
        <f t="shared" si="4"/>
        <v>#REF!</v>
      </c>
    </row>
    <row r="28" s="10" customFormat="1" ht="24.05" customHeight="1" spans="2:48">
      <c r="B28" s="48" t="s">
        <v>134</v>
      </c>
      <c r="C28" s="325">
        <v>1951024</v>
      </c>
      <c r="D28" s="46" t="s">
        <v>206</v>
      </c>
      <c r="E28" s="326">
        <v>0</v>
      </c>
      <c r="F28" s="332"/>
      <c r="G28" s="333"/>
      <c r="H28" s="333"/>
      <c r="I28" s="332"/>
      <c r="J28" s="333"/>
      <c r="K28" s="333"/>
      <c r="L28" s="343">
        <f t="shared" si="0"/>
        <v>0</v>
      </c>
      <c r="M28" s="232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354"/>
      <c r="Z28" s="310"/>
      <c r="AA28" s="310"/>
      <c r="AB28" s="310" t="s">
        <v>84</v>
      </c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65"/>
      <c r="AO28" s="266">
        <f t="shared" si="1"/>
        <v>0</v>
      </c>
      <c r="AP28" s="274">
        <f t="shared" si="2"/>
        <v>0</v>
      </c>
      <c r="AQ28" s="359">
        <f t="shared" si="5"/>
        <v>0</v>
      </c>
      <c r="AR28" s="360">
        <f t="shared" si="7"/>
        <v>0</v>
      </c>
      <c r="AS28" s="276" t="s">
        <v>111</v>
      </c>
      <c r="AT28" s="277"/>
      <c r="AU28" s="101" t="e">
        <f>VLOOKUP(D28,#REF!,12,FALSE)</f>
        <v>#REF!</v>
      </c>
      <c r="AV28" s="101" t="e">
        <f t="shared" si="4"/>
        <v>#REF!</v>
      </c>
    </row>
    <row r="29" s="10" customFormat="1" ht="24.05" customHeight="1" spans="2:48">
      <c r="B29" s="48" t="s">
        <v>81</v>
      </c>
      <c r="C29" s="327" t="s">
        <v>136</v>
      </c>
      <c r="D29" s="328" t="s">
        <v>137</v>
      </c>
      <c r="E29" s="326">
        <v>44955.1399999999</v>
      </c>
      <c r="F29" s="332">
        <v>91703.4</v>
      </c>
      <c r="G29" s="333"/>
      <c r="H29" s="333"/>
      <c r="I29" s="332"/>
      <c r="J29" s="333"/>
      <c r="K29" s="333"/>
      <c r="L29" s="343">
        <f t="shared" si="0"/>
        <v>44955.1399999999</v>
      </c>
      <c r="M29" s="232"/>
      <c r="N29" s="233"/>
      <c r="O29" s="233"/>
      <c r="P29" s="233"/>
      <c r="Q29" s="233">
        <f>92579.77+96240.97</f>
        <v>188820.74</v>
      </c>
      <c r="R29" s="233">
        <v>48959.29</v>
      </c>
      <c r="S29" s="233"/>
      <c r="T29" s="233"/>
      <c r="U29" s="233">
        <f>90144.65+73031.61+49069.12</f>
        <v>212245.38</v>
      </c>
      <c r="V29" s="233">
        <v>58699</v>
      </c>
      <c r="W29" s="233"/>
      <c r="X29" s="233"/>
      <c r="Y29" s="355"/>
      <c r="Z29" s="313"/>
      <c r="AA29" s="313"/>
      <c r="AB29" s="310" t="s">
        <v>84</v>
      </c>
      <c r="AC29" s="254"/>
      <c r="AD29" s="254">
        <v>70000</v>
      </c>
      <c r="AE29" s="250"/>
      <c r="AF29" s="250"/>
      <c r="AG29" s="250"/>
      <c r="AH29" s="250"/>
      <c r="AI29" s="250"/>
      <c r="AJ29" s="250"/>
      <c r="AK29" s="250">
        <v>150000</v>
      </c>
      <c r="AL29" s="250">
        <v>121434.17</v>
      </c>
      <c r="AM29" s="250"/>
      <c r="AN29" s="265"/>
      <c r="AO29" s="266">
        <f t="shared" si="1"/>
        <v>553679.55</v>
      </c>
      <c r="AP29" s="274">
        <f t="shared" si="2"/>
        <v>341434.17</v>
      </c>
      <c r="AQ29" s="359">
        <f t="shared" si="5"/>
        <v>212245.38</v>
      </c>
      <c r="AR29" s="360">
        <f t="shared" si="7"/>
        <v>-1.74622982740402e-10</v>
      </c>
      <c r="AS29" s="278" t="s">
        <v>85</v>
      </c>
      <c r="AT29" s="279"/>
      <c r="AU29" s="101" t="e">
        <f>VLOOKUP(D29,#REF!,12,FALSE)</f>
        <v>#REF!</v>
      </c>
      <c r="AV29" s="101" t="e">
        <f t="shared" si="4"/>
        <v>#REF!</v>
      </c>
    </row>
    <row r="30" s="10" customFormat="1" ht="24.05" customHeight="1" spans="2:48">
      <c r="B30" s="48" t="s">
        <v>81</v>
      </c>
      <c r="C30" s="327" t="s">
        <v>138</v>
      </c>
      <c r="D30" s="328" t="s">
        <v>139</v>
      </c>
      <c r="E30" s="326">
        <v>0</v>
      </c>
      <c r="F30" s="332"/>
      <c r="G30" s="333"/>
      <c r="H30" s="345"/>
      <c r="I30" s="332"/>
      <c r="J30" s="333"/>
      <c r="K30" s="345"/>
      <c r="L30" s="343">
        <f t="shared" si="0"/>
        <v>0</v>
      </c>
      <c r="M30" s="232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355"/>
      <c r="Z30" s="313"/>
      <c r="AA30" s="313"/>
      <c r="AB30" s="310" t="s">
        <v>84</v>
      </c>
      <c r="AC30" s="254"/>
      <c r="AD30" s="254"/>
      <c r="AE30" s="250"/>
      <c r="AF30" s="250"/>
      <c r="AG30" s="250"/>
      <c r="AH30" s="250"/>
      <c r="AI30" s="250"/>
      <c r="AJ30" s="250"/>
      <c r="AK30" s="250"/>
      <c r="AL30" s="250"/>
      <c r="AM30" s="250"/>
      <c r="AN30" s="265"/>
      <c r="AO30" s="266">
        <f t="shared" si="1"/>
        <v>0</v>
      </c>
      <c r="AP30" s="274">
        <f t="shared" si="2"/>
        <v>0</v>
      </c>
      <c r="AQ30" s="359">
        <f t="shared" si="5"/>
        <v>0</v>
      </c>
      <c r="AR30" s="360">
        <f t="shared" si="7"/>
        <v>0</v>
      </c>
      <c r="AS30" s="278" t="s">
        <v>101</v>
      </c>
      <c r="AT30" s="279"/>
      <c r="AU30" s="101" t="e">
        <f>VLOOKUP(D30,#REF!,12,FALSE)</f>
        <v>#REF!</v>
      </c>
      <c r="AV30" s="101" t="e">
        <f t="shared" si="4"/>
        <v>#REF!</v>
      </c>
    </row>
    <row r="31" s="10" customFormat="1" ht="24.05" customHeight="1" spans="2:48">
      <c r="B31" s="48" t="s">
        <v>81</v>
      </c>
      <c r="C31" s="327" t="s">
        <v>140</v>
      </c>
      <c r="D31" s="328" t="s">
        <v>141</v>
      </c>
      <c r="E31" s="326">
        <v>0</v>
      </c>
      <c r="F31" s="332"/>
      <c r="G31" s="333"/>
      <c r="H31" s="345"/>
      <c r="I31" s="332"/>
      <c r="J31" s="333"/>
      <c r="K31" s="345"/>
      <c r="L31" s="343">
        <f t="shared" si="0"/>
        <v>0</v>
      </c>
      <c r="M31" s="232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355"/>
      <c r="Z31" s="313"/>
      <c r="AA31" s="313"/>
      <c r="AB31" s="310" t="s">
        <v>84</v>
      </c>
      <c r="AC31" s="254"/>
      <c r="AD31" s="254"/>
      <c r="AE31" s="250"/>
      <c r="AF31" s="250"/>
      <c r="AG31" s="250"/>
      <c r="AH31" s="250"/>
      <c r="AI31" s="250"/>
      <c r="AJ31" s="250"/>
      <c r="AK31" s="250"/>
      <c r="AL31" s="250"/>
      <c r="AM31" s="250"/>
      <c r="AN31" s="265"/>
      <c r="AO31" s="266">
        <f t="shared" si="1"/>
        <v>0</v>
      </c>
      <c r="AP31" s="274">
        <f t="shared" si="2"/>
        <v>0</v>
      </c>
      <c r="AQ31" s="359">
        <f t="shared" si="5"/>
        <v>0</v>
      </c>
      <c r="AR31" s="360">
        <f t="shared" si="7"/>
        <v>0</v>
      </c>
      <c r="AS31" s="278" t="s">
        <v>101</v>
      </c>
      <c r="AT31" s="279"/>
      <c r="AU31" s="101" t="e">
        <f>VLOOKUP(D31,#REF!,12,FALSE)</f>
        <v>#REF!</v>
      </c>
      <c r="AV31" s="101" t="e">
        <f t="shared" si="4"/>
        <v>#REF!</v>
      </c>
    </row>
    <row r="32" s="10" customFormat="1" ht="24.05" customHeight="1" spans="2:48">
      <c r="B32" s="48" t="s">
        <v>81</v>
      </c>
      <c r="C32" s="319" t="s">
        <v>177</v>
      </c>
      <c r="D32" s="328" t="s">
        <v>178</v>
      </c>
      <c r="E32" s="326">
        <v>0</v>
      </c>
      <c r="F32" s="332"/>
      <c r="G32" s="333"/>
      <c r="H32" s="345"/>
      <c r="I32" s="332"/>
      <c r="J32" s="333">
        <v>660</v>
      </c>
      <c r="K32" s="333"/>
      <c r="L32" s="343">
        <f t="shared" si="0"/>
        <v>660</v>
      </c>
      <c r="M32" s="232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355"/>
      <c r="Z32" s="313"/>
      <c r="AA32" s="313"/>
      <c r="AB32" s="310" t="s">
        <v>84</v>
      </c>
      <c r="AC32" s="254"/>
      <c r="AD32" s="254">
        <v>660</v>
      </c>
      <c r="AE32" s="254"/>
      <c r="AF32" s="254"/>
      <c r="AG32" s="254"/>
      <c r="AH32" s="254"/>
      <c r="AI32" s="254"/>
      <c r="AJ32" s="254"/>
      <c r="AK32" s="254"/>
      <c r="AL32" s="254"/>
      <c r="AM32" s="254"/>
      <c r="AN32" s="267"/>
      <c r="AO32" s="266">
        <f t="shared" si="1"/>
        <v>660</v>
      </c>
      <c r="AP32" s="274">
        <f t="shared" si="2"/>
        <v>660</v>
      </c>
      <c r="AQ32" s="359">
        <f t="shared" si="5"/>
        <v>0</v>
      </c>
      <c r="AR32" s="360">
        <f t="shared" si="7"/>
        <v>0</v>
      </c>
      <c r="AS32" s="278"/>
      <c r="AT32" s="279"/>
      <c r="AU32" s="101" t="e">
        <f>VLOOKUP(D32,#REF!,12,FALSE)</f>
        <v>#REF!</v>
      </c>
      <c r="AV32" s="101" t="e">
        <f t="shared" si="4"/>
        <v>#REF!</v>
      </c>
    </row>
    <row r="33" s="10" customFormat="1" ht="24.05" customHeight="1" spans="2:48">
      <c r="B33" s="48" t="s">
        <v>81</v>
      </c>
      <c r="C33" s="319" t="s">
        <v>179</v>
      </c>
      <c r="D33" s="328" t="s">
        <v>180</v>
      </c>
      <c r="E33" s="326">
        <v>41584</v>
      </c>
      <c r="F33" s="332"/>
      <c r="G33" s="333"/>
      <c r="H33" s="345"/>
      <c r="I33" s="332"/>
      <c r="J33" s="333">
        <f>225367.2+371431</f>
        <v>596798.2</v>
      </c>
      <c r="K33" s="333">
        <v>80343</v>
      </c>
      <c r="L33" s="343">
        <f t="shared" si="0"/>
        <v>718725.2</v>
      </c>
      <c r="M33" s="232">
        <v>124752</v>
      </c>
      <c r="N33" s="233"/>
      <c r="O33" s="233">
        <v>107915</v>
      </c>
      <c r="P33" s="233">
        <f>107915+107915+19436</f>
        <v>235266</v>
      </c>
      <c r="Q33" s="233">
        <f>105768+107915</f>
        <v>213683</v>
      </c>
      <c r="R33" s="233"/>
      <c r="S33" s="233"/>
      <c r="T33" s="233">
        <v>64184</v>
      </c>
      <c r="U33" s="233"/>
      <c r="V33" s="233">
        <f>110740+98536</f>
        <v>209276</v>
      </c>
      <c r="W33" s="233"/>
      <c r="X33" s="233"/>
      <c r="Y33" s="355"/>
      <c r="Z33" s="313"/>
      <c r="AA33" s="313"/>
      <c r="AB33" s="310" t="s">
        <v>84</v>
      </c>
      <c r="AC33" s="254"/>
      <c r="AD33" s="254">
        <v>266951.2</v>
      </c>
      <c r="AE33" s="254">
        <v>124752</v>
      </c>
      <c r="AF33" s="254">
        <v>371431</v>
      </c>
      <c r="AG33" s="254">
        <v>80343</v>
      </c>
      <c r="AH33" s="254"/>
      <c r="AI33" s="254"/>
      <c r="AJ33" s="254">
        <v>321598</v>
      </c>
      <c r="AK33" s="254">
        <v>235266</v>
      </c>
      <c r="AL33" s="254">
        <v>64184</v>
      </c>
      <c r="AM33" s="254"/>
      <c r="AN33" s="267"/>
      <c r="AO33" s="266">
        <f t="shared" si="1"/>
        <v>1673801.2</v>
      </c>
      <c r="AP33" s="274">
        <f t="shared" si="2"/>
        <v>1464525.2</v>
      </c>
      <c r="AQ33" s="359">
        <f t="shared" si="5"/>
        <v>209276</v>
      </c>
      <c r="AR33" s="360">
        <f t="shared" si="7"/>
        <v>209276</v>
      </c>
      <c r="AS33" s="278"/>
      <c r="AT33" s="279"/>
      <c r="AU33" s="101" t="e">
        <f>VLOOKUP(D33,#REF!,12,FALSE)</f>
        <v>#REF!</v>
      </c>
      <c r="AV33" s="101" t="e">
        <f t="shared" si="4"/>
        <v>#REF!</v>
      </c>
    </row>
    <row r="34" s="10" customFormat="1" ht="24.05" customHeight="1" spans="2:48">
      <c r="B34" s="48" t="s">
        <v>81</v>
      </c>
      <c r="C34" s="319" t="s">
        <v>181</v>
      </c>
      <c r="D34" s="328" t="s">
        <v>182</v>
      </c>
      <c r="E34" s="326">
        <v>-66613.69</v>
      </c>
      <c r="F34" s="332"/>
      <c r="G34" s="333"/>
      <c r="H34" s="345"/>
      <c r="I34" s="332"/>
      <c r="J34" s="333"/>
      <c r="K34" s="333"/>
      <c r="L34" s="343">
        <f t="shared" si="0"/>
        <v>-66613.69</v>
      </c>
      <c r="M34" s="232"/>
      <c r="N34" s="233"/>
      <c r="O34" s="233"/>
      <c r="P34" s="233"/>
      <c r="Q34" s="233"/>
      <c r="R34" s="233"/>
      <c r="S34" s="233"/>
      <c r="T34" s="233"/>
      <c r="U34" s="233">
        <v>43561.5</v>
      </c>
      <c r="V34" s="233"/>
      <c r="W34" s="233"/>
      <c r="X34" s="233"/>
      <c r="Y34" s="355"/>
      <c r="Z34" s="313"/>
      <c r="AA34" s="313"/>
      <c r="AB34" s="310" t="s">
        <v>84</v>
      </c>
      <c r="AC34" s="254">
        <v>3390</v>
      </c>
      <c r="AD34" s="254"/>
      <c r="AE34" s="254">
        <v>6610.5</v>
      </c>
      <c r="AF34" s="254">
        <f>5424+2881.5</f>
        <v>8305.5</v>
      </c>
      <c r="AG34" s="254">
        <v>9322.5</v>
      </c>
      <c r="AH34" s="254"/>
      <c r="AI34" s="254"/>
      <c r="AJ34" s="254">
        <v>4576.5</v>
      </c>
      <c r="AK34" s="254">
        <v>11356.5</v>
      </c>
      <c r="AL34" s="254"/>
      <c r="AM34" s="254"/>
      <c r="AN34" s="267"/>
      <c r="AO34" s="266">
        <f t="shared" si="1"/>
        <v>-23052.19</v>
      </c>
      <c r="AP34" s="274">
        <f t="shared" si="2"/>
        <v>43561.5</v>
      </c>
      <c r="AQ34" s="359">
        <f t="shared" si="5"/>
        <v>-66613.69</v>
      </c>
      <c r="AR34" s="360">
        <v>0</v>
      </c>
      <c r="AS34" s="280" t="s">
        <v>96</v>
      </c>
      <c r="AT34" s="279"/>
      <c r="AU34" s="101">
        <v>-94242.19</v>
      </c>
      <c r="AV34" s="101">
        <f t="shared" si="4"/>
        <v>27628.5</v>
      </c>
    </row>
    <row r="35" s="10" customFormat="1" ht="24.05" customHeight="1" spans="2:48">
      <c r="B35" s="48" t="s">
        <v>81</v>
      </c>
      <c r="C35" s="319" t="s">
        <v>184</v>
      </c>
      <c r="D35" s="328" t="s">
        <v>185</v>
      </c>
      <c r="E35" s="326">
        <v>0</v>
      </c>
      <c r="F35" s="332"/>
      <c r="G35" s="333"/>
      <c r="H35" s="345"/>
      <c r="I35" s="332"/>
      <c r="J35" s="333">
        <v>36869.64</v>
      </c>
      <c r="K35" s="333">
        <v>39302.3</v>
      </c>
      <c r="L35" s="343">
        <f t="shared" si="0"/>
        <v>76171.94</v>
      </c>
      <c r="M35" s="232"/>
      <c r="N35" s="233"/>
      <c r="O35" s="233">
        <v>44791.43</v>
      </c>
      <c r="P35" s="233"/>
      <c r="Q35" s="233">
        <v>53426.4</v>
      </c>
      <c r="R35" s="233">
        <v>15006.4</v>
      </c>
      <c r="S35" s="233">
        <v>11074</v>
      </c>
      <c r="T35" s="233"/>
      <c r="U35" s="233"/>
      <c r="V35" s="233"/>
      <c r="W35" s="233"/>
      <c r="X35" s="233"/>
      <c r="Y35" s="355"/>
      <c r="Z35" s="313"/>
      <c r="AA35" s="313"/>
      <c r="AB35" s="310" t="s">
        <v>84</v>
      </c>
      <c r="AC35" s="254"/>
      <c r="AD35" s="254">
        <v>36869.64</v>
      </c>
      <c r="AE35" s="254"/>
      <c r="AF35" s="254">
        <v>40000</v>
      </c>
      <c r="AG35" s="254"/>
      <c r="AH35" s="254"/>
      <c r="AI35" s="254"/>
      <c r="AJ35" s="254">
        <v>53426.4</v>
      </c>
      <c r="AK35" s="254">
        <v>44093.73</v>
      </c>
      <c r="AL35" s="254"/>
      <c r="AM35" s="254"/>
      <c r="AN35" s="267"/>
      <c r="AO35" s="266">
        <f t="shared" si="1"/>
        <v>200470.17</v>
      </c>
      <c r="AP35" s="274">
        <f t="shared" si="2"/>
        <v>174389.77</v>
      </c>
      <c r="AQ35" s="359">
        <f t="shared" si="5"/>
        <v>26080.4</v>
      </c>
      <c r="AR35" s="360">
        <f t="shared" ref="AR35:AR41" si="8">AQ35-U35-V193</f>
        <v>26080.4</v>
      </c>
      <c r="AS35" s="278"/>
      <c r="AT35" s="279"/>
      <c r="AU35" s="101" t="e">
        <f>VLOOKUP(D35,#REF!,12,FALSE)</f>
        <v>#REF!</v>
      </c>
      <c r="AV35" s="101" t="e">
        <f t="shared" si="4"/>
        <v>#REF!</v>
      </c>
    </row>
    <row r="36" s="10" customFormat="1" ht="24.05" customHeight="1" spans="2:48">
      <c r="B36" s="48" t="s">
        <v>81</v>
      </c>
      <c r="C36" s="319" t="s">
        <v>207</v>
      </c>
      <c r="D36" s="328" t="s">
        <v>208</v>
      </c>
      <c r="E36" s="326"/>
      <c r="F36" s="332"/>
      <c r="G36" s="333"/>
      <c r="H36" s="345"/>
      <c r="I36" s="332"/>
      <c r="J36" s="333"/>
      <c r="K36" s="333"/>
      <c r="L36" s="343"/>
      <c r="M36" s="232">
        <v>15800</v>
      </c>
      <c r="N36" s="233"/>
      <c r="O36" s="233"/>
      <c r="P36" s="233"/>
      <c r="Q36" s="233">
        <v>17800</v>
      </c>
      <c r="R36" s="233"/>
      <c r="S36" s="233"/>
      <c r="T36" s="233"/>
      <c r="U36" s="233"/>
      <c r="V36" s="233"/>
      <c r="W36" s="233"/>
      <c r="X36" s="233"/>
      <c r="Y36" s="355"/>
      <c r="Z36" s="313"/>
      <c r="AA36" s="313"/>
      <c r="AB36" s="310"/>
      <c r="AC36" s="254"/>
      <c r="AD36" s="254"/>
      <c r="AE36" s="254"/>
      <c r="AF36" s="254">
        <v>15800</v>
      </c>
      <c r="AG36" s="254"/>
      <c r="AH36" s="254"/>
      <c r="AI36" s="254"/>
      <c r="AJ36" s="254">
        <v>17800</v>
      </c>
      <c r="AK36" s="254"/>
      <c r="AL36" s="254"/>
      <c r="AM36" s="254"/>
      <c r="AN36" s="267"/>
      <c r="AO36" s="266">
        <f t="shared" ref="AO36:AO45" si="9">SUM(L36:X36)</f>
        <v>33600</v>
      </c>
      <c r="AP36" s="274">
        <f t="shared" ref="AP36:AP45" si="10">SUM(AC36:AN36)</f>
        <v>33600</v>
      </c>
      <c r="AQ36" s="359">
        <f t="shared" ref="AQ36:AQ39" si="11">AO36-AP36</f>
        <v>0</v>
      </c>
      <c r="AR36" s="360">
        <f t="shared" si="8"/>
        <v>0</v>
      </c>
      <c r="AS36" s="278"/>
      <c r="AT36" s="279"/>
      <c r="AU36" s="101" t="e">
        <f>VLOOKUP(D36,#REF!,12,FALSE)</f>
        <v>#REF!</v>
      </c>
      <c r="AV36" s="101" t="e">
        <f t="shared" si="4"/>
        <v>#REF!</v>
      </c>
    </row>
    <row r="37" s="10" customFormat="1" ht="24.05" customHeight="1" spans="2:48">
      <c r="B37" s="48" t="s">
        <v>81</v>
      </c>
      <c r="C37" s="319" t="s">
        <v>209</v>
      </c>
      <c r="D37" s="328" t="s">
        <v>210</v>
      </c>
      <c r="E37" s="326"/>
      <c r="F37" s="332"/>
      <c r="G37" s="333"/>
      <c r="H37" s="345"/>
      <c r="I37" s="332"/>
      <c r="J37" s="333"/>
      <c r="K37" s="333"/>
      <c r="L37" s="343"/>
      <c r="M37" s="232"/>
      <c r="N37" s="233"/>
      <c r="O37" s="233"/>
      <c r="P37" s="233"/>
      <c r="Q37" s="233">
        <f>79100</f>
        <v>79100</v>
      </c>
      <c r="R37" s="233">
        <v>94920</v>
      </c>
      <c r="S37" s="233">
        <f>63280+47460</f>
        <v>110740</v>
      </c>
      <c r="T37" s="233"/>
      <c r="U37" s="233"/>
      <c r="V37" s="233">
        <f>31640+15820+63280+31640</f>
        <v>142380</v>
      </c>
      <c r="W37" s="233"/>
      <c r="X37" s="233"/>
      <c r="Y37" s="355"/>
      <c r="Z37" s="313"/>
      <c r="AA37" s="313"/>
      <c r="AB37" s="310"/>
      <c r="AC37" s="254"/>
      <c r="AD37" s="254"/>
      <c r="AE37" s="254"/>
      <c r="AF37" s="254"/>
      <c r="AG37" s="254"/>
      <c r="AH37" s="254"/>
      <c r="AI37" s="254"/>
      <c r="AJ37" s="254">
        <v>79100</v>
      </c>
      <c r="AK37" s="254"/>
      <c r="AL37" s="254">
        <f>189840+158200</f>
        <v>348040</v>
      </c>
      <c r="AM37" s="254"/>
      <c r="AN37" s="267"/>
      <c r="AO37" s="266">
        <f t="shared" si="9"/>
        <v>427140</v>
      </c>
      <c r="AP37" s="274">
        <f t="shared" si="10"/>
        <v>427140</v>
      </c>
      <c r="AQ37" s="359">
        <f t="shared" si="11"/>
        <v>0</v>
      </c>
      <c r="AR37" s="360">
        <f t="shared" si="8"/>
        <v>0</v>
      </c>
      <c r="AS37" s="278"/>
      <c r="AT37" s="279"/>
      <c r="AU37" s="101" t="e">
        <f>VLOOKUP(D37,#REF!,12,FALSE)</f>
        <v>#REF!</v>
      </c>
      <c r="AV37" s="101" t="e">
        <f t="shared" si="4"/>
        <v>#REF!</v>
      </c>
    </row>
    <row r="38" s="10" customFormat="1" ht="24.05" customHeight="1" spans="2:48">
      <c r="B38" s="48" t="s">
        <v>81</v>
      </c>
      <c r="C38" s="319" t="s">
        <v>211</v>
      </c>
      <c r="D38" s="328" t="e">
        <f t="array" ref="D38">[2]!'!数据!R319C4'</f>
        <v>#REF!</v>
      </c>
      <c r="E38" s="326"/>
      <c r="F38" s="332"/>
      <c r="G38" s="333"/>
      <c r="H38" s="345"/>
      <c r="I38" s="332"/>
      <c r="J38" s="333"/>
      <c r="K38" s="333"/>
      <c r="L38" s="343"/>
      <c r="M38" s="232"/>
      <c r="N38" s="233"/>
      <c r="O38" s="233"/>
      <c r="P38" s="233">
        <v>33330</v>
      </c>
      <c r="Q38" s="233"/>
      <c r="R38" s="233"/>
      <c r="S38" s="233"/>
      <c r="T38" s="233"/>
      <c r="U38" s="233"/>
      <c r="V38" s="233"/>
      <c r="W38" s="233"/>
      <c r="X38" s="233"/>
      <c r="Y38" s="355"/>
      <c r="Z38" s="313"/>
      <c r="AA38" s="313"/>
      <c r="AB38" s="310"/>
      <c r="AC38" s="254"/>
      <c r="AD38" s="254"/>
      <c r="AE38" s="254"/>
      <c r="AF38" s="254"/>
      <c r="AG38" s="254"/>
      <c r="AH38" s="254"/>
      <c r="AI38" s="254"/>
      <c r="AJ38" s="254">
        <v>33330</v>
      </c>
      <c r="AK38" s="254"/>
      <c r="AL38" s="254"/>
      <c r="AM38" s="254"/>
      <c r="AN38" s="267"/>
      <c r="AO38" s="266">
        <f t="shared" si="9"/>
        <v>33330</v>
      </c>
      <c r="AP38" s="274">
        <f t="shared" si="10"/>
        <v>33330</v>
      </c>
      <c r="AQ38" s="359">
        <f t="shared" si="11"/>
        <v>0</v>
      </c>
      <c r="AR38" s="360">
        <f t="shared" si="8"/>
        <v>0</v>
      </c>
      <c r="AS38" s="278"/>
      <c r="AT38" s="279"/>
      <c r="AU38" s="101" t="e">
        <f>VLOOKUP(D38,#REF!,12,FALSE)</f>
        <v>#REF!</v>
      </c>
      <c r="AV38" s="101" t="e">
        <f t="shared" si="4"/>
        <v>#REF!</v>
      </c>
    </row>
    <row r="39" s="10" customFormat="1" ht="24.05" customHeight="1" spans="2:48">
      <c r="B39" s="48" t="s">
        <v>81</v>
      </c>
      <c r="C39" s="319" t="s">
        <v>212</v>
      </c>
      <c r="D39" s="328" t="s">
        <v>213</v>
      </c>
      <c r="E39" s="326"/>
      <c r="F39" s="332"/>
      <c r="G39" s="333"/>
      <c r="H39" s="345"/>
      <c r="I39" s="332"/>
      <c r="J39" s="333"/>
      <c r="K39" s="333"/>
      <c r="L39" s="343"/>
      <c r="M39" s="232"/>
      <c r="N39" s="233"/>
      <c r="O39" s="233"/>
      <c r="P39" s="233"/>
      <c r="Q39" s="233">
        <f>333353.62+336228.34</f>
        <v>669581.96</v>
      </c>
      <c r="R39" s="233">
        <v>334790.98</v>
      </c>
      <c r="S39" s="233"/>
      <c r="T39" s="233"/>
      <c r="U39" s="233">
        <v>167395.48</v>
      </c>
      <c r="V39" s="233"/>
      <c r="W39" s="233"/>
      <c r="X39" s="233"/>
      <c r="Y39" s="355"/>
      <c r="Z39" s="313"/>
      <c r="AA39" s="313"/>
      <c r="AB39" s="310"/>
      <c r="AC39" s="254"/>
      <c r="AD39" s="254"/>
      <c r="AE39" s="254"/>
      <c r="AF39" s="254"/>
      <c r="AG39" s="254"/>
      <c r="AH39" s="254"/>
      <c r="AI39" s="254">
        <v>333353.62</v>
      </c>
      <c r="AJ39" s="254">
        <f>336228.34+334790.98</f>
        <v>671019.32</v>
      </c>
      <c r="AK39" s="254"/>
      <c r="AL39" s="254"/>
      <c r="AM39" s="254"/>
      <c r="AN39" s="267"/>
      <c r="AO39" s="266">
        <f t="shared" si="9"/>
        <v>1171768.42</v>
      </c>
      <c r="AP39" s="274">
        <f t="shared" si="10"/>
        <v>1004372.94</v>
      </c>
      <c r="AQ39" s="359">
        <f t="shared" si="11"/>
        <v>167395.48</v>
      </c>
      <c r="AR39" s="360">
        <f t="shared" si="8"/>
        <v>-1.45519152283669e-10</v>
      </c>
      <c r="AS39" s="278"/>
      <c r="AT39" s="279"/>
      <c r="AU39" s="101" t="e">
        <f>VLOOKUP(D39,#REF!,12,FALSE)</f>
        <v>#REF!</v>
      </c>
      <c r="AV39" s="101" t="e">
        <f t="shared" si="4"/>
        <v>#REF!</v>
      </c>
    </row>
    <row r="40" s="10" customFormat="1" ht="24.05" customHeight="1" spans="2:48">
      <c r="B40" s="48" t="s">
        <v>81</v>
      </c>
      <c r="C40" s="319"/>
      <c r="D40" s="328" t="s">
        <v>214</v>
      </c>
      <c r="E40" s="326"/>
      <c r="F40" s="332"/>
      <c r="G40" s="333"/>
      <c r="H40" s="345"/>
      <c r="I40" s="332"/>
      <c r="J40" s="333"/>
      <c r="K40" s="333"/>
      <c r="L40" s="343"/>
      <c r="M40" s="232"/>
      <c r="N40" s="233"/>
      <c r="O40" s="233"/>
      <c r="P40" s="233"/>
      <c r="Q40" s="233"/>
      <c r="R40" s="233"/>
      <c r="S40" s="233"/>
      <c r="T40" s="233"/>
      <c r="U40" s="233"/>
      <c r="V40" s="233">
        <v>8818.54</v>
      </c>
      <c r="W40" s="233"/>
      <c r="X40" s="233"/>
      <c r="Y40" s="355"/>
      <c r="Z40" s="313"/>
      <c r="AA40" s="313"/>
      <c r="AB40" s="310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67"/>
      <c r="AO40" s="266">
        <f t="shared" ref="AO40:AO41" si="12">SUM(L40:X40)</f>
        <v>8818.54</v>
      </c>
      <c r="AP40" s="274">
        <f t="shared" ref="AP40:AP41" si="13">SUM(AC40:AN40)</f>
        <v>0</v>
      </c>
      <c r="AQ40" s="359">
        <f t="shared" ref="AQ40:AQ41" si="14">AO40-AP40</f>
        <v>8818.54</v>
      </c>
      <c r="AR40" s="360">
        <f t="shared" si="8"/>
        <v>8818.54</v>
      </c>
      <c r="AS40" s="278"/>
      <c r="AT40" s="279"/>
      <c r="AU40" s="101" t="e">
        <f>VLOOKUP(D40,#REF!,12,FALSE)</f>
        <v>#REF!</v>
      </c>
      <c r="AV40" s="101" t="e">
        <f t="shared" ref="AV40" si="15">AQ40-AU40</f>
        <v>#REF!</v>
      </c>
    </row>
    <row r="41" s="10" customFormat="1" ht="24.05" customHeight="1" spans="2:48">
      <c r="B41" s="57"/>
      <c r="C41" s="319" t="s">
        <v>215</v>
      </c>
      <c r="D41" s="329" t="s">
        <v>216</v>
      </c>
      <c r="E41" s="330"/>
      <c r="F41" s="334"/>
      <c r="G41" s="335"/>
      <c r="H41" s="346"/>
      <c r="I41" s="334"/>
      <c r="J41" s="335"/>
      <c r="K41" s="335"/>
      <c r="L41" s="347"/>
      <c r="M41" s="235"/>
      <c r="N41" s="236"/>
      <c r="O41" s="236"/>
      <c r="P41" s="236">
        <v>21584.03</v>
      </c>
      <c r="Q41" s="236">
        <f>100072.8+18481.78+105347.64</f>
        <v>223902.22</v>
      </c>
      <c r="R41" s="236"/>
      <c r="S41" s="236">
        <v>57132.12</v>
      </c>
      <c r="T41" s="236"/>
      <c r="U41" s="236"/>
      <c r="V41" s="236"/>
      <c r="W41" s="236"/>
      <c r="X41" s="236"/>
      <c r="Y41" s="355"/>
      <c r="Z41" s="313"/>
      <c r="AA41" s="313"/>
      <c r="AB41" s="313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>
        <v>150000</v>
      </c>
      <c r="AM41" s="254"/>
      <c r="AN41" s="267"/>
      <c r="AO41" s="266">
        <f t="shared" si="12"/>
        <v>302618.37</v>
      </c>
      <c r="AP41" s="274">
        <f t="shared" si="13"/>
        <v>150000</v>
      </c>
      <c r="AQ41" s="359">
        <f t="shared" si="14"/>
        <v>152618.37</v>
      </c>
      <c r="AR41" s="360">
        <f t="shared" si="8"/>
        <v>152618.37</v>
      </c>
      <c r="AS41" s="281"/>
      <c r="AT41" s="279"/>
      <c r="AU41" s="101"/>
      <c r="AV41" s="101"/>
    </row>
    <row r="42" s="10" customFormat="1" ht="24.05" customHeight="1" spans="2:48">
      <c r="B42" s="57"/>
      <c r="C42" s="319" t="s">
        <v>217</v>
      </c>
      <c r="D42" s="329" t="s">
        <v>218</v>
      </c>
      <c r="E42" s="330"/>
      <c r="F42" s="334"/>
      <c r="G42" s="335"/>
      <c r="H42" s="346"/>
      <c r="I42" s="334"/>
      <c r="J42" s="335"/>
      <c r="K42" s="335"/>
      <c r="L42" s="347"/>
      <c r="M42" s="235"/>
      <c r="N42" s="236"/>
      <c r="O42" s="236"/>
      <c r="P42" s="236"/>
      <c r="Q42" s="236"/>
      <c r="R42" s="236"/>
      <c r="S42" s="236"/>
      <c r="T42" s="236"/>
      <c r="U42" s="236"/>
      <c r="V42" s="236">
        <v>25628.4</v>
      </c>
      <c r="W42" s="236"/>
      <c r="X42" s="236"/>
      <c r="Y42" s="355"/>
      <c r="Z42" s="313"/>
      <c r="AA42" s="313"/>
      <c r="AB42" s="313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67"/>
      <c r="AO42" s="266">
        <f t="shared" ref="AO42" si="16">SUM(L42:X42)</f>
        <v>25628.4</v>
      </c>
      <c r="AP42" s="274">
        <f t="shared" ref="AP42" si="17">SUM(AC42:AN42)</f>
        <v>0</v>
      </c>
      <c r="AQ42" s="359">
        <f t="shared" ref="AQ42:AQ45" si="18">AO42-AP42</f>
        <v>25628.4</v>
      </c>
      <c r="AR42" s="360">
        <f t="shared" ref="AR42" si="19">AQ42-U42-V200</f>
        <v>25628.4</v>
      </c>
      <c r="AS42" s="281"/>
      <c r="AT42" s="279"/>
      <c r="AU42" s="101"/>
      <c r="AV42" s="101"/>
    </row>
    <row r="43" s="10" customFormat="1" ht="24.05" customHeight="1" spans="2:48">
      <c r="B43" s="57"/>
      <c r="C43" s="319"/>
      <c r="D43" s="329" t="s">
        <v>219</v>
      </c>
      <c r="E43" s="330"/>
      <c r="F43" s="334"/>
      <c r="G43" s="335"/>
      <c r="H43" s="346"/>
      <c r="I43" s="334"/>
      <c r="J43" s="335"/>
      <c r="K43" s="335"/>
      <c r="L43" s="347"/>
      <c r="M43" s="235"/>
      <c r="N43" s="236"/>
      <c r="O43" s="236"/>
      <c r="P43" s="236"/>
      <c r="Q43" s="236"/>
      <c r="R43" s="236"/>
      <c r="S43" s="236"/>
      <c r="T43" s="236"/>
      <c r="U43" s="236">
        <v>27400</v>
      </c>
      <c r="V43" s="236"/>
      <c r="W43" s="236"/>
      <c r="X43" s="236"/>
      <c r="Y43" s="355"/>
      <c r="Z43" s="313"/>
      <c r="AA43" s="313"/>
      <c r="AB43" s="313"/>
      <c r="AC43" s="254"/>
      <c r="AD43" s="254"/>
      <c r="AE43" s="254"/>
      <c r="AF43" s="254"/>
      <c r="AG43" s="254"/>
      <c r="AH43" s="254"/>
      <c r="AI43" s="254"/>
      <c r="AJ43" s="254"/>
      <c r="AK43" s="254"/>
      <c r="AL43" s="254"/>
      <c r="AM43" s="254"/>
      <c r="AN43" s="267"/>
      <c r="AO43" s="266">
        <f t="shared" ref="AO43" si="20">SUM(L43:X43)</f>
        <v>27400</v>
      </c>
      <c r="AP43" s="274">
        <f t="shared" ref="AP43" si="21">SUM(AC43:AN43)</f>
        <v>0</v>
      </c>
      <c r="AQ43" s="359">
        <f t="shared" ref="AQ43" si="22">AO43-AP43</f>
        <v>27400</v>
      </c>
      <c r="AR43" s="360">
        <f t="shared" ref="AR43" si="23">AQ43-U43-V201</f>
        <v>0</v>
      </c>
      <c r="AS43" s="281"/>
      <c r="AT43" s="279"/>
      <c r="AU43" s="101"/>
      <c r="AV43" s="101"/>
    </row>
    <row r="44" s="10" customFormat="1" ht="24.05" customHeight="1" spans="2:48">
      <c r="B44" s="57"/>
      <c r="C44" s="319"/>
      <c r="D44" s="329" t="s">
        <v>220</v>
      </c>
      <c r="E44" s="330"/>
      <c r="F44" s="334"/>
      <c r="G44" s="335"/>
      <c r="H44" s="346"/>
      <c r="I44" s="334"/>
      <c r="J44" s="335"/>
      <c r="K44" s="346"/>
      <c r="L44" s="347"/>
      <c r="M44" s="235"/>
      <c r="N44" s="236"/>
      <c r="O44" s="236"/>
      <c r="P44" s="236"/>
      <c r="Q44" s="236"/>
      <c r="R44" s="236"/>
      <c r="S44" s="236"/>
      <c r="T44" s="242"/>
      <c r="U44" s="236"/>
      <c r="V44" s="236"/>
      <c r="W44" s="236"/>
      <c r="X44" s="236"/>
      <c r="Y44" s="355"/>
      <c r="Z44" s="313"/>
      <c r="AA44" s="313"/>
      <c r="AB44" s="313"/>
      <c r="AC44" s="254"/>
      <c r="AD44" s="254"/>
      <c r="AE44" s="254">
        <v>2542.2</v>
      </c>
      <c r="AF44" s="254"/>
      <c r="AG44" s="254"/>
      <c r="AH44" s="254"/>
      <c r="AI44" s="254"/>
      <c r="AJ44" s="254"/>
      <c r="AK44" s="254"/>
      <c r="AL44" s="254"/>
      <c r="AM44" s="254"/>
      <c r="AN44" s="267"/>
      <c r="AO44" s="266">
        <f t="shared" ref="AO44" si="24">SUM(L44:X44)</f>
        <v>0</v>
      </c>
      <c r="AP44" s="274">
        <f t="shared" ref="AP44" si="25">SUM(AC44:AN44)</f>
        <v>2542.2</v>
      </c>
      <c r="AQ44" s="359">
        <f t="shared" si="18"/>
        <v>-2542.2</v>
      </c>
      <c r="AR44" s="360">
        <v>0</v>
      </c>
      <c r="AS44" s="281"/>
      <c r="AT44" s="279"/>
      <c r="AU44" s="101"/>
      <c r="AV44" s="101"/>
    </row>
    <row r="45" s="10" customFormat="1" ht="24.05" customHeight="1" spans="2:48">
      <c r="B45" s="57" t="s">
        <v>81</v>
      </c>
      <c r="C45" s="319" t="s">
        <v>186</v>
      </c>
      <c r="D45" s="328" t="s">
        <v>187</v>
      </c>
      <c r="E45" s="326">
        <v>1745182.33</v>
      </c>
      <c r="F45" s="332">
        <v>1040684.8</v>
      </c>
      <c r="G45" s="333">
        <v>289573.8</v>
      </c>
      <c r="H45" s="345">
        <f>16000</f>
        <v>16000</v>
      </c>
      <c r="I45" s="332"/>
      <c r="J45" s="333"/>
      <c r="K45" s="345">
        <v>320129</v>
      </c>
      <c r="L45" s="343">
        <f t="shared" si="0"/>
        <v>2065311.33</v>
      </c>
      <c r="M45" s="232">
        <v>149456.06</v>
      </c>
      <c r="N45" s="233">
        <v>2056724.82</v>
      </c>
      <c r="O45" s="233">
        <v>197945.79</v>
      </c>
      <c r="P45" s="233">
        <v>311102.56</v>
      </c>
      <c r="Q45" s="233">
        <f>443106.62+11186.26</f>
        <v>454292.88</v>
      </c>
      <c r="R45" s="233">
        <f>198972.66+354266.3</f>
        <v>553238.96</v>
      </c>
      <c r="S45" s="233">
        <v>231220.6</v>
      </c>
      <c r="T45" s="233">
        <v>107564.34</v>
      </c>
      <c r="U45" s="233">
        <v>129079.9</v>
      </c>
      <c r="V45" s="233">
        <f>207174.2+538701.01</f>
        <v>745875.21</v>
      </c>
      <c r="W45" s="233"/>
      <c r="X45" s="233"/>
      <c r="Y45" s="355"/>
      <c r="Z45" s="313"/>
      <c r="AA45" s="310" t="s">
        <v>84</v>
      </c>
      <c r="AB45" s="310" t="s">
        <v>84</v>
      </c>
      <c r="AC45" s="254">
        <v>600000</v>
      </c>
      <c r="AD45" s="254"/>
      <c r="AE45" s="254">
        <f>378820-250000</f>
        <v>128820</v>
      </c>
      <c r="AF45" s="254"/>
      <c r="AG45" s="254">
        <v>10500</v>
      </c>
      <c r="AH45" s="254">
        <f>2239.89+12430</f>
        <v>14669.89</v>
      </c>
      <c r="AI45" s="254"/>
      <c r="AJ45" s="254">
        <f>200000+10638.96</f>
        <v>210638.96</v>
      </c>
      <c r="AK45" s="254">
        <v>200000</v>
      </c>
      <c r="AL45" s="254">
        <v>100000</v>
      </c>
      <c r="AM45" s="254"/>
      <c r="AN45" s="267"/>
      <c r="AO45" s="266">
        <f t="shared" si="9"/>
        <v>7001812.45</v>
      </c>
      <c r="AP45" s="274">
        <f t="shared" si="10"/>
        <v>1264628.85</v>
      </c>
      <c r="AQ45" s="359">
        <f t="shared" si="18"/>
        <v>5737183.6</v>
      </c>
      <c r="AR45" s="360">
        <f t="shared" ref="AR45" si="26">AQ45-U45-V201</f>
        <v>5608103.7</v>
      </c>
      <c r="AS45" s="278"/>
      <c r="AT45" s="279"/>
      <c r="AU45" s="101" t="e">
        <f>VLOOKUP(D45,#REF!,12,FALSE)</f>
        <v>#REF!</v>
      </c>
      <c r="AV45" s="101" t="e">
        <f t="shared" si="4"/>
        <v>#REF!</v>
      </c>
    </row>
    <row r="46" s="12" customFormat="1" ht="24.05" customHeight="1" spans="2:46">
      <c r="B46" s="60"/>
      <c r="C46" s="61"/>
      <c r="D46" s="62" t="s">
        <v>142</v>
      </c>
      <c r="E46" s="331">
        <f>SUM(E5:E45)</f>
        <v>2758142.22</v>
      </c>
      <c r="F46" s="336"/>
      <c r="G46" s="337">
        <f t="shared" ref="G46:AR46" si="27">SUM(G5:G45)</f>
        <v>333580.75</v>
      </c>
      <c r="H46" s="337">
        <f t="shared" si="27"/>
        <v>26937.5</v>
      </c>
      <c r="I46" s="337">
        <f t="shared" si="27"/>
        <v>755825</v>
      </c>
      <c r="J46" s="337">
        <f t="shared" si="27"/>
        <v>2155642.17</v>
      </c>
      <c r="K46" s="337">
        <f t="shared" si="27"/>
        <v>1552401.86</v>
      </c>
      <c r="L46" s="349">
        <f t="shared" si="27"/>
        <v>7222011.25</v>
      </c>
      <c r="M46" s="364">
        <f t="shared" si="27"/>
        <v>1749253.56</v>
      </c>
      <c r="N46" s="350">
        <f t="shared" si="27"/>
        <v>2509969.68</v>
      </c>
      <c r="O46" s="350">
        <f t="shared" si="27"/>
        <v>576568.25</v>
      </c>
      <c r="P46" s="350">
        <f t="shared" si="27"/>
        <v>2297881.43</v>
      </c>
      <c r="Q46" s="350">
        <f t="shared" si="27"/>
        <v>4769286.35</v>
      </c>
      <c r="R46" s="350">
        <f t="shared" si="27"/>
        <v>2950324.81</v>
      </c>
      <c r="S46" s="350">
        <f t="shared" si="27"/>
        <v>1354112.93</v>
      </c>
      <c r="T46" s="350">
        <f t="shared" si="27"/>
        <v>471784.75</v>
      </c>
      <c r="U46" s="350">
        <f t="shared" si="27"/>
        <v>1648823.32</v>
      </c>
      <c r="V46" s="350">
        <f t="shared" si="27"/>
        <v>2086087.6</v>
      </c>
      <c r="W46" s="350">
        <f t="shared" si="27"/>
        <v>0</v>
      </c>
      <c r="X46" s="350">
        <f t="shared" si="27"/>
        <v>0</v>
      </c>
      <c r="Y46" s="365">
        <f t="shared" si="27"/>
        <v>0</v>
      </c>
      <c r="Z46" s="366">
        <f t="shared" si="27"/>
        <v>0</v>
      </c>
      <c r="AA46" s="366">
        <f t="shared" si="27"/>
        <v>0</v>
      </c>
      <c r="AB46" s="366">
        <f t="shared" si="27"/>
        <v>0</v>
      </c>
      <c r="AC46" s="366">
        <f t="shared" si="27"/>
        <v>603390</v>
      </c>
      <c r="AD46" s="366">
        <f t="shared" si="27"/>
        <v>2159095.6</v>
      </c>
      <c r="AE46" s="366">
        <f t="shared" si="27"/>
        <v>2155410.69</v>
      </c>
      <c r="AF46" s="366">
        <f t="shared" si="27"/>
        <v>1214408.1</v>
      </c>
      <c r="AG46" s="366">
        <f t="shared" si="27"/>
        <v>1195377.39</v>
      </c>
      <c r="AH46" s="366">
        <f t="shared" si="27"/>
        <v>1177304</v>
      </c>
      <c r="AI46" s="366">
        <f t="shared" si="27"/>
        <v>1162488.58</v>
      </c>
      <c r="AJ46" s="366">
        <f t="shared" si="27"/>
        <v>3972454.69</v>
      </c>
      <c r="AK46" s="366">
        <f t="shared" si="27"/>
        <v>2462204.76</v>
      </c>
      <c r="AL46" s="366">
        <f t="shared" si="27"/>
        <v>2236666.65</v>
      </c>
      <c r="AM46" s="366">
        <f t="shared" si="27"/>
        <v>0</v>
      </c>
      <c r="AN46" s="367">
        <f t="shared" si="27"/>
        <v>0</v>
      </c>
      <c r="AO46" s="368">
        <f t="shared" si="27"/>
        <v>27636103.93</v>
      </c>
      <c r="AP46" s="369">
        <f t="shared" si="27"/>
        <v>18338800.46</v>
      </c>
      <c r="AQ46" s="63">
        <f t="shared" si="27"/>
        <v>9297303.47</v>
      </c>
      <c r="AR46" s="375">
        <f t="shared" si="27"/>
        <v>7697382.63</v>
      </c>
      <c r="AS46" s="288"/>
      <c r="AT46" s="289"/>
    </row>
    <row r="47" ht="15.05" customHeight="1" spans="5:44">
      <c r="E47" s="65"/>
      <c r="F47" s="65"/>
      <c r="G47" s="65"/>
      <c r="H47" s="65"/>
      <c r="I47" s="65">
        <f>SUM(I5:I44)</f>
        <v>755825</v>
      </c>
      <c r="J47" s="65">
        <f t="shared" ref="J47:AR47" si="28">SUM(J5:J44)</f>
        <v>2155642.17</v>
      </c>
      <c r="K47" s="65">
        <f t="shared" si="28"/>
        <v>1232272.86</v>
      </c>
      <c r="L47" s="65">
        <f t="shared" si="28"/>
        <v>5156699.92</v>
      </c>
      <c r="M47" s="65">
        <f t="shared" si="28"/>
        <v>1599797.5</v>
      </c>
      <c r="N47" s="65">
        <f t="shared" si="28"/>
        <v>453244.86</v>
      </c>
      <c r="O47" s="65">
        <f t="shared" si="28"/>
        <v>378622.46</v>
      </c>
      <c r="P47" s="65">
        <f t="shared" si="28"/>
        <v>1986778.87</v>
      </c>
      <c r="Q47" s="65">
        <f t="shared" si="28"/>
        <v>4314993.47</v>
      </c>
      <c r="R47" s="65">
        <f t="shared" si="28"/>
        <v>2397085.85</v>
      </c>
      <c r="S47" s="65">
        <f t="shared" si="28"/>
        <v>1122892.33</v>
      </c>
      <c r="T47" s="65">
        <f t="shared" si="28"/>
        <v>364220.41</v>
      </c>
      <c r="U47" s="65">
        <f t="shared" si="28"/>
        <v>1519743.42</v>
      </c>
      <c r="V47" s="65">
        <f t="shared" si="28"/>
        <v>1340212.39</v>
      </c>
      <c r="W47" s="65">
        <f t="shared" si="28"/>
        <v>0</v>
      </c>
      <c r="X47" s="65">
        <f t="shared" si="28"/>
        <v>0</v>
      </c>
      <c r="Y47" s="65">
        <f t="shared" si="28"/>
        <v>0</v>
      </c>
      <c r="Z47" s="65">
        <f t="shared" si="28"/>
        <v>0</v>
      </c>
      <c r="AA47" s="65">
        <f t="shared" si="28"/>
        <v>0</v>
      </c>
      <c r="AB47" s="65">
        <f t="shared" si="28"/>
        <v>0</v>
      </c>
      <c r="AC47" s="65">
        <f t="shared" si="28"/>
        <v>3390</v>
      </c>
      <c r="AD47" s="65">
        <f t="shared" si="28"/>
        <v>2159095.6</v>
      </c>
      <c r="AE47" s="65">
        <f t="shared" si="28"/>
        <v>2026590.69</v>
      </c>
      <c r="AF47" s="65">
        <f t="shared" si="28"/>
        <v>1214408.1</v>
      </c>
      <c r="AG47" s="65">
        <f t="shared" si="28"/>
        <v>1184877.39</v>
      </c>
      <c r="AH47" s="65">
        <f t="shared" si="28"/>
        <v>1162634.11</v>
      </c>
      <c r="AI47" s="65">
        <f t="shared" si="28"/>
        <v>1162488.58</v>
      </c>
      <c r="AJ47" s="65">
        <f t="shared" si="28"/>
        <v>3761815.73</v>
      </c>
      <c r="AK47" s="65">
        <f t="shared" si="28"/>
        <v>2262204.76</v>
      </c>
      <c r="AL47" s="65">
        <f t="shared" si="28"/>
        <v>2136666.65</v>
      </c>
      <c r="AM47" s="65">
        <f t="shared" si="28"/>
        <v>0</v>
      </c>
      <c r="AN47" s="65">
        <f t="shared" si="28"/>
        <v>0</v>
      </c>
      <c r="AO47" s="65">
        <f t="shared" si="28"/>
        <v>20634291.48</v>
      </c>
      <c r="AP47" s="65">
        <f t="shared" si="28"/>
        <v>17074171.61</v>
      </c>
      <c r="AQ47" s="65">
        <f t="shared" si="28"/>
        <v>3560119.87</v>
      </c>
      <c r="AR47" s="65">
        <f t="shared" si="28"/>
        <v>2089278.93</v>
      </c>
    </row>
    <row r="48" ht="15.05" customHeight="1" spans="5:24"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</row>
    <row r="49" spans="4:45">
      <c r="D49" s="67" t="s">
        <v>143</v>
      </c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67"/>
      <c r="AP49" s="67"/>
      <c r="AQ49" s="67"/>
      <c r="AR49" s="67"/>
      <c r="AS49" s="67"/>
    </row>
    <row r="60" spans="2:45">
      <c r="B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</row>
    <row r="63" spans="2:45">
      <c r="B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</row>
  </sheetData>
  <autoFilter ref="A4:AV47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4">
    <cfRule type="duplicateValues" dxfId="0" priority="2"/>
  </conditionalFormatting>
  <conditionalFormatting sqref="D42:D43">
    <cfRule type="duplicateValues" dxfId="0" priority="1"/>
  </conditionalFormatting>
  <conditionalFormatting sqref="D1:D41 D45:D1048576">
    <cfRule type="duplicateValues" dxfId="0" priority="5"/>
  </conditionalFormatting>
  <conditionalFormatting sqref="AP1:AR1 AP48:AR1048576">
    <cfRule type="duplicateValues" dxfId="0" priority="3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2"/>
  <sheetViews>
    <sheetView zoomScale="80" zoomScaleNormal="80" workbookViewId="0">
      <pane xSplit="4" ySplit="4" topLeftCell="AD5" activePane="bottomRight" state="frozen"/>
      <selection/>
      <selection pane="topRight"/>
      <selection pane="bottomLeft"/>
      <selection pane="bottomRight" activeCell="AR44" sqref="AR5:AR44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15" customWidth="1"/>
    <col min="7" max="8" width="12.2" style="215" customWidth="1"/>
    <col min="9" max="9" width="13.9" style="215" customWidth="1"/>
    <col min="10" max="11" width="12.2" style="215" customWidth="1"/>
    <col min="12" max="22" width="14.2" style="215" customWidth="1"/>
    <col min="23" max="24" width="14.2" style="215" hidden="1" customWidth="1"/>
    <col min="25" max="25" width="3.6" style="13" customWidth="1"/>
    <col min="26" max="26" width="6.7" style="13" customWidth="1"/>
    <col min="27" max="28" width="4.7" style="13" customWidth="1"/>
    <col min="29" max="30" width="16.4" style="216" customWidth="1"/>
    <col min="31" max="38" width="13" style="216" customWidth="1"/>
    <col min="39" max="40" width="13" style="216" hidden="1" customWidth="1"/>
    <col min="41" max="44" width="17.2" style="15" customWidth="1"/>
    <col min="45" max="45" width="12.9" style="15" customWidth="1"/>
    <col min="46" max="46" width="15.7" style="13" customWidth="1"/>
    <col min="47" max="47" width="13.1" style="13" customWidth="1"/>
    <col min="48" max="48" width="13.9" style="13" customWidth="1"/>
    <col min="49" max="16384" width="8" style="13"/>
  </cols>
  <sheetData>
    <row r="1" ht="20.95" customHeight="1" spans="2:46">
      <c r="B1" s="20" t="s">
        <v>188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26" t="s">
        <v>189</v>
      </c>
      <c r="F2" s="227"/>
      <c r="G2" s="227"/>
      <c r="H2" s="227"/>
      <c r="I2" s="338" t="s">
        <v>190</v>
      </c>
      <c r="J2" s="339"/>
      <c r="K2" s="339"/>
      <c r="L2" s="340"/>
      <c r="M2" s="226" t="s">
        <v>191</v>
      </c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351" t="s">
        <v>36</v>
      </c>
      <c r="Z2" s="301" t="s">
        <v>37</v>
      </c>
      <c r="AA2" s="301"/>
      <c r="AB2" s="301"/>
      <c r="AC2" s="245" t="s">
        <v>192</v>
      </c>
      <c r="AD2" s="245" t="s">
        <v>193</v>
      </c>
      <c r="AE2" s="245" t="s">
        <v>158</v>
      </c>
      <c r="AF2" s="245" t="s">
        <v>159</v>
      </c>
      <c r="AG2" s="245" t="s">
        <v>160</v>
      </c>
      <c r="AH2" s="245" t="s">
        <v>161</v>
      </c>
      <c r="AI2" s="245" t="s">
        <v>162</v>
      </c>
      <c r="AJ2" s="245" t="s">
        <v>163</v>
      </c>
      <c r="AK2" s="245" t="s">
        <v>164</v>
      </c>
      <c r="AL2" s="245" t="s">
        <v>165</v>
      </c>
      <c r="AM2" s="245" t="s">
        <v>166</v>
      </c>
      <c r="AN2" s="357" t="s">
        <v>167</v>
      </c>
      <c r="AO2" s="263"/>
      <c r="AP2" s="70"/>
      <c r="AQ2" s="70"/>
      <c r="AR2" s="70"/>
      <c r="AS2" s="271"/>
      <c r="AT2" s="80" t="s">
        <v>36</v>
      </c>
    </row>
    <row r="3" ht="31.6" customHeight="1" spans="2:46">
      <c r="B3" s="30"/>
      <c r="C3" s="31"/>
      <c r="D3" s="32"/>
      <c r="E3" s="228" t="s">
        <v>194</v>
      </c>
      <c r="F3" s="229" t="s">
        <v>195</v>
      </c>
      <c r="G3" s="229" t="s">
        <v>196</v>
      </c>
      <c r="H3" s="229" t="s">
        <v>197</v>
      </c>
      <c r="I3" s="363" t="s">
        <v>195</v>
      </c>
      <c r="J3" s="363" t="s">
        <v>196</v>
      </c>
      <c r="K3" s="363" t="s">
        <v>197</v>
      </c>
      <c r="L3" s="341" t="s">
        <v>198</v>
      </c>
      <c r="M3" s="228" t="s">
        <v>73</v>
      </c>
      <c r="N3" s="229" t="s">
        <v>74</v>
      </c>
      <c r="O3" s="229" t="s">
        <v>169</v>
      </c>
      <c r="P3" s="229" t="s">
        <v>170</v>
      </c>
      <c r="Q3" s="229" t="s">
        <v>171</v>
      </c>
      <c r="R3" s="229" t="s">
        <v>172</v>
      </c>
      <c r="S3" s="229" t="s">
        <v>173</v>
      </c>
      <c r="T3" s="229" t="s">
        <v>174</v>
      </c>
      <c r="U3" s="229" t="s">
        <v>175</v>
      </c>
      <c r="V3" s="229" t="s">
        <v>70</v>
      </c>
      <c r="W3" s="229" t="s">
        <v>71</v>
      </c>
      <c r="X3" s="229" t="s">
        <v>72</v>
      </c>
      <c r="Y3" s="352"/>
      <c r="Z3" s="353" t="s">
        <v>76</v>
      </c>
      <c r="AA3" s="353" t="s">
        <v>77</v>
      </c>
      <c r="AB3" s="353" t="s">
        <v>78</v>
      </c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358"/>
      <c r="AO3" s="264" t="s">
        <v>199</v>
      </c>
      <c r="AP3" s="36" t="s">
        <v>200</v>
      </c>
      <c r="AQ3" s="272" t="s">
        <v>201</v>
      </c>
      <c r="AR3" s="36" t="s">
        <v>202</v>
      </c>
      <c r="AS3" s="273" t="s">
        <v>203</v>
      </c>
      <c r="AT3" s="83"/>
    </row>
    <row r="4" ht="18" customHeight="1" spans="2:46">
      <c r="B4" s="30"/>
      <c r="C4" s="31"/>
      <c r="D4" s="32"/>
      <c r="E4" s="230"/>
      <c r="F4" s="231"/>
      <c r="G4" s="231"/>
      <c r="H4" s="231"/>
      <c r="I4" s="231"/>
      <c r="J4" s="231"/>
      <c r="K4" s="231"/>
      <c r="L4" s="342"/>
      <c r="M4" s="230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52"/>
      <c r="Z4" s="353"/>
      <c r="AA4" s="353"/>
      <c r="AB4" s="353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358"/>
      <c r="AO4" s="264"/>
      <c r="AP4" s="36"/>
      <c r="AQ4" s="272"/>
      <c r="AR4" s="36"/>
      <c r="AS4" s="273"/>
      <c r="AT4" s="83"/>
    </row>
    <row r="5" s="10" customFormat="1" ht="24.05" customHeight="1" spans="2:48">
      <c r="B5" s="45" t="s">
        <v>81</v>
      </c>
      <c r="C5" s="325" t="s">
        <v>82</v>
      </c>
      <c r="D5" s="46" t="s">
        <v>83</v>
      </c>
      <c r="E5" s="326">
        <v>0</v>
      </c>
      <c r="F5" s="332"/>
      <c r="G5" s="333"/>
      <c r="H5" s="333"/>
      <c r="I5" s="332"/>
      <c r="J5" s="333"/>
      <c r="K5" s="333"/>
      <c r="L5" s="343">
        <f>SUM(I5:K5)+E5</f>
        <v>0</v>
      </c>
      <c r="M5" s="232"/>
      <c r="N5" s="233"/>
      <c r="O5" s="233"/>
      <c r="P5" s="233"/>
      <c r="Q5" s="233">
        <v>41950</v>
      </c>
      <c r="R5" s="233"/>
      <c r="S5" s="233">
        <v>41950</v>
      </c>
      <c r="T5" s="233"/>
      <c r="U5" s="233">
        <v>41950</v>
      </c>
      <c r="V5" s="233"/>
      <c r="W5" s="233"/>
      <c r="X5" s="233"/>
      <c r="Y5" s="354"/>
      <c r="Z5" s="356"/>
      <c r="AA5" s="310"/>
      <c r="AB5" s="310" t="s">
        <v>84</v>
      </c>
      <c r="AC5" s="250"/>
      <c r="AD5" s="250"/>
      <c r="AE5" s="250"/>
      <c r="AF5" s="250"/>
      <c r="AG5" s="250"/>
      <c r="AH5" s="250"/>
      <c r="AI5" s="250"/>
      <c r="AJ5" s="250">
        <v>41950</v>
      </c>
      <c r="AK5" s="250"/>
      <c r="AL5" s="250"/>
      <c r="AM5" s="250"/>
      <c r="AN5" s="265"/>
      <c r="AO5" s="266">
        <f>SUM(L5:X5)</f>
        <v>125850</v>
      </c>
      <c r="AP5" s="274">
        <f>SUM(AC5:AN5)</f>
        <v>41950</v>
      </c>
      <c r="AQ5" s="359">
        <f>AO5-AP5</f>
        <v>83900</v>
      </c>
      <c r="AR5" s="360">
        <f>AQ5-U5-T5</f>
        <v>41950</v>
      </c>
      <c r="AS5" s="276" t="s">
        <v>85</v>
      </c>
      <c r="AT5" s="277"/>
      <c r="AU5" s="101" t="e">
        <f>VLOOKUP(D5,#REF!,12,FALSE)</f>
        <v>#REF!</v>
      </c>
      <c r="AV5" s="101" t="e">
        <f>AQ5-AU5</f>
        <v>#REF!</v>
      </c>
    </row>
    <row r="6" s="10" customFormat="1" ht="24.05" customHeight="1" spans="1:48">
      <c r="A6" s="220"/>
      <c r="B6" s="45" t="s">
        <v>81</v>
      </c>
      <c r="C6" s="325" t="s">
        <v>86</v>
      </c>
      <c r="D6" s="46" t="s">
        <v>87</v>
      </c>
      <c r="E6" s="326">
        <v>0</v>
      </c>
      <c r="F6" s="332">
        <v>561530.9</v>
      </c>
      <c r="G6" s="333"/>
      <c r="H6" s="333"/>
      <c r="I6" s="332"/>
      <c r="J6" s="333">
        <v>334593</v>
      </c>
      <c r="K6" s="333"/>
      <c r="L6" s="343">
        <f t="shared" ref="L6:L35" si="0">SUM(I6:K6)+E6</f>
        <v>334593</v>
      </c>
      <c r="M6" s="232">
        <f>191196+131339</f>
        <v>322535</v>
      </c>
      <c r="N6" s="233"/>
      <c r="O6" s="233"/>
      <c r="P6" s="233">
        <v>561985.73</v>
      </c>
      <c r="Q6" s="233">
        <f>120458+193659.4</f>
        <v>314117.4</v>
      </c>
      <c r="R6" s="233">
        <v>43086.9</v>
      </c>
      <c r="S6" s="238"/>
      <c r="T6" s="238"/>
      <c r="U6" s="233"/>
      <c r="V6" s="233"/>
      <c r="W6" s="233"/>
      <c r="X6" s="233"/>
      <c r="Y6" s="354"/>
      <c r="Z6" s="310"/>
      <c r="AA6" s="310"/>
      <c r="AB6" s="310" t="s">
        <v>84</v>
      </c>
      <c r="AC6" s="250"/>
      <c r="AD6" s="250">
        <v>334593</v>
      </c>
      <c r="AE6" s="250">
        <v>322535</v>
      </c>
      <c r="AF6" s="250"/>
      <c r="AG6" s="250"/>
      <c r="AH6" s="250"/>
      <c r="AI6" s="250"/>
      <c r="AJ6" s="250">
        <v>876103.13</v>
      </c>
      <c r="AK6" s="250">
        <v>43086.9</v>
      </c>
      <c r="AL6" s="250"/>
      <c r="AM6" s="250"/>
      <c r="AN6" s="265"/>
      <c r="AO6" s="266">
        <f t="shared" ref="AO6:AO35" si="1">SUM(L6:X6)</f>
        <v>1576318.03</v>
      </c>
      <c r="AP6" s="274">
        <f t="shared" ref="AP6:AP35" si="2">SUM(AC6:AN6)</f>
        <v>1576318.03</v>
      </c>
      <c r="AQ6" s="359">
        <f>AO6-AP6</f>
        <v>0</v>
      </c>
      <c r="AR6" s="360">
        <f t="shared" ref="AR6:AR16" si="3">AQ6-U6-T6</f>
        <v>0</v>
      </c>
      <c r="AS6" s="276" t="s">
        <v>85</v>
      </c>
      <c r="AT6" s="277"/>
      <c r="AU6" s="101" t="e">
        <f>VLOOKUP(D6,#REF!,12,FALSE)</f>
        <v>#REF!</v>
      </c>
      <c r="AV6" s="101" t="e">
        <f t="shared" ref="AV6:AV44" si="4">AQ6-AU6</f>
        <v>#REF!</v>
      </c>
    </row>
    <row r="7" s="10" customFormat="1" ht="24.05" customHeight="1" spans="2:48">
      <c r="B7" s="45" t="s">
        <v>81</v>
      </c>
      <c r="C7" s="325" t="s">
        <v>88</v>
      </c>
      <c r="D7" s="46" t="s">
        <v>89</v>
      </c>
      <c r="E7" s="326">
        <v>0</v>
      </c>
      <c r="F7" s="332"/>
      <c r="G7" s="333"/>
      <c r="H7" s="333"/>
      <c r="I7" s="332"/>
      <c r="J7" s="333"/>
      <c r="K7" s="333"/>
      <c r="L7" s="343">
        <f t="shared" si="0"/>
        <v>0</v>
      </c>
      <c r="M7" s="232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354"/>
      <c r="Z7" s="310"/>
      <c r="AA7" s="310"/>
      <c r="AB7" s="310" t="s">
        <v>84</v>
      </c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65"/>
      <c r="AO7" s="266">
        <f t="shared" si="1"/>
        <v>0</v>
      </c>
      <c r="AP7" s="274">
        <f t="shared" si="2"/>
        <v>0</v>
      </c>
      <c r="AQ7" s="359">
        <f t="shared" ref="AQ7:AQ39" si="5">AO7-AP7</f>
        <v>0</v>
      </c>
      <c r="AR7" s="360">
        <f t="shared" si="3"/>
        <v>0</v>
      </c>
      <c r="AS7" s="276" t="s">
        <v>85</v>
      </c>
      <c r="AT7" s="277"/>
      <c r="AU7" s="101" t="e">
        <f>VLOOKUP(D7,#REF!,12,FALSE)</f>
        <v>#REF!</v>
      </c>
      <c r="AV7" s="101" t="e">
        <f t="shared" si="4"/>
        <v>#REF!</v>
      </c>
    </row>
    <row r="8" s="10" customFormat="1" ht="24.05" customHeight="1" spans="2:48">
      <c r="B8" s="45" t="s">
        <v>81</v>
      </c>
      <c r="C8" s="325" t="s">
        <v>90</v>
      </c>
      <c r="D8" s="46" t="s">
        <v>91</v>
      </c>
      <c r="E8" s="326">
        <v>51022.6</v>
      </c>
      <c r="F8" s="332"/>
      <c r="G8" s="333"/>
      <c r="H8" s="333"/>
      <c r="I8" s="332"/>
      <c r="J8" s="333">
        <f>53675+103056</f>
        <v>156731</v>
      </c>
      <c r="K8" s="333"/>
      <c r="L8" s="343">
        <f t="shared" si="0"/>
        <v>207753.6</v>
      </c>
      <c r="M8" s="232"/>
      <c r="N8" s="233"/>
      <c r="O8" s="233">
        <v>40674.58</v>
      </c>
      <c r="P8" s="233"/>
      <c r="Q8" s="233"/>
      <c r="R8" s="233"/>
      <c r="S8" s="233"/>
      <c r="T8" s="233"/>
      <c r="U8" s="233"/>
      <c r="V8" s="233"/>
      <c r="W8" s="233"/>
      <c r="X8" s="233"/>
      <c r="Y8" s="354"/>
      <c r="Z8" s="310"/>
      <c r="AA8" s="310"/>
      <c r="AB8" s="310" t="s">
        <v>84</v>
      </c>
      <c r="AC8" s="250"/>
      <c r="AD8" s="250">
        <v>51022.6</v>
      </c>
      <c r="AE8" s="250"/>
      <c r="AF8" s="250"/>
      <c r="AG8" s="250"/>
      <c r="AH8" s="250"/>
      <c r="AI8" s="250"/>
      <c r="AJ8" s="250">
        <v>40000</v>
      </c>
      <c r="AK8" s="250">
        <v>156731</v>
      </c>
      <c r="AL8" s="250"/>
      <c r="AM8" s="250"/>
      <c r="AN8" s="265"/>
      <c r="AO8" s="266">
        <f t="shared" si="1"/>
        <v>248428.18</v>
      </c>
      <c r="AP8" s="274">
        <f t="shared" si="2"/>
        <v>247753.6</v>
      </c>
      <c r="AQ8" s="359">
        <f t="shared" si="5"/>
        <v>674.579999999987</v>
      </c>
      <c r="AR8" s="360">
        <f t="shared" si="3"/>
        <v>674.579999999987</v>
      </c>
      <c r="AS8" s="276" t="s">
        <v>85</v>
      </c>
      <c r="AT8" s="277"/>
      <c r="AU8" s="101" t="e">
        <f>VLOOKUP(D8,#REF!,12,FALSE)</f>
        <v>#REF!</v>
      </c>
      <c r="AV8" s="101" t="e">
        <f t="shared" si="4"/>
        <v>#REF!</v>
      </c>
    </row>
    <row r="9" s="10" customFormat="1" ht="24.05" customHeight="1" spans="2:48">
      <c r="B9" s="45" t="s">
        <v>81</v>
      </c>
      <c r="C9" s="325" t="s">
        <v>92</v>
      </c>
      <c r="D9" s="46" t="s">
        <v>93</v>
      </c>
      <c r="E9" s="326">
        <v>0</v>
      </c>
      <c r="F9" s="332"/>
      <c r="G9" s="333"/>
      <c r="H9" s="333"/>
      <c r="I9" s="332"/>
      <c r="J9" s="333">
        <v>15959.36</v>
      </c>
      <c r="K9" s="333"/>
      <c r="L9" s="343">
        <f t="shared" si="0"/>
        <v>15959.36</v>
      </c>
      <c r="M9" s="232"/>
      <c r="N9" s="233"/>
      <c r="O9" s="233">
        <v>5243.2</v>
      </c>
      <c r="P9" s="233"/>
      <c r="Q9" s="233"/>
      <c r="R9" s="233"/>
      <c r="S9" s="233"/>
      <c r="T9" s="233"/>
      <c r="U9" s="233"/>
      <c r="V9" s="233"/>
      <c r="W9" s="233"/>
      <c r="X9" s="233"/>
      <c r="Y9" s="354"/>
      <c r="Z9" s="310"/>
      <c r="AA9" s="310"/>
      <c r="AB9" s="310" t="s">
        <v>84</v>
      </c>
      <c r="AC9" s="250"/>
      <c r="AD9" s="250"/>
      <c r="AE9" s="250"/>
      <c r="AF9" s="250"/>
      <c r="AG9" s="250"/>
      <c r="AH9" s="250"/>
      <c r="AI9" s="250"/>
      <c r="AJ9" s="250"/>
      <c r="AK9" s="250"/>
      <c r="AL9" s="250">
        <v>21202.56</v>
      </c>
      <c r="AM9" s="250"/>
      <c r="AN9" s="265"/>
      <c r="AO9" s="266">
        <f t="shared" si="1"/>
        <v>21202.56</v>
      </c>
      <c r="AP9" s="274">
        <f t="shared" si="2"/>
        <v>21202.56</v>
      </c>
      <c r="AQ9" s="359">
        <f t="shared" si="5"/>
        <v>0</v>
      </c>
      <c r="AR9" s="360">
        <f t="shared" si="3"/>
        <v>0</v>
      </c>
      <c r="AS9" s="276" t="s">
        <v>85</v>
      </c>
      <c r="AT9" s="277"/>
      <c r="AU9" s="101" t="e">
        <f>VLOOKUP(D9,#REF!,12,FALSE)</f>
        <v>#REF!</v>
      </c>
      <c r="AV9" s="101" t="e">
        <f t="shared" si="4"/>
        <v>#REF!</v>
      </c>
    </row>
    <row r="10" s="10" customFormat="1" ht="24.05" customHeight="1" spans="2:48">
      <c r="B10" s="45" t="s">
        <v>81</v>
      </c>
      <c r="C10" s="325" t="s">
        <v>94</v>
      </c>
      <c r="D10" s="46" t="s">
        <v>95</v>
      </c>
      <c r="E10" s="326">
        <v>0</v>
      </c>
      <c r="F10" s="332"/>
      <c r="G10" s="333"/>
      <c r="H10" s="333"/>
      <c r="I10" s="332"/>
      <c r="J10" s="333"/>
      <c r="K10" s="333"/>
      <c r="L10" s="343">
        <f t="shared" si="0"/>
        <v>0</v>
      </c>
      <c r="M10" s="232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354"/>
      <c r="Z10" s="310"/>
      <c r="AA10" s="310"/>
      <c r="AB10" s="310" t="s">
        <v>84</v>
      </c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65"/>
      <c r="AO10" s="266">
        <f t="shared" si="1"/>
        <v>0</v>
      </c>
      <c r="AP10" s="274">
        <f t="shared" si="2"/>
        <v>0</v>
      </c>
      <c r="AQ10" s="359">
        <f t="shared" si="5"/>
        <v>0</v>
      </c>
      <c r="AR10" s="360">
        <f t="shared" si="3"/>
        <v>0</v>
      </c>
      <c r="AS10" s="276" t="s">
        <v>96</v>
      </c>
      <c r="AT10" s="277"/>
      <c r="AU10" s="101" t="e">
        <f>VLOOKUP(D10,#REF!,12,FALSE)</f>
        <v>#REF!</v>
      </c>
      <c r="AV10" s="101" t="e">
        <f t="shared" si="4"/>
        <v>#REF!</v>
      </c>
    </row>
    <row r="11" s="10" customFormat="1" ht="24.05" customHeight="1" spans="2:48">
      <c r="B11" s="45" t="s">
        <v>81</v>
      </c>
      <c r="C11" s="325" t="s">
        <v>97</v>
      </c>
      <c r="D11" s="46" t="s">
        <v>98</v>
      </c>
      <c r="E11" s="326">
        <v>0</v>
      </c>
      <c r="F11" s="332"/>
      <c r="G11" s="333"/>
      <c r="H11" s="333"/>
      <c r="I11" s="332">
        <v>39998.95</v>
      </c>
      <c r="J11" s="333"/>
      <c r="K11" s="333"/>
      <c r="L11" s="343">
        <f t="shared" si="0"/>
        <v>39998.95</v>
      </c>
      <c r="M11" s="232"/>
      <c r="N11" s="233"/>
      <c r="O11" s="233"/>
      <c r="P11" s="233"/>
      <c r="Q11" s="233"/>
      <c r="R11" s="233"/>
      <c r="S11" s="233"/>
      <c r="T11" s="233"/>
      <c r="U11" s="233">
        <v>4865.78</v>
      </c>
      <c r="V11" s="233"/>
      <c r="W11" s="233"/>
      <c r="X11" s="233"/>
      <c r="Y11" s="354"/>
      <c r="Z11" s="310"/>
      <c r="AA11" s="310"/>
      <c r="AB11" s="310" t="s">
        <v>84</v>
      </c>
      <c r="AC11" s="250"/>
      <c r="AD11" s="250">
        <v>39998.95</v>
      </c>
      <c r="AE11" s="250"/>
      <c r="AF11" s="250"/>
      <c r="AG11" s="250"/>
      <c r="AH11" s="250"/>
      <c r="AI11" s="250"/>
      <c r="AJ11" s="250"/>
      <c r="AK11" s="250"/>
      <c r="AL11" s="250"/>
      <c r="AM11" s="250"/>
      <c r="AN11" s="265"/>
      <c r="AO11" s="266">
        <f t="shared" si="1"/>
        <v>44864.73</v>
      </c>
      <c r="AP11" s="274">
        <f t="shared" si="2"/>
        <v>39998.95</v>
      </c>
      <c r="AQ11" s="359">
        <f t="shared" si="5"/>
        <v>4865.78</v>
      </c>
      <c r="AR11" s="360">
        <f t="shared" si="3"/>
        <v>0</v>
      </c>
      <c r="AS11" s="276" t="s">
        <v>85</v>
      </c>
      <c r="AT11" s="277"/>
      <c r="AU11" s="101" t="e">
        <f>VLOOKUP(D11,#REF!,12,FALSE)</f>
        <v>#REF!</v>
      </c>
      <c r="AV11" s="101" t="e">
        <f t="shared" si="4"/>
        <v>#REF!</v>
      </c>
    </row>
    <row r="12" s="10" customFormat="1" ht="24.05" customHeight="1" spans="2:48">
      <c r="B12" s="45" t="s">
        <v>81</v>
      </c>
      <c r="C12" s="325" t="s">
        <v>99</v>
      </c>
      <c r="D12" s="46" t="s">
        <v>100</v>
      </c>
      <c r="E12" s="326">
        <v>0</v>
      </c>
      <c r="F12" s="332">
        <v>9322.5</v>
      </c>
      <c r="G12" s="333"/>
      <c r="H12" s="333"/>
      <c r="I12" s="332"/>
      <c r="J12" s="333"/>
      <c r="K12" s="333"/>
      <c r="L12" s="343">
        <f t="shared" si="0"/>
        <v>0</v>
      </c>
      <c r="M12" s="232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354"/>
      <c r="Z12" s="310"/>
      <c r="AA12" s="310"/>
      <c r="AB12" s="310" t="s">
        <v>84</v>
      </c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65"/>
      <c r="AO12" s="266">
        <f t="shared" si="1"/>
        <v>0</v>
      </c>
      <c r="AP12" s="274">
        <f t="shared" si="2"/>
        <v>0</v>
      </c>
      <c r="AQ12" s="359">
        <f t="shared" si="5"/>
        <v>0</v>
      </c>
      <c r="AR12" s="360">
        <f t="shared" si="3"/>
        <v>0</v>
      </c>
      <c r="AS12" s="276" t="s">
        <v>101</v>
      </c>
      <c r="AT12" s="277"/>
      <c r="AU12" s="101" t="e">
        <f>VLOOKUP(D12,#REF!,12,FALSE)</f>
        <v>#REF!</v>
      </c>
      <c r="AV12" s="101" t="e">
        <f t="shared" si="4"/>
        <v>#REF!</v>
      </c>
    </row>
    <row r="13" s="10" customFormat="1" ht="24.05" customHeight="1" spans="2:48">
      <c r="B13" s="45" t="s">
        <v>81</v>
      </c>
      <c r="C13" s="325" t="s">
        <v>105</v>
      </c>
      <c r="D13" s="46" t="s">
        <v>106</v>
      </c>
      <c r="E13" s="326">
        <v>83003.9599999996</v>
      </c>
      <c r="F13" s="332">
        <v>127463.01</v>
      </c>
      <c r="G13" s="333"/>
      <c r="H13" s="333"/>
      <c r="I13" s="332">
        <v>72568.4</v>
      </c>
      <c r="J13" s="333">
        <v>101651.24</v>
      </c>
      <c r="K13" s="333"/>
      <c r="L13" s="343">
        <f t="shared" si="0"/>
        <v>257223.6</v>
      </c>
      <c r="M13" s="232">
        <f>81484.05+157016.28</f>
        <v>238500.33</v>
      </c>
      <c r="N13" s="233"/>
      <c r="O13" s="233">
        <v>44482.97</v>
      </c>
      <c r="P13" s="233">
        <v>105602.27</v>
      </c>
      <c r="Q13" s="233">
        <v>183228.64</v>
      </c>
      <c r="R13" s="233">
        <v>165595.12</v>
      </c>
      <c r="S13" s="233">
        <v>146213.94</v>
      </c>
      <c r="T13" s="233"/>
      <c r="U13" s="233"/>
      <c r="V13" s="233"/>
      <c r="W13" s="233"/>
      <c r="X13" s="233"/>
      <c r="Y13" s="354"/>
      <c r="Z13" s="310"/>
      <c r="AA13" s="310"/>
      <c r="AB13" s="310" t="s">
        <v>84</v>
      </c>
      <c r="AC13" s="250"/>
      <c r="AD13" s="250">
        <v>60000</v>
      </c>
      <c r="AE13" s="250">
        <v>200000</v>
      </c>
      <c r="AF13" s="250"/>
      <c r="AG13" s="250"/>
      <c r="AH13" s="250">
        <v>200000</v>
      </c>
      <c r="AI13" s="250">
        <v>75000</v>
      </c>
      <c r="AJ13" s="250">
        <v>180000</v>
      </c>
      <c r="AK13" s="250">
        <v>150000</v>
      </c>
      <c r="AL13" s="250"/>
      <c r="AM13" s="250"/>
      <c r="AN13" s="265"/>
      <c r="AO13" s="266">
        <f t="shared" si="1"/>
        <v>1140846.87</v>
      </c>
      <c r="AP13" s="274">
        <f t="shared" si="2"/>
        <v>865000</v>
      </c>
      <c r="AQ13" s="359">
        <f t="shared" si="5"/>
        <v>275846.87</v>
      </c>
      <c r="AR13" s="360">
        <f t="shared" si="3"/>
        <v>275846.87</v>
      </c>
      <c r="AS13" s="276" t="s">
        <v>85</v>
      </c>
      <c r="AT13" s="277"/>
      <c r="AU13" s="101" t="e">
        <f>VLOOKUP(D13,#REF!,12,FALSE)</f>
        <v>#REF!</v>
      </c>
      <c r="AV13" s="101" t="e">
        <f t="shared" si="4"/>
        <v>#REF!</v>
      </c>
    </row>
    <row r="14" s="10" customFormat="1" ht="24.05" customHeight="1" spans="2:48">
      <c r="B14" s="45" t="s">
        <v>81</v>
      </c>
      <c r="C14" s="325" t="s">
        <v>107</v>
      </c>
      <c r="D14" s="46" t="s">
        <v>108</v>
      </c>
      <c r="E14" s="326">
        <v>0</v>
      </c>
      <c r="F14" s="332">
        <v>274834.08</v>
      </c>
      <c r="G14" s="333"/>
      <c r="H14" s="333"/>
      <c r="I14" s="332"/>
      <c r="J14" s="333">
        <v>275114</v>
      </c>
      <c r="K14" s="333">
        <v>384487.79</v>
      </c>
      <c r="L14" s="343">
        <f t="shared" si="0"/>
        <v>659601.79</v>
      </c>
      <c r="M14" s="232">
        <v>274834.08</v>
      </c>
      <c r="N14" s="233">
        <v>219867.26</v>
      </c>
      <c r="O14" s="233"/>
      <c r="P14" s="233">
        <v>219867.26</v>
      </c>
      <c r="Q14" s="233">
        <v>549668.16</v>
      </c>
      <c r="R14" s="233">
        <v>404006.1</v>
      </c>
      <c r="S14" s="233">
        <v>329800.9</v>
      </c>
      <c r="T14" s="233">
        <v>54966.82</v>
      </c>
      <c r="U14" s="233">
        <v>54966.82</v>
      </c>
      <c r="V14" s="233">
        <v>219867.26</v>
      </c>
      <c r="W14" s="233"/>
      <c r="X14" s="233"/>
      <c r="Y14" s="354"/>
      <c r="Z14" s="310"/>
      <c r="AA14" s="310"/>
      <c r="AB14" s="310" t="s">
        <v>84</v>
      </c>
      <c r="AC14" s="250"/>
      <c r="AD14" s="250">
        <v>200000</v>
      </c>
      <c r="AE14" s="250">
        <v>459601.79</v>
      </c>
      <c r="AF14" s="250">
        <v>274834.08</v>
      </c>
      <c r="AG14" s="250">
        <v>219867.26</v>
      </c>
      <c r="AH14" s="250"/>
      <c r="AI14" s="250">
        <v>219867.26</v>
      </c>
      <c r="AJ14" s="250">
        <v>549668.16</v>
      </c>
      <c r="AK14" s="250">
        <v>458972.92</v>
      </c>
      <c r="AL14" s="250">
        <v>274834.08</v>
      </c>
      <c r="AM14" s="250"/>
      <c r="AN14" s="265"/>
      <c r="AO14" s="266">
        <f t="shared" si="1"/>
        <v>2987446.45</v>
      </c>
      <c r="AP14" s="274">
        <f t="shared" si="2"/>
        <v>2657645.55</v>
      </c>
      <c r="AQ14" s="359">
        <f t="shared" si="5"/>
        <v>329800.9</v>
      </c>
      <c r="AR14" s="360">
        <f t="shared" si="3"/>
        <v>219867.26</v>
      </c>
      <c r="AS14" s="276" t="s">
        <v>85</v>
      </c>
      <c r="AT14" s="277"/>
      <c r="AU14" s="101" t="e">
        <f>VLOOKUP(D14,#REF!,12,FALSE)</f>
        <v>#REF!</v>
      </c>
      <c r="AV14" s="101" t="e">
        <f t="shared" si="4"/>
        <v>#REF!</v>
      </c>
    </row>
    <row r="15" s="10" customFormat="1" ht="24.05" customHeight="1" spans="2:48">
      <c r="B15" s="45" t="s">
        <v>81</v>
      </c>
      <c r="C15" s="325" t="s">
        <v>109</v>
      </c>
      <c r="D15" s="46" t="s">
        <v>204</v>
      </c>
      <c r="E15" s="326">
        <v>24.7300000000541</v>
      </c>
      <c r="F15" s="332">
        <v>46967.34</v>
      </c>
      <c r="G15" s="333">
        <v>15405.75</v>
      </c>
      <c r="H15" s="333">
        <v>10937.5</v>
      </c>
      <c r="I15" s="332"/>
      <c r="J15" s="333"/>
      <c r="K15" s="333">
        <v>16455.51</v>
      </c>
      <c r="L15" s="343">
        <f t="shared" si="0"/>
        <v>16480.2400000001</v>
      </c>
      <c r="M15" s="232"/>
      <c r="N15" s="233">
        <f>7685.81-0.99</f>
        <v>7684.82</v>
      </c>
      <c r="O15" s="233">
        <f>16159+17289</f>
        <v>33448</v>
      </c>
      <c r="P15" s="233">
        <v>13901.26</v>
      </c>
      <c r="Q15" s="233">
        <f>11300+13749.84</f>
        <v>25049.84</v>
      </c>
      <c r="R15" s="233">
        <v>33765.53</v>
      </c>
      <c r="S15" s="233"/>
      <c r="T15" s="233">
        <v>22780.8</v>
      </c>
      <c r="U15" s="233"/>
      <c r="V15" s="233"/>
      <c r="W15" s="233"/>
      <c r="X15" s="233"/>
      <c r="Y15" s="354"/>
      <c r="Z15" s="310"/>
      <c r="AA15" s="310"/>
      <c r="AB15" s="310" t="s">
        <v>84</v>
      </c>
      <c r="AC15" s="250"/>
      <c r="AD15" s="250">
        <v>16455.51</v>
      </c>
      <c r="AE15" s="250">
        <v>7684.82</v>
      </c>
      <c r="AF15" s="250">
        <v>33448</v>
      </c>
      <c r="AG15" s="250">
        <v>25201.26</v>
      </c>
      <c r="AH15" s="250">
        <v>13749.84</v>
      </c>
      <c r="AI15" s="250">
        <v>33765.53</v>
      </c>
      <c r="AJ15" s="250"/>
      <c r="AK15" s="250">
        <v>22780.8</v>
      </c>
      <c r="AL15" s="250"/>
      <c r="AM15" s="250"/>
      <c r="AN15" s="265"/>
      <c r="AO15" s="266">
        <f t="shared" si="1"/>
        <v>153110.49</v>
      </c>
      <c r="AP15" s="274">
        <f t="shared" si="2"/>
        <v>153085.76</v>
      </c>
      <c r="AQ15" s="359">
        <f t="shared" si="5"/>
        <v>24.7300000000687</v>
      </c>
      <c r="AR15" s="360">
        <f>AQ15</f>
        <v>24.7300000000687</v>
      </c>
      <c r="AS15" s="276" t="s">
        <v>111</v>
      </c>
      <c r="AT15" s="277"/>
      <c r="AU15" s="101" t="e">
        <f>VLOOKUP(D15,#REF!,12,FALSE)</f>
        <v>#REF!</v>
      </c>
      <c r="AV15" s="101" t="e">
        <f t="shared" si="4"/>
        <v>#REF!</v>
      </c>
    </row>
    <row r="16" s="10" customFormat="1" ht="24.05" customHeight="1" spans="2:48">
      <c r="B16" s="45" t="s">
        <v>81</v>
      </c>
      <c r="C16" s="325" t="s">
        <v>112</v>
      </c>
      <c r="D16" s="46" t="s">
        <v>113</v>
      </c>
      <c r="E16" s="326">
        <v>379687.2</v>
      </c>
      <c r="F16" s="332">
        <v>173327.19</v>
      </c>
      <c r="G16" s="333"/>
      <c r="H16" s="333"/>
      <c r="I16" s="332"/>
      <c r="J16" s="333">
        <f>44175.26+85444.78</f>
        <v>129620.04</v>
      </c>
      <c r="K16" s="333"/>
      <c r="L16" s="343">
        <f t="shared" si="0"/>
        <v>509307.24</v>
      </c>
      <c r="M16" s="232">
        <v>41693.56</v>
      </c>
      <c r="N16" s="233"/>
      <c r="O16" s="233"/>
      <c r="P16" s="233">
        <v>68983.39</v>
      </c>
      <c r="Q16" s="233">
        <f>93334.56</f>
        <v>93334.56</v>
      </c>
      <c r="R16" s="233">
        <f>95831.35+42720.16</f>
        <v>138551.51</v>
      </c>
      <c r="S16" s="233">
        <v>90801.54</v>
      </c>
      <c r="T16" s="233">
        <v>20924.89</v>
      </c>
      <c r="U16" s="233"/>
      <c r="V16" s="233"/>
      <c r="W16" s="233"/>
      <c r="X16" s="233"/>
      <c r="Y16" s="354"/>
      <c r="Z16" s="310"/>
      <c r="AA16" s="310"/>
      <c r="AB16" s="310" t="s">
        <v>84</v>
      </c>
      <c r="AC16" s="250"/>
      <c r="AD16" s="250">
        <v>300000</v>
      </c>
      <c r="AE16" s="250"/>
      <c r="AF16" s="250"/>
      <c r="AG16" s="250"/>
      <c r="AH16" s="250">
        <v>150000</v>
      </c>
      <c r="AI16" s="250"/>
      <c r="AJ16" s="250"/>
      <c r="AK16" s="250">
        <v>200000</v>
      </c>
      <c r="AL16" s="250"/>
      <c r="AM16" s="250"/>
      <c r="AN16" s="265"/>
      <c r="AO16" s="266">
        <f t="shared" si="1"/>
        <v>963596.69</v>
      </c>
      <c r="AP16" s="274">
        <f t="shared" si="2"/>
        <v>650000</v>
      </c>
      <c r="AQ16" s="359">
        <f t="shared" si="5"/>
        <v>313596.69</v>
      </c>
      <c r="AR16" s="360">
        <f t="shared" si="3"/>
        <v>292671.8</v>
      </c>
      <c r="AS16" s="276" t="s">
        <v>85</v>
      </c>
      <c r="AT16" s="277"/>
      <c r="AU16" s="101" t="e">
        <f>VLOOKUP(D16,#REF!,12,FALSE)</f>
        <v>#REF!</v>
      </c>
      <c r="AV16" s="101" t="e">
        <f t="shared" si="4"/>
        <v>#REF!</v>
      </c>
    </row>
    <row r="17" s="10" customFormat="1" ht="24.05" customHeight="1" spans="2:48">
      <c r="B17" s="45" t="s">
        <v>81</v>
      </c>
      <c r="C17" s="325" t="s">
        <v>114</v>
      </c>
      <c r="D17" s="46" t="s">
        <v>115</v>
      </c>
      <c r="E17" s="326">
        <v>268.440000000061</v>
      </c>
      <c r="F17" s="332"/>
      <c r="G17" s="333"/>
      <c r="H17" s="333"/>
      <c r="I17" s="332">
        <v>290622.44</v>
      </c>
      <c r="J17" s="333"/>
      <c r="K17" s="333"/>
      <c r="L17" s="343">
        <f t="shared" si="0"/>
        <v>290890.88</v>
      </c>
      <c r="M17" s="232">
        <v>306840.2</v>
      </c>
      <c r="N17" s="233"/>
      <c r="O17" s="233"/>
      <c r="P17" s="233"/>
      <c r="Q17" s="233">
        <v>109158</v>
      </c>
      <c r="R17" s="233"/>
      <c r="S17" s="233"/>
      <c r="T17" s="233"/>
      <c r="U17" s="233"/>
      <c r="V17" s="233"/>
      <c r="W17" s="233"/>
      <c r="X17" s="233"/>
      <c r="Y17" s="354"/>
      <c r="Z17" s="310"/>
      <c r="AA17" s="310"/>
      <c r="AB17" s="310" t="s">
        <v>84</v>
      </c>
      <c r="AC17" s="250"/>
      <c r="AD17" s="250">
        <v>100000</v>
      </c>
      <c r="AE17" s="250">
        <v>297731.38</v>
      </c>
      <c r="AF17" s="250"/>
      <c r="AG17" s="250">
        <v>199999.7</v>
      </c>
      <c r="AH17" s="250"/>
      <c r="AI17" s="250"/>
      <c r="AJ17" s="250">
        <v>109158</v>
      </c>
      <c r="AK17" s="250"/>
      <c r="AL17" s="250"/>
      <c r="AM17" s="250"/>
      <c r="AN17" s="265"/>
      <c r="AO17" s="266">
        <f t="shared" si="1"/>
        <v>706889.08</v>
      </c>
      <c r="AP17" s="274">
        <f t="shared" si="2"/>
        <v>706889.08</v>
      </c>
      <c r="AQ17" s="359">
        <f t="shared" si="5"/>
        <v>0</v>
      </c>
      <c r="AR17" s="360">
        <f t="shared" ref="AR17:AR24" si="6">AQ17-U17-V174</f>
        <v>0</v>
      </c>
      <c r="AS17" s="276" t="s">
        <v>85</v>
      </c>
      <c r="AT17" s="277"/>
      <c r="AU17" s="101" t="e">
        <f>VLOOKUP(D17,#REF!,12,FALSE)</f>
        <v>#REF!</v>
      </c>
      <c r="AV17" s="101" t="e">
        <f t="shared" si="4"/>
        <v>#REF!</v>
      </c>
    </row>
    <row r="18" s="10" customFormat="1" ht="24.05" customHeight="1" spans="2:48">
      <c r="B18" s="45" t="s">
        <v>81</v>
      </c>
      <c r="C18" s="325" t="s">
        <v>116</v>
      </c>
      <c r="D18" s="46" t="s">
        <v>205</v>
      </c>
      <c r="E18" s="326">
        <v>36671.4</v>
      </c>
      <c r="F18" s="332"/>
      <c r="G18" s="333">
        <v>28601.2</v>
      </c>
      <c r="H18" s="333"/>
      <c r="I18" s="332"/>
      <c r="J18" s="333"/>
      <c r="K18" s="333"/>
      <c r="L18" s="343">
        <f t="shared" si="0"/>
        <v>36671.4</v>
      </c>
      <c r="M18" s="232">
        <v>19717.03</v>
      </c>
      <c r="N18" s="233"/>
      <c r="O18" s="233"/>
      <c r="P18" s="233"/>
      <c r="Q18" s="233">
        <v>32724.8</v>
      </c>
      <c r="R18" s="233"/>
      <c r="S18" s="233">
        <v>31278.4</v>
      </c>
      <c r="T18" s="233"/>
      <c r="U18" s="233">
        <v>9119.1</v>
      </c>
      <c r="V18" s="233"/>
      <c r="W18" s="233"/>
      <c r="X18" s="233"/>
      <c r="Y18" s="354"/>
      <c r="Z18" s="310"/>
      <c r="AA18" s="310"/>
      <c r="AB18" s="310" t="s">
        <v>84</v>
      </c>
      <c r="AC18" s="250"/>
      <c r="AD18" s="250">
        <f>20000+8070.2</f>
        <v>28070.2</v>
      </c>
      <c r="AE18" s="250"/>
      <c r="AF18" s="250"/>
      <c r="AG18" s="250"/>
      <c r="AH18" s="250"/>
      <c r="AI18" s="250"/>
      <c r="AJ18" s="250">
        <v>61043.03</v>
      </c>
      <c r="AK18" s="250"/>
      <c r="AL18" s="250"/>
      <c r="AM18" s="250"/>
      <c r="AN18" s="265"/>
      <c r="AO18" s="266">
        <f t="shared" si="1"/>
        <v>129510.73</v>
      </c>
      <c r="AP18" s="274">
        <f t="shared" si="2"/>
        <v>89113.23</v>
      </c>
      <c r="AQ18" s="359">
        <f t="shared" si="5"/>
        <v>40397.5</v>
      </c>
      <c r="AR18" s="360">
        <f t="shared" si="6"/>
        <v>31278.4</v>
      </c>
      <c r="AS18" s="276" t="s">
        <v>85</v>
      </c>
      <c r="AT18" s="277"/>
      <c r="AU18" s="101" t="e">
        <f>VLOOKUP(D18,#REF!,12,FALSE)</f>
        <v>#REF!</v>
      </c>
      <c r="AV18" s="101" t="e">
        <f t="shared" si="4"/>
        <v>#REF!</v>
      </c>
    </row>
    <row r="19" s="10" customFormat="1" ht="24.05" customHeight="1" spans="2:48">
      <c r="B19" s="45" t="s">
        <v>81</v>
      </c>
      <c r="C19" s="325" t="s">
        <v>118</v>
      </c>
      <c r="D19" s="46" t="s">
        <v>119</v>
      </c>
      <c r="E19" s="326">
        <v>283331</v>
      </c>
      <c r="F19" s="332"/>
      <c r="G19" s="333"/>
      <c r="H19" s="333"/>
      <c r="I19" s="332"/>
      <c r="J19" s="333"/>
      <c r="K19" s="333"/>
      <c r="L19" s="343">
        <f t="shared" si="0"/>
        <v>283331</v>
      </c>
      <c r="M19" s="232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354"/>
      <c r="Z19" s="310"/>
      <c r="AA19" s="310"/>
      <c r="AB19" s="310" t="s">
        <v>84</v>
      </c>
      <c r="AC19" s="250"/>
      <c r="AD19" s="250">
        <v>100000</v>
      </c>
      <c r="AE19" s="250">
        <v>100000</v>
      </c>
      <c r="AF19" s="250"/>
      <c r="AG19" s="250"/>
      <c r="AH19" s="250"/>
      <c r="AI19" s="250"/>
      <c r="AJ19" s="250">
        <v>83331</v>
      </c>
      <c r="AK19" s="250"/>
      <c r="AL19" s="250"/>
      <c r="AM19" s="250"/>
      <c r="AN19" s="265"/>
      <c r="AO19" s="266">
        <f t="shared" si="1"/>
        <v>283331</v>
      </c>
      <c r="AP19" s="274">
        <f t="shared" si="2"/>
        <v>283331</v>
      </c>
      <c r="AQ19" s="359">
        <f t="shared" si="5"/>
        <v>0</v>
      </c>
      <c r="AR19" s="360">
        <f t="shared" si="6"/>
        <v>0</v>
      </c>
      <c r="AS19" s="276" t="s">
        <v>85</v>
      </c>
      <c r="AT19" s="277"/>
      <c r="AU19" s="101" t="e">
        <f>VLOOKUP(D19,#REF!,12,FALSE)</f>
        <v>#REF!</v>
      </c>
      <c r="AV19" s="101" t="e">
        <f t="shared" si="4"/>
        <v>#REF!</v>
      </c>
    </row>
    <row r="20" s="10" customFormat="1" ht="24.05" customHeight="1" spans="2:48">
      <c r="B20" s="48" t="s">
        <v>81</v>
      </c>
      <c r="C20" s="325" t="s">
        <v>120</v>
      </c>
      <c r="D20" s="46" t="s">
        <v>121</v>
      </c>
      <c r="E20" s="326">
        <v>0</v>
      </c>
      <c r="F20" s="332"/>
      <c r="G20" s="333"/>
      <c r="H20" s="333"/>
      <c r="I20" s="332"/>
      <c r="J20" s="333"/>
      <c r="K20" s="333"/>
      <c r="L20" s="343">
        <f t="shared" si="0"/>
        <v>0</v>
      </c>
      <c r="M20" s="232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354"/>
      <c r="Z20" s="310"/>
      <c r="AA20" s="310"/>
      <c r="AB20" s="310" t="s">
        <v>84</v>
      </c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65"/>
      <c r="AO20" s="266">
        <f t="shared" si="1"/>
        <v>0</v>
      </c>
      <c r="AP20" s="274">
        <f t="shared" si="2"/>
        <v>0</v>
      </c>
      <c r="AQ20" s="359">
        <f t="shared" si="5"/>
        <v>0</v>
      </c>
      <c r="AR20" s="360">
        <f t="shared" si="6"/>
        <v>0</v>
      </c>
      <c r="AS20" s="276" t="s">
        <v>85</v>
      </c>
      <c r="AT20" s="277"/>
      <c r="AU20" s="101" t="e">
        <f>VLOOKUP(D20,#REF!,12,FALSE)</f>
        <v>#REF!</v>
      </c>
      <c r="AV20" s="101" t="e">
        <f t="shared" si="4"/>
        <v>#REF!</v>
      </c>
    </row>
    <row r="21" s="10" customFormat="1" ht="24.05" customHeight="1" spans="2:48">
      <c r="B21" s="48" t="s">
        <v>81</v>
      </c>
      <c r="C21" s="325" t="s">
        <v>122</v>
      </c>
      <c r="D21" s="46" t="s">
        <v>123</v>
      </c>
      <c r="E21" s="326">
        <v>568253.28</v>
      </c>
      <c r="F21" s="332">
        <v>568253.28</v>
      </c>
      <c r="G21" s="333"/>
      <c r="H21" s="333"/>
      <c r="I21" s="332"/>
      <c r="J21" s="333">
        <v>285575.32</v>
      </c>
      <c r="K21" s="333">
        <v>401604.1</v>
      </c>
      <c r="L21" s="343">
        <f t="shared" si="0"/>
        <v>1255432.7</v>
      </c>
      <c r="M21" s="232">
        <v>199090.48</v>
      </c>
      <c r="N21" s="233">
        <v>169506.78</v>
      </c>
      <c r="O21" s="233"/>
      <c r="P21" s="233">
        <v>422660.9</v>
      </c>
      <c r="Q21" s="233">
        <v>819237.83</v>
      </c>
      <c r="R21" s="233">
        <v>486674.09</v>
      </c>
      <c r="S21" s="233">
        <f>108777.24+108777.24+72151.07</f>
        <v>289705.55</v>
      </c>
      <c r="T21" s="233">
        <f>41724.12+92223.82</f>
        <v>133947.94</v>
      </c>
      <c r="U21" s="233">
        <f>91620.4+61839.2+110446.2</f>
        <v>263905.8</v>
      </c>
      <c r="V21" s="233">
        <f>61285.37+108657.35</f>
        <v>169942.72</v>
      </c>
      <c r="W21" s="233"/>
      <c r="X21" s="233"/>
      <c r="Y21" s="354"/>
      <c r="Z21" s="310"/>
      <c r="AA21" s="310"/>
      <c r="AB21" s="310" t="s">
        <v>84</v>
      </c>
      <c r="AC21" s="250"/>
      <c r="AD21" s="250">
        <v>400000</v>
      </c>
      <c r="AE21" s="250">
        <v>453828.6</v>
      </c>
      <c r="AF21" s="250">
        <v>401604.1</v>
      </c>
      <c r="AG21" s="250">
        <v>368597.26</v>
      </c>
      <c r="AH21" s="250">
        <v>401604.1</v>
      </c>
      <c r="AI21" s="250"/>
      <c r="AJ21" s="250">
        <v>500000</v>
      </c>
      <c r="AK21" s="250">
        <v>741898.73</v>
      </c>
      <c r="AL21" s="250">
        <v>374775.54</v>
      </c>
      <c r="AM21" s="250"/>
      <c r="AN21" s="265"/>
      <c r="AO21" s="266">
        <f t="shared" si="1"/>
        <v>4210104.79</v>
      </c>
      <c r="AP21" s="274">
        <f t="shared" si="2"/>
        <v>3642308.33</v>
      </c>
      <c r="AQ21" s="359">
        <f t="shared" si="5"/>
        <v>567796.46</v>
      </c>
      <c r="AR21" s="360">
        <f t="shared" si="6"/>
        <v>303890.66</v>
      </c>
      <c r="AS21" s="276" t="s">
        <v>85</v>
      </c>
      <c r="AT21" s="277"/>
      <c r="AU21" s="101" t="e">
        <f>VLOOKUP(D21,#REF!,12,FALSE)</f>
        <v>#REF!</v>
      </c>
      <c r="AV21" s="101" t="e">
        <f t="shared" si="4"/>
        <v>#REF!</v>
      </c>
    </row>
    <row r="22" s="10" customFormat="1" ht="24.05" customHeight="1" spans="2:48">
      <c r="B22" s="48" t="s">
        <v>81</v>
      </c>
      <c r="C22" s="325" t="s">
        <v>124</v>
      </c>
      <c r="D22" s="46" t="s">
        <v>125</v>
      </c>
      <c r="E22" s="326">
        <v>7726.19999999992</v>
      </c>
      <c r="F22" s="332">
        <v>38917.2</v>
      </c>
      <c r="G22" s="333"/>
      <c r="H22" s="333"/>
      <c r="I22" s="332">
        <v>22401.12</v>
      </c>
      <c r="J22" s="333"/>
      <c r="K22" s="333"/>
      <c r="L22" s="343">
        <f t="shared" si="0"/>
        <v>30127.3199999999</v>
      </c>
      <c r="M22" s="232"/>
      <c r="N22" s="233"/>
      <c r="O22" s="233">
        <f>25248.72+13288.8</f>
        <v>38537.52</v>
      </c>
      <c r="P22" s="233"/>
      <c r="Q22" s="233"/>
      <c r="R22" s="233">
        <v>53060.28</v>
      </c>
      <c r="S22" s="233"/>
      <c r="T22" s="233"/>
      <c r="U22" s="233"/>
      <c r="V22" s="233"/>
      <c r="W22" s="233"/>
      <c r="X22" s="233"/>
      <c r="Y22" s="354"/>
      <c r="Z22" s="310"/>
      <c r="AA22" s="310"/>
      <c r="AB22" s="310" t="s">
        <v>84</v>
      </c>
      <c r="AC22" s="250"/>
      <c r="AD22" s="250">
        <v>23000</v>
      </c>
      <c r="AE22" s="250"/>
      <c r="AF22" s="250"/>
      <c r="AG22" s="250"/>
      <c r="AH22" s="250"/>
      <c r="AI22" s="250"/>
      <c r="AJ22" s="250">
        <v>60938.64</v>
      </c>
      <c r="AK22" s="250"/>
      <c r="AL22" s="250"/>
      <c r="AM22" s="250"/>
      <c r="AN22" s="265"/>
      <c r="AO22" s="266">
        <f t="shared" si="1"/>
        <v>121725.12</v>
      </c>
      <c r="AP22" s="274">
        <f t="shared" si="2"/>
        <v>83938.64</v>
      </c>
      <c r="AQ22" s="359">
        <f t="shared" si="5"/>
        <v>37786.4799999999</v>
      </c>
      <c r="AR22" s="360">
        <f t="shared" si="6"/>
        <v>37786.4799999999</v>
      </c>
      <c r="AS22" s="276" t="s">
        <v>85</v>
      </c>
      <c r="AT22" s="277"/>
      <c r="AU22" s="101" t="e">
        <f>VLOOKUP(D22,#REF!,12,FALSE)</f>
        <v>#REF!</v>
      </c>
      <c r="AV22" s="101" t="e">
        <f t="shared" si="4"/>
        <v>#REF!</v>
      </c>
    </row>
    <row r="23" s="10" customFormat="1" ht="24.05" customHeight="1" spans="2:48">
      <c r="B23" s="48" t="s">
        <v>81</v>
      </c>
      <c r="C23" s="325" t="s">
        <v>126</v>
      </c>
      <c r="D23" s="46" t="s">
        <v>127</v>
      </c>
      <c r="E23" s="326">
        <v>0</v>
      </c>
      <c r="F23" s="332">
        <v>5455.64</v>
      </c>
      <c r="G23" s="333"/>
      <c r="H23" s="333"/>
      <c r="I23" s="332"/>
      <c r="J23" s="333"/>
      <c r="K23" s="333"/>
      <c r="L23" s="343">
        <f t="shared" si="0"/>
        <v>0</v>
      </c>
      <c r="M23" s="232"/>
      <c r="N23" s="233"/>
      <c r="O23" s="233"/>
      <c r="P23" s="233"/>
      <c r="Q23" s="233">
        <v>5455.64</v>
      </c>
      <c r="R23" s="233"/>
      <c r="S23" s="233"/>
      <c r="T23" s="233"/>
      <c r="U23" s="233"/>
      <c r="V23" s="233"/>
      <c r="W23" s="233"/>
      <c r="X23" s="233"/>
      <c r="Y23" s="354"/>
      <c r="Z23" s="310"/>
      <c r="AA23" s="310"/>
      <c r="AB23" s="310" t="s">
        <v>84</v>
      </c>
      <c r="AC23" s="250"/>
      <c r="AD23" s="250"/>
      <c r="AE23" s="250"/>
      <c r="AF23" s="250">
        <v>5455.64</v>
      </c>
      <c r="AG23" s="250"/>
      <c r="AH23" s="250"/>
      <c r="AI23" s="250"/>
      <c r="AJ23" s="250"/>
      <c r="AK23" s="250"/>
      <c r="AL23" s="250"/>
      <c r="AM23" s="250"/>
      <c r="AN23" s="265"/>
      <c r="AO23" s="266">
        <f t="shared" si="1"/>
        <v>5455.64</v>
      </c>
      <c r="AP23" s="274">
        <f t="shared" si="2"/>
        <v>5455.64</v>
      </c>
      <c r="AQ23" s="359">
        <f t="shared" si="5"/>
        <v>0</v>
      </c>
      <c r="AR23" s="360">
        <f t="shared" si="6"/>
        <v>0</v>
      </c>
      <c r="AS23" s="276" t="s">
        <v>96</v>
      </c>
      <c r="AT23" s="277"/>
      <c r="AU23" s="101" t="e">
        <f>VLOOKUP(D23,#REF!,12,FALSE)</f>
        <v>#REF!</v>
      </c>
      <c r="AV23" s="101" t="e">
        <f t="shared" si="4"/>
        <v>#REF!</v>
      </c>
    </row>
    <row r="24" s="10" customFormat="1" ht="24.05" customHeight="1" spans="2:48">
      <c r="B24" s="48" t="s">
        <v>81</v>
      </c>
      <c r="C24" s="325" t="s">
        <v>128</v>
      </c>
      <c r="D24" s="46" t="s">
        <v>129</v>
      </c>
      <c r="E24" s="326">
        <v>74904.3</v>
      </c>
      <c r="F24" s="332">
        <v>72360.68</v>
      </c>
      <c r="G24" s="333"/>
      <c r="H24" s="333"/>
      <c r="I24" s="332"/>
      <c r="J24" s="333"/>
      <c r="K24" s="344"/>
      <c r="L24" s="343">
        <f t="shared" si="0"/>
        <v>74904.3</v>
      </c>
      <c r="M24" s="232"/>
      <c r="N24" s="233"/>
      <c r="O24" s="233"/>
      <c r="P24" s="233">
        <v>34952.03</v>
      </c>
      <c r="Q24" s="233">
        <v>60294.54</v>
      </c>
      <c r="R24" s="233"/>
      <c r="S24" s="233"/>
      <c r="T24" s="233"/>
      <c r="U24" s="233"/>
      <c r="V24" s="233"/>
      <c r="W24" s="233"/>
      <c r="X24" s="233"/>
      <c r="Y24" s="354"/>
      <c r="Z24" s="310"/>
      <c r="AA24" s="310"/>
      <c r="AB24" s="310" t="s">
        <v>84</v>
      </c>
      <c r="AC24" s="250"/>
      <c r="AD24" s="250">
        <v>74904.3</v>
      </c>
      <c r="AE24" s="250"/>
      <c r="AF24" s="250"/>
      <c r="AG24" s="250">
        <v>34952.03</v>
      </c>
      <c r="AH24" s="250"/>
      <c r="AI24" s="250"/>
      <c r="AJ24" s="250">
        <v>60294.54</v>
      </c>
      <c r="AK24" s="250"/>
      <c r="AL24" s="250"/>
      <c r="AM24" s="250"/>
      <c r="AN24" s="265"/>
      <c r="AO24" s="266">
        <f t="shared" si="1"/>
        <v>170150.87</v>
      </c>
      <c r="AP24" s="274">
        <f t="shared" si="2"/>
        <v>170150.87</v>
      </c>
      <c r="AQ24" s="359">
        <f t="shared" si="5"/>
        <v>0</v>
      </c>
      <c r="AR24" s="360">
        <f t="shared" si="6"/>
        <v>0</v>
      </c>
      <c r="AS24" s="276" t="s">
        <v>85</v>
      </c>
      <c r="AT24" s="277"/>
      <c r="AU24" s="101" t="e">
        <f>VLOOKUP(D24,#REF!,12,FALSE)</f>
        <v>#REF!</v>
      </c>
      <c r="AV24" s="101" t="e">
        <f t="shared" si="4"/>
        <v>#REF!</v>
      </c>
    </row>
    <row r="25" s="10" customFormat="1" ht="24.05" customHeight="1" spans="2:48">
      <c r="B25" s="48" t="s">
        <v>81</v>
      </c>
      <c r="C25" s="325" t="s">
        <v>130</v>
      </c>
      <c r="D25" s="46" t="s">
        <v>131</v>
      </c>
      <c r="E25" s="326">
        <v>-15576.8</v>
      </c>
      <c r="F25" s="332"/>
      <c r="G25" s="333"/>
      <c r="H25" s="333"/>
      <c r="I25" s="332">
        <v>2500</v>
      </c>
      <c r="J25" s="333">
        <v>1000</v>
      </c>
      <c r="K25" s="333"/>
      <c r="L25" s="343">
        <f t="shared" si="0"/>
        <v>-12076.8</v>
      </c>
      <c r="M25" s="232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354"/>
      <c r="Z25" s="310"/>
      <c r="AA25" s="310"/>
      <c r="AB25" s="310" t="s">
        <v>84</v>
      </c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65"/>
      <c r="AO25" s="266">
        <f t="shared" si="1"/>
        <v>-12076.8</v>
      </c>
      <c r="AP25" s="274">
        <f t="shared" si="2"/>
        <v>0</v>
      </c>
      <c r="AQ25" s="359">
        <f t="shared" si="5"/>
        <v>-12076.8</v>
      </c>
      <c r="AR25" s="360">
        <v>0</v>
      </c>
      <c r="AS25" s="276" t="s">
        <v>85</v>
      </c>
      <c r="AT25" s="277"/>
      <c r="AU25" s="101" t="e">
        <f>VLOOKUP(D25,#REF!,12,FALSE)</f>
        <v>#REF!</v>
      </c>
      <c r="AV25" s="101" t="e">
        <f t="shared" si="4"/>
        <v>#REF!</v>
      </c>
    </row>
    <row r="26" s="10" customFormat="1" ht="24.05" customHeight="1" spans="2:48">
      <c r="B26" s="45" t="s">
        <v>81</v>
      </c>
      <c r="C26" s="325" t="s">
        <v>102</v>
      </c>
      <c r="D26" s="40" t="s">
        <v>103</v>
      </c>
      <c r="E26" s="326">
        <v>-818228.05</v>
      </c>
      <c r="F26" s="332"/>
      <c r="G26" s="333"/>
      <c r="H26" s="333"/>
      <c r="I26" s="332">
        <v>327734.09</v>
      </c>
      <c r="J26" s="333">
        <v>216787.22</v>
      </c>
      <c r="K26" s="333">
        <v>273706.82</v>
      </c>
      <c r="L26" s="343">
        <f t="shared" si="0"/>
        <v>0.0800000000745058</v>
      </c>
      <c r="M26" s="232">
        <v>56034.82</v>
      </c>
      <c r="N26" s="232">
        <v>51304.4</v>
      </c>
      <c r="O26" s="233">
        <v>63529.76</v>
      </c>
      <c r="P26" s="233">
        <v>243381.98</v>
      </c>
      <c r="Q26" s="233">
        <v>377470.62</v>
      </c>
      <c r="R26" s="233">
        <v>353804.17</v>
      </c>
      <c r="S26" s="233">
        <v>14195.88</v>
      </c>
      <c r="T26" s="233">
        <v>47482.76</v>
      </c>
      <c r="U26" s="233"/>
      <c r="V26" s="233"/>
      <c r="W26" s="233"/>
      <c r="X26" s="233"/>
      <c r="Y26" s="354"/>
      <c r="Z26" s="310"/>
      <c r="AA26" s="310"/>
      <c r="AB26" s="310" t="s">
        <v>84</v>
      </c>
      <c r="AC26" s="250"/>
      <c r="AD26" s="250">
        <v>56034.8</v>
      </c>
      <c r="AE26" s="250">
        <v>51304.4</v>
      </c>
      <c r="AF26" s="250">
        <v>63529.78</v>
      </c>
      <c r="AG26" s="250">
        <v>243382</v>
      </c>
      <c r="AH26" s="250">
        <v>377470.59</v>
      </c>
      <c r="AI26" s="250">
        <v>353804.19</v>
      </c>
      <c r="AJ26" s="250">
        <v>14195.87</v>
      </c>
      <c r="AK26" s="250">
        <v>47482.78</v>
      </c>
      <c r="AL26" s="250"/>
      <c r="AM26" s="250"/>
      <c r="AN26" s="265"/>
      <c r="AO26" s="266">
        <f t="shared" si="1"/>
        <v>1207204.47</v>
      </c>
      <c r="AP26" s="274">
        <f t="shared" si="2"/>
        <v>1207204.41</v>
      </c>
      <c r="AQ26" s="359">
        <f t="shared" si="5"/>
        <v>0.0599999998230487</v>
      </c>
      <c r="AR26" s="360">
        <f t="shared" ref="AR26:AR33" si="7">AQ26-U26-V183</f>
        <v>0.0599999998230487</v>
      </c>
      <c r="AS26" s="276" t="s">
        <v>104</v>
      </c>
      <c r="AT26" s="277"/>
      <c r="AU26" s="101" t="e">
        <f>VLOOKUP(D26,#REF!,12,FALSE)</f>
        <v>#REF!</v>
      </c>
      <c r="AV26" s="101" t="e">
        <f t="shared" si="4"/>
        <v>#REF!</v>
      </c>
    </row>
    <row r="27" s="10" customFormat="1" ht="24.05" customHeight="1" spans="2:48">
      <c r="B27" s="48" t="s">
        <v>81</v>
      </c>
      <c r="C27" s="325" t="s">
        <v>132</v>
      </c>
      <c r="D27" s="40" t="s">
        <v>133</v>
      </c>
      <c r="E27" s="326">
        <v>341946.18</v>
      </c>
      <c r="F27" s="332">
        <v>160618.2</v>
      </c>
      <c r="G27" s="333"/>
      <c r="H27" s="333"/>
      <c r="I27" s="332"/>
      <c r="J27" s="333">
        <v>4283.15</v>
      </c>
      <c r="K27" s="333"/>
      <c r="L27" s="343">
        <f t="shared" si="0"/>
        <v>346229.33</v>
      </c>
      <c r="M27" s="232"/>
      <c r="N27" s="233"/>
      <c r="O27" s="233"/>
      <c r="P27" s="233"/>
      <c r="Q27" s="233">
        <v>256989.12</v>
      </c>
      <c r="R27" s="233">
        <v>224865.48</v>
      </c>
      <c r="S27" s="233"/>
      <c r="T27" s="233"/>
      <c r="U27" s="233"/>
      <c r="V27" s="233"/>
      <c r="W27" s="233"/>
      <c r="X27" s="233"/>
      <c r="Y27" s="354"/>
      <c r="Z27" s="310"/>
      <c r="AA27" s="310"/>
      <c r="AB27" s="310" t="s">
        <v>84</v>
      </c>
      <c r="AC27" s="250"/>
      <c r="AD27" s="250">
        <v>535.4</v>
      </c>
      <c r="AE27" s="250"/>
      <c r="AF27" s="250"/>
      <c r="AG27" s="250">
        <v>3212.38</v>
      </c>
      <c r="AH27" s="250">
        <v>19809.58</v>
      </c>
      <c r="AI27" s="250">
        <v>146697.98</v>
      </c>
      <c r="AJ27" s="250">
        <v>4283.14</v>
      </c>
      <c r="AK27" s="250">
        <v>535.4</v>
      </c>
      <c r="AL27" s="250"/>
      <c r="AM27" s="250"/>
      <c r="AN27" s="265"/>
      <c r="AO27" s="266">
        <f t="shared" si="1"/>
        <v>828083.93</v>
      </c>
      <c r="AP27" s="274">
        <f t="shared" si="2"/>
        <v>175073.88</v>
      </c>
      <c r="AQ27" s="359">
        <f t="shared" si="5"/>
        <v>653010.05</v>
      </c>
      <c r="AR27" s="360">
        <f t="shared" si="7"/>
        <v>653010.05</v>
      </c>
      <c r="AS27" s="276" t="s">
        <v>104</v>
      </c>
      <c r="AT27" s="277"/>
      <c r="AU27" s="101" t="e">
        <f>VLOOKUP(D27,#REF!,12,FALSE)</f>
        <v>#REF!</v>
      </c>
      <c r="AV27" s="101" t="e">
        <f t="shared" si="4"/>
        <v>#REF!</v>
      </c>
    </row>
    <row r="28" s="10" customFormat="1" ht="24.05" customHeight="1" spans="2:48">
      <c r="B28" s="48" t="s">
        <v>134</v>
      </c>
      <c r="C28" s="325">
        <v>1951024</v>
      </c>
      <c r="D28" s="46" t="s">
        <v>206</v>
      </c>
      <c r="E28" s="326">
        <v>0</v>
      </c>
      <c r="F28" s="332"/>
      <c r="G28" s="333"/>
      <c r="H28" s="333"/>
      <c r="I28" s="332"/>
      <c r="J28" s="333"/>
      <c r="K28" s="333"/>
      <c r="L28" s="343">
        <f t="shared" si="0"/>
        <v>0</v>
      </c>
      <c r="M28" s="232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354"/>
      <c r="Z28" s="310"/>
      <c r="AA28" s="310"/>
      <c r="AB28" s="310" t="s">
        <v>84</v>
      </c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65"/>
      <c r="AO28" s="266">
        <f t="shared" si="1"/>
        <v>0</v>
      </c>
      <c r="AP28" s="274">
        <f t="shared" si="2"/>
        <v>0</v>
      </c>
      <c r="AQ28" s="359">
        <f t="shared" si="5"/>
        <v>0</v>
      </c>
      <c r="AR28" s="360">
        <f t="shared" si="7"/>
        <v>0</v>
      </c>
      <c r="AS28" s="276" t="s">
        <v>111</v>
      </c>
      <c r="AT28" s="277"/>
      <c r="AU28" s="101" t="e">
        <f>VLOOKUP(D28,#REF!,12,FALSE)</f>
        <v>#REF!</v>
      </c>
      <c r="AV28" s="101" t="e">
        <f t="shared" si="4"/>
        <v>#REF!</v>
      </c>
    </row>
    <row r="29" s="10" customFormat="1" ht="24.05" customHeight="1" spans="2:48">
      <c r="B29" s="48" t="s">
        <v>81</v>
      </c>
      <c r="C29" s="327" t="s">
        <v>136</v>
      </c>
      <c r="D29" s="328" t="s">
        <v>137</v>
      </c>
      <c r="E29" s="326">
        <v>44955.1399999999</v>
      </c>
      <c r="F29" s="332">
        <v>91703.4</v>
      </c>
      <c r="G29" s="333"/>
      <c r="H29" s="333"/>
      <c r="I29" s="332"/>
      <c r="J29" s="333"/>
      <c r="K29" s="333"/>
      <c r="L29" s="343">
        <f t="shared" si="0"/>
        <v>44955.1399999999</v>
      </c>
      <c r="M29" s="232"/>
      <c r="N29" s="233"/>
      <c r="O29" s="233"/>
      <c r="P29" s="233"/>
      <c r="Q29" s="233">
        <f>92579.77+96240.97</f>
        <v>188820.74</v>
      </c>
      <c r="R29" s="233">
        <v>48959.29</v>
      </c>
      <c r="S29" s="233"/>
      <c r="T29" s="233"/>
      <c r="U29" s="233">
        <f>90144.65+73031.61+49069.12</f>
        <v>212245.38</v>
      </c>
      <c r="V29" s="233">
        <v>58699</v>
      </c>
      <c r="W29" s="233"/>
      <c r="X29" s="233"/>
      <c r="Y29" s="355"/>
      <c r="Z29" s="313"/>
      <c r="AA29" s="313"/>
      <c r="AB29" s="310" t="s">
        <v>84</v>
      </c>
      <c r="AC29" s="254"/>
      <c r="AD29" s="254">
        <v>70000</v>
      </c>
      <c r="AE29" s="250"/>
      <c r="AF29" s="250"/>
      <c r="AG29" s="250"/>
      <c r="AH29" s="250"/>
      <c r="AI29" s="250"/>
      <c r="AJ29" s="250"/>
      <c r="AK29" s="250">
        <v>150000</v>
      </c>
      <c r="AL29" s="250"/>
      <c r="AM29" s="250"/>
      <c r="AN29" s="265"/>
      <c r="AO29" s="266">
        <f t="shared" si="1"/>
        <v>553679.55</v>
      </c>
      <c r="AP29" s="274">
        <f t="shared" si="2"/>
        <v>220000</v>
      </c>
      <c r="AQ29" s="359">
        <f t="shared" si="5"/>
        <v>333679.55</v>
      </c>
      <c r="AR29" s="360">
        <f t="shared" si="7"/>
        <v>121434.17</v>
      </c>
      <c r="AS29" s="278" t="s">
        <v>85</v>
      </c>
      <c r="AT29" s="279"/>
      <c r="AU29" s="101" t="e">
        <f>VLOOKUP(D29,#REF!,12,FALSE)</f>
        <v>#REF!</v>
      </c>
      <c r="AV29" s="101" t="e">
        <f t="shared" si="4"/>
        <v>#REF!</v>
      </c>
    </row>
    <row r="30" s="10" customFormat="1" ht="24.05" customHeight="1" spans="2:48">
      <c r="B30" s="48" t="s">
        <v>81</v>
      </c>
      <c r="C30" s="327" t="s">
        <v>138</v>
      </c>
      <c r="D30" s="328" t="s">
        <v>139</v>
      </c>
      <c r="E30" s="326">
        <v>0</v>
      </c>
      <c r="F30" s="332"/>
      <c r="G30" s="333"/>
      <c r="H30" s="345"/>
      <c r="I30" s="332"/>
      <c r="J30" s="333"/>
      <c r="K30" s="345"/>
      <c r="L30" s="343">
        <f t="shared" si="0"/>
        <v>0</v>
      </c>
      <c r="M30" s="232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355"/>
      <c r="Z30" s="313"/>
      <c r="AA30" s="313"/>
      <c r="AB30" s="310" t="s">
        <v>84</v>
      </c>
      <c r="AC30" s="254"/>
      <c r="AD30" s="254"/>
      <c r="AE30" s="250"/>
      <c r="AF30" s="250"/>
      <c r="AG30" s="250"/>
      <c r="AH30" s="250"/>
      <c r="AI30" s="250"/>
      <c r="AJ30" s="250"/>
      <c r="AK30" s="250"/>
      <c r="AL30" s="250"/>
      <c r="AM30" s="250"/>
      <c r="AN30" s="265"/>
      <c r="AO30" s="266">
        <f t="shared" si="1"/>
        <v>0</v>
      </c>
      <c r="AP30" s="274">
        <f t="shared" si="2"/>
        <v>0</v>
      </c>
      <c r="AQ30" s="359">
        <f t="shared" si="5"/>
        <v>0</v>
      </c>
      <c r="AR30" s="360">
        <f t="shared" si="7"/>
        <v>0</v>
      </c>
      <c r="AS30" s="278" t="s">
        <v>101</v>
      </c>
      <c r="AT30" s="279"/>
      <c r="AU30" s="101" t="e">
        <f>VLOOKUP(D30,#REF!,12,FALSE)</f>
        <v>#REF!</v>
      </c>
      <c r="AV30" s="101" t="e">
        <f t="shared" si="4"/>
        <v>#REF!</v>
      </c>
    </row>
    <row r="31" s="10" customFormat="1" ht="24.05" customHeight="1" spans="2:48">
      <c r="B31" s="48" t="s">
        <v>81</v>
      </c>
      <c r="C31" s="327" t="s">
        <v>140</v>
      </c>
      <c r="D31" s="328" t="s">
        <v>141</v>
      </c>
      <c r="E31" s="326">
        <v>0</v>
      </c>
      <c r="F31" s="332"/>
      <c r="G31" s="333"/>
      <c r="H31" s="345"/>
      <c r="I31" s="332"/>
      <c r="J31" s="333"/>
      <c r="K31" s="345"/>
      <c r="L31" s="343">
        <f t="shared" si="0"/>
        <v>0</v>
      </c>
      <c r="M31" s="232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355"/>
      <c r="Z31" s="313"/>
      <c r="AA31" s="313"/>
      <c r="AB31" s="310" t="s">
        <v>84</v>
      </c>
      <c r="AC31" s="254"/>
      <c r="AD31" s="254"/>
      <c r="AE31" s="250"/>
      <c r="AF31" s="250"/>
      <c r="AG31" s="250"/>
      <c r="AH31" s="250"/>
      <c r="AI31" s="250"/>
      <c r="AJ31" s="250"/>
      <c r="AK31" s="250"/>
      <c r="AL31" s="250"/>
      <c r="AM31" s="250"/>
      <c r="AN31" s="265"/>
      <c r="AO31" s="266">
        <f t="shared" si="1"/>
        <v>0</v>
      </c>
      <c r="AP31" s="274">
        <f t="shared" si="2"/>
        <v>0</v>
      </c>
      <c r="AQ31" s="359">
        <f t="shared" si="5"/>
        <v>0</v>
      </c>
      <c r="AR31" s="360">
        <f t="shared" si="7"/>
        <v>0</v>
      </c>
      <c r="AS31" s="278" t="s">
        <v>101</v>
      </c>
      <c r="AT31" s="279"/>
      <c r="AU31" s="101" t="e">
        <f>VLOOKUP(D31,#REF!,12,FALSE)</f>
        <v>#REF!</v>
      </c>
      <c r="AV31" s="101" t="e">
        <f t="shared" si="4"/>
        <v>#REF!</v>
      </c>
    </row>
    <row r="32" s="10" customFormat="1" ht="24.05" customHeight="1" spans="2:48">
      <c r="B32" s="48" t="s">
        <v>81</v>
      </c>
      <c r="C32" s="319" t="s">
        <v>177</v>
      </c>
      <c r="D32" s="328" t="s">
        <v>178</v>
      </c>
      <c r="E32" s="326">
        <v>0</v>
      </c>
      <c r="F32" s="332"/>
      <c r="G32" s="333"/>
      <c r="H32" s="345"/>
      <c r="I32" s="332"/>
      <c r="J32" s="333">
        <v>660</v>
      </c>
      <c r="K32" s="333"/>
      <c r="L32" s="343">
        <f t="shared" si="0"/>
        <v>660</v>
      </c>
      <c r="M32" s="232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355"/>
      <c r="Z32" s="313"/>
      <c r="AA32" s="313"/>
      <c r="AB32" s="310" t="s">
        <v>84</v>
      </c>
      <c r="AC32" s="254"/>
      <c r="AD32" s="254">
        <v>660</v>
      </c>
      <c r="AE32" s="254"/>
      <c r="AF32" s="254"/>
      <c r="AG32" s="254"/>
      <c r="AH32" s="254"/>
      <c r="AI32" s="254"/>
      <c r="AJ32" s="254"/>
      <c r="AK32" s="254"/>
      <c r="AL32" s="254"/>
      <c r="AM32" s="254"/>
      <c r="AN32" s="267"/>
      <c r="AO32" s="266">
        <f t="shared" si="1"/>
        <v>660</v>
      </c>
      <c r="AP32" s="274">
        <f t="shared" si="2"/>
        <v>660</v>
      </c>
      <c r="AQ32" s="359">
        <f t="shared" si="5"/>
        <v>0</v>
      </c>
      <c r="AR32" s="360">
        <f t="shared" si="7"/>
        <v>0</v>
      </c>
      <c r="AS32" s="278"/>
      <c r="AT32" s="279"/>
      <c r="AU32" s="101" t="e">
        <f>VLOOKUP(D32,#REF!,12,FALSE)</f>
        <v>#REF!</v>
      </c>
      <c r="AV32" s="101" t="e">
        <f t="shared" si="4"/>
        <v>#REF!</v>
      </c>
    </row>
    <row r="33" s="10" customFormat="1" ht="24.05" customHeight="1" spans="2:48">
      <c r="B33" s="48" t="s">
        <v>81</v>
      </c>
      <c r="C33" s="319" t="s">
        <v>179</v>
      </c>
      <c r="D33" s="328" t="s">
        <v>180</v>
      </c>
      <c r="E33" s="326">
        <v>41584</v>
      </c>
      <c r="F33" s="332"/>
      <c r="G33" s="333"/>
      <c r="H33" s="345"/>
      <c r="I33" s="332"/>
      <c r="J33" s="333">
        <f>225367.2+371431</f>
        <v>596798.2</v>
      </c>
      <c r="K33" s="333">
        <v>80343</v>
      </c>
      <c r="L33" s="343">
        <f t="shared" si="0"/>
        <v>718725.2</v>
      </c>
      <c r="M33" s="232">
        <v>124752</v>
      </c>
      <c r="N33" s="233"/>
      <c r="O33" s="233">
        <v>107915</v>
      </c>
      <c r="P33" s="233">
        <f>107915+107915+19436</f>
        <v>235266</v>
      </c>
      <c r="Q33" s="233">
        <f>105768+107915</f>
        <v>213683</v>
      </c>
      <c r="R33" s="233"/>
      <c r="S33" s="233"/>
      <c r="T33" s="233">
        <v>64184</v>
      </c>
      <c r="U33" s="233"/>
      <c r="V33" s="233"/>
      <c r="W33" s="233"/>
      <c r="X33" s="233"/>
      <c r="Y33" s="355"/>
      <c r="Z33" s="313"/>
      <c r="AA33" s="313"/>
      <c r="AB33" s="310" t="s">
        <v>84</v>
      </c>
      <c r="AC33" s="254"/>
      <c r="AD33" s="254">
        <v>266951.2</v>
      </c>
      <c r="AE33" s="254">
        <v>124752</v>
      </c>
      <c r="AF33" s="254">
        <v>371431</v>
      </c>
      <c r="AG33" s="254">
        <v>80343</v>
      </c>
      <c r="AH33" s="254"/>
      <c r="AI33" s="254"/>
      <c r="AJ33" s="254">
        <v>321598</v>
      </c>
      <c r="AK33" s="254">
        <v>235266</v>
      </c>
      <c r="AL33" s="254"/>
      <c r="AM33" s="254"/>
      <c r="AN33" s="267"/>
      <c r="AO33" s="266">
        <f t="shared" si="1"/>
        <v>1464525.2</v>
      </c>
      <c r="AP33" s="274">
        <f t="shared" si="2"/>
        <v>1400341.2</v>
      </c>
      <c r="AQ33" s="359">
        <f t="shared" si="5"/>
        <v>64184</v>
      </c>
      <c r="AR33" s="360">
        <f t="shared" si="7"/>
        <v>64184</v>
      </c>
      <c r="AS33" s="278"/>
      <c r="AT33" s="279"/>
      <c r="AU33" s="101" t="e">
        <f>VLOOKUP(D33,#REF!,12,FALSE)</f>
        <v>#REF!</v>
      </c>
      <c r="AV33" s="101" t="e">
        <f t="shared" si="4"/>
        <v>#REF!</v>
      </c>
    </row>
    <row r="34" s="10" customFormat="1" ht="24.05" customHeight="1" spans="2:48">
      <c r="B34" s="48" t="s">
        <v>81</v>
      </c>
      <c r="C34" s="319" t="s">
        <v>181</v>
      </c>
      <c r="D34" s="328" t="s">
        <v>182</v>
      </c>
      <c r="E34" s="326">
        <v>-66613.69</v>
      </c>
      <c r="F34" s="332"/>
      <c r="G34" s="333"/>
      <c r="H34" s="345"/>
      <c r="I34" s="332"/>
      <c r="J34" s="333"/>
      <c r="K34" s="333"/>
      <c r="L34" s="343">
        <f t="shared" si="0"/>
        <v>-66613.69</v>
      </c>
      <c r="M34" s="232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355"/>
      <c r="Z34" s="313"/>
      <c r="AA34" s="313"/>
      <c r="AB34" s="310" t="s">
        <v>84</v>
      </c>
      <c r="AC34" s="254">
        <v>3390</v>
      </c>
      <c r="AD34" s="254"/>
      <c r="AE34" s="254">
        <v>6610.5</v>
      </c>
      <c r="AF34" s="254">
        <f>5424+2881.5</f>
        <v>8305.5</v>
      </c>
      <c r="AG34" s="254">
        <v>9322.5</v>
      </c>
      <c r="AH34" s="254"/>
      <c r="AI34" s="254"/>
      <c r="AJ34" s="254">
        <v>4576.5</v>
      </c>
      <c r="AK34" s="254">
        <v>11356.5</v>
      </c>
      <c r="AL34" s="254"/>
      <c r="AM34" s="254"/>
      <c r="AN34" s="267"/>
      <c r="AO34" s="266">
        <f t="shared" si="1"/>
        <v>-66613.69</v>
      </c>
      <c r="AP34" s="274">
        <f t="shared" si="2"/>
        <v>43561.5</v>
      </c>
      <c r="AQ34" s="359">
        <f t="shared" si="5"/>
        <v>-110175.19</v>
      </c>
      <c r="AR34" s="360">
        <v>0</v>
      </c>
      <c r="AS34" s="280" t="s">
        <v>96</v>
      </c>
      <c r="AT34" s="279"/>
      <c r="AU34" s="101">
        <v>-94242.19</v>
      </c>
      <c r="AV34" s="101">
        <f t="shared" si="4"/>
        <v>-15933</v>
      </c>
    </row>
    <row r="35" s="10" customFormat="1" ht="24.05" customHeight="1" spans="2:48">
      <c r="B35" s="48" t="s">
        <v>81</v>
      </c>
      <c r="C35" s="319" t="s">
        <v>184</v>
      </c>
      <c r="D35" s="328" t="s">
        <v>185</v>
      </c>
      <c r="E35" s="326">
        <v>0</v>
      </c>
      <c r="F35" s="332"/>
      <c r="G35" s="333"/>
      <c r="H35" s="345"/>
      <c r="I35" s="332"/>
      <c r="J35" s="333">
        <v>36869.64</v>
      </c>
      <c r="K35" s="333">
        <v>39302.3</v>
      </c>
      <c r="L35" s="343">
        <f t="shared" si="0"/>
        <v>76171.94</v>
      </c>
      <c r="M35" s="232"/>
      <c r="N35" s="233"/>
      <c r="O35" s="233">
        <v>44791.43</v>
      </c>
      <c r="P35" s="233"/>
      <c r="Q35" s="233">
        <v>53426.4</v>
      </c>
      <c r="R35" s="233"/>
      <c r="S35" s="233"/>
      <c r="T35" s="233"/>
      <c r="U35" s="233"/>
      <c r="V35" s="233"/>
      <c r="W35" s="233"/>
      <c r="X35" s="233"/>
      <c r="Y35" s="355"/>
      <c r="Z35" s="313"/>
      <c r="AA35" s="313"/>
      <c r="AB35" s="310" t="s">
        <v>84</v>
      </c>
      <c r="AC35" s="254"/>
      <c r="AD35" s="254">
        <v>36869.64</v>
      </c>
      <c r="AE35" s="254"/>
      <c r="AF35" s="254">
        <v>40000</v>
      </c>
      <c r="AG35" s="254"/>
      <c r="AH35" s="254"/>
      <c r="AI35" s="254"/>
      <c r="AJ35" s="254">
        <v>53426.4</v>
      </c>
      <c r="AK35" s="254">
        <v>44093.73</v>
      </c>
      <c r="AL35" s="254"/>
      <c r="AM35" s="254"/>
      <c r="AN35" s="267"/>
      <c r="AO35" s="266">
        <f t="shared" si="1"/>
        <v>174389.77</v>
      </c>
      <c r="AP35" s="274">
        <f t="shared" si="2"/>
        <v>174389.77</v>
      </c>
      <c r="AQ35" s="359">
        <f t="shared" si="5"/>
        <v>0</v>
      </c>
      <c r="AR35" s="360">
        <f t="shared" ref="AR35:AR39" si="8">AQ35-U35-V192</f>
        <v>0</v>
      </c>
      <c r="AS35" s="278"/>
      <c r="AT35" s="279"/>
      <c r="AU35" s="101" t="e">
        <f>VLOOKUP(D35,#REF!,12,FALSE)</f>
        <v>#REF!</v>
      </c>
      <c r="AV35" s="101" t="e">
        <f t="shared" si="4"/>
        <v>#REF!</v>
      </c>
    </row>
    <row r="36" s="10" customFormat="1" ht="24.05" customHeight="1" spans="2:48">
      <c r="B36" s="48" t="s">
        <v>81</v>
      </c>
      <c r="C36" s="319" t="s">
        <v>207</v>
      </c>
      <c r="D36" s="328" t="s">
        <v>208</v>
      </c>
      <c r="E36" s="326"/>
      <c r="F36" s="332"/>
      <c r="G36" s="333"/>
      <c r="H36" s="345"/>
      <c r="I36" s="332"/>
      <c r="J36" s="333"/>
      <c r="K36" s="333"/>
      <c r="L36" s="343"/>
      <c r="M36" s="232">
        <v>15800</v>
      </c>
      <c r="N36" s="233"/>
      <c r="O36" s="233"/>
      <c r="P36" s="233"/>
      <c r="Q36" s="233">
        <v>17800</v>
      </c>
      <c r="R36" s="233"/>
      <c r="S36" s="233"/>
      <c r="T36" s="233"/>
      <c r="U36" s="233"/>
      <c r="V36" s="233"/>
      <c r="W36" s="233"/>
      <c r="X36" s="233"/>
      <c r="Y36" s="355"/>
      <c r="Z36" s="313"/>
      <c r="AA36" s="313"/>
      <c r="AB36" s="310"/>
      <c r="AC36" s="254"/>
      <c r="AD36" s="254"/>
      <c r="AE36" s="254"/>
      <c r="AF36" s="254">
        <v>15800</v>
      </c>
      <c r="AG36" s="254"/>
      <c r="AH36" s="254"/>
      <c r="AI36" s="254"/>
      <c r="AJ36" s="254">
        <v>17800</v>
      </c>
      <c r="AK36" s="254"/>
      <c r="AL36" s="254"/>
      <c r="AM36" s="254"/>
      <c r="AN36" s="267"/>
      <c r="AO36" s="266">
        <f t="shared" ref="AO36:AO44" si="9">SUM(L36:X36)</f>
        <v>33600</v>
      </c>
      <c r="AP36" s="274">
        <f t="shared" ref="AP36:AP44" si="10">SUM(AC36:AN36)</f>
        <v>33600</v>
      </c>
      <c r="AQ36" s="359">
        <f t="shared" si="5"/>
        <v>0</v>
      </c>
      <c r="AR36" s="360">
        <f t="shared" si="8"/>
        <v>0</v>
      </c>
      <c r="AS36" s="278"/>
      <c r="AT36" s="279"/>
      <c r="AU36" s="101" t="e">
        <f>VLOOKUP(D36,#REF!,12,FALSE)</f>
        <v>#REF!</v>
      </c>
      <c r="AV36" s="101" t="e">
        <f t="shared" si="4"/>
        <v>#REF!</v>
      </c>
    </row>
    <row r="37" s="10" customFormat="1" ht="24.05" customHeight="1" spans="2:48">
      <c r="B37" s="48" t="s">
        <v>81</v>
      </c>
      <c r="C37" s="319" t="s">
        <v>209</v>
      </c>
      <c r="D37" s="328" t="s">
        <v>210</v>
      </c>
      <c r="E37" s="326"/>
      <c r="F37" s="332"/>
      <c r="G37" s="333"/>
      <c r="H37" s="345"/>
      <c r="I37" s="332"/>
      <c r="J37" s="333"/>
      <c r="K37" s="333"/>
      <c r="L37" s="343"/>
      <c r="M37" s="232"/>
      <c r="N37" s="233"/>
      <c r="O37" s="233"/>
      <c r="P37" s="233"/>
      <c r="Q37" s="233">
        <f>79100</f>
        <v>79100</v>
      </c>
      <c r="R37" s="233">
        <v>94920</v>
      </c>
      <c r="S37" s="233">
        <f>63280+47460</f>
        <v>110740</v>
      </c>
      <c r="T37" s="233"/>
      <c r="U37" s="233"/>
      <c r="V37" s="233">
        <f>31640+15820+63280+31640</f>
        <v>142380</v>
      </c>
      <c r="W37" s="233"/>
      <c r="X37" s="233"/>
      <c r="Y37" s="355"/>
      <c r="Z37" s="313"/>
      <c r="AA37" s="313"/>
      <c r="AB37" s="310"/>
      <c r="AC37" s="254"/>
      <c r="AD37" s="254"/>
      <c r="AE37" s="254"/>
      <c r="AF37" s="254"/>
      <c r="AG37" s="254"/>
      <c r="AH37" s="254"/>
      <c r="AI37" s="254"/>
      <c r="AJ37" s="254">
        <v>79100</v>
      </c>
      <c r="AK37" s="254"/>
      <c r="AL37" s="254">
        <v>158200</v>
      </c>
      <c r="AM37" s="254"/>
      <c r="AN37" s="267"/>
      <c r="AO37" s="266">
        <f t="shared" si="9"/>
        <v>427140</v>
      </c>
      <c r="AP37" s="274">
        <f t="shared" si="10"/>
        <v>237300</v>
      </c>
      <c r="AQ37" s="359">
        <f t="shared" si="5"/>
        <v>189840</v>
      </c>
      <c r="AR37" s="360">
        <f t="shared" si="8"/>
        <v>189840</v>
      </c>
      <c r="AS37" s="278"/>
      <c r="AT37" s="279"/>
      <c r="AU37" s="101" t="e">
        <f>VLOOKUP(D37,#REF!,12,FALSE)</f>
        <v>#REF!</v>
      </c>
      <c r="AV37" s="101" t="e">
        <f t="shared" si="4"/>
        <v>#REF!</v>
      </c>
    </row>
    <row r="38" s="10" customFormat="1" ht="24.05" customHeight="1" spans="2:48">
      <c r="B38" s="48" t="s">
        <v>81</v>
      </c>
      <c r="C38" s="319" t="s">
        <v>211</v>
      </c>
      <c r="D38" s="328" t="e">
        <f t="array" ref="D38">[2]!'!数据!R319C4'</f>
        <v>#REF!</v>
      </c>
      <c r="E38" s="326"/>
      <c r="F38" s="332"/>
      <c r="G38" s="333"/>
      <c r="H38" s="345"/>
      <c r="I38" s="332"/>
      <c r="J38" s="333"/>
      <c r="K38" s="333"/>
      <c r="L38" s="343"/>
      <c r="M38" s="232"/>
      <c r="N38" s="233"/>
      <c r="O38" s="233"/>
      <c r="P38" s="233">
        <v>33330</v>
      </c>
      <c r="Q38" s="233"/>
      <c r="R38" s="233"/>
      <c r="S38" s="233"/>
      <c r="T38" s="233"/>
      <c r="U38" s="233"/>
      <c r="V38" s="233"/>
      <c r="W38" s="233"/>
      <c r="X38" s="233"/>
      <c r="Y38" s="355"/>
      <c r="Z38" s="313"/>
      <c r="AA38" s="313"/>
      <c r="AB38" s="310"/>
      <c r="AC38" s="254"/>
      <c r="AD38" s="254"/>
      <c r="AE38" s="254"/>
      <c r="AF38" s="254"/>
      <c r="AG38" s="254"/>
      <c r="AH38" s="254"/>
      <c r="AI38" s="254"/>
      <c r="AJ38" s="254">
        <v>33330</v>
      </c>
      <c r="AK38" s="254"/>
      <c r="AL38" s="254"/>
      <c r="AM38" s="254"/>
      <c r="AN38" s="267"/>
      <c r="AO38" s="266">
        <f t="shared" si="9"/>
        <v>33330</v>
      </c>
      <c r="AP38" s="274">
        <f t="shared" si="10"/>
        <v>33330</v>
      </c>
      <c r="AQ38" s="359">
        <f t="shared" si="5"/>
        <v>0</v>
      </c>
      <c r="AR38" s="360">
        <f t="shared" si="8"/>
        <v>0</v>
      </c>
      <c r="AS38" s="278"/>
      <c r="AT38" s="279"/>
      <c r="AU38" s="101" t="e">
        <f>VLOOKUP(D38,#REF!,12,FALSE)</f>
        <v>#REF!</v>
      </c>
      <c r="AV38" s="101" t="e">
        <f t="shared" si="4"/>
        <v>#REF!</v>
      </c>
    </row>
    <row r="39" s="10" customFormat="1" ht="24.05" customHeight="1" spans="2:48">
      <c r="B39" s="48" t="s">
        <v>81</v>
      </c>
      <c r="C39" s="319" t="s">
        <v>212</v>
      </c>
      <c r="D39" s="328" t="s">
        <v>213</v>
      </c>
      <c r="E39" s="326"/>
      <c r="F39" s="332"/>
      <c r="G39" s="333"/>
      <c r="H39" s="345"/>
      <c r="I39" s="332"/>
      <c r="J39" s="333"/>
      <c r="K39" s="333"/>
      <c r="L39" s="343"/>
      <c r="M39" s="232"/>
      <c r="N39" s="233"/>
      <c r="O39" s="233"/>
      <c r="P39" s="233"/>
      <c r="Q39" s="233">
        <f>333353.62+336228.34</f>
        <v>669581.96</v>
      </c>
      <c r="R39" s="233">
        <v>334790.98</v>
      </c>
      <c r="S39" s="233"/>
      <c r="T39" s="233"/>
      <c r="U39" s="233">
        <v>167395.48</v>
      </c>
      <c r="V39" s="233"/>
      <c r="W39" s="233"/>
      <c r="X39" s="233"/>
      <c r="Y39" s="355"/>
      <c r="Z39" s="313"/>
      <c r="AA39" s="313"/>
      <c r="AB39" s="310"/>
      <c r="AC39" s="254"/>
      <c r="AD39" s="254"/>
      <c r="AE39" s="254"/>
      <c r="AF39" s="254"/>
      <c r="AG39" s="254"/>
      <c r="AH39" s="254"/>
      <c r="AI39" s="254">
        <v>333353.62</v>
      </c>
      <c r="AJ39" s="254">
        <f>336228.34+334790.98</f>
        <v>671019.32</v>
      </c>
      <c r="AK39" s="254"/>
      <c r="AL39" s="254"/>
      <c r="AM39" s="254"/>
      <c r="AN39" s="267"/>
      <c r="AO39" s="266">
        <f t="shared" si="9"/>
        <v>1171768.42</v>
      </c>
      <c r="AP39" s="274">
        <f t="shared" si="10"/>
        <v>1004372.94</v>
      </c>
      <c r="AQ39" s="359">
        <f t="shared" si="5"/>
        <v>167395.48</v>
      </c>
      <c r="AR39" s="360">
        <f t="shared" si="8"/>
        <v>-1.45519152283669e-10</v>
      </c>
      <c r="AS39" s="278"/>
      <c r="AT39" s="279"/>
      <c r="AU39" s="101" t="e">
        <f>VLOOKUP(D39,#REF!,12,FALSE)</f>
        <v>#REF!</v>
      </c>
      <c r="AV39" s="101" t="e">
        <f t="shared" si="4"/>
        <v>#REF!</v>
      </c>
    </row>
    <row r="40" s="10" customFormat="1" ht="24.05" customHeight="1" spans="2:48">
      <c r="B40" s="48" t="s">
        <v>81</v>
      </c>
      <c r="C40" s="319"/>
      <c r="D40" s="328" t="s">
        <v>214</v>
      </c>
      <c r="E40" s="326"/>
      <c r="F40" s="332"/>
      <c r="G40" s="333"/>
      <c r="H40" s="345"/>
      <c r="I40" s="332"/>
      <c r="J40" s="333"/>
      <c r="K40" s="333"/>
      <c r="L40" s="343"/>
      <c r="M40" s="232"/>
      <c r="N40" s="233"/>
      <c r="O40" s="233">
        <v>1344.7</v>
      </c>
      <c r="P40" s="233"/>
      <c r="Q40" s="233"/>
      <c r="R40" s="233"/>
      <c r="S40" s="233"/>
      <c r="T40" s="233"/>
      <c r="U40" s="233"/>
      <c r="V40" s="233"/>
      <c r="W40" s="233"/>
      <c r="X40" s="233"/>
      <c r="Y40" s="355"/>
      <c r="Z40" s="313"/>
      <c r="AA40" s="313"/>
      <c r="AB40" s="310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67"/>
      <c r="AO40" s="266">
        <f t="shared" ref="AO40:AO42" si="11">SUM(L40:X40)</f>
        <v>1344.7</v>
      </c>
      <c r="AP40" s="274">
        <f t="shared" ref="AP40:AP42" si="12">SUM(AC40:AN40)</f>
        <v>0</v>
      </c>
      <c r="AQ40" s="359">
        <f t="shared" ref="AQ40:AQ42" si="13">AO40-AP40</f>
        <v>1344.7</v>
      </c>
      <c r="AR40" s="360">
        <f t="shared" ref="AR40:AR42" si="14">AQ40-U40-V197</f>
        <v>1344.7</v>
      </c>
      <c r="AS40" s="278"/>
      <c r="AT40" s="279"/>
      <c r="AU40" s="101" t="e">
        <f>VLOOKUP(D40,#REF!,12,FALSE)</f>
        <v>#REF!</v>
      </c>
      <c r="AV40" s="101" t="e">
        <f t="shared" si="4"/>
        <v>#REF!</v>
      </c>
    </row>
    <row r="41" s="10" customFormat="1" ht="24.05" customHeight="1" spans="2:48">
      <c r="B41" s="57"/>
      <c r="C41" s="319" t="s">
        <v>215</v>
      </c>
      <c r="D41" s="329" t="s">
        <v>216</v>
      </c>
      <c r="E41" s="330"/>
      <c r="F41" s="334"/>
      <c r="G41" s="335"/>
      <c r="H41" s="346"/>
      <c r="I41" s="334"/>
      <c r="J41" s="335"/>
      <c r="K41" s="335"/>
      <c r="L41" s="347"/>
      <c r="M41" s="235"/>
      <c r="N41" s="236"/>
      <c r="O41" s="236"/>
      <c r="P41" s="236">
        <v>21584.03</v>
      </c>
      <c r="Q41" s="236">
        <f>100072.8+18481.78+105347.64</f>
        <v>223902.22</v>
      </c>
      <c r="R41" s="236"/>
      <c r="S41" s="236">
        <v>57132.12</v>
      </c>
      <c r="T41" s="236"/>
      <c r="U41" s="236"/>
      <c r="V41" s="236"/>
      <c r="W41" s="236"/>
      <c r="X41" s="236"/>
      <c r="Y41" s="355"/>
      <c r="Z41" s="313"/>
      <c r="AA41" s="313"/>
      <c r="AB41" s="313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>
        <v>150000</v>
      </c>
      <c r="AM41" s="254"/>
      <c r="AN41" s="267"/>
      <c r="AO41" s="266">
        <f t="shared" si="11"/>
        <v>302618.37</v>
      </c>
      <c r="AP41" s="274">
        <f t="shared" si="12"/>
        <v>150000</v>
      </c>
      <c r="AQ41" s="359">
        <f t="shared" si="13"/>
        <v>152618.37</v>
      </c>
      <c r="AR41" s="360">
        <f t="shared" si="14"/>
        <v>152618.37</v>
      </c>
      <c r="AS41" s="281"/>
      <c r="AT41" s="279"/>
      <c r="AU41" s="101"/>
      <c r="AV41" s="101"/>
    </row>
    <row r="42" s="10" customFormat="1" ht="24.05" customHeight="1" spans="2:48">
      <c r="B42" s="57"/>
      <c r="C42" s="319" t="s">
        <v>217</v>
      </c>
      <c r="D42" s="329" t="s">
        <v>218</v>
      </c>
      <c r="E42" s="330"/>
      <c r="F42" s="334"/>
      <c r="G42" s="335"/>
      <c r="H42" s="346"/>
      <c r="I42" s="334"/>
      <c r="J42" s="335"/>
      <c r="K42" s="335"/>
      <c r="L42" s="347"/>
      <c r="M42" s="235"/>
      <c r="N42" s="236"/>
      <c r="O42" s="236"/>
      <c r="P42" s="236"/>
      <c r="Q42" s="236"/>
      <c r="R42" s="236"/>
      <c r="S42" s="236"/>
      <c r="T42" s="236"/>
      <c r="U42" s="236"/>
      <c r="V42" s="236">
        <v>25628.4</v>
      </c>
      <c r="W42" s="236"/>
      <c r="X42" s="236"/>
      <c r="Y42" s="355"/>
      <c r="Z42" s="313"/>
      <c r="AA42" s="313"/>
      <c r="AB42" s="313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67"/>
      <c r="AO42" s="266">
        <f t="shared" si="11"/>
        <v>25628.4</v>
      </c>
      <c r="AP42" s="274">
        <f t="shared" si="12"/>
        <v>0</v>
      </c>
      <c r="AQ42" s="359">
        <f t="shared" si="13"/>
        <v>25628.4</v>
      </c>
      <c r="AR42" s="360">
        <f t="shared" si="14"/>
        <v>25628.4</v>
      </c>
      <c r="AS42" s="281"/>
      <c r="AT42" s="279"/>
      <c r="AU42" s="101"/>
      <c r="AV42" s="101"/>
    </row>
    <row r="43" s="10" customFormat="1" ht="24.05" customHeight="1" spans="2:48">
      <c r="B43" s="57"/>
      <c r="C43" s="319"/>
      <c r="D43" s="329" t="s">
        <v>220</v>
      </c>
      <c r="E43" s="330"/>
      <c r="F43" s="334"/>
      <c r="G43" s="335"/>
      <c r="H43" s="346"/>
      <c r="I43" s="334"/>
      <c r="J43" s="335"/>
      <c r="K43" s="346"/>
      <c r="L43" s="347"/>
      <c r="M43" s="235"/>
      <c r="N43" s="236"/>
      <c r="O43" s="236"/>
      <c r="P43" s="236"/>
      <c r="Q43" s="236"/>
      <c r="R43" s="236"/>
      <c r="S43" s="236"/>
      <c r="T43" s="242"/>
      <c r="U43" s="236"/>
      <c r="V43" s="236"/>
      <c r="W43" s="236"/>
      <c r="X43" s="236"/>
      <c r="Y43" s="355"/>
      <c r="Z43" s="313"/>
      <c r="AA43" s="313"/>
      <c r="AB43" s="313"/>
      <c r="AC43" s="254"/>
      <c r="AD43" s="254"/>
      <c r="AE43" s="254">
        <v>2542.2</v>
      </c>
      <c r="AF43" s="254"/>
      <c r="AG43" s="254"/>
      <c r="AH43" s="254"/>
      <c r="AI43" s="254"/>
      <c r="AJ43" s="254"/>
      <c r="AK43" s="254"/>
      <c r="AL43" s="254"/>
      <c r="AM43" s="254"/>
      <c r="AN43" s="267"/>
      <c r="AO43" s="266">
        <f t="shared" ref="AO43" si="15">SUM(L43:X43)</f>
        <v>0</v>
      </c>
      <c r="AP43" s="274">
        <f t="shared" ref="AP43" si="16">SUM(AC43:AN43)</f>
        <v>2542.2</v>
      </c>
      <c r="AQ43" s="361"/>
      <c r="AR43" s="360">
        <f t="shared" ref="AR43:AR44" si="17">AQ43-U43-V199</f>
        <v>0</v>
      </c>
      <c r="AS43" s="281"/>
      <c r="AT43" s="279"/>
      <c r="AU43" s="101"/>
      <c r="AV43" s="101"/>
    </row>
    <row r="44" s="10" customFormat="1" ht="24.05" customHeight="1" spans="2:48">
      <c r="B44" s="57" t="s">
        <v>81</v>
      </c>
      <c r="C44" s="319" t="s">
        <v>186</v>
      </c>
      <c r="D44" s="328" t="s">
        <v>187</v>
      </c>
      <c r="E44" s="326">
        <v>1745182.33</v>
      </c>
      <c r="F44" s="332">
        <v>1040684.8</v>
      </c>
      <c r="G44" s="333">
        <v>289573.8</v>
      </c>
      <c r="H44" s="345">
        <f>16000</f>
        <v>16000</v>
      </c>
      <c r="I44" s="332"/>
      <c r="J44" s="333"/>
      <c r="K44" s="345">
        <v>320129</v>
      </c>
      <c r="L44" s="343">
        <f t="shared" ref="L44" si="18">SUM(I44:K44)+E44</f>
        <v>2065311.33</v>
      </c>
      <c r="M44" s="232">
        <v>149456.06</v>
      </c>
      <c r="N44" s="233">
        <v>2056724.82</v>
      </c>
      <c r="O44" s="233">
        <v>197945.79</v>
      </c>
      <c r="P44" s="233">
        <v>311102.56</v>
      </c>
      <c r="Q44" s="233">
        <f>443106.62+11186.26</f>
        <v>454292.88</v>
      </c>
      <c r="R44" s="233">
        <f>198972.66+354266.3</f>
        <v>553238.96</v>
      </c>
      <c r="S44" s="233">
        <v>231220.6</v>
      </c>
      <c r="T44" s="233">
        <v>107564.34</v>
      </c>
      <c r="U44" s="233">
        <v>129079.9</v>
      </c>
      <c r="V44" s="233">
        <f>207174.2+538701.01</f>
        <v>745875.21</v>
      </c>
      <c r="W44" s="233"/>
      <c r="X44" s="233"/>
      <c r="Y44" s="355"/>
      <c r="Z44" s="313"/>
      <c r="AA44" s="310" t="s">
        <v>84</v>
      </c>
      <c r="AB44" s="310" t="s">
        <v>84</v>
      </c>
      <c r="AC44" s="254">
        <v>600000</v>
      </c>
      <c r="AD44" s="254"/>
      <c r="AE44" s="254">
        <f>378820-250000</f>
        <v>128820</v>
      </c>
      <c r="AF44" s="254"/>
      <c r="AG44" s="254">
        <v>10500</v>
      </c>
      <c r="AH44" s="254">
        <f>2239.89+12430</f>
        <v>14669.89</v>
      </c>
      <c r="AI44" s="254"/>
      <c r="AJ44" s="254">
        <f>200000+10638.96</f>
        <v>210638.96</v>
      </c>
      <c r="AK44" s="254">
        <v>200000</v>
      </c>
      <c r="AL44" s="254">
        <v>100000</v>
      </c>
      <c r="AM44" s="254"/>
      <c r="AN44" s="267"/>
      <c r="AO44" s="266">
        <f t="shared" si="9"/>
        <v>7001812.45</v>
      </c>
      <c r="AP44" s="274">
        <f t="shared" si="10"/>
        <v>1264628.85</v>
      </c>
      <c r="AQ44" s="359">
        <f>AO44-AP44</f>
        <v>5737183.6</v>
      </c>
      <c r="AR44" s="360">
        <f t="shared" si="17"/>
        <v>5608103.7</v>
      </c>
      <c r="AS44" s="278"/>
      <c r="AT44" s="279"/>
      <c r="AU44" s="101" t="e">
        <f>VLOOKUP(D44,#REF!,12,FALSE)</f>
        <v>#REF!</v>
      </c>
      <c r="AV44" s="101" t="e">
        <f t="shared" si="4"/>
        <v>#REF!</v>
      </c>
    </row>
    <row r="45" s="12" customFormat="1" ht="24.05" customHeight="1" spans="2:46">
      <c r="B45" s="60"/>
      <c r="C45" s="61"/>
      <c r="D45" s="62" t="s">
        <v>142</v>
      </c>
      <c r="E45" s="331">
        <f>SUM(E5:E44)</f>
        <v>2758142.22</v>
      </c>
      <c r="F45" s="336"/>
      <c r="G45" s="337">
        <f t="shared" ref="G45:AR45" si="19">SUM(G5:G44)</f>
        <v>333580.75</v>
      </c>
      <c r="H45" s="337">
        <f t="shared" si="19"/>
        <v>26937.5</v>
      </c>
      <c r="I45" s="337">
        <f t="shared" si="19"/>
        <v>755825</v>
      </c>
      <c r="J45" s="337">
        <f t="shared" si="19"/>
        <v>2155642.17</v>
      </c>
      <c r="K45" s="337">
        <f t="shared" si="19"/>
        <v>1516028.52</v>
      </c>
      <c r="L45" s="349">
        <f t="shared" si="19"/>
        <v>7185637.91</v>
      </c>
      <c r="M45" s="364">
        <f t="shared" si="19"/>
        <v>1749253.56</v>
      </c>
      <c r="N45" s="350">
        <f t="shared" si="19"/>
        <v>2505088.08</v>
      </c>
      <c r="O45" s="350">
        <f t="shared" si="19"/>
        <v>577912.95</v>
      </c>
      <c r="P45" s="350">
        <f t="shared" si="19"/>
        <v>2272617.41</v>
      </c>
      <c r="Q45" s="350">
        <f t="shared" si="19"/>
        <v>4769286.35</v>
      </c>
      <c r="R45" s="350">
        <f t="shared" si="19"/>
        <v>2935318.41</v>
      </c>
      <c r="S45" s="350">
        <f t="shared" si="19"/>
        <v>1343038.93</v>
      </c>
      <c r="T45" s="350">
        <f t="shared" si="19"/>
        <v>451851.55</v>
      </c>
      <c r="U45" s="350">
        <f t="shared" si="19"/>
        <v>883528.26</v>
      </c>
      <c r="V45" s="350">
        <f t="shared" si="19"/>
        <v>1362392.59</v>
      </c>
      <c r="W45" s="350">
        <f t="shared" si="19"/>
        <v>0</v>
      </c>
      <c r="X45" s="350">
        <f t="shared" si="19"/>
        <v>0</v>
      </c>
      <c r="Y45" s="365">
        <f t="shared" si="19"/>
        <v>0</v>
      </c>
      <c r="Z45" s="366">
        <f t="shared" si="19"/>
        <v>0</v>
      </c>
      <c r="AA45" s="366">
        <f t="shared" si="19"/>
        <v>0</v>
      </c>
      <c r="AB45" s="366">
        <f t="shared" si="19"/>
        <v>0</v>
      </c>
      <c r="AC45" s="366">
        <f t="shared" si="19"/>
        <v>603390</v>
      </c>
      <c r="AD45" s="366">
        <f t="shared" si="19"/>
        <v>2159095.6</v>
      </c>
      <c r="AE45" s="366">
        <f t="shared" si="19"/>
        <v>2155410.69</v>
      </c>
      <c r="AF45" s="366">
        <f t="shared" si="19"/>
        <v>1214408.1</v>
      </c>
      <c r="AG45" s="366">
        <f t="shared" si="19"/>
        <v>1195377.39</v>
      </c>
      <c r="AH45" s="366">
        <f t="shared" si="19"/>
        <v>1177304</v>
      </c>
      <c r="AI45" s="366">
        <f t="shared" si="19"/>
        <v>1162488.58</v>
      </c>
      <c r="AJ45" s="366">
        <f t="shared" si="19"/>
        <v>3972454.69</v>
      </c>
      <c r="AK45" s="366">
        <f t="shared" si="19"/>
        <v>2462204.76</v>
      </c>
      <c r="AL45" s="366">
        <f t="shared" si="19"/>
        <v>1079012.18</v>
      </c>
      <c r="AM45" s="366">
        <f t="shared" si="19"/>
        <v>0</v>
      </c>
      <c r="AN45" s="367">
        <f t="shared" si="19"/>
        <v>0</v>
      </c>
      <c r="AO45" s="368">
        <f t="shared" si="19"/>
        <v>26035926</v>
      </c>
      <c r="AP45" s="369">
        <f t="shared" si="19"/>
        <v>17181145.99</v>
      </c>
      <c r="AQ45" s="63">
        <f t="shared" si="19"/>
        <v>8857322.21</v>
      </c>
      <c r="AR45" s="375">
        <f t="shared" si="19"/>
        <v>8020154.23</v>
      </c>
      <c r="AS45" s="288"/>
      <c r="AT45" s="289"/>
    </row>
    <row r="46" ht="15.05" customHeight="1" spans="5:44">
      <c r="E46" s="65"/>
      <c r="F46" s="65"/>
      <c r="G46" s="65"/>
      <c r="H46" s="65"/>
      <c r="I46" s="65">
        <f>SUM(I5:I43)</f>
        <v>755825</v>
      </c>
      <c r="J46" s="65">
        <f t="shared" ref="J46:AR46" si="20">SUM(J5:J43)</f>
        <v>2155642.17</v>
      </c>
      <c r="K46" s="65">
        <f t="shared" si="20"/>
        <v>1195899.52</v>
      </c>
      <c r="L46" s="65">
        <f t="shared" si="20"/>
        <v>5120326.58</v>
      </c>
      <c r="M46" s="65">
        <f t="shared" si="20"/>
        <v>1599797.5</v>
      </c>
      <c r="N46" s="65">
        <f t="shared" si="20"/>
        <v>448363.26</v>
      </c>
      <c r="O46" s="65">
        <f t="shared" si="20"/>
        <v>379967.16</v>
      </c>
      <c r="P46" s="65">
        <f t="shared" si="20"/>
        <v>1961514.85</v>
      </c>
      <c r="Q46" s="65">
        <f t="shared" si="20"/>
        <v>4314993.47</v>
      </c>
      <c r="R46" s="65">
        <f t="shared" si="20"/>
        <v>2382079.45</v>
      </c>
      <c r="S46" s="65">
        <f t="shared" si="20"/>
        <v>1111818.33</v>
      </c>
      <c r="T46" s="65">
        <f t="shared" si="20"/>
        <v>344287.21</v>
      </c>
      <c r="U46" s="65">
        <f t="shared" si="20"/>
        <v>754448.36</v>
      </c>
      <c r="V46" s="65">
        <f t="shared" si="20"/>
        <v>616517.38</v>
      </c>
      <c r="W46" s="65">
        <f t="shared" si="20"/>
        <v>0</v>
      </c>
      <c r="X46" s="65">
        <f t="shared" si="20"/>
        <v>0</v>
      </c>
      <c r="Y46" s="65">
        <f t="shared" si="20"/>
        <v>0</v>
      </c>
      <c r="Z46" s="65">
        <f t="shared" si="20"/>
        <v>0</v>
      </c>
      <c r="AA46" s="65">
        <f t="shared" si="20"/>
        <v>0</v>
      </c>
      <c r="AB46" s="65">
        <f t="shared" si="20"/>
        <v>0</v>
      </c>
      <c r="AC46" s="65">
        <f t="shared" si="20"/>
        <v>3390</v>
      </c>
      <c r="AD46" s="65">
        <f t="shared" si="20"/>
        <v>2159095.6</v>
      </c>
      <c r="AE46" s="65">
        <f t="shared" si="20"/>
        <v>2026590.69</v>
      </c>
      <c r="AF46" s="65">
        <f t="shared" si="20"/>
        <v>1214408.1</v>
      </c>
      <c r="AG46" s="65">
        <f t="shared" si="20"/>
        <v>1184877.39</v>
      </c>
      <c r="AH46" s="65">
        <f t="shared" si="20"/>
        <v>1162634.11</v>
      </c>
      <c r="AI46" s="65">
        <f t="shared" si="20"/>
        <v>1162488.58</v>
      </c>
      <c r="AJ46" s="65">
        <f t="shared" si="20"/>
        <v>3761815.73</v>
      </c>
      <c r="AK46" s="65">
        <f t="shared" si="20"/>
        <v>2262204.76</v>
      </c>
      <c r="AL46" s="65">
        <f t="shared" si="20"/>
        <v>979012.18</v>
      </c>
      <c r="AM46" s="65">
        <f t="shared" si="20"/>
        <v>0</v>
      </c>
      <c r="AN46" s="65">
        <f t="shared" si="20"/>
        <v>0</v>
      </c>
      <c r="AO46" s="65">
        <f t="shared" si="20"/>
        <v>19034113.55</v>
      </c>
      <c r="AP46" s="65">
        <f t="shared" si="20"/>
        <v>15916517.14</v>
      </c>
      <c r="AQ46" s="65">
        <f t="shared" si="20"/>
        <v>3120138.61</v>
      </c>
      <c r="AR46" s="65">
        <f t="shared" si="20"/>
        <v>2412050.53</v>
      </c>
    </row>
    <row r="47" ht="15.05" customHeight="1" spans="5:24"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</row>
    <row r="48" spans="4:45">
      <c r="D48" s="67" t="s">
        <v>143</v>
      </c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67"/>
      <c r="AP48" s="67"/>
      <c r="AQ48" s="67"/>
      <c r="AR48" s="67"/>
      <c r="AS48" s="67"/>
    </row>
    <row r="59" s="13" customFormat="1"/>
    <row r="62" s="13" customFormat="1"/>
  </sheetData>
  <autoFilter ref="A4:AV46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3">
    <cfRule type="duplicateValues" dxfId="0" priority="1"/>
  </conditionalFormatting>
  <conditionalFormatting sqref="D1:D42 D44:D1048576">
    <cfRule type="duplicateValues" dxfId="0" priority="3"/>
  </conditionalFormatting>
  <conditionalFormatting sqref="AP1:AR1 AP47:AR1048576">
    <cfRule type="duplicateValues" dxfId="0" priority="2"/>
  </conditionalFormatting>
  <pageMargins left="0.7" right="0.7" top="0.75" bottom="0.75" header="0.3" footer="0.3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82"/>
  <sheetViews>
    <sheetView zoomScale="80" zoomScaleNormal="80" workbookViewId="0">
      <pane xSplit="4" ySplit="4" topLeftCell="AG29" activePane="bottomRight" state="frozen"/>
      <selection/>
      <selection pane="topRight"/>
      <selection pane="bottomLeft"/>
      <selection pane="bottomRight" activeCell="AR48" sqref="AR48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15" customWidth="1"/>
    <col min="7" max="8" width="12.2" style="215" customWidth="1"/>
    <col min="9" max="9" width="13.9" style="215" customWidth="1"/>
    <col min="10" max="11" width="12.2" style="215" customWidth="1"/>
    <col min="12" max="24" width="14.2" style="215" customWidth="1"/>
    <col min="25" max="25" width="3.6" style="13" customWidth="1"/>
    <col min="26" max="26" width="6.7" style="13" customWidth="1"/>
    <col min="27" max="28" width="4.7" style="13" customWidth="1"/>
    <col min="29" max="30" width="16.4" style="216" customWidth="1"/>
    <col min="31" max="40" width="13" style="216" customWidth="1"/>
    <col min="41" max="44" width="17.2" style="15" customWidth="1"/>
    <col min="45" max="45" width="12.9" style="15" customWidth="1"/>
    <col min="46" max="46" width="15.7" style="13" customWidth="1"/>
    <col min="47" max="47" width="13.1" style="13" customWidth="1"/>
    <col min="48" max="48" width="13.9" style="13" customWidth="1"/>
    <col min="49" max="49" width="9" style="13" customWidth="1"/>
    <col min="50" max="50" width="11.2" style="13" customWidth="1"/>
    <col min="51" max="52" width="8" style="13"/>
    <col min="53" max="53" width="12" style="13" customWidth="1"/>
    <col min="54" max="16384" width="8" style="13"/>
  </cols>
  <sheetData>
    <row r="1" ht="20.95" customHeight="1" spans="2:46">
      <c r="B1" s="20" t="s">
        <v>221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26" t="s">
        <v>189</v>
      </c>
      <c r="F2" s="227"/>
      <c r="G2" s="227"/>
      <c r="H2" s="227"/>
      <c r="I2" s="338" t="s">
        <v>190</v>
      </c>
      <c r="J2" s="339"/>
      <c r="K2" s="339"/>
      <c r="L2" s="340"/>
      <c r="M2" s="226" t="s">
        <v>191</v>
      </c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351" t="s">
        <v>36</v>
      </c>
      <c r="Z2" s="301" t="s">
        <v>37</v>
      </c>
      <c r="AA2" s="301"/>
      <c r="AB2" s="301"/>
      <c r="AC2" s="245" t="s">
        <v>192</v>
      </c>
      <c r="AD2" s="245" t="s">
        <v>193</v>
      </c>
      <c r="AE2" s="245" t="s">
        <v>158</v>
      </c>
      <c r="AF2" s="245" t="s">
        <v>159</v>
      </c>
      <c r="AG2" s="245" t="s">
        <v>160</v>
      </c>
      <c r="AH2" s="245" t="s">
        <v>161</v>
      </c>
      <c r="AI2" s="245" t="s">
        <v>162</v>
      </c>
      <c r="AJ2" s="245" t="s">
        <v>163</v>
      </c>
      <c r="AK2" s="245" t="s">
        <v>164</v>
      </c>
      <c r="AL2" s="245" t="s">
        <v>165</v>
      </c>
      <c r="AM2" s="245" t="s">
        <v>166</v>
      </c>
      <c r="AN2" s="357" t="s">
        <v>167</v>
      </c>
      <c r="AO2" s="263"/>
      <c r="AP2" s="70"/>
      <c r="AQ2" s="70"/>
      <c r="AR2" s="70"/>
      <c r="AS2" s="271"/>
      <c r="AT2" s="80" t="s">
        <v>36</v>
      </c>
    </row>
    <row r="3" ht="31.6" customHeight="1" spans="2:46">
      <c r="B3" s="30"/>
      <c r="C3" s="31"/>
      <c r="D3" s="32"/>
      <c r="E3" s="228" t="s">
        <v>194</v>
      </c>
      <c r="F3" s="229" t="s">
        <v>195</v>
      </c>
      <c r="G3" s="229" t="s">
        <v>196</v>
      </c>
      <c r="H3" s="229" t="s">
        <v>197</v>
      </c>
      <c r="I3" s="363" t="s">
        <v>195</v>
      </c>
      <c r="J3" s="363" t="s">
        <v>196</v>
      </c>
      <c r="K3" s="363" t="s">
        <v>197</v>
      </c>
      <c r="L3" s="341" t="s">
        <v>198</v>
      </c>
      <c r="M3" s="228" t="s">
        <v>73</v>
      </c>
      <c r="N3" s="229" t="s">
        <v>74</v>
      </c>
      <c r="O3" s="229" t="s">
        <v>169</v>
      </c>
      <c r="P3" s="229" t="s">
        <v>170</v>
      </c>
      <c r="Q3" s="229" t="s">
        <v>171</v>
      </c>
      <c r="R3" s="229" t="s">
        <v>172</v>
      </c>
      <c r="S3" s="229" t="s">
        <v>173</v>
      </c>
      <c r="T3" s="229" t="s">
        <v>174</v>
      </c>
      <c r="U3" s="229" t="s">
        <v>175</v>
      </c>
      <c r="V3" s="229" t="s">
        <v>70</v>
      </c>
      <c r="W3" s="229" t="s">
        <v>71</v>
      </c>
      <c r="X3" s="229" t="s">
        <v>72</v>
      </c>
      <c r="Y3" s="352"/>
      <c r="Z3" s="353" t="s">
        <v>76</v>
      </c>
      <c r="AA3" s="353" t="s">
        <v>77</v>
      </c>
      <c r="AB3" s="353" t="s">
        <v>78</v>
      </c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358"/>
      <c r="AO3" s="264" t="s">
        <v>199</v>
      </c>
      <c r="AP3" s="36" t="s">
        <v>200</v>
      </c>
      <c r="AQ3" s="272" t="s">
        <v>201</v>
      </c>
      <c r="AR3" s="36" t="s">
        <v>202</v>
      </c>
      <c r="AS3" s="273" t="s">
        <v>203</v>
      </c>
      <c r="AT3" s="83"/>
    </row>
    <row r="4" ht="18" customHeight="1" spans="2:46">
      <c r="B4" s="30"/>
      <c r="C4" s="31"/>
      <c r="D4" s="32"/>
      <c r="E4" s="230"/>
      <c r="F4" s="231"/>
      <c r="G4" s="231"/>
      <c r="H4" s="231"/>
      <c r="I4" s="231"/>
      <c r="J4" s="231"/>
      <c r="K4" s="231"/>
      <c r="L4" s="342"/>
      <c r="M4" s="230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52"/>
      <c r="Z4" s="353"/>
      <c r="AA4" s="353"/>
      <c r="AB4" s="353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358"/>
      <c r="AO4" s="264"/>
      <c r="AP4" s="36"/>
      <c r="AQ4" s="272"/>
      <c r="AR4" s="36"/>
      <c r="AS4" s="273"/>
      <c r="AT4" s="83"/>
    </row>
    <row r="5" s="10" customFormat="1" ht="24.05" customHeight="1" spans="2:50">
      <c r="B5" s="45" t="s">
        <v>81</v>
      </c>
      <c r="C5" s="325" t="s">
        <v>82</v>
      </c>
      <c r="D5" s="46" t="s">
        <v>83</v>
      </c>
      <c r="E5" s="326">
        <v>0</v>
      </c>
      <c r="F5" s="332"/>
      <c r="G5" s="333"/>
      <c r="H5" s="333"/>
      <c r="I5" s="332"/>
      <c r="J5" s="333"/>
      <c r="K5" s="333"/>
      <c r="L5" s="343">
        <f>SUM(I5:K5)+E5</f>
        <v>0</v>
      </c>
      <c r="M5" s="232"/>
      <c r="N5" s="233"/>
      <c r="O5" s="233"/>
      <c r="P5" s="233"/>
      <c r="Q5" s="233">
        <v>41950</v>
      </c>
      <c r="R5" s="233"/>
      <c r="S5" s="233">
        <v>41950</v>
      </c>
      <c r="T5" s="233"/>
      <c r="U5" s="233">
        <v>41950</v>
      </c>
      <c r="V5" s="233"/>
      <c r="W5" s="233"/>
      <c r="X5" s="233"/>
      <c r="Y5" s="354"/>
      <c r="Z5" s="356"/>
      <c r="AA5" s="310"/>
      <c r="AB5" s="310" t="s">
        <v>84</v>
      </c>
      <c r="AC5" s="250"/>
      <c r="AD5" s="250"/>
      <c r="AE5" s="250"/>
      <c r="AF5" s="250"/>
      <c r="AG5" s="250"/>
      <c r="AH5" s="250"/>
      <c r="AI5" s="250"/>
      <c r="AJ5" s="250">
        <v>41950</v>
      </c>
      <c r="AK5" s="250"/>
      <c r="AL5" s="250">
        <v>41950</v>
      </c>
      <c r="AM5" s="250">
        <v>41950</v>
      </c>
      <c r="AN5" s="265"/>
      <c r="AO5" s="266">
        <f>SUM(L5:X5)</f>
        <v>125850</v>
      </c>
      <c r="AP5" s="274">
        <f>SUM(AC5:AN5)</f>
        <v>125850</v>
      </c>
      <c r="AQ5" s="359">
        <f>AO5-AP5</f>
        <v>0</v>
      </c>
      <c r="AR5" s="360">
        <f>AQ5-V5-W5</f>
        <v>0</v>
      </c>
      <c r="AS5" s="276" t="s">
        <v>85</v>
      </c>
      <c r="AT5" s="277"/>
      <c r="AU5" s="101" t="e">
        <f>VLOOKUP(D5,#REF!,12,FALSE)</f>
        <v>#REF!</v>
      </c>
      <c r="AV5" s="101" t="e">
        <f>AQ5-AU5</f>
        <v>#REF!</v>
      </c>
      <c r="AX5" s="101"/>
    </row>
    <row r="6" s="10" customFormat="1" ht="24.05" customHeight="1" spans="1:53">
      <c r="A6" s="220"/>
      <c r="B6" s="45" t="s">
        <v>81</v>
      </c>
      <c r="C6" s="325" t="s">
        <v>86</v>
      </c>
      <c r="D6" s="46" t="s">
        <v>87</v>
      </c>
      <c r="E6" s="326">
        <v>0</v>
      </c>
      <c r="F6" s="332">
        <v>561530.9</v>
      </c>
      <c r="G6" s="333"/>
      <c r="H6" s="333"/>
      <c r="I6" s="332"/>
      <c r="J6" s="333">
        <v>334593</v>
      </c>
      <c r="K6" s="333"/>
      <c r="L6" s="343">
        <f t="shared" ref="L6:L35" si="0">SUM(I6:K6)+E6</f>
        <v>334593</v>
      </c>
      <c r="M6" s="232">
        <f>191196+131339</f>
        <v>322535</v>
      </c>
      <c r="N6" s="233"/>
      <c r="O6" s="233"/>
      <c r="P6" s="233">
        <v>561985.73</v>
      </c>
      <c r="Q6" s="233">
        <f>120458+193659.4</f>
        <v>314117.4</v>
      </c>
      <c r="R6" s="233">
        <v>43086.9</v>
      </c>
      <c r="S6" s="238"/>
      <c r="T6" s="238"/>
      <c r="U6" s="233"/>
      <c r="V6" s="233">
        <v>60229</v>
      </c>
      <c r="W6" s="233"/>
      <c r="X6" s="233"/>
      <c r="Y6" s="354"/>
      <c r="Z6" s="310"/>
      <c r="AA6" s="310"/>
      <c r="AB6" s="310" t="s">
        <v>84</v>
      </c>
      <c r="AC6" s="250"/>
      <c r="AD6" s="250">
        <v>334593</v>
      </c>
      <c r="AE6" s="250">
        <v>322535</v>
      </c>
      <c r="AF6" s="250"/>
      <c r="AG6" s="250"/>
      <c r="AH6" s="250"/>
      <c r="AI6" s="250"/>
      <c r="AJ6" s="250">
        <v>876103.13</v>
      </c>
      <c r="AK6" s="250">
        <v>43086.9</v>
      </c>
      <c r="AL6" s="250"/>
      <c r="AM6" s="250"/>
      <c r="AN6" s="265"/>
      <c r="AO6" s="266">
        <f t="shared" ref="AO6:AO35" si="1">SUM(L6:X6)</f>
        <v>1636547.03</v>
      </c>
      <c r="AP6" s="274">
        <f t="shared" ref="AP6:AP35" si="2">SUM(AC6:AN6)</f>
        <v>1576318.03</v>
      </c>
      <c r="AQ6" s="359">
        <f>AO6-AP6</f>
        <v>60229</v>
      </c>
      <c r="AR6" s="360">
        <f t="shared" ref="AR6:AR50" si="3">AQ6-V6-W6</f>
        <v>0</v>
      </c>
      <c r="AS6" s="276" t="s">
        <v>85</v>
      </c>
      <c r="AT6" s="277"/>
      <c r="AU6" s="101" t="e">
        <f>VLOOKUP(D6,#REF!,12,FALSE)</f>
        <v>#REF!</v>
      </c>
      <c r="AV6" s="101" t="e">
        <f t="shared" ref="AV6:AV40" si="4">AQ6-AU6</f>
        <v>#REF!</v>
      </c>
      <c r="AX6" s="101"/>
      <c r="BA6" s="373"/>
    </row>
    <row r="7" s="10" customFormat="1" ht="24.05" customHeight="1" spans="2:50">
      <c r="B7" s="45" t="s">
        <v>81</v>
      </c>
      <c r="C7" s="325" t="s">
        <v>88</v>
      </c>
      <c r="D7" s="46" t="s">
        <v>89</v>
      </c>
      <c r="E7" s="326">
        <v>0</v>
      </c>
      <c r="F7" s="332"/>
      <c r="G7" s="333"/>
      <c r="H7" s="333"/>
      <c r="I7" s="332"/>
      <c r="J7" s="333"/>
      <c r="K7" s="333"/>
      <c r="L7" s="343">
        <f t="shared" si="0"/>
        <v>0</v>
      </c>
      <c r="M7" s="232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354"/>
      <c r="Z7" s="310"/>
      <c r="AA7" s="310"/>
      <c r="AB7" s="310" t="s">
        <v>84</v>
      </c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65"/>
      <c r="AO7" s="266">
        <f t="shared" si="1"/>
        <v>0</v>
      </c>
      <c r="AP7" s="274">
        <f t="shared" si="2"/>
        <v>0</v>
      </c>
      <c r="AQ7" s="359">
        <f t="shared" ref="AQ7:AQ44" si="5">AO7-AP7</f>
        <v>0</v>
      </c>
      <c r="AR7" s="360">
        <f t="shared" si="3"/>
        <v>0</v>
      </c>
      <c r="AS7" s="276" t="s">
        <v>85</v>
      </c>
      <c r="AT7" s="277"/>
      <c r="AU7" s="101" t="e">
        <f>VLOOKUP(D7,#REF!,12,FALSE)</f>
        <v>#REF!</v>
      </c>
      <c r="AV7" s="101" t="e">
        <f t="shared" si="4"/>
        <v>#REF!</v>
      </c>
      <c r="AX7" s="101"/>
    </row>
    <row r="8" s="10" customFormat="1" ht="24.05" customHeight="1" spans="2:50">
      <c r="B8" s="45" t="s">
        <v>81</v>
      </c>
      <c r="C8" s="325" t="s">
        <v>90</v>
      </c>
      <c r="D8" s="46" t="s">
        <v>91</v>
      </c>
      <c r="E8" s="326">
        <v>51022.6</v>
      </c>
      <c r="F8" s="332"/>
      <c r="G8" s="333"/>
      <c r="H8" s="333"/>
      <c r="I8" s="332"/>
      <c r="J8" s="333">
        <f>53675+103056</f>
        <v>156731</v>
      </c>
      <c r="K8" s="333"/>
      <c r="L8" s="343">
        <f t="shared" si="0"/>
        <v>207753.6</v>
      </c>
      <c r="M8" s="232"/>
      <c r="N8" s="233"/>
      <c r="O8" s="233">
        <v>40674.58</v>
      </c>
      <c r="P8" s="233"/>
      <c r="Q8" s="233"/>
      <c r="R8" s="233"/>
      <c r="S8" s="233"/>
      <c r="T8" s="233"/>
      <c r="U8" s="233"/>
      <c r="V8" s="233">
        <f>110627+91421.52+64726.4</f>
        <v>266774.92</v>
      </c>
      <c r="W8" s="233"/>
      <c r="X8" s="233"/>
      <c r="Y8" s="354"/>
      <c r="Z8" s="310"/>
      <c r="AA8" s="310"/>
      <c r="AB8" s="310" t="s">
        <v>84</v>
      </c>
      <c r="AC8" s="250"/>
      <c r="AD8" s="250">
        <v>51022.6</v>
      </c>
      <c r="AE8" s="250"/>
      <c r="AF8" s="250"/>
      <c r="AG8" s="250"/>
      <c r="AH8" s="250"/>
      <c r="AI8" s="250"/>
      <c r="AJ8" s="250">
        <v>40000</v>
      </c>
      <c r="AK8" s="250">
        <v>156731</v>
      </c>
      <c r="AL8" s="250"/>
      <c r="AM8" s="250"/>
      <c r="AN8" s="265"/>
      <c r="AO8" s="266">
        <f t="shared" si="1"/>
        <v>515203.1</v>
      </c>
      <c r="AP8" s="274">
        <f t="shared" si="2"/>
        <v>247753.6</v>
      </c>
      <c r="AQ8" s="359">
        <f t="shared" si="5"/>
        <v>267449.5</v>
      </c>
      <c r="AR8" s="360">
        <f t="shared" si="3"/>
        <v>674.579999999958</v>
      </c>
      <c r="AS8" s="276" t="s">
        <v>85</v>
      </c>
      <c r="AT8" s="277"/>
      <c r="AU8" s="101" t="e">
        <f>VLOOKUP(D8,#REF!,12,FALSE)</f>
        <v>#REF!</v>
      </c>
      <c r="AV8" s="101" t="e">
        <f t="shared" si="4"/>
        <v>#REF!</v>
      </c>
      <c r="AX8" s="101"/>
    </row>
    <row r="9" s="10" customFormat="1" ht="24.05" customHeight="1" spans="2:50">
      <c r="B9" s="45" t="s">
        <v>81</v>
      </c>
      <c r="C9" s="325" t="s">
        <v>92</v>
      </c>
      <c r="D9" s="46" t="s">
        <v>93</v>
      </c>
      <c r="E9" s="326">
        <v>0</v>
      </c>
      <c r="F9" s="332"/>
      <c r="G9" s="333"/>
      <c r="H9" s="333"/>
      <c r="I9" s="332"/>
      <c r="J9" s="333">
        <v>15959.36</v>
      </c>
      <c r="K9" s="333"/>
      <c r="L9" s="343">
        <f t="shared" si="0"/>
        <v>15959.36</v>
      </c>
      <c r="M9" s="232"/>
      <c r="N9" s="233"/>
      <c r="O9" s="233">
        <v>5243.2</v>
      </c>
      <c r="P9" s="233"/>
      <c r="Q9" s="233"/>
      <c r="R9" s="233"/>
      <c r="S9" s="233"/>
      <c r="T9" s="233"/>
      <c r="U9" s="233"/>
      <c r="V9" s="233"/>
      <c r="W9" s="233"/>
      <c r="X9" s="233"/>
      <c r="Y9" s="354"/>
      <c r="Z9" s="310"/>
      <c r="AA9" s="310"/>
      <c r="AB9" s="310" t="s">
        <v>84</v>
      </c>
      <c r="AC9" s="250"/>
      <c r="AD9" s="250"/>
      <c r="AE9" s="250"/>
      <c r="AF9" s="250"/>
      <c r="AG9" s="250"/>
      <c r="AH9" s="250"/>
      <c r="AI9" s="250"/>
      <c r="AJ9" s="250"/>
      <c r="AK9" s="250"/>
      <c r="AL9" s="250">
        <v>21202.56</v>
      </c>
      <c r="AM9" s="250"/>
      <c r="AN9" s="265"/>
      <c r="AO9" s="266">
        <f t="shared" si="1"/>
        <v>21202.56</v>
      </c>
      <c r="AP9" s="274">
        <f t="shared" si="2"/>
        <v>21202.56</v>
      </c>
      <c r="AQ9" s="359">
        <f t="shared" si="5"/>
        <v>0</v>
      </c>
      <c r="AR9" s="360">
        <f t="shared" si="3"/>
        <v>0</v>
      </c>
      <c r="AS9" s="276" t="s">
        <v>85</v>
      </c>
      <c r="AT9" s="277"/>
      <c r="AU9" s="101" t="e">
        <f>VLOOKUP(D9,#REF!,12,FALSE)</f>
        <v>#REF!</v>
      </c>
      <c r="AV9" s="101" t="e">
        <f t="shared" si="4"/>
        <v>#REF!</v>
      </c>
      <c r="AX9" s="101"/>
    </row>
    <row r="10" s="10" customFormat="1" ht="24.05" customHeight="1" spans="2:50">
      <c r="B10" s="45" t="s">
        <v>81</v>
      </c>
      <c r="C10" s="325" t="s">
        <v>94</v>
      </c>
      <c r="D10" s="46" t="s">
        <v>95</v>
      </c>
      <c r="E10" s="326">
        <v>0</v>
      </c>
      <c r="F10" s="332"/>
      <c r="G10" s="333"/>
      <c r="H10" s="333"/>
      <c r="I10" s="332"/>
      <c r="J10" s="333"/>
      <c r="K10" s="333"/>
      <c r="L10" s="343">
        <f t="shared" si="0"/>
        <v>0</v>
      </c>
      <c r="M10" s="232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354"/>
      <c r="Z10" s="310"/>
      <c r="AA10" s="310"/>
      <c r="AB10" s="310" t="s">
        <v>84</v>
      </c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65"/>
      <c r="AO10" s="266">
        <f t="shared" si="1"/>
        <v>0</v>
      </c>
      <c r="AP10" s="274">
        <f t="shared" si="2"/>
        <v>0</v>
      </c>
      <c r="AQ10" s="359">
        <f t="shared" si="5"/>
        <v>0</v>
      </c>
      <c r="AR10" s="360">
        <f t="shared" si="3"/>
        <v>0</v>
      </c>
      <c r="AS10" s="276" t="s">
        <v>96</v>
      </c>
      <c r="AT10" s="277"/>
      <c r="AU10" s="101" t="e">
        <f>VLOOKUP(D10,#REF!,12,FALSE)</f>
        <v>#REF!</v>
      </c>
      <c r="AV10" s="101" t="e">
        <f t="shared" si="4"/>
        <v>#REF!</v>
      </c>
      <c r="AX10" s="101"/>
    </row>
    <row r="11" s="10" customFormat="1" ht="24.05" customHeight="1" spans="2:50">
      <c r="B11" s="45" t="s">
        <v>81</v>
      </c>
      <c r="C11" s="325" t="s">
        <v>97</v>
      </c>
      <c r="D11" s="46" t="s">
        <v>98</v>
      </c>
      <c r="E11" s="326">
        <v>0</v>
      </c>
      <c r="F11" s="332"/>
      <c r="G11" s="333"/>
      <c r="H11" s="333"/>
      <c r="I11" s="332">
        <v>39998.95</v>
      </c>
      <c r="J11" s="333"/>
      <c r="K11" s="333"/>
      <c r="L11" s="343">
        <f t="shared" si="0"/>
        <v>39998.95</v>
      </c>
      <c r="M11" s="232">
        <f>36433.22-8.68</f>
        <v>36424.54</v>
      </c>
      <c r="N11" s="233">
        <v>4881.6</v>
      </c>
      <c r="O11" s="233"/>
      <c r="P11" s="233">
        <v>16659.36</v>
      </c>
      <c r="Q11" s="233"/>
      <c r="R11" s="233"/>
      <c r="S11" s="233">
        <v>32325.68</v>
      </c>
      <c r="T11" s="233"/>
      <c r="U11" s="233">
        <v>4865.78</v>
      </c>
      <c r="V11" s="233">
        <v>16012.1</v>
      </c>
      <c r="W11" s="233"/>
      <c r="X11" s="233"/>
      <c r="Y11" s="354"/>
      <c r="Z11" s="310"/>
      <c r="AA11" s="310"/>
      <c r="AB11" s="310" t="s">
        <v>84</v>
      </c>
      <c r="AC11" s="250"/>
      <c r="AD11" s="250">
        <v>39998.95</v>
      </c>
      <c r="AE11" s="250"/>
      <c r="AF11" s="250"/>
      <c r="AG11" s="250"/>
      <c r="AH11" s="250"/>
      <c r="AI11" s="250"/>
      <c r="AJ11" s="250"/>
      <c r="AK11" s="250"/>
      <c r="AL11" s="250">
        <v>4881.6</v>
      </c>
      <c r="AM11" s="250">
        <v>80000</v>
      </c>
      <c r="AN11" s="265"/>
      <c r="AO11" s="266">
        <f t="shared" si="1"/>
        <v>151168.01</v>
      </c>
      <c r="AP11" s="274">
        <f t="shared" si="2"/>
        <v>124880.55</v>
      </c>
      <c r="AQ11" s="359">
        <f t="shared" si="5"/>
        <v>26287.46</v>
      </c>
      <c r="AR11" s="360">
        <f t="shared" si="3"/>
        <v>10275.36</v>
      </c>
      <c r="AS11" s="276" t="s">
        <v>85</v>
      </c>
      <c r="AT11" s="277"/>
      <c r="AU11" s="101" t="e">
        <f>VLOOKUP(D11,#REF!,12,FALSE)</f>
        <v>#REF!</v>
      </c>
      <c r="AV11" s="101" t="e">
        <f t="shared" si="4"/>
        <v>#REF!</v>
      </c>
      <c r="AX11" s="101"/>
    </row>
    <row r="12" s="10" customFormat="1" ht="24.05" customHeight="1" spans="2:53">
      <c r="B12" s="45" t="s">
        <v>81</v>
      </c>
      <c r="C12" s="325" t="s">
        <v>99</v>
      </c>
      <c r="D12" s="46" t="s">
        <v>100</v>
      </c>
      <c r="E12" s="326">
        <v>0</v>
      </c>
      <c r="F12" s="332">
        <v>9322.5</v>
      </c>
      <c r="G12" s="333"/>
      <c r="H12" s="333"/>
      <c r="I12" s="332"/>
      <c r="J12" s="333"/>
      <c r="K12" s="333"/>
      <c r="L12" s="343">
        <f t="shared" si="0"/>
        <v>0</v>
      </c>
      <c r="M12" s="232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354"/>
      <c r="Z12" s="310"/>
      <c r="AA12" s="310"/>
      <c r="AB12" s="310" t="s">
        <v>84</v>
      </c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65"/>
      <c r="AO12" s="266">
        <f t="shared" si="1"/>
        <v>0</v>
      </c>
      <c r="AP12" s="274">
        <f t="shared" si="2"/>
        <v>0</v>
      </c>
      <c r="AQ12" s="359">
        <f t="shared" si="5"/>
        <v>0</v>
      </c>
      <c r="AR12" s="360">
        <f t="shared" si="3"/>
        <v>0</v>
      </c>
      <c r="AS12" s="276" t="s">
        <v>101</v>
      </c>
      <c r="AT12" s="277"/>
      <c r="AU12" s="101" t="e">
        <f>VLOOKUP(D12,#REF!,12,FALSE)</f>
        <v>#REF!</v>
      </c>
      <c r="AV12" s="101" t="e">
        <f t="shared" si="4"/>
        <v>#REF!</v>
      </c>
      <c r="AX12" s="101"/>
      <c r="BA12" s="373"/>
    </row>
    <row r="13" s="10" customFormat="1" ht="24.05" customHeight="1" spans="2:50">
      <c r="B13" s="45" t="s">
        <v>81</v>
      </c>
      <c r="C13" s="325" t="s">
        <v>105</v>
      </c>
      <c r="D13" s="46" t="s">
        <v>106</v>
      </c>
      <c r="E13" s="326">
        <v>83003.9599999996</v>
      </c>
      <c r="F13" s="332">
        <v>127463.01</v>
      </c>
      <c r="G13" s="333"/>
      <c r="H13" s="333"/>
      <c r="I13" s="332">
        <v>72568.4</v>
      </c>
      <c r="J13" s="333">
        <v>101651.24</v>
      </c>
      <c r="K13" s="333"/>
      <c r="L13" s="343">
        <f t="shared" si="0"/>
        <v>257223.6</v>
      </c>
      <c r="M13" s="232">
        <f>81484.05+157016.28</f>
        <v>238500.33</v>
      </c>
      <c r="N13" s="233"/>
      <c r="O13" s="233">
        <v>44482.97</v>
      </c>
      <c r="P13" s="233">
        <v>105602.27</v>
      </c>
      <c r="Q13" s="233">
        <v>183228.64</v>
      </c>
      <c r="R13" s="233">
        <v>165595.12</v>
      </c>
      <c r="S13" s="233">
        <v>146213.94</v>
      </c>
      <c r="T13" s="233"/>
      <c r="U13" s="233">
        <v>83031.36</v>
      </c>
      <c r="V13" s="233">
        <v>135057.46</v>
      </c>
      <c r="W13" s="233"/>
      <c r="X13" s="233"/>
      <c r="Y13" s="354"/>
      <c r="Z13" s="310"/>
      <c r="AA13" s="310"/>
      <c r="AB13" s="310" t="s">
        <v>84</v>
      </c>
      <c r="AC13" s="250"/>
      <c r="AD13" s="250">
        <v>60000</v>
      </c>
      <c r="AE13" s="250">
        <v>200000</v>
      </c>
      <c r="AF13" s="250"/>
      <c r="AG13" s="250"/>
      <c r="AH13" s="250">
        <v>200000</v>
      </c>
      <c r="AI13" s="250">
        <v>75000</v>
      </c>
      <c r="AJ13" s="250">
        <v>180000</v>
      </c>
      <c r="AK13" s="250">
        <v>150000</v>
      </c>
      <c r="AL13" s="250">
        <v>150000</v>
      </c>
      <c r="AM13" s="250">
        <v>125846.87</v>
      </c>
      <c r="AN13" s="265"/>
      <c r="AO13" s="266">
        <f t="shared" si="1"/>
        <v>1358935.69</v>
      </c>
      <c r="AP13" s="274">
        <f t="shared" si="2"/>
        <v>1140846.87</v>
      </c>
      <c r="AQ13" s="359">
        <f t="shared" si="5"/>
        <v>218088.82</v>
      </c>
      <c r="AR13" s="360">
        <f t="shared" si="3"/>
        <v>83031.3599999996</v>
      </c>
      <c r="AS13" s="276" t="s">
        <v>85</v>
      </c>
      <c r="AT13" s="277"/>
      <c r="AU13" s="101" t="e">
        <f>VLOOKUP(D13,#REF!,12,FALSE)</f>
        <v>#REF!</v>
      </c>
      <c r="AV13" s="101" t="e">
        <f t="shared" si="4"/>
        <v>#REF!</v>
      </c>
      <c r="AX13" s="101"/>
    </row>
    <row r="14" s="10" customFormat="1" ht="24.05" customHeight="1" spans="2:53">
      <c r="B14" s="45" t="s">
        <v>81</v>
      </c>
      <c r="C14" s="325" t="s">
        <v>107</v>
      </c>
      <c r="D14" s="46" t="s">
        <v>108</v>
      </c>
      <c r="E14" s="326">
        <v>0</v>
      </c>
      <c r="F14" s="332">
        <v>274834.08</v>
      </c>
      <c r="G14" s="333"/>
      <c r="H14" s="333"/>
      <c r="I14" s="332"/>
      <c r="J14" s="333">
        <v>275114</v>
      </c>
      <c r="K14" s="333">
        <v>384487.79</v>
      </c>
      <c r="L14" s="343">
        <f t="shared" si="0"/>
        <v>659601.79</v>
      </c>
      <c r="M14" s="232">
        <v>274834.08</v>
      </c>
      <c r="N14" s="233">
        <v>219867.26</v>
      </c>
      <c r="O14" s="233"/>
      <c r="P14" s="233">
        <v>219867.26</v>
      </c>
      <c r="Q14" s="233">
        <v>549668.16</v>
      </c>
      <c r="R14" s="233">
        <v>404006.1</v>
      </c>
      <c r="S14" s="233">
        <v>329800.9</v>
      </c>
      <c r="T14" s="233">
        <v>54966.82</v>
      </c>
      <c r="U14" s="233">
        <v>54966.82</v>
      </c>
      <c r="V14" s="233">
        <v>219867.26</v>
      </c>
      <c r="W14" s="233"/>
      <c r="X14" s="233"/>
      <c r="Y14" s="354"/>
      <c r="Z14" s="310"/>
      <c r="AA14" s="310"/>
      <c r="AB14" s="310" t="s">
        <v>84</v>
      </c>
      <c r="AC14" s="250"/>
      <c r="AD14" s="250">
        <v>200000</v>
      </c>
      <c r="AE14" s="250">
        <v>459601.79</v>
      </c>
      <c r="AF14" s="250">
        <v>274834.08</v>
      </c>
      <c r="AG14" s="250">
        <v>219867.26</v>
      </c>
      <c r="AH14" s="250"/>
      <c r="AI14" s="250">
        <v>219867.26</v>
      </c>
      <c r="AJ14" s="250">
        <v>549668.16</v>
      </c>
      <c r="AK14" s="250">
        <v>458972.92</v>
      </c>
      <c r="AL14" s="250">
        <v>274834.08</v>
      </c>
      <c r="AM14" s="250">
        <v>54966.82</v>
      </c>
      <c r="AN14" s="265"/>
      <c r="AO14" s="266">
        <f t="shared" si="1"/>
        <v>2987446.45</v>
      </c>
      <c r="AP14" s="274">
        <f t="shared" si="2"/>
        <v>2712612.37</v>
      </c>
      <c r="AQ14" s="359">
        <f t="shared" si="5"/>
        <v>274834.08</v>
      </c>
      <c r="AR14" s="360">
        <f t="shared" si="3"/>
        <v>54966.8200000001</v>
      </c>
      <c r="AS14" s="276" t="s">
        <v>85</v>
      </c>
      <c r="AT14" s="277"/>
      <c r="AU14" s="101" t="e">
        <f>VLOOKUP(D14,#REF!,12,FALSE)</f>
        <v>#REF!</v>
      </c>
      <c r="AV14" s="101" t="e">
        <f t="shared" si="4"/>
        <v>#REF!</v>
      </c>
      <c r="AX14" s="101"/>
      <c r="BA14" s="373"/>
    </row>
    <row r="15" s="10" customFormat="1" ht="24.05" customHeight="1" spans="2:50">
      <c r="B15" s="45" t="s">
        <v>81</v>
      </c>
      <c r="C15" s="325" t="s">
        <v>109</v>
      </c>
      <c r="D15" s="46" t="s">
        <v>204</v>
      </c>
      <c r="E15" s="326">
        <v>24.7300000000541</v>
      </c>
      <c r="F15" s="332">
        <v>46967.34</v>
      </c>
      <c r="G15" s="333">
        <v>15405.75</v>
      </c>
      <c r="H15" s="333">
        <v>10937.5</v>
      </c>
      <c r="I15" s="332"/>
      <c r="J15" s="333"/>
      <c r="K15" s="333">
        <v>16455.51</v>
      </c>
      <c r="L15" s="343">
        <f t="shared" si="0"/>
        <v>16480.2400000001</v>
      </c>
      <c r="M15" s="232"/>
      <c r="N15" s="233">
        <f>7685.81-0.99</f>
        <v>7684.82</v>
      </c>
      <c r="O15" s="233">
        <f>16159+17289</f>
        <v>33448</v>
      </c>
      <c r="P15" s="233">
        <v>13901.26</v>
      </c>
      <c r="Q15" s="233">
        <f>11300+13749.84</f>
        <v>25049.84</v>
      </c>
      <c r="R15" s="233">
        <v>33765.53</v>
      </c>
      <c r="S15" s="233"/>
      <c r="T15" s="233">
        <v>22780.8</v>
      </c>
      <c r="U15" s="233"/>
      <c r="V15" s="233">
        <v>6597.88</v>
      </c>
      <c r="W15" s="233">
        <v>37.97</v>
      </c>
      <c r="X15" s="233"/>
      <c r="Y15" s="354"/>
      <c r="Z15" s="310"/>
      <c r="AA15" s="310"/>
      <c r="AB15" s="310" t="s">
        <v>84</v>
      </c>
      <c r="AC15" s="250"/>
      <c r="AD15" s="250">
        <v>16455.51</v>
      </c>
      <c r="AE15" s="250">
        <v>7684.82</v>
      </c>
      <c r="AF15" s="250">
        <v>33448</v>
      </c>
      <c r="AG15" s="250">
        <v>25201.26</v>
      </c>
      <c r="AH15" s="250">
        <v>13749.84</v>
      </c>
      <c r="AI15" s="250">
        <v>33765.53</v>
      </c>
      <c r="AJ15" s="250"/>
      <c r="AK15" s="250">
        <v>22780.8</v>
      </c>
      <c r="AL15" s="250">
        <v>6597.88</v>
      </c>
      <c r="AM15" s="250"/>
      <c r="AN15" s="265"/>
      <c r="AO15" s="266">
        <f t="shared" si="1"/>
        <v>159746.34</v>
      </c>
      <c r="AP15" s="274">
        <f t="shared" si="2"/>
        <v>159683.64</v>
      </c>
      <c r="AQ15" s="359">
        <f t="shared" si="5"/>
        <v>62.7000000000698</v>
      </c>
      <c r="AR15" s="360">
        <v>0</v>
      </c>
      <c r="AS15" s="276" t="s">
        <v>111</v>
      </c>
      <c r="AT15" s="277"/>
      <c r="AU15" s="101" t="e">
        <f>VLOOKUP(D15,#REF!,12,FALSE)</f>
        <v>#REF!</v>
      </c>
      <c r="AV15" s="101" t="e">
        <f t="shared" si="4"/>
        <v>#REF!</v>
      </c>
      <c r="AX15" s="101"/>
    </row>
    <row r="16" s="10" customFormat="1" ht="24.05" customHeight="1" spans="2:50">
      <c r="B16" s="45" t="s">
        <v>81</v>
      </c>
      <c r="C16" s="325" t="s">
        <v>112</v>
      </c>
      <c r="D16" s="46" t="s">
        <v>113</v>
      </c>
      <c r="E16" s="326">
        <v>379687.2</v>
      </c>
      <c r="F16" s="332">
        <v>173327.19</v>
      </c>
      <c r="G16" s="333"/>
      <c r="H16" s="333"/>
      <c r="I16" s="332"/>
      <c r="J16" s="333">
        <f>44175.26+85444.78</f>
        <v>129620.04</v>
      </c>
      <c r="K16" s="333">
        <v>108012.24</v>
      </c>
      <c r="L16" s="343">
        <f t="shared" si="0"/>
        <v>617319.48</v>
      </c>
      <c r="M16" s="232">
        <v>41693.56</v>
      </c>
      <c r="N16" s="233">
        <v>29584.08</v>
      </c>
      <c r="O16" s="233"/>
      <c r="P16" s="233">
        <v>68983.39</v>
      </c>
      <c r="Q16" s="233">
        <f>93334.56</f>
        <v>93334.56</v>
      </c>
      <c r="R16" s="233">
        <f>95831.35+42720.16</f>
        <v>138551.51</v>
      </c>
      <c r="S16" s="233">
        <v>90801.54</v>
      </c>
      <c r="T16" s="233">
        <v>20924.89</v>
      </c>
      <c r="U16" s="233"/>
      <c r="V16" s="233">
        <v>64055.69</v>
      </c>
      <c r="W16" s="233">
        <v>21990.53</v>
      </c>
      <c r="X16" s="233"/>
      <c r="Y16" s="354"/>
      <c r="Z16" s="310"/>
      <c r="AA16" s="310"/>
      <c r="AB16" s="310" t="s">
        <v>84</v>
      </c>
      <c r="AC16" s="250"/>
      <c r="AD16" s="250">
        <v>300000</v>
      </c>
      <c r="AE16" s="250"/>
      <c r="AF16" s="250"/>
      <c r="AG16" s="250"/>
      <c r="AH16" s="250">
        <v>150000</v>
      </c>
      <c r="AI16" s="250"/>
      <c r="AJ16" s="250"/>
      <c r="AK16" s="250">
        <v>200000</v>
      </c>
      <c r="AL16" s="250">
        <v>200000</v>
      </c>
      <c r="AM16" s="250"/>
      <c r="AN16" s="265"/>
      <c r="AO16" s="266">
        <f t="shared" si="1"/>
        <v>1187239.23</v>
      </c>
      <c r="AP16" s="274">
        <f t="shared" si="2"/>
        <v>850000</v>
      </c>
      <c r="AQ16" s="359">
        <f t="shared" si="5"/>
        <v>337239.23</v>
      </c>
      <c r="AR16" s="360">
        <f t="shared" si="3"/>
        <v>251193.01</v>
      </c>
      <c r="AS16" s="276" t="s">
        <v>85</v>
      </c>
      <c r="AT16" s="277"/>
      <c r="AU16" s="101" t="e">
        <f>VLOOKUP(D16,#REF!,12,FALSE)</f>
        <v>#REF!</v>
      </c>
      <c r="AV16" s="101" t="e">
        <f t="shared" si="4"/>
        <v>#REF!</v>
      </c>
      <c r="AX16" s="101"/>
    </row>
    <row r="17" s="10" customFormat="1" ht="24.05" customHeight="1" spans="2:50">
      <c r="B17" s="45" t="s">
        <v>81</v>
      </c>
      <c r="C17" s="325" t="s">
        <v>114</v>
      </c>
      <c r="D17" s="46" t="s">
        <v>115</v>
      </c>
      <c r="E17" s="326">
        <v>268.440000000061</v>
      </c>
      <c r="F17" s="332"/>
      <c r="G17" s="333"/>
      <c r="H17" s="333"/>
      <c r="I17" s="332">
        <v>290622.44</v>
      </c>
      <c r="J17" s="333"/>
      <c r="K17" s="333"/>
      <c r="L17" s="343">
        <f t="shared" si="0"/>
        <v>290890.88</v>
      </c>
      <c r="M17" s="232">
        <v>306840.2</v>
      </c>
      <c r="N17" s="233"/>
      <c r="O17" s="233"/>
      <c r="P17" s="233">
        <v>70814.84</v>
      </c>
      <c r="Q17" s="233">
        <v>109158</v>
      </c>
      <c r="R17" s="233">
        <v>102111.32</v>
      </c>
      <c r="S17" s="233">
        <v>109560.28</v>
      </c>
      <c r="T17" s="233"/>
      <c r="U17" s="233"/>
      <c r="V17" s="233"/>
      <c r="W17" s="233">
        <f>18193+8176.68+48219.36+77671.68</f>
        <v>152260.72</v>
      </c>
      <c r="X17" s="233"/>
      <c r="Y17" s="354"/>
      <c r="Z17" s="310"/>
      <c r="AA17" s="310"/>
      <c r="AB17" s="310" t="s">
        <v>84</v>
      </c>
      <c r="AC17" s="250"/>
      <c r="AD17" s="250">
        <v>100000</v>
      </c>
      <c r="AE17" s="250">
        <v>297731.38</v>
      </c>
      <c r="AF17" s="250"/>
      <c r="AG17" s="250">
        <v>199999.7</v>
      </c>
      <c r="AH17" s="250"/>
      <c r="AI17" s="250"/>
      <c r="AJ17" s="250">
        <v>109158</v>
      </c>
      <c r="AK17" s="250"/>
      <c r="AL17" s="250"/>
      <c r="AM17" s="250">
        <v>70814.84</v>
      </c>
      <c r="AN17" s="265"/>
      <c r="AO17" s="266">
        <f t="shared" si="1"/>
        <v>1141636.24</v>
      </c>
      <c r="AP17" s="274">
        <f t="shared" si="2"/>
        <v>777703.92</v>
      </c>
      <c r="AQ17" s="359">
        <f t="shared" si="5"/>
        <v>363932.32</v>
      </c>
      <c r="AR17" s="360">
        <f t="shared" si="3"/>
        <v>211671.6</v>
      </c>
      <c r="AS17" s="276" t="s">
        <v>85</v>
      </c>
      <c r="AT17" s="277"/>
      <c r="AU17" s="101" t="e">
        <f>VLOOKUP(D17,#REF!,12,FALSE)</f>
        <v>#REF!</v>
      </c>
      <c r="AV17" s="101" t="e">
        <f t="shared" si="4"/>
        <v>#REF!</v>
      </c>
      <c r="AX17" s="101"/>
    </row>
    <row r="18" s="10" customFormat="1" ht="24.05" customHeight="1" spans="2:53">
      <c r="B18" s="45" t="s">
        <v>81</v>
      </c>
      <c r="C18" s="325" t="s">
        <v>116</v>
      </c>
      <c r="D18" s="46" t="s">
        <v>205</v>
      </c>
      <c r="E18" s="326">
        <v>36671.4</v>
      </c>
      <c r="F18" s="332"/>
      <c r="G18" s="333">
        <v>28601.2</v>
      </c>
      <c r="H18" s="333"/>
      <c r="I18" s="332"/>
      <c r="J18" s="333"/>
      <c r="K18" s="333"/>
      <c r="L18" s="343">
        <f t="shared" si="0"/>
        <v>36671.4</v>
      </c>
      <c r="M18" s="232">
        <v>19717.03</v>
      </c>
      <c r="N18" s="233"/>
      <c r="O18" s="233"/>
      <c r="P18" s="233">
        <v>25264.02</v>
      </c>
      <c r="Q18" s="233">
        <v>32724.8</v>
      </c>
      <c r="R18" s="233"/>
      <c r="S18" s="233">
        <v>31278.4</v>
      </c>
      <c r="T18" s="233"/>
      <c r="U18" s="233">
        <v>9119.1</v>
      </c>
      <c r="V18" s="233">
        <v>8203.8</v>
      </c>
      <c r="W18" s="233"/>
      <c r="X18" s="233"/>
      <c r="Y18" s="354"/>
      <c r="Z18" s="310"/>
      <c r="AA18" s="310"/>
      <c r="AB18" s="310" t="s">
        <v>84</v>
      </c>
      <c r="AC18" s="250"/>
      <c r="AD18" s="250">
        <f>20000+8070.2</f>
        <v>28070.2</v>
      </c>
      <c r="AE18" s="250"/>
      <c r="AF18" s="250"/>
      <c r="AG18" s="250"/>
      <c r="AH18" s="250"/>
      <c r="AI18" s="250"/>
      <c r="AJ18" s="250">
        <v>61043.03</v>
      </c>
      <c r="AK18" s="250"/>
      <c r="AL18" s="250">
        <v>31278.4</v>
      </c>
      <c r="AM18" s="250">
        <v>25264.02</v>
      </c>
      <c r="AN18" s="265"/>
      <c r="AO18" s="266">
        <f t="shared" si="1"/>
        <v>162978.55</v>
      </c>
      <c r="AP18" s="274">
        <f t="shared" si="2"/>
        <v>145655.65</v>
      </c>
      <c r="AQ18" s="359">
        <f t="shared" si="5"/>
        <v>17322.9</v>
      </c>
      <c r="AR18" s="360">
        <f t="shared" si="3"/>
        <v>9119.09999999999</v>
      </c>
      <c r="AS18" s="276" t="s">
        <v>85</v>
      </c>
      <c r="AT18" s="277"/>
      <c r="AU18" s="101" t="e">
        <f>VLOOKUP(D18,#REF!,12,FALSE)</f>
        <v>#REF!</v>
      </c>
      <c r="AV18" s="101" t="e">
        <f t="shared" si="4"/>
        <v>#REF!</v>
      </c>
      <c r="AX18" s="101"/>
      <c r="BA18" s="373"/>
    </row>
    <row r="19" s="10" customFormat="1" ht="24.05" customHeight="1" spans="2:50">
      <c r="B19" s="45" t="s">
        <v>81</v>
      </c>
      <c r="C19" s="325" t="s">
        <v>118</v>
      </c>
      <c r="D19" s="46" t="s">
        <v>119</v>
      </c>
      <c r="E19" s="326">
        <v>283331</v>
      </c>
      <c r="F19" s="332"/>
      <c r="G19" s="333"/>
      <c r="H19" s="333"/>
      <c r="I19" s="332"/>
      <c r="J19" s="333"/>
      <c r="K19" s="333"/>
      <c r="L19" s="343">
        <f t="shared" si="0"/>
        <v>283331</v>
      </c>
      <c r="M19" s="232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354"/>
      <c r="Z19" s="310"/>
      <c r="AA19" s="310"/>
      <c r="AB19" s="310" t="s">
        <v>84</v>
      </c>
      <c r="AC19" s="250"/>
      <c r="AD19" s="250">
        <v>100000</v>
      </c>
      <c r="AE19" s="250">
        <v>100000</v>
      </c>
      <c r="AF19" s="250"/>
      <c r="AG19" s="250"/>
      <c r="AH19" s="250"/>
      <c r="AI19" s="250"/>
      <c r="AJ19" s="250">
        <v>83331</v>
      </c>
      <c r="AK19" s="250"/>
      <c r="AL19" s="250"/>
      <c r="AM19" s="250"/>
      <c r="AN19" s="265"/>
      <c r="AO19" s="266">
        <f t="shared" si="1"/>
        <v>283331</v>
      </c>
      <c r="AP19" s="274">
        <f t="shared" si="2"/>
        <v>283331</v>
      </c>
      <c r="AQ19" s="359">
        <f t="shared" si="5"/>
        <v>0</v>
      </c>
      <c r="AR19" s="360">
        <f t="shared" si="3"/>
        <v>0</v>
      </c>
      <c r="AS19" s="276" t="s">
        <v>85</v>
      </c>
      <c r="AT19" s="277"/>
      <c r="AU19" s="101" t="e">
        <f>VLOOKUP(D19,#REF!,12,FALSE)</f>
        <v>#REF!</v>
      </c>
      <c r="AV19" s="101" t="e">
        <f t="shared" si="4"/>
        <v>#REF!</v>
      </c>
      <c r="AX19" s="101"/>
    </row>
    <row r="20" s="10" customFormat="1" ht="24.05" customHeight="1" spans="2:50">
      <c r="B20" s="48" t="s">
        <v>81</v>
      </c>
      <c r="C20" s="325" t="s">
        <v>120</v>
      </c>
      <c r="D20" s="46" t="s">
        <v>121</v>
      </c>
      <c r="E20" s="326">
        <v>0</v>
      </c>
      <c r="F20" s="332"/>
      <c r="G20" s="333"/>
      <c r="H20" s="333"/>
      <c r="I20" s="332"/>
      <c r="J20" s="333"/>
      <c r="K20" s="333"/>
      <c r="L20" s="343">
        <f t="shared" si="0"/>
        <v>0</v>
      </c>
      <c r="M20" s="232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354"/>
      <c r="Z20" s="310"/>
      <c r="AA20" s="310"/>
      <c r="AB20" s="310" t="s">
        <v>84</v>
      </c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65"/>
      <c r="AO20" s="266">
        <f t="shared" si="1"/>
        <v>0</v>
      </c>
      <c r="AP20" s="274">
        <f t="shared" si="2"/>
        <v>0</v>
      </c>
      <c r="AQ20" s="359">
        <f t="shared" si="5"/>
        <v>0</v>
      </c>
      <c r="AR20" s="360">
        <f t="shared" si="3"/>
        <v>0</v>
      </c>
      <c r="AS20" s="276" t="s">
        <v>85</v>
      </c>
      <c r="AT20" s="277"/>
      <c r="AU20" s="101" t="e">
        <f>VLOOKUP(D20,#REF!,12,FALSE)</f>
        <v>#REF!</v>
      </c>
      <c r="AV20" s="101" t="e">
        <f t="shared" si="4"/>
        <v>#REF!</v>
      </c>
      <c r="AX20" s="101"/>
    </row>
    <row r="21" s="10" customFormat="1" ht="24.05" customHeight="1" spans="2:50">
      <c r="B21" s="48" t="s">
        <v>81</v>
      </c>
      <c r="C21" s="325" t="s">
        <v>122</v>
      </c>
      <c r="D21" s="46" t="s">
        <v>123</v>
      </c>
      <c r="E21" s="326">
        <v>568253.28</v>
      </c>
      <c r="F21" s="332">
        <v>568253.28</v>
      </c>
      <c r="G21" s="333"/>
      <c r="H21" s="333"/>
      <c r="I21" s="332"/>
      <c r="J21" s="333">
        <v>285575.32</v>
      </c>
      <c r="K21" s="333">
        <v>401604.1</v>
      </c>
      <c r="L21" s="343">
        <f t="shared" si="0"/>
        <v>1255432.7</v>
      </c>
      <c r="M21" s="232">
        <v>199090.48</v>
      </c>
      <c r="N21" s="233">
        <v>169506.78</v>
      </c>
      <c r="O21" s="233"/>
      <c r="P21" s="233">
        <v>422660.9</v>
      </c>
      <c r="Q21" s="233">
        <v>819237.83</v>
      </c>
      <c r="R21" s="233">
        <v>486674.09</v>
      </c>
      <c r="S21" s="233">
        <f>108777.24+108777.24+72151.07</f>
        <v>289705.55</v>
      </c>
      <c r="T21" s="233">
        <f>41724.12+92223.82</f>
        <v>133947.94</v>
      </c>
      <c r="U21" s="233">
        <f>91620.4+61839.2+110446.2</f>
        <v>263905.8</v>
      </c>
      <c r="V21" s="233">
        <f>61285.37+108657.35</f>
        <v>169942.72</v>
      </c>
      <c r="W21" s="233">
        <f>110446.2+11854.56+3850</f>
        <v>126150.76</v>
      </c>
      <c r="X21" s="233"/>
      <c r="Y21" s="354"/>
      <c r="Z21" s="310"/>
      <c r="AA21" s="310"/>
      <c r="AB21" s="310" t="s">
        <v>84</v>
      </c>
      <c r="AC21" s="250"/>
      <c r="AD21" s="250">
        <v>400000</v>
      </c>
      <c r="AE21" s="250">
        <v>453828.6</v>
      </c>
      <c r="AF21" s="250">
        <v>401604.1</v>
      </c>
      <c r="AG21" s="250">
        <v>368597.26</v>
      </c>
      <c r="AH21" s="250">
        <v>401604.1</v>
      </c>
      <c r="AI21" s="250"/>
      <c r="AJ21" s="250">
        <v>500000</v>
      </c>
      <c r="AK21" s="250">
        <v>741898.73</v>
      </c>
      <c r="AL21" s="250">
        <v>374775.54</v>
      </c>
      <c r="AM21" s="250">
        <v>303890.66</v>
      </c>
      <c r="AN21" s="265"/>
      <c r="AO21" s="266">
        <f t="shared" si="1"/>
        <v>4336255.55</v>
      </c>
      <c r="AP21" s="274">
        <f t="shared" si="2"/>
        <v>3946198.99</v>
      </c>
      <c r="AQ21" s="359">
        <f t="shared" si="5"/>
        <v>390056.56</v>
      </c>
      <c r="AR21" s="360">
        <f t="shared" si="3"/>
        <v>93963.0799999996</v>
      </c>
      <c r="AS21" s="276" t="s">
        <v>85</v>
      </c>
      <c r="AT21" s="277"/>
      <c r="AU21" s="101" t="e">
        <f>VLOOKUP(D21,#REF!,12,FALSE)</f>
        <v>#REF!</v>
      </c>
      <c r="AV21" s="101" t="e">
        <f t="shared" si="4"/>
        <v>#REF!</v>
      </c>
      <c r="AX21" s="101"/>
    </row>
    <row r="22" s="10" customFormat="1" ht="24.05" customHeight="1" spans="2:53">
      <c r="B22" s="48" t="s">
        <v>81</v>
      </c>
      <c r="C22" s="325" t="s">
        <v>124</v>
      </c>
      <c r="D22" s="46" t="s">
        <v>125</v>
      </c>
      <c r="E22" s="326">
        <v>7726.19999999992</v>
      </c>
      <c r="F22" s="332">
        <v>38917.2</v>
      </c>
      <c r="G22" s="333"/>
      <c r="H22" s="333"/>
      <c r="I22" s="332">
        <v>22401.12</v>
      </c>
      <c r="J22" s="333">
        <v>37398.48</v>
      </c>
      <c r="K22" s="333">
        <v>36373.34</v>
      </c>
      <c r="L22" s="343">
        <f t="shared" si="0"/>
        <v>103899.14</v>
      </c>
      <c r="M22" s="232"/>
      <c r="N22" s="233"/>
      <c r="O22" s="233">
        <f>25248.72+13288.8</f>
        <v>38537.52</v>
      </c>
      <c r="P22" s="233"/>
      <c r="Q22" s="233"/>
      <c r="R22" s="233">
        <v>53060.28</v>
      </c>
      <c r="S22" s="233"/>
      <c r="T22" s="233">
        <v>19933.2</v>
      </c>
      <c r="U22" s="233"/>
      <c r="V22" s="233"/>
      <c r="W22" s="233"/>
      <c r="X22" s="233"/>
      <c r="Y22" s="354"/>
      <c r="Z22" s="310"/>
      <c r="AA22" s="310"/>
      <c r="AB22" s="310" t="s">
        <v>84</v>
      </c>
      <c r="AC22" s="250"/>
      <c r="AD22" s="250">
        <v>23000</v>
      </c>
      <c r="AE22" s="250"/>
      <c r="AF22" s="250"/>
      <c r="AG22" s="250"/>
      <c r="AH22" s="250"/>
      <c r="AI22" s="250"/>
      <c r="AJ22" s="250">
        <v>60938.64</v>
      </c>
      <c r="AK22" s="250"/>
      <c r="AL22" s="250">
        <v>56306.54</v>
      </c>
      <c r="AM22" s="250">
        <f>37398.48+37786.48</f>
        <v>75184.96</v>
      </c>
      <c r="AN22" s="265"/>
      <c r="AO22" s="266">
        <f t="shared" si="1"/>
        <v>215430.14</v>
      </c>
      <c r="AP22" s="274">
        <f t="shared" si="2"/>
        <v>215430.14</v>
      </c>
      <c r="AQ22" s="359">
        <f t="shared" si="5"/>
        <v>0</v>
      </c>
      <c r="AR22" s="360">
        <f t="shared" si="3"/>
        <v>0</v>
      </c>
      <c r="AS22" s="276" t="s">
        <v>85</v>
      </c>
      <c r="AT22" s="277"/>
      <c r="AU22" s="101" t="e">
        <f>VLOOKUP(D22,#REF!,12,FALSE)</f>
        <v>#REF!</v>
      </c>
      <c r="AV22" s="101" t="e">
        <f t="shared" si="4"/>
        <v>#REF!</v>
      </c>
      <c r="AX22" s="101"/>
      <c r="BA22" s="373"/>
    </row>
    <row r="23" s="10" customFormat="1" ht="24.05" customHeight="1" spans="2:50">
      <c r="B23" s="48" t="s">
        <v>81</v>
      </c>
      <c r="C23" s="325" t="s">
        <v>126</v>
      </c>
      <c r="D23" s="46" t="s">
        <v>127</v>
      </c>
      <c r="E23" s="326">
        <v>0</v>
      </c>
      <c r="F23" s="332">
        <v>5455.64</v>
      </c>
      <c r="G23" s="333"/>
      <c r="H23" s="333"/>
      <c r="I23" s="332"/>
      <c r="J23" s="333"/>
      <c r="K23" s="333"/>
      <c r="L23" s="343">
        <f t="shared" si="0"/>
        <v>0</v>
      </c>
      <c r="M23" s="232"/>
      <c r="N23" s="233"/>
      <c r="O23" s="233"/>
      <c r="P23" s="233"/>
      <c r="Q23" s="233">
        <v>5455.64</v>
      </c>
      <c r="R23" s="233"/>
      <c r="S23" s="233"/>
      <c r="T23" s="233"/>
      <c r="U23" s="233"/>
      <c r="V23" s="233"/>
      <c r="W23" s="233"/>
      <c r="X23" s="233"/>
      <c r="Y23" s="354"/>
      <c r="Z23" s="310"/>
      <c r="AA23" s="310"/>
      <c r="AB23" s="310" t="s">
        <v>84</v>
      </c>
      <c r="AC23" s="250"/>
      <c r="AD23" s="250"/>
      <c r="AE23" s="250"/>
      <c r="AF23" s="250">
        <v>5455.64</v>
      </c>
      <c r="AG23" s="250"/>
      <c r="AH23" s="250"/>
      <c r="AI23" s="250"/>
      <c r="AJ23" s="250"/>
      <c r="AK23" s="250"/>
      <c r="AL23" s="250"/>
      <c r="AM23" s="250"/>
      <c r="AN23" s="265"/>
      <c r="AO23" s="266">
        <f t="shared" si="1"/>
        <v>5455.64</v>
      </c>
      <c r="AP23" s="274">
        <f t="shared" si="2"/>
        <v>5455.64</v>
      </c>
      <c r="AQ23" s="359">
        <f t="shared" si="5"/>
        <v>0</v>
      </c>
      <c r="AR23" s="360">
        <f t="shared" si="3"/>
        <v>0</v>
      </c>
      <c r="AS23" s="276" t="s">
        <v>96</v>
      </c>
      <c r="AT23" s="277"/>
      <c r="AU23" s="101" t="e">
        <f>VLOOKUP(D23,#REF!,12,FALSE)</f>
        <v>#REF!</v>
      </c>
      <c r="AV23" s="101" t="e">
        <f t="shared" si="4"/>
        <v>#REF!</v>
      </c>
      <c r="AX23" s="101"/>
    </row>
    <row r="24" s="10" customFormat="1" ht="24.05" customHeight="1" spans="2:50">
      <c r="B24" s="48" t="s">
        <v>81</v>
      </c>
      <c r="C24" s="325" t="s">
        <v>128</v>
      </c>
      <c r="D24" s="46" t="s">
        <v>129</v>
      </c>
      <c r="E24" s="326">
        <v>74904.3</v>
      </c>
      <c r="F24" s="332">
        <v>72360.68</v>
      </c>
      <c r="G24" s="333"/>
      <c r="H24" s="333"/>
      <c r="I24" s="332"/>
      <c r="J24" s="333"/>
      <c r="K24" s="344">
        <v>33212.24</v>
      </c>
      <c r="L24" s="343">
        <f t="shared" si="0"/>
        <v>108116.54</v>
      </c>
      <c r="M24" s="232"/>
      <c r="N24" s="233"/>
      <c r="O24" s="233"/>
      <c r="P24" s="233">
        <v>34952.03</v>
      </c>
      <c r="Q24" s="233">
        <v>60294.54</v>
      </c>
      <c r="R24" s="233">
        <v>42429.39</v>
      </c>
      <c r="S24" s="233">
        <v>43470.9</v>
      </c>
      <c r="T24" s="233"/>
      <c r="U24" s="233"/>
      <c r="V24" s="233">
        <v>47132.53</v>
      </c>
      <c r="W24" s="233"/>
      <c r="X24" s="233"/>
      <c r="Y24" s="354"/>
      <c r="Z24" s="310"/>
      <c r="AA24" s="310"/>
      <c r="AB24" s="310" t="s">
        <v>84</v>
      </c>
      <c r="AC24" s="250"/>
      <c r="AD24" s="250">
        <v>74904.3</v>
      </c>
      <c r="AE24" s="250"/>
      <c r="AF24" s="250"/>
      <c r="AG24" s="250">
        <v>34952.03</v>
      </c>
      <c r="AH24" s="250"/>
      <c r="AI24" s="250"/>
      <c r="AJ24" s="250">
        <v>60294.54</v>
      </c>
      <c r="AK24" s="250"/>
      <c r="AL24" s="250"/>
      <c r="AM24" s="250">
        <v>85900.29</v>
      </c>
      <c r="AN24" s="265"/>
      <c r="AO24" s="266">
        <f t="shared" si="1"/>
        <v>336395.93</v>
      </c>
      <c r="AP24" s="274">
        <f t="shared" si="2"/>
        <v>256051.16</v>
      </c>
      <c r="AQ24" s="359">
        <f t="shared" si="5"/>
        <v>80344.7700000001</v>
      </c>
      <c r="AR24" s="360">
        <f t="shared" si="3"/>
        <v>33212.2400000001</v>
      </c>
      <c r="AS24" s="276" t="s">
        <v>85</v>
      </c>
      <c r="AT24" s="277"/>
      <c r="AU24" s="101" t="e">
        <f>VLOOKUP(D24,#REF!,12,FALSE)</f>
        <v>#REF!</v>
      </c>
      <c r="AV24" s="101" t="e">
        <f t="shared" si="4"/>
        <v>#REF!</v>
      </c>
      <c r="AX24" s="101"/>
    </row>
    <row r="25" s="10" customFormat="1" ht="24.05" customHeight="1" spans="2:53">
      <c r="B25" s="48" t="s">
        <v>81</v>
      </c>
      <c r="C25" s="325" t="s">
        <v>130</v>
      </c>
      <c r="D25" s="46" t="s">
        <v>131</v>
      </c>
      <c r="E25" s="326">
        <v>-15576.8</v>
      </c>
      <c r="F25" s="332"/>
      <c r="G25" s="333"/>
      <c r="H25" s="333"/>
      <c r="I25" s="332">
        <v>2500</v>
      </c>
      <c r="J25" s="333">
        <v>1000</v>
      </c>
      <c r="K25" s="333"/>
      <c r="L25" s="343">
        <f t="shared" si="0"/>
        <v>-12076.8</v>
      </c>
      <c r="M25" s="232">
        <v>1000</v>
      </c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354"/>
      <c r="Z25" s="310"/>
      <c r="AA25" s="310"/>
      <c r="AB25" s="310" t="s">
        <v>84</v>
      </c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65"/>
      <c r="AO25" s="266">
        <f t="shared" si="1"/>
        <v>-11076.8</v>
      </c>
      <c r="AP25" s="274">
        <f t="shared" si="2"/>
        <v>0</v>
      </c>
      <c r="AQ25" s="359">
        <f t="shared" si="5"/>
        <v>-11076.8</v>
      </c>
      <c r="AR25" s="360">
        <v>0</v>
      </c>
      <c r="AS25" s="276" t="s">
        <v>85</v>
      </c>
      <c r="AT25" s="277"/>
      <c r="AU25" s="101" t="e">
        <f>VLOOKUP(D25,#REF!,12,FALSE)</f>
        <v>#REF!</v>
      </c>
      <c r="AV25" s="101" t="e">
        <f t="shared" si="4"/>
        <v>#REF!</v>
      </c>
      <c r="AX25" s="101"/>
      <c r="BA25" s="373"/>
    </row>
    <row r="26" s="10" customFormat="1" ht="24.05" customHeight="1" spans="2:53">
      <c r="B26" s="45" t="s">
        <v>81</v>
      </c>
      <c r="C26" s="325" t="s">
        <v>102</v>
      </c>
      <c r="D26" s="40" t="s">
        <v>103</v>
      </c>
      <c r="E26" s="326">
        <v>-818228.05</v>
      </c>
      <c r="F26" s="332"/>
      <c r="G26" s="333"/>
      <c r="H26" s="333"/>
      <c r="I26" s="332">
        <v>327734.09</v>
      </c>
      <c r="J26" s="333">
        <v>216787.22</v>
      </c>
      <c r="K26" s="333">
        <v>273706.82</v>
      </c>
      <c r="L26" s="343">
        <f t="shared" si="0"/>
        <v>0.0800000000745058</v>
      </c>
      <c r="M26" s="232">
        <v>56034.82</v>
      </c>
      <c r="N26" s="232">
        <v>51304.4</v>
      </c>
      <c r="O26" s="233">
        <v>63529.76</v>
      </c>
      <c r="P26" s="233">
        <v>243381.98</v>
      </c>
      <c r="Q26" s="233">
        <v>377470.62</v>
      </c>
      <c r="R26" s="233">
        <v>353804.17</v>
      </c>
      <c r="S26" s="233">
        <v>14195.88</v>
      </c>
      <c r="T26" s="233">
        <v>47482.76</v>
      </c>
      <c r="U26" s="233">
        <v>116108.04</v>
      </c>
      <c r="V26" s="233">
        <v>83727.08</v>
      </c>
      <c r="W26" s="233">
        <v>103488.12</v>
      </c>
      <c r="X26" s="233"/>
      <c r="Y26" s="354"/>
      <c r="Z26" s="310"/>
      <c r="AA26" s="310"/>
      <c r="AB26" s="310" t="s">
        <v>84</v>
      </c>
      <c r="AC26" s="250"/>
      <c r="AD26" s="250">
        <v>56034.8</v>
      </c>
      <c r="AE26" s="250">
        <v>51304.4</v>
      </c>
      <c r="AF26" s="250">
        <v>63529.78</v>
      </c>
      <c r="AG26" s="250">
        <v>243382</v>
      </c>
      <c r="AH26" s="250">
        <v>377470.59</v>
      </c>
      <c r="AI26" s="250">
        <v>353804.19</v>
      </c>
      <c r="AJ26" s="250">
        <v>14195.87</v>
      </c>
      <c r="AK26" s="250">
        <v>47482.78</v>
      </c>
      <c r="AL26" s="250">
        <v>116108.04</v>
      </c>
      <c r="AM26" s="250">
        <v>83727.03</v>
      </c>
      <c r="AN26" s="265"/>
      <c r="AO26" s="266">
        <f t="shared" si="1"/>
        <v>1510527.71</v>
      </c>
      <c r="AP26" s="274">
        <f t="shared" si="2"/>
        <v>1407039.48</v>
      </c>
      <c r="AQ26" s="359">
        <f t="shared" si="5"/>
        <v>103488.23</v>
      </c>
      <c r="AR26" s="360">
        <f t="shared" si="3"/>
        <v>-83726.9700000002</v>
      </c>
      <c r="AS26" s="276" t="s">
        <v>104</v>
      </c>
      <c r="AT26" s="277"/>
      <c r="AU26" s="101" t="e">
        <f>VLOOKUP(D26,#REF!,12,FALSE)</f>
        <v>#REF!</v>
      </c>
      <c r="AV26" s="101" t="e">
        <f t="shared" si="4"/>
        <v>#REF!</v>
      </c>
      <c r="AX26" s="101"/>
      <c r="BA26" s="373"/>
    </row>
    <row r="27" s="10" customFormat="1" ht="24.05" customHeight="1" spans="2:50">
      <c r="B27" s="48" t="s">
        <v>81</v>
      </c>
      <c r="C27" s="325" t="s">
        <v>132</v>
      </c>
      <c r="D27" s="40" t="s">
        <v>133</v>
      </c>
      <c r="E27" s="326">
        <v>341946.18</v>
      </c>
      <c r="F27" s="332">
        <v>160618.2</v>
      </c>
      <c r="G27" s="333"/>
      <c r="H27" s="333"/>
      <c r="I27" s="332"/>
      <c r="J27" s="333">
        <v>4283.15</v>
      </c>
      <c r="K27" s="333"/>
      <c r="L27" s="343">
        <f t="shared" si="0"/>
        <v>346229.33</v>
      </c>
      <c r="M27" s="232"/>
      <c r="N27" s="233"/>
      <c r="O27" s="233"/>
      <c r="P27" s="233"/>
      <c r="Q27" s="233">
        <v>256989.12</v>
      </c>
      <c r="R27" s="233">
        <v>224865.48</v>
      </c>
      <c r="S27" s="233"/>
      <c r="T27" s="233"/>
      <c r="U27" s="233">
        <v>578225.52</v>
      </c>
      <c r="V27" s="233"/>
      <c r="W27" s="233"/>
      <c r="X27" s="233"/>
      <c r="Y27" s="354"/>
      <c r="Z27" s="310"/>
      <c r="AA27" s="310"/>
      <c r="AB27" s="310" t="s">
        <v>84</v>
      </c>
      <c r="AC27" s="250"/>
      <c r="AD27" s="250">
        <v>535.4</v>
      </c>
      <c r="AE27" s="250"/>
      <c r="AF27" s="250"/>
      <c r="AG27" s="250">
        <v>3212.38</v>
      </c>
      <c r="AH27" s="250">
        <v>19809.58</v>
      </c>
      <c r="AI27" s="250">
        <v>146697.98</v>
      </c>
      <c r="AJ27" s="250">
        <v>4283.14</v>
      </c>
      <c r="AK27" s="250">
        <v>535.4</v>
      </c>
      <c r="AL27" s="250">
        <v>175073.84</v>
      </c>
      <c r="AM27" s="250">
        <f>133506.57+213622.22</f>
        <v>347128.79</v>
      </c>
      <c r="AN27" s="265"/>
      <c r="AO27" s="266">
        <f t="shared" si="1"/>
        <v>1406309.45</v>
      </c>
      <c r="AP27" s="274">
        <f t="shared" si="2"/>
        <v>697276.51</v>
      </c>
      <c r="AQ27" s="359">
        <f t="shared" si="5"/>
        <v>709032.94</v>
      </c>
      <c r="AR27" s="360">
        <f t="shared" si="3"/>
        <v>709032.94</v>
      </c>
      <c r="AS27" s="276" t="s">
        <v>104</v>
      </c>
      <c r="AT27" s="277"/>
      <c r="AU27" s="101" t="e">
        <f>VLOOKUP(D27,#REF!,12,FALSE)</f>
        <v>#REF!</v>
      </c>
      <c r="AV27" s="101" t="e">
        <f t="shared" si="4"/>
        <v>#REF!</v>
      </c>
      <c r="AX27" s="101"/>
    </row>
    <row r="28" s="10" customFormat="1" ht="24.05" customHeight="1" spans="2:50">
      <c r="B28" s="48" t="s">
        <v>134</v>
      </c>
      <c r="C28" s="325">
        <v>1951024</v>
      </c>
      <c r="D28" s="46" t="s">
        <v>206</v>
      </c>
      <c r="E28" s="326">
        <v>0</v>
      </c>
      <c r="F28" s="332"/>
      <c r="G28" s="333"/>
      <c r="H28" s="333"/>
      <c r="I28" s="332"/>
      <c r="J28" s="333"/>
      <c r="K28" s="333"/>
      <c r="L28" s="343">
        <f t="shared" si="0"/>
        <v>0</v>
      </c>
      <c r="M28" s="232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354"/>
      <c r="Z28" s="310"/>
      <c r="AA28" s="310"/>
      <c r="AB28" s="310" t="s">
        <v>84</v>
      </c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65"/>
      <c r="AO28" s="266">
        <f t="shared" si="1"/>
        <v>0</v>
      </c>
      <c r="AP28" s="274">
        <f t="shared" si="2"/>
        <v>0</v>
      </c>
      <c r="AQ28" s="359">
        <f t="shared" si="5"/>
        <v>0</v>
      </c>
      <c r="AR28" s="360">
        <f t="shared" si="3"/>
        <v>0</v>
      </c>
      <c r="AS28" s="276" t="s">
        <v>111</v>
      </c>
      <c r="AT28" s="277"/>
      <c r="AU28" s="101" t="e">
        <f>VLOOKUP(D28,#REF!,12,FALSE)</f>
        <v>#REF!</v>
      </c>
      <c r="AV28" s="101" t="e">
        <f t="shared" si="4"/>
        <v>#REF!</v>
      </c>
      <c r="AX28" s="101"/>
    </row>
    <row r="29" s="10" customFormat="1" ht="24.05" customHeight="1" spans="2:50">
      <c r="B29" s="48" t="s">
        <v>81</v>
      </c>
      <c r="C29" s="327" t="s">
        <v>136</v>
      </c>
      <c r="D29" s="328" t="s">
        <v>137</v>
      </c>
      <c r="E29" s="326">
        <v>44955.1399999999</v>
      </c>
      <c r="F29" s="332">
        <v>91703.4</v>
      </c>
      <c r="G29" s="333"/>
      <c r="H29" s="333"/>
      <c r="I29" s="332"/>
      <c r="J29" s="333"/>
      <c r="K29" s="333"/>
      <c r="L29" s="343">
        <f t="shared" si="0"/>
        <v>44955.1399999999</v>
      </c>
      <c r="M29" s="232"/>
      <c r="N29" s="233"/>
      <c r="O29" s="233"/>
      <c r="P29" s="233"/>
      <c r="Q29" s="233">
        <f>92579.77+96240.97</f>
        <v>188820.74</v>
      </c>
      <c r="R29" s="233">
        <v>48959.29</v>
      </c>
      <c r="S29" s="233"/>
      <c r="T29" s="233"/>
      <c r="U29" s="233">
        <f>90144.65+73031.61+49069.12</f>
        <v>212245.38</v>
      </c>
      <c r="V29" s="233">
        <v>58699</v>
      </c>
      <c r="W29" s="233">
        <v>28075.84</v>
      </c>
      <c r="X29" s="233"/>
      <c r="Y29" s="355"/>
      <c r="Z29" s="313"/>
      <c r="AA29" s="313"/>
      <c r="AB29" s="310" t="s">
        <v>84</v>
      </c>
      <c r="AC29" s="254"/>
      <c r="AD29" s="254">
        <v>70000</v>
      </c>
      <c r="AE29" s="250"/>
      <c r="AF29" s="250"/>
      <c r="AG29" s="250"/>
      <c r="AH29" s="250"/>
      <c r="AI29" s="250"/>
      <c r="AJ29" s="250"/>
      <c r="AK29" s="250">
        <v>150000</v>
      </c>
      <c r="AL29" s="250">
        <v>121434.17</v>
      </c>
      <c r="AM29" s="250">
        <v>212245.38</v>
      </c>
      <c r="AN29" s="265"/>
      <c r="AO29" s="266">
        <f t="shared" si="1"/>
        <v>581755.39</v>
      </c>
      <c r="AP29" s="274">
        <f t="shared" si="2"/>
        <v>553679.55</v>
      </c>
      <c r="AQ29" s="359">
        <f t="shared" si="5"/>
        <v>28075.8399999997</v>
      </c>
      <c r="AR29" s="360">
        <f t="shared" si="3"/>
        <v>-58699.0000000003</v>
      </c>
      <c r="AS29" s="278" t="s">
        <v>85</v>
      </c>
      <c r="AT29" s="279"/>
      <c r="AU29" s="101" t="e">
        <f>VLOOKUP(D29,#REF!,12,FALSE)</f>
        <v>#REF!</v>
      </c>
      <c r="AV29" s="101" t="e">
        <f t="shared" si="4"/>
        <v>#REF!</v>
      </c>
      <c r="AX29" s="101"/>
    </row>
    <row r="30" s="10" customFormat="1" ht="24.05" customHeight="1" spans="2:50">
      <c r="B30" s="48" t="s">
        <v>81</v>
      </c>
      <c r="C30" s="327" t="s">
        <v>138</v>
      </c>
      <c r="D30" s="328" t="s">
        <v>139</v>
      </c>
      <c r="E30" s="326">
        <v>0</v>
      </c>
      <c r="F30" s="332"/>
      <c r="G30" s="333"/>
      <c r="H30" s="345"/>
      <c r="I30" s="332"/>
      <c r="J30" s="333"/>
      <c r="K30" s="345"/>
      <c r="L30" s="343">
        <f t="shared" si="0"/>
        <v>0</v>
      </c>
      <c r="M30" s="232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355"/>
      <c r="Z30" s="313"/>
      <c r="AA30" s="313"/>
      <c r="AB30" s="310" t="s">
        <v>84</v>
      </c>
      <c r="AC30" s="254"/>
      <c r="AD30" s="254"/>
      <c r="AE30" s="250"/>
      <c r="AF30" s="250"/>
      <c r="AG30" s="250"/>
      <c r="AH30" s="250"/>
      <c r="AI30" s="250"/>
      <c r="AJ30" s="250"/>
      <c r="AK30" s="250"/>
      <c r="AL30" s="250"/>
      <c r="AM30" s="250"/>
      <c r="AN30" s="265"/>
      <c r="AO30" s="266">
        <f t="shared" si="1"/>
        <v>0</v>
      </c>
      <c r="AP30" s="274">
        <f t="shared" si="2"/>
        <v>0</v>
      </c>
      <c r="AQ30" s="359">
        <f t="shared" si="5"/>
        <v>0</v>
      </c>
      <c r="AR30" s="360">
        <f t="shared" si="3"/>
        <v>0</v>
      </c>
      <c r="AS30" s="278" t="s">
        <v>101</v>
      </c>
      <c r="AT30" s="279"/>
      <c r="AU30" s="101" t="e">
        <f>VLOOKUP(D30,#REF!,12,FALSE)</f>
        <v>#REF!</v>
      </c>
      <c r="AV30" s="101" t="e">
        <f t="shared" si="4"/>
        <v>#REF!</v>
      </c>
      <c r="AX30" s="101"/>
    </row>
    <row r="31" s="10" customFormat="1" ht="24.05" customHeight="1" spans="2:53">
      <c r="B31" s="48" t="s">
        <v>81</v>
      </c>
      <c r="C31" s="327" t="s">
        <v>140</v>
      </c>
      <c r="D31" s="328" t="s">
        <v>141</v>
      </c>
      <c r="E31" s="326">
        <v>0</v>
      </c>
      <c r="F31" s="332"/>
      <c r="G31" s="333"/>
      <c r="H31" s="345"/>
      <c r="I31" s="332"/>
      <c r="J31" s="333"/>
      <c r="K31" s="345"/>
      <c r="L31" s="343">
        <f t="shared" si="0"/>
        <v>0</v>
      </c>
      <c r="M31" s="232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355"/>
      <c r="Z31" s="313"/>
      <c r="AA31" s="313"/>
      <c r="AB31" s="310" t="s">
        <v>84</v>
      </c>
      <c r="AC31" s="254"/>
      <c r="AD31" s="254"/>
      <c r="AE31" s="250"/>
      <c r="AF31" s="250"/>
      <c r="AG31" s="250"/>
      <c r="AH31" s="250"/>
      <c r="AI31" s="250"/>
      <c r="AJ31" s="250"/>
      <c r="AK31" s="250"/>
      <c r="AL31" s="250"/>
      <c r="AM31" s="250"/>
      <c r="AN31" s="265"/>
      <c r="AO31" s="266">
        <f t="shared" si="1"/>
        <v>0</v>
      </c>
      <c r="AP31" s="274">
        <f t="shared" si="2"/>
        <v>0</v>
      </c>
      <c r="AQ31" s="359">
        <f t="shared" si="5"/>
        <v>0</v>
      </c>
      <c r="AR31" s="360">
        <f t="shared" si="3"/>
        <v>0</v>
      </c>
      <c r="AS31" s="278" t="s">
        <v>101</v>
      </c>
      <c r="AT31" s="279"/>
      <c r="AU31" s="101" t="e">
        <f>VLOOKUP(D31,#REF!,12,FALSE)</f>
        <v>#REF!</v>
      </c>
      <c r="AV31" s="101" t="e">
        <f t="shared" si="4"/>
        <v>#REF!</v>
      </c>
      <c r="AX31" s="101"/>
      <c r="BA31" s="373"/>
    </row>
    <row r="32" s="10" customFormat="1" ht="24.05" customHeight="1" spans="2:50">
      <c r="B32" s="48" t="s">
        <v>81</v>
      </c>
      <c r="C32" s="319" t="s">
        <v>177</v>
      </c>
      <c r="D32" s="328" t="s">
        <v>178</v>
      </c>
      <c r="E32" s="326">
        <v>0</v>
      </c>
      <c r="F32" s="332"/>
      <c r="G32" s="333"/>
      <c r="H32" s="345"/>
      <c r="I32" s="332"/>
      <c r="J32" s="333">
        <v>660</v>
      </c>
      <c r="K32" s="333"/>
      <c r="L32" s="343">
        <f t="shared" si="0"/>
        <v>660</v>
      </c>
      <c r="M32" s="232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355"/>
      <c r="Z32" s="313"/>
      <c r="AA32" s="313"/>
      <c r="AB32" s="310" t="s">
        <v>84</v>
      </c>
      <c r="AC32" s="254"/>
      <c r="AD32" s="254">
        <v>660</v>
      </c>
      <c r="AE32" s="254"/>
      <c r="AF32" s="254"/>
      <c r="AG32" s="254"/>
      <c r="AH32" s="254"/>
      <c r="AI32" s="254"/>
      <c r="AJ32" s="254"/>
      <c r="AK32" s="254"/>
      <c r="AL32" s="254"/>
      <c r="AM32" s="254"/>
      <c r="AN32" s="267"/>
      <c r="AO32" s="266">
        <f t="shared" si="1"/>
        <v>660</v>
      </c>
      <c r="AP32" s="274">
        <f t="shared" si="2"/>
        <v>660</v>
      </c>
      <c r="AQ32" s="359">
        <f t="shared" si="5"/>
        <v>0</v>
      </c>
      <c r="AR32" s="360">
        <f t="shared" si="3"/>
        <v>0</v>
      </c>
      <c r="AS32" s="278"/>
      <c r="AT32" s="279"/>
      <c r="AU32" s="101" t="e">
        <f>VLOOKUP(D32,#REF!,12,FALSE)</f>
        <v>#REF!</v>
      </c>
      <c r="AV32" s="101" t="e">
        <f t="shared" si="4"/>
        <v>#REF!</v>
      </c>
      <c r="AX32" s="101"/>
    </row>
    <row r="33" s="10" customFormat="1" ht="24.05" customHeight="1" spans="2:50">
      <c r="B33" s="48" t="s">
        <v>81</v>
      </c>
      <c r="C33" s="319" t="s">
        <v>179</v>
      </c>
      <c r="D33" s="328" t="s">
        <v>180</v>
      </c>
      <c r="E33" s="326">
        <v>41584</v>
      </c>
      <c r="F33" s="332"/>
      <c r="G33" s="333"/>
      <c r="H33" s="345"/>
      <c r="I33" s="332"/>
      <c r="J33" s="333">
        <f>225367.2+371431</f>
        <v>596798.2</v>
      </c>
      <c r="K33" s="333">
        <v>80343</v>
      </c>
      <c r="L33" s="343">
        <f t="shared" si="0"/>
        <v>718725.2</v>
      </c>
      <c r="M33" s="232">
        <v>124752</v>
      </c>
      <c r="N33" s="233"/>
      <c r="O33" s="233">
        <v>107915</v>
      </c>
      <c r="P33" s="233">
        <f>107915+107915+19436</f>
        <v>235266</v>
      </c>
      <c r="Q33" s="233">
        <f>105768+107915</f>
        <v>213683</v>
      </c>
      <c r="R33" s="233"/>
      <c r="S33" s="233"/>
      <c r="T33" s="233">
        <v>64184</v>
      </c>
      <c r="U33" s="233"/>
      <c r="V33" s="233">
        <f>110740+98536</f>
        <v>209276</v>
      </c>
      <c r="W33" s="233"/>
      <c r="X33" s="233"/>
      <c r="Y33" s="355"/>
      <c r="Z33" s="313"/>
      <c r="AA33" s="313"/>
      <c r="AB33" s="310" t="s">
        <v>84</v>
      </c>
      <c r="AC33" s="254"/>
      <c r="AD33" s="254">
        <v>266951.2</v>
      </c>
      <c r="AE33" s="254">
        <v>124752</v>
      </c>
      <c r="AF33" s="254">
        <v>371431</v>
      </c>
      <c r="AG33" s="254">
        <v>80343</v>
      </c>
      <c r="AH33" s="254"/>
      <c r="AI33" s="254"/>
      <c r="AJ33" s="254">
        <v>321598</v>
      </c>
      <c r="AK33" s="254">
        <v>235266</v>
      </c>
      <c r="AL33" s="254">
        <v>64184</v>
      </c>
      <c r="AM33" s="254"/>
      <c r="AN33" s="267"/>
      <c r="AO33" s="266">
        <f t="shared" si="1"/>
        <v>1673801.2</v>
      </c>
      <c r="AP33" s="274">
        <f t="shared" si="2"/>
        <v>1464525.2</v>
      </c>
      <c r="AQ33" s="359">
        <f t="shared" si="5"/>
        <v>209276</v>
      </c>
      <c r="AR33" s="360">
        <f t="shared" si="3"/>
        <v>0</v>
      </c>
      <c r="AS33" s="278" t="s">
        <v>85</v>
      </c>
      <c r="AT33" s="279"/>
      <c r="AU33" s="101" t="e">
        <f>VLOOKUP(D33,#REF!,12,FALSE)</f>
        <v>#REF!</v>
      </c>
      <c r="AV33" s="101" t="e">
        <f t="shared" si="4"/>
        <v>#REF!</v>
      </c>
      <c r="AX33" s="101"/>
    </row>
    <row r="34" s="10" customFormat="1" ht="24.05" customHeight="1" spans="2:50">
      <c r="B34" s="48" t="s">
        <v>81</v>
      </c>
      <c r="C34" s="319" t="s">
        <v>181</v>
      </c>
      <c r="D34" s="328" t="s">
        <v>182</v>
      </c>
      <c r="E34" s="326">
        <v>-66613.69</v>
      </c>
      <c r="F34" s="332"/>
      <c r="G34" s="333"/>
      <c r="H34" s="345"/>
      <c r="I34" s="332"/>
      <c r="J34" s="333"/>
      <c r="K34" s="333"/>
      <c r="L34" s="343">
        <f t="shared" si="0"/>
        <v>-66613.69</v>
      </c>
      <c r="M34" s="232"/>
      <c r="N34" s="233"/>
      <c r="O34" s="233"/>
      <c r="P34" s="233"/>
      <c r="Q34" s="233"/>
      <c r="R34" s="233"/>
      <c r="S34" s="233"/>
      <c r="T34" s="233"/>
      <c r="U34" s="233">
        <v>43561.5</v>
      </c>
      <c r="V34" s="233"/>
      <c r="W34" s="233"/>
      <c r="X34" s="233"/>
      <c r="Y34" s="355"/>
      <c r="Z34" s="313"/>
      <c r="AA34" s="313"/>
      <c r="AB34" s="310" t="s">
        <v>84</v>
      </c>
      <c r="AC34" s="254">
        <v>3390</v>
      </c>
      <c r="AD34" s="254"/>
      <c r="AE34" s="254">
        <v>6610.5</v>
      </c>
      <c r="AF34" s="254">
        <f>5424+2881.5</f>
        <v>8305.5</v>
      </c>
      <c r="AG34" s="254">
        <v>9322.5</v>
      </c>
      <c r="AH34" s="254"/>
      <c r="AI34" s="254"/>
      <c r="AJ34" s="254">
        <v>4576.5</v>
      </c>
      <c r="AK34" s="254">
        <v>11356.5</v>
      </c>
      <c r="AL34" s="254"/>
      <c r="AM34" s="254"/>
      <c r="AN34" s="267"/>
      <c r="AO34" s="266">
        <f t="shared" si="1"/>
        <v>-23052.19</v>
      </c>
      <c r="AP34" s="274">
        <f t="shared" si="2"/>
        <v>43561.5</v>
      </c>
      <c r="AQ34" s="359">
        <f t="shared" si="5"/>
        <v>-66613.69</v>
      </c>
      <c r="AR34" s="360">
        <v>0</v>
      </c>
      <c r="AS34" s="280" t="s">
        <v>96</v>
      </c>
      <c r="AT34" s="279"/>
      <c r="AU34" s="101">
        <v>-94242.19</v>
      </c>
      <c r="AV34" s="101">
        <f t="shared" si="4"/>
        <v>27628.5</v>
      </c>
      <c r="AX34" s="101"/>
    </row>
    <row r="35" s="10" customFormat="1" ht="24.05" customHeight="1" spans="2:53">
      <c r="B35" s="48" t="s">
        <v>81</v>
      </c>
      <c r="C35" s="319" t="s">
        <v>184</v>
      </c>
      <c r="D35" s="328" t="s">
        <v>185</v>
      </c>
      <c r="E35" s="326">
        <v>0</v>
      </c>
      <c r="F35" s="332"/>
      <c r="G35" s="333"/>
      <c r="H35" s="345"/>
      <c r="I35" s="332"/>
      <c r="J35" s="333">
        <v>36869.64</v>
      </c>
      <c r="K35" s="333">
        <v>39302.3</v>
      </c>
      <c r="L35" s="343">
        <f t="shared" si="0"/>
        <v>76171.94</v>
      </c>
      <c r="M35" s="232"/>
      <c r="N35" s="233"/>
      <c r="O35" s="233">
        <v>44791.43</v>
      </c>
      <c r="P35" s="233"/>
      <c r="Q35" s="233">
        <v>53426.4</v>
      </c>
      <c r="R35" s="233">
        <v>15006.4</v>
      </c>
      <c r="S35" s="233">
        <v>11074</v>
      </c>
      <c r="T35" s="233"/>
      <c r="U35" s="233"/>
      <c r="V35" s="233"/>
      <c r="W35" s="233"/>
      <c r="X35" s="233"/>
      <c r="Y35" s="355"/>
      <c r="Z35" s="313"/>
      <c r="AA35" s="313"/>
      <c r="AB35" s="310" t="s">
        <v>84</v>
      </c>
      <c r="AC35" s="254"/>
      <c r="AD35" s="254">
        <v>36869.64</v>
      </c>
      <c r="AE35" s="254"/>
      <c r="AF35" s="254">
        <v>40000</v>
      </c>
      <c r="AG35" s="254"/>
      <c r="AH35" s="254"/>
      <c r="AI35" s="254"/>
      <c r="AJ35" s="254">
        <v>53426.4</v>
      </c>
      <c r="AK35" s="254">
        <v>44093.73</v>
      </c>
      <c r="AL35" s="254"/>
      <c r="AM35" s="254">
        <v>26080.4</v>
      </c>
      <c r="AN35" s="267"/>
      <c r="AO35" s="266">
        <f t="shared" si="1"/>
        <v>200470.17</v>
      </c>
      <c r="AP35" s="274">
        <f t="shared" si="2"/>
        <v>200470.17</v>
      </c>
      <c r="AQ35" s="359">
        <f t="shared" si="5"/>
        <v>0</v>
      </c>
      <c r="AR35" s="360">
        <f t="shared" si="3"/>
        <v>0</v>
      </c>
      <c r="AS35" s="278"/>
      <c r="AT35" s="279"/>
      <c r="AU35" s="101" t="e">
        <f>VLOOKUP(D35,#REF!,12,FALSE)</f>
        <v>#REF!</v>
      </c>
      <c r="AV35" s="101" t="e">
        <f t="shared" si="4"/>
        <v>#REF!</v>
      </c>
      <c r="AX35" s="101"/>
      <c r="BA35" s="373"/>
    </row>
    <row r="36" s="10" customFormat="1" ht="24.05" customHeight="1" spans="2:50">
      <c r="B36" s="48" t="s">
        <v>81</v>
      </c>
      <c r="C36" s="319" t="s">
        <v>207</v>
      </c>
      <c r="D36" s="328" t="s">
        <v>208</v>
      </c>
      <c r="E36" s="326"/>
      <c r="F36" s="332"/>
      <c r="G36" s="333"/>
      <c r="H36" s="345"/>
      <c r="I36" s="332"/>
      <c r="J36" s="333"/>
      <c r="K36" s="333"/>
      <c r="L36" s="343"/>
      <c r="M36" s="232">
        <v>15800</v>
      </c>
      <c r="N36" s="233"/>
      <c r="O36" s="233"/>
      <c r="P36" s="233"/>
      <c r="Q36" s="233">
        <v>17800</v>
      </c>
      <c r="R36" s="233"/>
      <c r="S36" s="233"/>
      <c r="T36" s="233"/>
      <c r="U36" s="233"/>
      <c r="V36" s="233"/>
      <c r="W36" s="233"/>
      <c r="X36" s="233"/>
      <c r="Y36" s="355"/>
      <c r="Z36" s="313"/>
      <c r="AA36" s="313"/>
      <c r="AB36" s="310"/>
      <c r="AC36" s="254"/>
      <c r="AD36" s="254"/>
      <c r="AE36" s="254"/>
      <c r="AF36" s="254">
        <v>15800</v>
      </c>
      <c r="AG36" s="254"/>
      <c r="AH36" s="254"/>
      <c r="AI36" s="254"/>
      <c r="AJ36" s="254">
        <v>17800</v>
      </c>
      <c r="AK36" s="254"/>
      <c r="AL36" s="254"/>
      <c r="AM36" s="254"/>
      <c r="AN36" s="267"/>
      <c r="AO36" s="266">
        <f t="shared" ref="AO36:AO49" si="6">SUM(L36:X36)</f>
        <v>33600</v>
      </c>
      <c r="AP36" s="274">
        <f t="shared" ref="AP36:AP49" si="7">SUM(AC36:AN36)</f>
        <v>33600</v>
      </c>
      <c r="AQ36" s="359">
        <f t="shared" si="5"/>
        <v>0</v>
      </c>
      <c r="AR36" s="360">
        <f t="shared" si="3"/>
        <v>0</v>
      </c>
      <c r="AS36" s="278"/>
      <c r="AT36" s="279"/>
      <c r="AU36" s="101" t="e">
        <f>VLOOKUP(D36,#REF!,12,FALSE)</f>
        <v>#REF!</v>
      </c>
      <c r="AV36" s="101" t="e">
        <f t="shared" si="4"/>
        <v>#REF!</v>
      </c>
      <c r="AX36" s="101"/>
    </row>
    <row r="37" s="10" customFormat="1" ht="24.05" customHeight="1" spans="2:50">
      <c r="B37" s="48" t="s">
        <v>81</v>
      </c>
      <c r="C37" s="319" t="s">
        <v>209</v>
      </c>
      <c r="D37" s="328" t="s">
        <v>210</v>
      </c>
      <c r="E37" s="326"/>
      <c r="F37" s="332"/>
      <c r="G37" s="333"/>
      <c r="H37" s="345"/>
      <c r="I37" s="332"/>
      <c r="J37" s="333"/>
      <c r="K37" s="333"/>
      <c r="L37" s="343"/>
      <c r="M37" s="232"/>
      <c r="N37" s="233"/>
      <c r="O37" s="233"/>
      <c r="P37" s="233"/>
      <c r="Q37" s="233">
        <f>79100</f>
        <v>79100</v>
      </c>
      <c r="R37" s="233">
        <v>94920</v>
      </c>
      <c r="S37" s="233">
        <f>63280+47460</f>
        <v>110740</v>
      </c>
      <c r="T37" s="233"/>
      <c r="U37" s="233"/>
      <c r="V37" s="233">
        <f>31640+15820+63280+31640</f>
        <v>142380</v>
      </c>
      <c r="W37" s="233"/>
      <c r="X37" s="233"/>
      <c r="Y37" s="355"/>
      <c r="Z37" s="313"/>
      <c r="AA37" s="313"/>
      <c r="AB37" s="310"/>
      <c r="AC37" s="254"/>
      <c r="AD37" s="254"/>
      <c r="AE37" s="254"/>
      <c r="AF37" s="254"/>
      <c r="AG37" s="254"/>
      <c r="AH37" s="254"/>
      <c r="AI37" s="254"/>
      <c r="AJ37" s="254">
        <v>79100</v>
      </c>
      <c r="AK37" s="254"/>
      <c r="AL37" s="254">
        <f>189840+158200</f>
        <v>348040</v>
      </c>
      <c r="AM37" s="254"/>
      <c r="AN37" s="267"/>
      <c r="AO37" s="266">
        <f t="shared" si="6"/>
        <v>427140</v>
      </c>
      <c r="AP37" s="274">
        <f t="shared" si="7"/>
        <v>427140</v>
      </c>
      <c r="AQ37" s="359">
        <f t="shared" si="5"/>
        <v>0</v>
      </c>
      <c r="AR37" s="360">
        <f>AQ37</f>
        <v>0</v>
      </c>
      <c r="AS37" s="278" t="s">
        <v>222</v>
      </c>
      <c r="AT37" s="279"/>
      <c r="AU37" s="101" t="e">
        <f>VLOOKUP(D37,#REF!,12,FALSE)</f>
        <v>#REF!</v>
      </c>
      <c r="AV37" s="101" t="e">
        <f t="shared" si="4"/>
        <v>#REF!</v>
      </c>
      <c r="AX37" s="101"/>
    </row>
    <row r="38" s="10" customFormat="1" ht="24.05" customHeight="1" spans="2:50">
      <c r="B38" s="48" t="s">
        <v>81</v>
      </c>
      <c r="C38" s="319" t="s">
        <v>211</v>
      </c>
      <c r="D38" s="328" t="e">
        <f t="array" ref="D38">[2]!'!数据!R319C4'</f>
        <v>#REF!</v>
      </c>
      <c r="E38" s="326"/>
      <c r="F38" s="332"/>
      <c r="G38" s="333"/>
      <c r="H38" s="345"/>
      <c r="I38" s="332"/>
      <c r="J38" s="333"/>
      <c r="K38" s="333"/>
      <c r="L38" s="343"/>
      <c r="M38" s="232"/>
      <c r="N38" s="233"/>
      <c r="O38" s="233"/>
      <c r="P38" s="233">
        <v>33330</v>
      </c>
      <c r="Q38" s="233"/>
      <c r="R38" s="233"/>
      <c r="S38" s="233"/>
      <c r="T38" s="233"/>
      <c r="U38" s="233"/>
      <c r="V38" s="233"/>
      <c r="W38" s="233"/>
      <c r="X38" s="233"/>
      <c r="Y38" s="355"/>
      <c r="Z38" s="313"/>
      <c r="AA38" s="313"/>
      <c r="AB38" s="310"/>
      <c r="AC38" s="254"/>
      <c r="AD38" s="254"/>
      <c r="AE38" s="254"/>
      <c r="AF38" s="254"/>
      <c r="AG38" s="254"/>
      <c r="AH38" s="254"/>
      <c r="AI38" s="254"/>
      <c r="AJ38" s="254">
        <v>33330</v>
      </c>
      <c r="AK38" s="254"/>
      <c r="AL38" s="254"/>
      <c r="AM38" s="254"/>
      <c r="AN38" s="267"/>
      <c r="AO38" s="266">
        <f t="shared" si="6"/>
        <v>33330</v>
      </c>
      <c r="AP38" s="274">
        <f t="shared" si="7"/>
        <v>33330</v>
      </c>
      <c r="AQ38" s="359">
        <f t="shared" si="5"/>
        <v>0</v>
      </c>
      <c r="AR38" s="360">
        <f t="shared" si="3"/>
        <v>0</v>
      </c>
      <c r="AS38" s="278" t="s">
        <v>222</v>
      </c>
      <c r="AT38" s="279"/>
      <c r="AU38" s="101" t="e">
        <f>VLOOKUP(D38,#REF!,12,FALSE)</f>
        <v>#REF!</v>
      </c>
      <c r="AV38" s="101" t="e">
        <f t="shared" si="4"/>
        <v>#REF!</v>
      </c>
      <c r="AX38" s="101"/>
    </row>
    <row r="39" s="10" customFormat="1" ht="24.05" customHeight="1" spans="2:50">
      <c r="B39" s="48" t="s">
        <v>81</v>
      </c>
      <c r="C39" s="319" t="s">
        <v>212</v>
      </c>
      <c r="D39" s="328" t="s">
        <v>213</v>
      </c>
      <c r="E39" s="326"/>
      <c r="F39" s="332"/>
      <c r="G39" s="333"/>
      <c r="H39" s="345"/>
      <c r="I39" s="332"/>
      <c r="J39" s="333"/>
      <c r="K39" s="333"/>
      <c r="L39" s="343"/>
      <c r="M39" s="232"/>
      <c r="N39" s="233"/>
      <c r="O39" s="233"/>
      <c r="P39" s="233"/>
      <c r="Q39" s="233">
        <f>333353.62+336228.34</f>
        <v>669581.96</v>
      </c>
      <c r="R39" s="233">
        <v>334790.98</v>
      </c>
      <c r="S39" s="233"/>
      <c r="T39" s="233"/>
      <c r="U39" s="233">
        <v>167395.48</v>
      </c>
      <c r="V39" s="233"/>
      <c r="W39" s="233"/>
      <c r="X39" s="233"/>
      <c r="Y39" s="355"/>
      <c r="Z39" s="313"/>
      <c r="AA39" s="313"/>
      <c r="AB39" s="310"/>
      <c r="AC39" s="254"/>
      <c r="AD39" s="254"/>
      <c r="AE39" s="254"/>
      <c r="AF39" s="254"/>
      <c r="AG39" s="254"/>
      <c r="AH39" s="254"/>
      <c r="AI39" s="254">
        <v>333353.62</v>
      </c>
      <c r="AJ39" s="254">
        <f>336228.34+334790.98</f>
        <v>671019.32</v>
      </c>
      <c r="AK39" s="254"/>
      <c r="AL39" s="254"/>
      <c r="AM39" s="254">
        <v>167395.48</v>
      </c>
      <c r="AN39" s="267"/>
      <c r="AO39" s="266">
        <f t="shared" si="6"/>
        <v>1171768.42</v>
      </c>
      <c r="AP39" s="274">
        <f t="shared" si="7"/>
        <v>1171768.42</v>
      </c>
      <c r="AQ39" s="359">
        <f t="shared" si="5"/>
        <v>0</v>
      </c>
      <c r="AR39" s="360">
        <f t="shared" si="3"/>
        <v>0</v>
      </c>
      <c r="AS39" s="278" t="s">
        <v>101</v>
      </c>
      <c r="AT39" s="279"/>
      <c r="AU39" s="101" t="e">
        <f>VLOOKUP(D39,#REF!,12,FALSE)</f>
        <v>#REF!</v>
      </c>
      <c r="AV39" s="101" t="e">
        <f t="shared" si="4"/>
        <v>#REF!</v>
      </c>
      <c r="AX39" s="101"/>
    </row>
    <row r="40" s="10" customFormat="1" ht="24.05" customHeight="1" spans="2:53">
      <c r="B40" s="48" t="s">
        <v>81</v>
      </c>
      <c r="C40" s="319"/>
      <c r="D40" s="328" t="s">
        <v>214</v>
      </c>
      <c r="E40" s="326"/>
      <c r="F40" s="332"/>
      <c r="G40" s="333"/>
      <c r="H40" s="345"/>
      <c r="I40" s="332"/>
      <c r="J40" s="333"/>
      <c r="K40" s="333"/>
      <c r="L40" s="343"/>
      <c r="M40" s="232"/>
      <c r="N40" s="233"/>
      <c r="O40" s="233"/>
      <c r="P40" s="233"/>
      <c r="Q40" s="233"/>
      <c r="R40" s="233"/>
      <c r="S40" s="233"/>
      <c r="T40" s="233"/>
      <c r="U40" s="233"/>
      <c r="V40" s="233">
        <v>8818.54</v>
      </c>
      <c r="W40" s="233"/>
      <c r="X40" s="233"/>
      <c r="Y40" s="355"/>
      <c r="Z40" s="313"/>
      <c r="AA40" s="313"/>
      <c r="AB40" s="310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67"/>
      <c r="AO40" s="266">
        <f t="shared" si="6"/>
        <v>8818.54</v>
      </c>
      <c r="AP40" s="274">
        <f t="shared" si="7"/>
        <v>0</v>
      </c>
      <c r="AQ40" s="359">
        <f t="shared" si="5"/>
        <v>8818.54</v>
      </c>
      <c r="AR40" s="360">
        <f t="shared" si="3"/>
        <v>0</v>
      </c>
      <c r="AS40" s="278"/>
      <c r="AT40" s="279"/>
      <c r="AU40" s="101" t="e">
        <f>VLOOKUP(D40,#REF!,12,FALSE)</f>
        <v>#REF!</v>
      </c>
      <c r="AV40" s="101" t="e">
        <f t="shared" si="4"/>
        <v>#REF!</v>
      </c>
      <c r="AX40" s="101"/>
      <c r="BA40" s="373"/>
    </row>
    <row r="41" s="10" customFormat="1" ht="24.05" customHeight="1" spans="2:50">
      <c r="B41" s="57"/>
      <c r="C41" s="319" t="s">
        <v>215</v>
      </c>
      <c r="D41" s="329" t="s">
        <v>216</v>
      </c>
      <c r="E41" s="330"/>
      <c r="F41" s="334"/>
      <c r="G41" s="335"/>
      <c r="H41" s="346"/>
      <c r="I41" s="334"/>
      <c r="J41" s="335"/>
      <c r="K41" s="335"/>
      <c r="L41" s="347"/>
      <c r="M41" s="235"/>
      <c r="N41" s="236"/>
      <c r="O41" s="236"/>
      <c r="P41" s="236">
        <v>21584.03</v>
      </c>
      <c r="Q41" s="236">
        <f>100072.8+18481.78+105347.64</f>
        <v>223902.22</v>
      </c>
      <c r="R41" s="236"/>
      <c r="S41" s="236">
        <v>57132.12</v>
      </c>
      <c r="T41" s="236"/>
      <c r="U41" s="236"/>
      <c r="V41" s="236">
        <v>34739.55</v>
      </c>
      <c r="W41" s="236"/>
      <c r="X41" s="236"/>
      <c r="Y41" s="355"/>
      <c r="Z41" s="313"/>
      <c r="AA41" s="313"/>
      <c r="AB41" s="313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>
        <v>150000</v>
      </c>
      <c r="AM41" s="254"/>
      <c r="AN41" s="267"/>
      <c r="AO41" s="266">
        <f t="shared" si="6"/>
        <v>337357.92</v>
      </c>
      <c r="AP41" s="274">
        <f t="shared" si="7"/>
        <v>150000</v>
      </c>
      <c r="AQ41" s="359">
        <f t="shared" si="5"/>
        <v>187357.92</v>
      </c>
      <c r="AR41" s="360">
        <f t="shared" si="3"/>
        <v>152618.37</v>
      </c>
      <c r="AS41" s="281"/>
      <c r="AT41" s="279"/>
      <c r="AU41" s="101" t="e">
        <f>VLOOKUP(D41,#REF!,12,FALSE)</f>
        <v>#REF!</v>
      </c>
      <c r="AV41" s="101" t="e">
        <f t="shared" ref="AV41:AV49" si="8">AQ41-AU41</f>
        <v>#REF!</v>
      </c>
      <c r="AX41" s="101"/>
    </row>
    <row r="42" s="10" customFormat="1" ht="24.05" customHeight="1" spans="2:50">
      <c r="B42" s="57"/>
      <c r="C42" s="319" t="s">
        <v>217</v>
      </c>
      <c r="D42" s="329" t="s">
        <v>223</v>
      </c>
      <c r="E42" s="330"/>
      <c r="F42" s="334"/>
      <c r="G42" s="335"/>
      <c r="H42" s="346"/>
      <c r="I42" s="334"/>
      <c r="J42" s="335"/>
      <c r="K42" s="335"/>
      <c r="L42" s="347"/>
      <c r="M42" s="235"/>
      <c r="N42" s="236"/>
      <c r="O42" s="236"/>
      <c r="P42" s="236"/>
      <c r="Q42" s="236"/>
      <c r="R42" s="236"/>
      <c r="S42" s="236"/>
      <c r="T42" s="236"/>
      <c r="U42" s="236"/>
      <c r="V42" s="236">
        <v>25628.4</v>
      </c>
      <c r="W42" s="236"/>
      <c r="X42" s="236"/>
      <c r="Y42" s="355"/>
      <c r="Z42" s="313"/>
      <c r="AA42" s="313"/>
      <c r="AB42" s="313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67"/>
      <c r="AO42" s="266">
        <f t="shared" ref="AO42" si="9">SUM(L42:X42)</f>
        <v>25628.4</v>
      </c>
      <c r="AP42" s="274">
        <f t="shared" ref="AP42" si="10">SUM(AC42:AN42)</f>
        <v>0</v>
      </c>
      <c r="AQ42" s="359">
        <f t="shared" si="5"/>
        <v>25628.4</v>
      </c>
      <c r="AR42" s="360">
        <f t="shared" si="3"/>
        <v>0</v>
      </c>
      <c r="AS42" s="281" t="s">
        <v>101</v>
      </c>
      <c r="AT42" s="279"/>
      <c r="AU42" s="101" t="e">
        <f>VLOOKUP(D42,#REF!,12,FALSE)</f>
        <v>#REF!</v>
      </c>
      <c r="AV42" s="101" t="e">
        <f t="shared" si="8"/>
        <v>#REF!</v>
      </c>
      <c r="AX42" s="101"/>
    </row>
    <row r="43" s="10" customFormat="1" ht="24.05" customHeight="1" spans="2:50">
      <c r="B43" s="57"/>
      <c r="C43" s="319"/>
      <c r="D43" s="329" t="s">
        <v>219</v>
      </c>
      <c r="E43" s="330"/>
      <c r="F43" s="334"/>
      <c r="G43" s="335"/>
      <c r="H43" s="346"/>
      <c r="I43" s="334"/>
      <c r="J43" s="335"/>
      <c r="K43" s="335"/>
      <c r="L43" s="347"/>
      <c r="M43" s="235"/>
      <c r="N43" s="236"/>
      <c r="O43" s="236"/>
      <c r="P43" s="236"/>
      <c r="Q43" s="236"/>
      <c r="R43" s="236"/>
      <c r="S43" s="236"/>
      <c r="T43" s="236"/>
      <c r="U43" s="236">
        <v>27400</v>
      </c>
      <c r="V43" s="236"/>
      <c r="W43" s="236"/>
      <c r="X43" s="236"/>
      <c r="Y43" s="355"/>
      <c r="Z43" s="313"/>
      <c r="AA43" s="313"/>
      <c r="AB43" s="313"/>
      <c r="AC43" s="254"/>
      <c r="AD43" s="254"/>
      <c r="AE43" s="254"/>
      <c r="AF43" s="254"/>
      <c r="AG43" s="254"/>
      <c r="AH43" s="254"/>
      <c r="AI43" s="254"/>
      <c r="AJ43" s="254"/>
      <c r="AK43" s="254"/>
      <c r="AL43" s="254"/>
      <c r="AM43" s="254">
        <v>27400</v>
      </c>
      <c r="AN43" s="267"/>
      <c r="AO43" s="266">
        <f t="shared" ref="AO43:AO44" si="11">SUM(L43:X43)</f>
        <v>27400</v>
      </c>
      <c r="AP43" s="274">
        <f t="shared" ref="AP43:AP44" si="12">SUM(AC43:AN43)</f>
        <v>27400</v>
      </c>
      <c r="AQ43" s="359">
        <f t="shared" si="5"/>
        <v>0</v>
      </c>
      <c r="AR43" s="360">
        <f t="shared" si="3"/>
        <v>0</v>
      </c>
      <c r="AS43" s="281" t="s">
        <v>101</v>
      </c>
      <c r="AT43" s="279"/>
      <c r="AU43" s="101" t="e">
        <f>VLOOKUP(D43,#REF!,12,FALSE)</f>
        <v>#REF!</v>
      </c>
      <c r="AV43" s="101" t="e">
        <f t="shared" si="8"/>
        <v>#REF!</v>
      </c>
      <c r="AX43" s="101"/>
    </row>
    <row r="44" s="10" customFormat="1" ht="24.05" customHeight="1" spans="2:50">
      <c r="B44" s="57"/>
      <c r="C44" s="319"/>
      <c r="D44" s="329" t="s">
        <v>220</v>
      </c>
      <c r="E44" s="330"/>
      <c r="F44" s="334"/>
      <c r="G44" s="335"/>
      <c r="H44" s="346"/>
      <c r="I44" s="334"/>
      <c r="J44" s="335"/>
      <c r="K44" s="346"/>
      <c r="L44" s="347"/>
      <c r="M44" s="235"/>
      <c r="N44" s="236"/>
      <c r="O44" s="236">
        <v>2542.2</v>
      </c>
      <c r="P44" s="236"/>
      <c r="Q44" s="236"/>
      <c r="R44" s="236"/>
      <c r="S44" s="236"/>
      <c r="T44" s="242"/>
      <c r="U44" s="236"/>
      <c r="V44" s="236"/>
      <c r="W44" s="236"/>
      <c r="X44" s="236"/>
      <c r="Y44" s="355"/>
      <c r="Z44" s="313"/>
      <c r="AA44" s="313"/>
      <c r="AB44" s="313"/>
      <c r="AC44" s="254"/>
      <c r="AD44" s="254"/>
      <c r="AE44" s="254">
        <v>2542.2</v>
      </c>
      <c r="AF44" s="254"/>
      <c r="AG44" s="254"/>
      <c r="AH44" s="254"/>
      <c r="AI44" s="254"/>
      <c r="AJ44" s="254"/>
      <c r="AK44" s="254"/>
      <c r="AL44" s="254"/>
      <c r="AM44" s="254"/>
      <c r="AN44" s="267"/>
      <c r="AO44" s="266">
        <f t="shared" si="11"/>
        <v>2542.2</v>
      </c>
      <c r="AP44" s="274">
        <f t="shared" si="12"/>
        <v>2542.2</v>
      </c>
      <c r="AQ44" s="359">
        <f t="shared" si="5"/>
        <v>0</v>
      </c>
      <c r="AR44" s="360">
        <f t="shared" si="3"/>
        <v>0</v>
      </c>
      <c r="AS44" s="281" t="s">
        <v>96</v>
      </c>
      <c r="AT44" s="279"/>
      <c r="AU44" s="101">
        <v>0</v>
      </c>
      <c r="AV44" s="101">
        <f t="shared" si="8"/>
        <v>0</v>
      </c>
      <c r="AX44" s="101"/>
    </row>
    <row r="45" s="10" customFormat="1" ht="24.05" customHeight="1" spans="2:50">
      <c r="B45" s="57"/>
      <c r="C45" s="319" t="s">
        <v>224</v>
      </c>
      <c r="D45" s="329" t="s">
        <v>225</v>
      </c>
      <c r="E45" s="330"/>
      <c r="F45" s="334"/>
      <c r="G45" s="335"/>
      <c r="H45" s="346"/>
      <c r="I45" s="334"/>
      <c r="J45" s="335"/>
      <c r="K45" s="346"/>
      <c r="L45" s="347"/>
      <c r="M45" s="235"/>
      <c r="N45" s="236"/>
      <c r="O45" s="236"/>
      <c r="P45" s="236"/>
      <c r="Q45" s="236"/>
      <c r="R45" s="236">
        <v>111079</v>
      </c>
      <c r="S45" s="236"/>
      <c r="T45" s="242"/>
      <c r="U45" s="236"/>
      <c r="V45" s="236"/>
      <c r="W45" s="236"/>
      <c r="X45" s="236"/>
      <c r="Y45" s="355"/>
      <c r="Z45" s="313"/>
      <c r="AA45" s="313"/>
      <c r="AB45" s="313"/>
      <c r="AC45" s="254"/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67"/>
      <c r="AO45" s="266">
        <f t="shared" ref="AO45:AO48" si="13">SUM(L45:X45)</f>
        <v>111079</v>
      </c>
      <c r="AP45" s="274">
        <f t="shared" ref="AP45:AP48" si="14">SUM(AC45:AN45)</f>
        <v>0</v>
      </c>
      <c r="AQ45" s="359">
        <f t="shared" ref="AQ45:AQ49" si="15">AO45-AP45</f>
        <v>111079</v>
      </c>
      <c r="AR45" s="360">
        <f t="shared" ref="AR45:AR48" si="16">AQ45-V45-W45</f>
        <v>111079</v>
      </c>
      <c r="AS45" s="281" t="s">
        <v>222</v>
      </c>
      <c r="AT45" s="279"/>
      <c r="AU45" s="101" t="e">
        <f>VLOOKUP(D45,#REF!,12,FALSE)</f>
        <v>#REF!</v>
      </c>
      <c r="AV45" s="101" t="e">
        <f t="shared" si="8"/>
        <v>#REF!</v>
      </c>
      <c r="AX45" s="101"/>
    </row>
    <row r="46" s="10" customFormat="1" ht="24.05" customHeight="1" spans="2:50">
      <c r="B46" s="57"/>
      <c r="C46" s="319" t="s">
        <v>226</v>
      </c>
      <c r="D46" s="329" t="s">
        <v>227</v>
      </c>
      <c r="E46" s="330"/>
      <c r="F46" s="334"/>
      <c r="G46" s="335"/>
      <c r="H46" s="346"/>
      <c r="I46" s="334"/>
      <c r="J46" s="335"/>
      <c r="K46" s="346"/>
      <c r="L46" s="347"/>
      <c r="M46" s="235"/>
      <c r="N46" s="236"/>
      <c r="O46" s="236"/>
      <c r="P46" s="236"/>
      <c r="Q46" s="236"/>
      <c r="R46" s="236"/>
      <c r="S46" s="236"/>
      <c r="T46" s="242"/>
      <c r="U46" s="236"/>
      <c r="V46" s="236">
        <v>5979.6</v>
      </c>
      <c r="W46" s="236"/>
      <c r="X46" s="236"/>
      <c r="Y46" s="355"/>
      <c r="Z46" s="313"/>
      <c r="AA46" s="313"/>
      <c r="AB46" s="313"/>
      <c r="AC46" s="254"/>
      <c r="AD46" s="254"/>
      <c r="AE46" s="254"/>
      <c r="AF46" s="254"/>
      <c r="AG46" s="254"/>
      <c r="AH46" s="254"/>
      <c r="AI46" s="254"/>
      <c r="AJ46" s="254"/>
      <c r="AK46" s="254"/>
      <c r="AL46" s="254"/>
      <c r="AM46" s="254"/>
      <c r="AN46" s="267"/>
      <c r="AO46" s="266">
        <f t="shared" si="13"/>
        <v>5979.6</v>
      </c>
      <c r="AP46" s="274">
        <f t="shared" si="14"/>
        <v>0</v>
      </c>
      <c r="AQ46" s="359">
        <f t="shared" si="15"/>
        <v>5979.6</v>
      </c>
      <c r="AR46" s="360">
        <f t="shared" si="16"/>
        <v>0</v>
      </c>
      <c r="AS46" s="281" t="s">
        <v>101</v>
      </c>
      <c r="AT46" s="279"/>
      <c r="AU46" s="101" t="e">
        <f>VLOOKUP(D46,#REF!,12,FALSE)</f>
        <v>#REF!</v>
      </c>
      <c r="AV46" s="101" t="e">
        <f t="shared" si="8"/>
        <v>#REF!</v>
      </c>
      <c r="AX46" s="101"/>
    </row>
    <row r="47" s="10" customFormat="1" ht="24.05" customHeight="1" spans="2:50">
      <c r="B47" s="57"/>
      <c r="C47" s="319" t="s">
        <v>228</v>
      </c>
      <c r="D47" s="329" t="s">
        <v>229</v>
      </c>
      <c r="E47" s="330"/>
      <c r="F47" s="334"/>
      <c r="G47" s="335"/>
      <c r="H47" s="346"/>
      <c r="I47" s="334"/>
      <c r="J47" s="335"/>
      <c r="K47" s="346"/>
      <c r="L47" s="347"/>
      <c r="M47" s="235"/>
      <c r="N47" s="236"/>
      <c r="O47" s="236">
        <v>30854.97</v>
      </c>
      <c r="P47" s="236"/>
      <c r="Q47" s="236"/>
      <c r="R47" s="236"/>
      <c r="S47" s="236"/>
      <c r="T47" s="242"/>
      <c r="U47" s="236"/>
      <c r="V47" s="236"/>
      <c r="W47" s="236">
        <v>8018.39</v>
      </c>
      <c r="X47" s="236"/>
      <c r="Y47" s="355"/>
      <c r="Z47" s="313"/>
      <c r="AA47" s="313"/>
      <c r="AB47" s="313"/>
      <c r="AC47" s="254"/>
      <c r="AD47" s="254"/>
      <c r="AE47" s="254"/>
      <c r="AF47" s="254"/>
      <c r="AG47" s="254"/>
      <c r="AH47" s="254"/>
      <c r="AI47" s="254"/>
      <c r="AJ47" s="254"/>
      <c r="AK47" s="254"/>
      <c r="AL47" s="254"/>
      <c r="AM47" s="254">
        <v>30854.97</v>
      </c>
      <c r="AN47" s="267"/>
      <c r="AO47" s="266"/>
      <c r="AP47" s="274"/>
      <c r="AQ47" s="359"/>
      <c r="AR47" s="360"/>
      <c r="AS47" s="281"/>
      <c r="AT47" s="279"/>
      <c r="AU47" s="101"/>
      <c r="AV47" s="101"/>
      <c r="AX47" s="101"/>
    </row>
    <row r="48" s="10" customFormat="1" ht="24.05" customHeight="1" spans="2:50">
      <c r="B48" s="48"/>
      <c r="C48" s="325" t="s">
        <v>230</v>
      </c>
      <c r="D48" s="40" t="s">
        <v>231</v>
      </c>
      <c r="E48" s="326"/>
      <c r="F48" s="332"/>
      <c r="G48" s="333"/>
      <c r="H48" s="333"/>
      <c r="I48" s="332"/>
      <c r="J48" s="333"/>
      <c r="K48" s="333"/>
      <c r="L48" s="343"/>
      <c r="M48" s="232"/>
      <c r="N48" s="233"/>
      <c r="O48" s="233"/>
      <c r="P48" s="233"/>
      <c r="Q48" s="233"/>
      <c r="R48" s="233">
        <v>3169474.4</v>
      </c>
      <c r="S48" s="233"/>
      <c r="T48" s="233"/>
      <c r="U48" s="233"/>
      <c r="V48" s="233"/>
      <c r="W48" s="233">
        <v>887312.2</v>
      </c>
      <c r="X48" s="233"/>
      <c r="Y48" s="354"/>
      <c r="Z48" s="310"/>
      <c r="AA48" s="310"/>
      <c r="AB48" s="310"/>
      <c r="AC48" s="250"/>
      <c r="AD48" s="250"/>
      <c r="AE48" s="250"/>
      <c r="AF48" s="250"/>
      <c r="AG48" s="250"/>
      <c r="AH48" s="250"/>
      <c r="AI48" s="250"/>
      <c r="AJ48" s="250"/>
      <c r="AK48" s="250"/>
      <c r="AL48" s="250"/>
      <c r="AM48" s="250">
        <v>1000000</v>
      </c>
      <c r="AN48" s="265"/>
      <c r="AO48" s="266">
        <f t="shared" si="13"/>
        <v>4056786.6</v>
      </c>
      <c r="AP48" s="274">
        <f t="shared" si="14"/>
        <v>1000000</v>
      </c>
      <c r="AQ48" s="359">
        <f t="shared" si="15"/>
        <v>3056786.6</v>
      </c>
      <c r="AR48" s="360">
        <f t="shared" si="16"/>
        <v>2169474.4</v>
      </c>
      <c r="AS48" s="276" t="s">
        <v>232</v>
      </c>
      <c r="AT48" s="277"/>
      <c r="AU48" s="101" t="e">
        <f>VLOOKUP(D48,#REF!,12,FALSE)</f>
        <v>#REF!</v>
      </c>
      <c r="AV48" s="101" t="e">
        <f t="shared" si="8"/>
        <v>#REF!</v>
      </c>
      <c r="AX48" s="101"/>
    </row>
    <row r="49" s="10" customFormat="1" ht="24.05" customHeight="1" spans="2:50">
      <c r="B49" s="57" t="s">
        <v>81</v>
      </c>
      <c r="C49" s="319" t="s">
        <v>186</v>
      </c>
      <c r="D49" s="328" t="s">
        <v>187</v>
      </c>
      <c r="E49" s="326">
        <v>1745182.33</v>
      </c>
      <c r="F49" s="332">
        <v>1040684.8</v>
      </c>
      <c r="G49" s="333">
        <v>289573.8</v>
      </c>
      <c r="H49" s="345">
        <f>16000</f>
        <v>16000</v>
      </c>
      <c r="I49" s="332"/>
      <c r="J49" s="333"/>
      <c r="K49" s="345">
        <v>320129</v>
      </c>
      <c r="L49" s="343">
        <f t="shared" ref="L49" si="17">SUM(I49:K49)+E49</f>
        <v>2065311.33</v>
      </c>
      <c r="M49" s="232">
        <v>149456.06</v>
      </c>
      <c r="N49" s="233">
        <v>2056724.82</v>
      </c>
      <c r="O49" s="233">
        <v>197945.79</v>
      </c>
      <c r="P49" s="233">
        <v>311102.56</v>
      </c>
      <c r="Q49" s="233">
        <f>443106.62+11186.26</f>
        <v>454292.88</v>
      </c>
      <c r="R49" s="233">
        <f>198972.66+354266.3</f>
        <v>553238.96</v>
      </c>
      <c r="S49" s="233">
        <v>231220.6</v>
      </c>
      <c r="T49" s="233">
        <v>107564.34</v>
      </c>
      <c r="U49" s="233">
        <v>129079.9</v>
      </c>
      <c r="V49" s="233">
        <f>207174.2+538701.01+4859</f>
        <v>750734.21</v>
      </c>
      <c r="W49" s="233">
        <v>-10426.18</v>
      </c>
      <c r="X49" s="233"/>
      <c r="Y49" s="355"/>
      <c r="Z49" s="313"/>
      <c r="AA49" s="310" t="s">
        <v>84</v>
      </c>
      <c r="AB49" s="310" t="s">
        <v>84</v>
      </c>
      <c r="AC49" s="254">
        <v>600000</v>
      </c>
      <c r="AD49" s="254"/>
      <c r="AE49" s="254">
        <f>378820-250000</f>
        <v>128820</v>
      </c>
      <c r="AF49" s="254"/>
      <c r="AG49" s="254">
        <v>10500</v>
      </c>
      <c r="AH49" s="254">
        <f>2239.89+12430</f>
        <v>14669.89</v>
      </c>
      <c r="AI49" s="254"/>
      <c r="AJ49" s="254">
        <f>200000+10638.96</f>
        <v>210638.96</v>
      </c>
      <c r="AK49" s="254">
        <v>200000</v>
      </c>
      <c r="AL49" s="254">
        <v>100000</v>
      </c>
      <c r="AM49" s="254">
        <f>300000+200000</f>
        <v>500000</v>
      </c>
      <c r="AN49" s="267"/>
      <c r="AO49" s="266">
        <f t="shared" si="6"/>
        <v>6996245.27</v>
      </c>
      <c r="AP49" s="274">
        <f t="shared" si="7"/>
        <v>1764628.85</v>
      </c>
      <c r="AQ49" s="359">
        <f t="shared" si="15"/>
        <v>5231616.42</v>
      </c>
      <c r="AR49" s="360">
        <f t="shared" si="3"/>
        <v>4491308.39</v>
      </c>
      <c r="AS49" s="278"/>
      <c r="AT49" s="279"/>
      <c r="AU49" s="101" t="e">
        <f>VLOOKUP(D49,#REF!,12,FALSE)</f>
        <v>#REF!</v>
      </c>
      <c r="AV49" s="101" t="e">
        <f t="shared" si="8"/>
        <v>#REF!</v>
      </c>
      <c r="AX49" s="101"/>
    </row>
    <row r="50" s="12" customFormat="1" ht="24.05" customHeight="1" spans="2:50">
      <c r="B50" s="60"/>
      <c r="C50" s="61"/>
      <c r="D50" s="62" t="s">
        <v>142</v>
      </c>
      <c r="E50" s="331">
        <f>SUM(E5:E49)</f>
        <v>2758142.22</v>
      </c>
      <c r="F50" s="336"/>
      <c r="G50" s="337">
        <f t="shared" ref="G50:AQ50" si="18">SUM(G5:G49)</f>
        <v>333580.75</v>
      </c>
      <c r="H50" s="337">
        <f t="shared" si="18"/>
        <v>26937.5</v>
      </c>
      <c r="I50" s="337">
        <f t="shared" si="18"/>
        <v>755825</v>
      </c>
      <c r="J50" s="337">
        <f t="shared" si="18"/>
        <v>2193040.65</v>
      </c>
      <c r="K50" s="337">
        <f t="shared" si="18"/>
        <v>1693626.34</v>
      </c>
      <c r="L50" s="349">
        <f t="shared" si="18"/>
        <v>7400634.21</v>
      </c>
      <c r="M50" s="364">
        <f t="shared" si="18"/>
        <v>1786678.1</v>
      </c>
      <c r="N50" s="350">
        <f t="shared" si="18"/>
        <v>2539553.76</v>
      </c>
      <c r="O50" s="350">
        <f t="shared" si="18"/>
        <v>609965.42</v>
      </c>
      <c r="P50" s="350">
        <f t="shared" si="18"/>
        <v>2385355.63</v>
      </c>
      <c r="Q50" s="350">
        <f t="shared" si="18"/>
        <v>4769286.35</v>
      </c>
      <c r="R50" s="350">
        <f t="shared" si="18"/>
        <v>6375418.92</v>
      </c>
      <c r="S50" s="350">
        <f t="shared" si="18"/>
        <v>1539469.79</v>
      </c>
      <c r="T50" s="350">
        <f t="shared" si="18"/>
        <v>471784.75</v>
      </c>
      <c r="U50" s="350">
        <f t="shared" si="18"/>
        <v>1731854.68</v>
      </c>
      <c r="V50" s="350">
        <f t="shared" si="18"/>
        <v>2313855.74</v>
      </c>
      <c r="W50" s="350">
        <f t="shared" si="18"/>
        <v>1316908.35</v>
      </c>
      <c r="X50" s="350">
        <f t="shared" si="18"/>
        <v>0</v>
      </c>
      <c r="Y50" s="365">
        <f t="shared" si="18"/>
        <v>0</v>
      </c>
      <c r="Z50" s="366">
        <f t="shared" si="18"/>
        <v>0</v>
      </c>
      <c r="AA50" s="366">
        <f t="shared" si="18"/>
        <v>0</v>
      </c>
      <c r="AB50" s="366">
        <f t="shared" si="18"/>
        <v>0</v>
      </c>
      <c r="AC50" s="366">
        <f t="shared" si="18"/>
        <v>603390</v>
      </c>
      <c r="AD50" s="366">
        <f t="shared" si="18"/>
        <v>2159095.6</v>
      </c>
      <c r="AE50" s="366">
        <f t="shared" si="18"/>
        <v>2155410.69</v>
      </c>
      <c r="AF50" s="366">
        <f t="shared" si="18"/>
        <v>1214408.1</v>
      </c>
      <c r="AG50" s="366">
        <f t="shared" si="18"/>
        <v>1195377.39</v>
      </c>
      <c r="AH50" s="366">
        <f t="shared" si="18"/>
        <v>1177304</v>
      </c>
      <c r="AI50" s="366">
        <f t="shared" si="18"/>
        <v>1162488.58</v>
      </c>
      <c r="AJ50" s="366">
        <f t="shared" si="18"/>
        <v>3972454.69</v>
      </c>
      <c r="AK50" s="366">
        <f t="shared" si="18"/>
        <v>2462204.76</v>
      </c>
      <c r="AL50" s="366">
        <f t="shared" si="18"/>
        <v>2236666.65</v>
      </c>
      <c r="AM50" s="366">
        <f t="shared" si="18"/>
        <v>3258650.51</v>
      </c>
      <c r="AN50" s="367">
        <f t="shared" si="18"/>
        <v>0</v>
      </c>
      <c r="AO50" s="368">
        <f t="shared" si="18"/>
        <v>33201892.34</v>
      </c>
      <c r="AP50" s="369">
        <f t="shared" si="18"/>
        <v>21566596</v>
      </c>
      <c r="AQ50" s="63">
        <f t="shared" si="18"/>
        <v>11635296.34</v>
      </c>
      <c r="AR50" s="367">
        <f t="shared" si="3"/>
        <v>8004532.25</v>
      </c>
      <c r="AS50" s="288"/>
      <c r="AT50" s="289"/>
      <c r="AW50" s="10"/>
      <c r="AX50" s="101"/>
    </row>
    <row r="51" ht="15.05" customHeight="1" spans="5:44">
      <c r="E51" s="65"/>
      <c r="F51" s="65"/>
      <c r="G51" s="65"/>
      <c r="H51" s="65"/>
      <c r="I51" s="65">
        <f>SUM(I5:I44)</f>
        <v>755825</v>
      </c>
      <c r="J51" s="65">
        <f t="shared" ref="J51:AO51" si="19">SUM(J5:J44)</f>
        <v>2193040.65</v>
      </c>
      <c r="K51" s="65">
        <f t="shared" si="19"/>
        <v>1373497.34</v>
      </c>
      <c r="L51" s="65">
        <f t="shared" si="19"/>
        <v>5335322.88</v>
      </c>
      <c r="M51" s="65">
        <f t="shared" si="19"/>
        <v>1637222.04</v>
      </c>
      <c r="N51" s="65">
        <f t="shared" si="19"/>
        <v>482828.94</v>
      </c>
      <c r="O51" s="65">
        <f t="shared" si="19"/>
        <v>381164.66</v>
      </c>
      <c r="P51" s="65">
        <f t="shared" si="19"/>
        <v>2074253.07</v>
      </c>
      <c r="Q51" s="65">
        <f t="shared" si="19"/>
        <v>4314993.47</v>
      </c>
      <c r="R51" s="65">
        <f t="shared" si="19"/>
        <v>2541626.56</v>
      </c>
      <c r="S51" s="65">
        <f t="shared" si="19"/>
        <v>1308249.19</v>
      </c>
      <c r="T51" s="65">
        <f t="shared" si="19"/>
        <v>364220.41</v>
      </c>
      <c r="U51" s="65">
        <f t="shared" si="19"/>
        <v>1602774.78</v>
      </c>
      <c r="V51" s="65">
        <f t="shared" si="19"/>
        <v>1557141.93</v>
      </c>
      <c r="W51" s="65">
        <f t="shared" si="19"/>
        <v>432003.94</v>
      </c>
      <c r="X51" s="65">
        <f t="shared" si="19"/>
        <v>0</v>
      </c>
      <c r="Y51" s="65">
        <f t="shared" si="19"/>
        <v>0</v>
      </c>
      <c r="Z51" s="65">
        <f t="shared" si="19"/>
        <v>0</v>
      </c>
      <c r="AA51" s="65">
        <f t="shared" si="19"/>
        <v>0</v>
      </c>
      <c r="AB51" s="65">
        <f t="shared" si="19"/>
        <v>0</v>
      </c>
      <c r="AC51" s="65">
        <f t="shared" si="19"/>
        <v>3390</v>
      </c>
      <c r="AD51" s="65">
        <f t="shared" si="19"/>
        <v>2159095.6</v>
      </c>
      <c r="AE51" s="65">
        <f t="shared" si="19"/>
        <v>2026590.69</v>
      </c>
      <c r="AF51" s="65">
        <f t="shared" si="19"/>
        <v>1214408.1</v>
      </c>
      <c r="AG51" s="65">
        <f t="shared" si="19"/>
        <v>1184877.39</v>
      </c>
      <c r="AH51" s="65">
        <f t="shared" si="19"/>
        <v>1162634.11</v>
      </c>
      <c r="AI51" s="65">
        <f t="shared" si="19"/>
        <v>1162488.58</v>
      </c>
      <c r="AJ51" s="65">
        <f t="shared" si="19"/>
        <v>3761815.73</v>
      </c>
      <c r="AK51" s="65">
        <f t="shared" si="19"/>
        <v>2262204.76</v>
      </c>
      <c r="AL51" s="65">
        <f t="shared" si="19"/>
        <v>2136666.65</v>
      </c>
      <c r="AM51" s="65">
        <f t="shared" si="19"/>
        <v>1727795.54</v>
      </c>
      <c r="AN51" s="65">
        <f t="shared" si="19"/>
        <v>0</v>
      </c>
      <c r="AO51" s="65">
        <f t="shared" si="19"/>
        <v>22031801.87</v>
      </c>
      <c r="AP51" s="65">
        <f>SUM(AP5:AP48)</f>
        <v>19801967.15</v>
      </c>
      <c r="AQ51" s="65">
        <f t="shared" ref="AQ51:AR51" si="20">SUM(AQ5:AQ48)</f>
        <v>6403679.92</v>
      </c>
      <c r="AR51" s="65">
        <f t="shared" si="20"/>
        <v>3747885.89</v>
      </c>
    </row>
    <row r="52" ht="15.05" customHeight="1" spans="5:53"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BA52" s="374"/>
    </row>
    <row r="53" spans="4:53">
      <c r="D53" s="67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  <c r="BA53" s="374"/>
    </row>
    <row r="63" spans="53:53">
      <c r="BA63" s="374"/>
    </row>
    <row r="64" spans="2:4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pans="2:53">
      <c r="B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BA67" s="374"/>
    </row>
    <row r="71" spans="53:53">
      <c r="BA71" s="374"/>
    </row>
    <row r="77" spans="53:53">
      <c r="BA77" s="374"/>
    </row>
    <row r="78" spans="53:53">
      <c r="BA78" s="374"/>
    </row>
    <row r="80" spans="53:53">
      <c r="BA80" s="374"/>
    </row>
    <row r="82" spans="53:53">
      <c r="BA82" s="374"/>
    </row>
  </sheetData>
  <autoFilter ref="A4:AV51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BA5:BA127">
    <cfRule type="duplicateValues" dxfId="0" priority="1"/>
  </conditionalFormatting>
  <conditionalFormatting sqref="BA83:BA127">
    <cfRule type="duplicateValues" dxfId="0" priority="2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67"/>
  <sheetViews>
    <sheetView zoomScale="80" zoomScaleNormal="80" workbookViewId="0">
      <pane xSplit="4" ySplit="4" topLeftCell="AG27" activePane="bottomRight" state="frozen"/>
      <selection/>
      <selection pane="topRight"/>
      <selection pane="bottomLeft"/>
      <selection pane="bottomRight" activeCell="AS42" sqref="AS42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15" customWidth="1"/>
    <col min="7" max="8" width="12.2" style="215" customWidth="1"/>
    <col min="9" max="9" width="13.9" style="215" customWidth="1"/>
    <col min="10" max="11" width="12.2" style="215" customWidth="1"/>
    <col min="12" max="24" width="14.2" style="215" customWidth="1"/>
    <col min="25" max="25" width="3.6" style="13" customWidth="1"/>
    <col min="26" max="26" width="6.7" style="13" customWidth="1"/>
    <col min="27" max="28" width="4.7" style="13" customWidth="1"/>
    <col min="29" max="30" width="16.4" style="216" customWidth="1"/>
    <col min="31" max="40" width="13" style="216" customWidth="1"/>
    <col min="41" max="44" width="17.2" style="15" customWidth="1"/>
    <col min="45" max="45" width="8.4" style="15" customWidth="1"/>
    <col min="46" max="46" width="15.7" style="13" customWidth="1"/>
    <col min="47" max="47" width="12" style="13" customWidth="1"/>
    <col min="48" max="49" width="13.1" style="13" customWidth="1"/>
    <col min="50" max="50" width="13.9" style="13" customWidth="1"/>
    <col min="51" max="16384" width="8" style="13"/>
  </cols>
  <sheetData>
    <row r="1" ht="20.95" customHeight="1" spans="2:46">
      <c r="B1" s="20" t="s">
        <v>233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8">
      <c r="B2" s="24" t="s">
        <v>1</v>
      </c>
      <c r="C2" s="25" t="s">
        <v>2</v>
      </c>
      <c r="D2" s="26" t="s">
        <v>3</v>
      </c>
      <c r="E2" s="226" t="s">
        <v>189</v>
      </c>
      <c r="F2" s="227"/>
      <c r="G2" s="227"/>
      <c r="H2" s="227"/>
      <c r="I2" s="338" t="s">
        <v>190</v>
      </c>
      <c r="J2" s="339"/>
      <c r="K2" s="339"/>
      <c r="L2" s="340"/>
      <c r="M2" s="226" t="s">
        <v>191</v>
      </c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351" t="s">
        <v>36</v>
      </c>
      <c r="Z2" s="301" t="s">
        <v>37</v>
      </c>
      <c r="AA2" s="301"/>
      <c r="AB2" s="301"/>
      <c r="AC2" s="245" t="s">
        <v>192</v>
      </c>
      <c r="AD2" s="245" t="s">
        <v>193</v>
      </c>
      <c r="AE2" s="245" t="s">
        <v>158</v>
      </c>
      <c r="AF2" s="245" t="s">
        <v>159</v>
      </c>
      <c r="AG2" s="245" t="s">
        <v>160</v>
      </c>
      <c r="AH2" s="245" t="s">
        <v>161</v>
      </c>
      <c r="AI2" s="245" t="s">
        <v>162</v>
      </c>
      <c r="AJ2" s="245" t="s">
        <v>163</v>
      </c>
      <c r="AK2" s="245" t="s">
        <v>164</v>
      </c>
      <c r="AL2" s="245" t="s">
        <v>165</v>
      </c>
      <c r="AM2" s="245" t="s">
        <v>166</v>
      </c>
      <c r="AN2" s="357" t="s">
        <v>167</v>
      </c>
      <c r="AO2" s="263"/>
      <c r="AP2" s="70"/>
      <c r="AQ2" s="70"/>
      <c r="AR2" s="70"/>
      <c r="AS2" s="271"/>
      <c r="AT2" s="80" t="s">
        <v>36</v>
      </c>
      <c r="AU2" s="80" t="s">
        <v>234</v>
      </c>
      <c r="AV2" s="80" t="s">
        <v>235</v>
      </c>
    </row>
    <row r="3" ht="31.6" customHeight="1" spans="2:48">
      <c r="B3" s="30"/>
      <c r="C3" s="31"/>
      <c r="D3" s="32"/>
      <c r="E3" s="228" t="s">
        <v>194</v>
      </c>
      <c r="F3" s="229" t="s">
        <v>195</v>
      </c>
      <c r="G3" s="229" t="s">
        <v>196</v>
      </c>
      <c r="H3" s="229" t="s">
        <v>197</v>
      </c>
      <c r="I3" s="363" t="s">
        <v>195</v>
      </c>
      <c r="J3" s="363" t="s">
        <v>196</v>
      </c>
      <c r="K3" s="363" t="s">
        <v>197</v>
      </c>
      <c r="L3" s="341" t="s">
        <v>198</v>
      </c>
      <c r="M3" s="228" t="s">
        <v>73</v>
      </c>
      <c r="N3" s="229" t="s">
        <v>74</v>
      </c>
      <c r="O3" s="229" t="s">
        <v>169</v>
      </c>
      <c r="P3" s="229" t="s">
        <v>170</v>
      </c>
      <c r="Q3" s="229" t="s">
        <v>171</v>
      </c>
      <c r="R3" s="229" t="s">
        <v>172</v>
      </c>
      <c r="S3" s="229" t="s">
        <v>173</v>
      </c>
      <c r="T3" s="229" t="s">
        <v>174</v>
      </c>
      <c r="U3" s="229" t="s">
        <v>175</v>
      </c>
      <c r="V3" s="229" t="s">
        <v>70</v>
      </c>
      <c r="W3" s="229" t="s">
        <v>71</v>
      </c>
      <c r="X3" s="229" t="s">
        <v>72</v>
      </c>
      <c r="Y3" s="352"/>
      <c r="Z3" s="353" t="s">
        <v>76</v>
      </c>
      <c r="AA3" s="353" t="s">
        <v>77</v>
      </c>
      <c r="AB3" s="353" t="s">
        <v>78</v>
      </c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358"/>
      <c r="AO3" s="264" t="s">
        <v>199</v>
      </c>
      <c r="AP3" s="36" t="s">
        <v>200</v>
      </c>
      <c r="AQ3" s="272" t="s">
        <v>201</v>
      </c>
      <c r="AR3" s="36" t="s">
        <v>236</v>
      </c>
      <c r="AS3" s="273" t="s">
        <v>203</v>
      </c>
      <c r="AT3" s="83"/>
      <c r="AU3" s="83"/>
      <c r="AV3" s="83"/>
    </row>
    <row r="4" ht="18" customHeight="1" spans="2:48">
      <c r="B4" s="30"/>
      <c r="C4" s="31"/>
      <c r="D4" s="32"/>
      <c r="E4" s="230"/>
      <c r="F4" s="231"/>
      <c r="G4" s="231"/>
      <c r="H4" s="231"/>
      <c r="I4" s="231"/>
      <c r="J4" s="231"/>
      <c r="K4" s="231"/>
      <c r="L4" s="342"/>
      <c r="M4" s="230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52"/>
      <c r="Z4" s="353"/>
      <c r="AA4" s="353"/>
      <c r="AB4" s="353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358"/>
      <c r="AO4" s="264"/>
      <c r="AP4" s="36"/>
      <c r="AQ4" s="272"/>
      <c r="AR4" s="36"/>
      <c r="AS4" s="273"/>
      <c r="AT4" s="83"/>
      <c r="AU4" s="83"/>
      <c r="AV4" s="83"/>
    </row>
    <row r="5" s="10" customFormat="1" ht="24.05" customHeight="1" spans="2:50">
      <c r="B5" s="45" t="s">
        <v>81</v>
      </c>
      <c r="C5" s="325" t="s">
        <v>82</v>
      </c>
      <c r="D5" s="46" t="s">
        <v>83</v>
      </c>
      <c r="E5" s="326">
        <v>0</v>
      </c>
      <c r="F5" s="332"/>
      <c r="G5" s="333"/>
      <c r="H5" s="333"/>
      <c r="I5" s="332"/>
      <c r="J5" s="333"/>
      <c r="K5" s="333"/>
      <c r="L5" s="343">
        <f>SUM(I5:K5)+E5</f>
        <v>0</v>
      </c>
      <c r="M5" s="232"/>
      <c r="N5" s="233"/>
      <c r="O5" s="233"/>
      <c r="P5" s="233"/>
      <c r="Q5" s="233">
        <v>41950</v>
      </c>
      <c r="R5" s="233"/>
      <c r="S5" s="233">
        <v>41950</v>
      </c>
      <c r="T5" s="233"/>
      <c r="U5" s="233">
        <v>41950</v>
      </c>
      <c r="V5" s="233"/>
      <c r="W5" s="233"/>
      <c r="X5" s="233"/>
      <c r="Y5" s="354"/>
      <c r="Z5" s="356"/>
      <c r="AA5" s="310"/>
      <c r="AB5" s="310" t="s">
        <v>84</v>
      </c>
      <c r="AC5" s="250"/>
      <c r="AD5" s="250"/>
      <c r="AE5" s="250"/>
      <c r="AF5" s="250"/>
      <c r="AG5" s="250"/>
      <c r="AH5" s="250"/>
      <c r="AI5" s="250"/>
      <c r="AJ5" s="250">
        <v>41950</v>
      </c>
      <c r="AK5" s="250"/>
      <c r="AL5" s="250">
        <v>41950</v>
      </c>
      <c r="AM5" s="250">
        <v>41950</v>
      </c>
      <c r="AN5" s="265"/>
      <c r="AO5" s="266">
        <f>SUM(L5:X5)</f>
        <v>125850</v>
      </c>
      <c r="AP5" s="274">
        <f>SUM(AC5:AN5)</f>
        <v>125850</v>
      </c>
      <c r="AQ5" s="359">
        <f>AO5-AP5</f>
        <v>0</v>
      </c>
      <c r="AR5" s="360">
        <f>AQ5-X5-W5</f>
        <v>0</v>
      </c>
      <c r="AS5" s="276" t="s">
        <v>85</v>
      </c>
      <c r="AT5" s="277"/>
      <c r="AU5" s="371"/>
      <c r="AV5" s="91"/>
      <c r="AW5" s="101" t="e">
        <f>VLOOKUP(D5,#REF!,12,FALSE)</f>
        <v>#REF!</v>
      </c>
      <c r="AX5" s="101" t="e">
        <f>AQ5-AW5</f>
        <v>#REF!</v>
      </c>
    </row>
    <row r="6" s="10" customFormat="1" ht="24.05" customHeight="1" spans="1:50">
      <c r="A6" s="220"/>
      <c r="B6" s="45" t="s">
        <v>81</v>
      </c>
      <c r="C6" s="325" t="s">
        <v>86</v>
      </c>
      <c r="D6" s="46" t="s">
        <v>87</v>
      </c>
      <c r="E6" s="326">
        <v>0</v>
      </c>
      <c r="F6" s="332">
        <v>561530.9</v>
      </c>
      <c r="G6" s="333"/>
      <c r="H6" s="333"/>
      <c r="I6" s="332"/>
      <c r="J6" s="333">
        <v>334593</v>
      </c>
      <c r="K6" s="333"/>
      <c r="L6" s="343">
        <f t="shared" ref="L6:L35" si="0">SUM(I6:K6)+E6</f>
        <v>334593</v>
      </c>
      <c r="M6" s="232">
        <f>191196+131339</f>
        <v>322535</v>
      </c>
      <c r="N6" s="233"/>
      <c r="O6" s="233"/>
      <c r="P6" s="233">
        <v>561985.73</v>
      </c>
      <c r="Q6" s="233">
        <f>120458+193659.4</f>
        <v>314117.4</v>
      </c>
      <c r="R6" s="233">
        <v>43086.9</v>
      </c>
      <c r="S6" s="238"/>
      <c r="T6" s="238"/>
      <c r="U6" s="233"/>
      <c r="V6" s="233">
        <v>60229</v>
      </c>
      <c r="W6" s="233"/>
      <c r="X6" s="233"/>
      <c r="Y6" s="354"/>
      <c r="Z6" s="310"/>
      <c r="AA6" s="310"/>
      <c r="AB6" s="310" t="s">
        <v>84</v>
      </c>
      <c r="AC6" s="250"/>
      <c r="AD6" s="250">
        <v>334593</v>
      </c>
      <c r="AE6" s="250">
        <v>322535</v>
      </c>
      <c r="AF6" s="250"/>
      <c r="AG6" s="250"/>
      <c r="AH6" s="250"/>
      <c r="AI6" s="250"/>
      <c r="AJ6" s="250">
        <v>876103.13</v>
      </c>
      <c r="AK6" s="250">
        <v>43086.9</v>
      </c>
      <c r="AL6" s="250"/>
      <c r="AM6" s="250"/>
      <c r="AN6" s="265"/>
      <c r="AO6" s="266">
        <f t="shared" ref="AO6:AO35" si="1">SUM(L6:X6)</f>
        <v>1636547.03</v>
      </c>
      <c r="AP6" s="274">
        <f t="shared" ref="AP6:AP35" si="2">SUM(AC6:AN6)</f>
        <v>1576318.03</v>
      </c>
      <c r="AQ6" s="359">
        <f>AO6-AP6</f>
        <v>60229</v>
      </c>
      <c r="AR6" s="360">
        <f t="shared" ref="AR6:AR49" si="3">AQ6-X6-W6</f>
        <v>60229</v>
      </c>
      <c r="AS6" s="276" t="s">
        <v>85</v>
      </c>
      <c r="AT6" s="277"/>
      <c r="AU6" s="371"/>
      <c r="AV6" s="91">
        <v>60229</v>
      </c>
      <c r="AW6" s="101" t="e">
        <f>VLOOKUP(D6,#REF!,12,FALSE)</f>
        <v>#REF!</v>
      </c>
      <c r="AX6" s="101" t="e">
        <f t="shared" ref="AX6:AX49" si="4">AQ6-AW6</f>
        <v>#REF!</v>
      </c>
    </row>
    <row r="7" s="10" customFormat="1" ht="24.05" customHeight="1" spans="2:50">
      <c r="B7" s="45" t="s">
        <v>81</v>
      </c>
      <c r="C7" s="325" t="s">
        <v>88</v>
      </c>
      <c r="D7" s="46" t="s">
        <v>89</v>
      </c>
      <c r="E7" s="326">
        <v>0</v>
      </c>
      <c r="F7" s="332"/>
      <c r="G7" s="333"/>
      <c r="H7" s="333"/>
      <c r="I7" s="332"/>
      <c r="J7" s="333"/>
      <c r="K7" s="333"/>
      <c r="L7" s="343">
        <f t="shared" si="0"/>
        <v>0</v>
      </c>
      <c r="M7" s="232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354"/>
      <c r="Z7" s="310"/>
      <c r="AA7" s="310"/>
      <c r="AB7" s="310" t="s">
        <v>84</v>
      </c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65"/>
      <c r="AO7" s="266">
        <f t="shared" si="1"/>
        <v>0</v>
      </c>
      <c r="AP7" s="274">
        <f t="shared" si="2"/>
        <v>0</v>
      </c>
      <c r="AQ7" s="359">
        <f t="shared" ref="AQ7:AQ49" si="5">AO7-AP7</f>
        <v>0</v>
      </c>
      <c r="AR7" s="360">
        <f t="shared" si="3"/>
        <v>0</v>
      </c>
      <c r="AS7" s="276" t="s">
        <v>85</v>
      </c>
      <c r="AT7" s="277"/>
      <c r="AU7" s="371"/>
      <c r="AV7" s="91"/>
      <c r="AW7" s="101" t="e">
        <f>VLOOKUP(D7,#REF!,12,FALSE)</f>
        <v>#REF!</v>
      </c>
      <c r="AX7" s="101" t="e">
        <f t="shared" si="4"/>
        <v>#REF!</v>
      </c>
    </row>
    <row r="8" s="10" customFormat="1" ht="24.05" customHeight="1" spans="2:50">
      <c r="B8" s="45" t="s">
        <v>81</v>
      </c>
      <c r="C8" s="325" t="s">
        <v>90</v>
      </c>
      <c r="D8" s="46" t="s">
        <v>91</v>
      </c>
      <c r="E8" s="326">
        <v>51022.6</v>
      </c>
      <c r="F8" s="332"/>
      <c r="G8" s="333"/>
      <c r="H8" s="333"/>
      <c r="I8" s="332"/>
      <c r="J8" s="333">
        <f>53675+103056</f>
        <v>156731</v>
      </c>
      <c r="K8" s="333"/>
      <c r="L8" s="343">
        <f t="shared" si="0"/>
        <v>207753.6</v>
      </c>
      <c r="M8" s="232"/>
      <c r="N8" s="233"/>
      <c r="O8" s="233">
        <v>40674.58</v>
      </c>
      <c r="P8" s="233"/>
      <c r="Q8" s="233"/>
      <c r="R8" s="233"/>
      <c r="S8" s="233"/>
      <c r="T8" s="233"/>
      <c r="U8" s="233"/>
      <c r="V8" s="233">
        <f>110627+91421.52+64726.4</f>
        <v>266774.92</v>
      </c>
      <c r="W8" s="233"/>
      <c r="X8" s="233"/>
      <c r="Y8" s="354"/>
      <c r="Z8" s="310"/>
      <c r="AA8" s="310"/>
      <c r="AB8" s="310" t="s">
        <v>84</v>
      </c>
      <c r="AC8" s="250"/>
      <c r="AD8" s="250">
        <v>51022.6</v>
      </c>
      <c r="AE8" s="250"/>
      <c r="AF8" s="250"/>
      <c r="AG8" s="250"/>
      <c r="AH8" s="250"/>
      <c r="AI8" s="250"/>
      <c r="AJ8" s="250">
        <v>40000</v>
      </c>
      <c r="AK8" s="250">
        <v>156731</v>
      </c>
      <c r="AL8" s="250"/>
      <c r="AM8" s="250"/>
      <c r="AN8" s="265"/>
      <c r="AO8" s="266">
        <f t="shared" si="1"/>
        <v>515203.1</v>
      </c>
      <c r="AP8" s="274">
        <f t="shared" si="2"/>
        <v>247753.6</v>
      </c>
      <c r="AQ8" s="359">
        <f t="shared" si="5"/>
        <v>267449.5</v>
      </c>
      <c r="AR8" s="360">
        <f t="shared" si="3"/>
        <v>267449.5</v>
      </c>
      <c r="AS8" s="276" t="s">
        <v>85</v>
      </c>
      <c r="AT8" s="277"/>
      <c r="AU8" s="371"/>
      <c r="AV8" s="91">
        <v>150000</v>
      </c>
      <c r="AW8" s="101" t="e">
        <f>VLOOKUP(D8,#REF!,12,FALSE)</f>
        <v>#REF!</v>
      </c>
      <c r="AX8" s="101" t="e">
        <f t="shared" si="4"/>
        <v>#REF!</v>
      </c>
    </row>
    <row r="9" s="10" customFormat="1" ht="24.05" customHeight="1" spans="2:50">
      <c r="B9" s="45" t="s">
        <v>81</v>
      </c>
      <c r="C9" s="325" t="s">
        <v>92</v>
      </c>
      <c r="D9" s="46" t="s">
        <v>93</v>
      </c>
      <c r="E9" s="326">
        <v>0</v>
      </c>
      <c r="F9" s="332"/>
      <c r="G9" s="333"/>
      <c r="H9" s="333"/>
      <c r="I9" s="332"/>
      <c r="J9" s="333">
        <v>15959.36</v>
      </c>
      <c r="K9" s="333"/>
      <c r="L9" s="343">
        <f t="shared" si="0"/>
        <v>15959.36</v>
      </c>
      <c r="M9" s="232"/>
      <c r="N9" s="233"/>
      <c r="O9" s="233">
        <v>5243.2</v>
      </c>
      <c r="P9" s="233"/>
      <c r="Q9" s="233"/>
      <c r="R9" s="233"/>
      <c r="S9" s="233"/>
      <c r="T9" s="233"/>
      <c r="U9" s="233"/>
      <c r="V9" s="233"/>
      <c r="W9" s="233"/>
      <c r="X9" s="233"/>
      <c r="Y9" s="354"/>
      <c r="Z9" s="310"/>
      <c r="AA9" s="310"/>
      <c r="AB9" s="310" t="s">
        <v>84</v>
      </c>
      <c r="AC9" s="250"/>
      <c r="AD9" s="250"/>
      <c r="AE9" s="250"/>
      <c r="AF9" s="250"/>
      <c r="AG9" s="250"/>
      <c r="AH9" s="250"/>
      <c r="AI9" s="250"/>
      <c r="AJ9" s="250"/>
      <c r="AK9" s="250"/>
      <c r="AL9" s="250">
        <v>21202.56</v>
      </c>
      <c r="AM9" s="250"/>
      <c r="AN9" s="265"/>
      <c r="AO9" s="266">
        <f t="shared" si="1"/>
        <v>21202.56</v>
      </c>
      <c r="AP9" s="274">
        <f t="shared" si="2"/>
        <v>21202.56</v>
      </c>
      <c r="AQ9" s="359">
        <f t="shared" si="5"/>
        <v>0</v>
      </c>
      <c r="AR9" s="360">
        <f t="shared" si="3"/>
        <v>0</v>
      </c>
      <c r="AS9" s="276" t="s">
        <v>85</v>
      </c>
      <c r="AT9" s="277"/>
      <c r="AU9" s="371"/>
      <c r="AV9" s="91"/>
      <c r="AW9" s="101" t="e">
        <f>VLOOKUP(D9,#REF!,12,FALSE)</f>
        <v>#REF!</v>
      </c>
      <c r="AX9" s="101" t="e">
        <f t="shared" si="4"/>
        <v>#REF!</v>
      </c>
    </row>
    <row r="10" s="10" customFormat="1" ht="24.05" customHeight="1" spans="2:50">
      <c r="B10" s="45" t="s">
        <v>81</v>
      </c>
      <c r="C10" s="325" t="s">
        <v>94</v>
      </c>
      <c r="D10" s="46" t="s">
        <v>95</v>
      </c>
      <c r="E10" s="326">
        <v>0</v>
      </c>
      <c r="F10" s="332"/>
      <c r="G10" s="333"/>
      <c r="H10" s="333"/>
      <c r="I10" s="332"/>
      <c r="J10" s="333"/>
      <c r="K10" s="333"/>
      <c r="L10" s="343">
        <f t="shared" si="0"/>
        <v>0</v>
      </c>
      <c r="M10" s="232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354"/>
      <c r="Z10" s="310"/>
      <c r="AA10" s="310"/>
      <c r="AB10" s="310" t="s">
        <v>84</v>
      </c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65"/>
      <c r="AO10" s="266">
        <f t="shared" si="1"/>
        <v>0</v>
      </c>
      <c r="AP10" s="274">
        <f t="shared" si="2"/>
        <v>0</v>
      </c>
      <c r="AQ10" s="359">
        <f t="shared" si="5"/>
        <v>0</v>
      </c>
      <c r="AR10" s="360">
        <f t="shared" si="3"/>
        <v>0</v>
      </c>
      <c r="AS10" s="276" t="s">
        <v>96</v>
      </c>
      <c r="AT10" s="277"/>
      <c r="AU10" s="371"/>
      <c r="AV10" s="91"/>
      <c r="AW10" s="101" t="e">
        <f>VLOOKUP(D10,#REF!,12,FALSE)</f>
        <v>#REF!</v>
      </c>
      <c r="AX10" s="101" t="e">
        <f t="shared" si="4"/>
        <v>#REF!</v>
      </c>
    </row>
    <row r="11" s="10" customFormat="1" ht="24.05" customHeight="1" spans="2:50">
      <c r="B11" s="45" t="s">
        <v>81</v>
      </c>
      <c r="C11" s="325" t="s">
        <v>97</v>
      </c>
      <c r="D11" s="46" t="s">
        <v>98</v>
      </c>
      <c r="E11" s="326">
        <v>0</v>
      </c>
      <c r="F11" s="332"/>
      <c r="G11" s="333"/>
      <c r="H11" s="333"/>
      <c r="I11" s="332">
        <v>39998.95</v>
      </c>
      <c r="J11" s="333"/>
      <c r="K11" s="333"/>
      <c r="L11" s="343">
        <f t="shared" si="0"/>
        <v>39998.95</v>
      </c>
      <c r="M11" s="232">
        <f>36433.22-8.68</f>
        <v>36424.54</v>
      </c>
      <c r="N11" s="233">
        <v>4881.6</v>
      </c>
      <c r="O11" s="233"/>
      <c r="P11" s="233">
        <v>16659.36</v>
      </c>
      <c r="Q11" s="233"/>
      <c r="R11" s="233"/>
      <c r="S11" s="233">
        <v>32325.68</v>
      </c>
      <c r="T11" s="233"/>
      <c r="U11" s="233">
        <v>4865.78</v>
      </c>
      <c r="V11" s="233">
        <v>16012.1</v>
      </c>
      <c r="W11" s="233"/>
      <c r="X11" s="233"/>
      <c r="Y11" s="354"/>
      <c r="Z11" s="310"/>
      <c r="AA11" s="310"/>
      <c r="AB11" s="310" t="s">
        <v>84</v>
      </c>
      <c r="AC11" s="250"/>
      <c r="AD11" s="250">
        <v>39998.95</v>
      </c>
      <c r="AE11" s="250"/>
      <c r="AF11" s="250"/>
      <c r="AG11" s="250"/>
      <c r="AH11" s="250"/>
      <c r="AI11" s="250"/>
      <c r="AJ11" s="250"/>
      <c r="AK11" s="250"/>
      <c r="AL11" s="250">
        <v>4881.6</v>
      </c>
      <c r="AM11" s="250">
        <v>80000</v>
      </c>
      <c r="AN11" s="265"/>
      <c r="AO11" s="266">
        <f t="shared" si="1"/>
        <v>151168.01</v>
      </c>
      <c r="AP11" s="274">
        <f t="shared" si="2"/>
        <v>124880.55</v>
      </c>
      <c r="AQ11" s="359">
        <f t="shared" si="5"/>
        <v>26287.46</v>
      </c>
      <c r="AR11" s="360">
        <f t="shared" si="3"/>
        <v>26287.46</v>
      </c>
      <c r="AS11" s="276" t="s">
        <v>85</v>
      </c>
      <c r="AT11" s="277"/>
      <c r="AU11" s="372">
        <v>10275.36</v>
      </c>
      <c r="AV11" s="91">
        <v>16012.1</v>
      </c>
      <c r="AW11" s="101" t="e">
        <f>VLOOKUP(D11,#REF!,12,FALSE)</f>
        <v>#REF!</v>
      </c>
      <c r="AX11" s="101" t="e">
        <f t="shared" si="4"/>
        <v>#REF!</v>
      </c>
    </row>
    <row r="12" s="10" customFormat="1" ht="24.05" customHeight="1" spans="2:50">
      <c r="B12" s="45" t="s">
        <v>81</v>
      </c>
      <c r="C12" s="325" t="s">
        <v>99</v>
      </c>
      <c r="D12" s="46" t="s">
        <v>100</v>
      </c>
      <c r="E12" s="326">
        <v>0</v>
      </c>
      <c r="F12" s="332">
        <v>9322.5</v>
      </c>
      <c r="G12" s="333"/>
      <c r="H12" s="333"/>
      <c r="I12" s="332"/>
      <c r="J12" s="333"/>
      <c r="K12" s="333"/>
      <c r="L12" s="343">
        <f t="shared" si="0"/>
        <v>0</v>
      </c>
      <c r="M12" s="232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354"/>
      <c r="Z12" s="310"/>
      <c r="AA12" s="310"/>
      <c r="AB12" s="310" t="s">
        <v>84</v>
      </c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65"/>
      <c r="AO12" s="266">
        <f t="shared" si="1"/>
        <v>0</v>
      </c>
      <c r="AP12" s="274">
        <f t="shared" si="2"/>
        <v>0</v>
      </c>
      <c r="AQ12" s="359">
        <f t="shared" si="5"/>
        <v>0</v>
      </c>
      <c r="AR12" s="360">
        <f t="shared" si="3"/>
        <v>0</v>
      </c>
      <c r="AS12" s="276" t="s">
        <v>101</v>
      </c>
      <c r="AT12" s="277"/>
      <c r="AU12" s="371"/>
      <c r="AV12" s="91"/>
      <c r="AW12" s="101" t="e">
        <f>VLOOKUP(D12,#REF!,12,FALSE)</f>
        <v>#REF!</v>
      </c>
      <c r="AX12" s="101" t="e">
        <f t="shared" si="4"/>
        <v>#REF!</v>
      </c>
    </row>
    <row r="13" s="10" customFormat="1" ht="24.05" customHeight="1" spans="2:50">
      <c r="B13" s="45" t="s">
        <v>81</v>
      </c>
      <c r="C13" s="325" t="s">
        <v>105</v>
      </c>
      <c r="D13" s="46" t="s">
        <v>106</v>
      </c>
      <c r="E13" s="326">
        <v>83003.9599999996</v>
      </c>
      <c r="F13" s="332">
        <v>127463.01</v>
      </c>
      <c r="G13" s="333"/>
      <c r="H13" s="333"/>
      <c r="I13" s="332">
        <v>72568.4</v>
      </c>
      <c r="J13" s="333">
        <v>101651.24</v>
      </c>
      <c r="K13" s="333"/>
      <c r="L13" s="343">
        <f t="shared" si="0"/>
        <v>257223.6</v>
      </c>
      <c r="M13" s="232">
        <f>81484.05+157016.28</f>
        <v>238500.33</v>
      </c>
      <c r="N13" s="233"/>
      <c r="O13" s="233">
        <v>44482.97</v>
      </c>
      <c r="P13" s="233">
        <v>105602.27</v>
      </c>
      <c r="Q13" s="233">
        <v>183228.64</v>
      </c>
      <c r="R13" s="233">
        <v>165595.12</v>
      </c>
      <c r="S13" s="233">
        <v>146213.94</v>
      </c>
      <c r="T13" s="233"/>
      <c r="U13" s="233">
        <v>83031.36</v>
      </c>
      <c r="V13" s="233">
        <v>135057.46</v>
      </c>
      <c r="W13" s="233"/>
      <c r="X13" s="233">
        <v>19960.32</v>
      </c>
      <c r="Y13" s="354"/>
      <c r="Z13" s="310"/>
      <c r="AA13" s="310"/>
      <c r="AB13" s="310" t="s">
        <v>84</v>
      </c>
      <c r="AC13" s="250"/>
      <c r="AD13" s="250">
        <v>60000</v>
      </c>
      <c r="AE13" s="250">
        <v>200000</v>
      </c>
      <c r="AF13" s="250"/>
      <c r="AG13" s="250"/>
      <c r="AH13" s="250">
        <v>200000</v>
      </c>
      <c r="AI13" s="250">
        <v>75000</v>
      </c>
      <c r="AJ13" s="250">
        <v>180000</v>
      </c>
      <c r="AK13" s="250">
        <v>150000</v>
      </c>
      <c r="AL13" s="250">
        <v>150000</v>
      </c>
      <c r="AM13" s="250">
        <v>125846.87</v>
      </c>
      <c r="AN13" s="265"/>
      <c r="AO13" s="266">
        <f t="shared" si="1"/>
        <v>1378896.01</v>
      </c>
      <c r="AP13" s="274">
        <f t="shared" si="2"/>
        <v>1140846.87</v>
      </c>
      <c r="AQ13" s="359">
        <f t="shared" si="5"/>
        <v>238049.14</v>
      </c>
      <c r="AR13" s="360">
        <f t="shared" si="3"/>
        <v>218088.82</v>
      </c>
      <c r="AS13" s="276" t="s">
        <v>85</v>
      </c>
      <c r="AT13" s="277"/>
      <c r="AU13" s="372">
        <v>83031.36</v>
      </c>
      <c r="AV13" s="91">
        <v>135057.46</v>
      </c>
      <c r="AW13" s="101" t="e">
        <f>VLOOKUP(D13,#REF!,12,FALSE)</f>
        <v>#REF!</v>
      </c>
      <c r="AX13" s="101" t="e">
        <f t="shared" si="4"/>
        <v>#REF!</v>
      </c>
    </row>
    <row r="14" s="10" customFormat="1" ht="24.05" customHeight="1" spans="2:50">
      <c r="B14" s="45" t="s">
        <v>81</v>
      </c>
      <c r="C14" s="325" t="s">
        <v>107</v>
      </c>
      <c r="D14" s="46" t="s">
        <v>108</v>
      </c>
      <c r="E14" s="326">
        <v>0</v>
      </c>
      <c r="F14" s="332">
        <v>274834.08</v>
      </c>
      <c r="G14" s="333"/>
      <c r="H14" s="333"/>
      <c r="I14" s="332"/>
      <c r="J14" s="333">
        <v>275114</v>
      </c>
      <c r="K14" s="333">
        <v>384487.79</v>
      </c>
      <c r="L14" s="343">
        <f t="shared" si="0"/>
        <v>659601.79</v>
      </c>
      <c r="M14" s="232">
        <v>274834.08</v>
      </c>
      <c r="N14" s="233">
        <v>219867.26</v>
      </c>
      <c r="O14" s="233"/>
      <c r="P14" s="233">
        <v>219867.26</v>
      </c>
      <c r="Q14" s="233">
        <v>549668.16</v>
      </c>
      <c r="R14" s="233">
        <v>404006.1</v>
      </c>
      <c r="S14" s="233">
        <v>329800.9</v>
      </c>
      <c r="T14" s="233">
        <v>54966.82</v>
      </c>
      <c r="U14" s="233">
        <v>54966.82</v>
      </c>
      <c r="V14" s="233">
        <v>219867.26</v>
      </c>
      <c r="W14" s="233">
        <v>54966.82</v>
      </c>
      <c r="X14" s="233">
        <v>164900.45</v>
      </c>
      <c r="Y14" s="354"/>
      <c r="Z14" s="310"/>
      <c r="AA14" s="310"/>
      <c r="AB14" s="310" t="s">
        <v>84</v>
      </c>
      <c r="AC14" s="250"/>
      <c r="AD14" s="250">
        <v>200000</v>
      </c>
      <c r="AE14" s="250">
        <v>459601.79</v>
      </c>
      <c r="AF14" s="250">
        <v>274834.08</v>
      </c>
      <c r="AG14" s="250">
        <v>219867.26</v>
      </c>
      <c r="AH14" s="250"/>
      <c r="AI14" s="250">
        <v>219867.26</v>
      </c>
      <c r="AJ14" s="250">
        <v>549668.16</v>
      </c>
      <c r="AK14" s="250">
        <v>458972.92</v>
      </c>
      <c r="AL14" s="250">
        <v>274834.08</v>
      </c>
      <c r="AM14" s="250">
        <v>54966.82</v>
      </c>
      <c r="AN14" s="265">
        <v>164900.44</v>
      </c>
      <c r="AO14" s="266">
        <f t="shared" si="1"/>
        <v>3207313.72</v>
      </c>
      <c r="AP14" s="274">
        <f t="shared" si="2"/>
        <v>2877512.81</v>
      </c>
      <c r="AQ14" s="359">
        <f t="shared" si="5"/>
        <v>329800.91</v>
      </c>
      <c r="AR14" s="360">
        <f t="shared" si="3"/>
        <v>109933.64</v>
      </c>
      <c r="AS14" s="276" t="s">
        <v>85</v>
      </c>
      <c r="AT14" s="277"/>
      <c r="AU14" s="372">
        <v>54966.82</v>
      </c>
      <c r="AV14" s="91">
        <v>219867.26</v>
      </c>
      <c r="AW14" s="101" t="e">
        <f>VLOOKUP(D14,#REF!,12,FALSE)</f>
        <v>#REF!</v>
      </c>
      <c r="AX14" s="101" t="e">
        <f t="shared" si="4"/>
        <v>#REF!</v>
      </c>
    </row>
    <row r="15" s="10" customFormat="1" ht="24.05" customHeight="1" spans="2:50">
      <c r="B15" s="45" t="s">
        <v>81</v>
      </c>
      <c r="C15" s="325" t="s">
        <v>109</v>
      </c>
      <c r="D15" s="46" t="s">
        <v>204</v>
      </c>
      <c r="E15" s="326">
        <v>24.7300000000541</v>
      </c>
      <c r="F15" s="332">
        <v>46967.34</v>
      </c>
      <c r="G15" s="333">
        <v>15405.75</v>
      </c>
      <c r="H15" s="333">
        <v>10937.5</v>
      </c>
      <c r="I15" s="332"/>
      <c r="J15" s="333"/>
      <c r="K15" s="333">
        <v>16455.51</v>
      </c>
      <c r="L15" s="343">
        <f t="shared" si="0"/>
        <v>16480.2400000001</v>
      </c>
      <c r="M15" s="232"/>
      <c r="N15" s="233">
        <f>7685.81-0.99</f>
        <v>7684.82</v>
      </c>
      <c r="O15" s="233">
        <f>16159+17289</f>
        <v>33448</v>
      </c>
      <c r="P15" s="233">
        <v>13901.26</v>
      </c>
      <c r="Q15" s="233">
        <f>11300+13749.84</f>
        <v>25049.84</v>
      </c>
      <c r="R15" s="233">
        <v>33765.53</v>
      </c>
      <c r="S15" s="233"/>
      <c r="T15" s="233">
        <v>22780.8</v>
      </c>
      <c r="U15" s="233"/>
      <c r="V15" s="233">
        <v>6597.88</v>
      </c>
      <c r="W15" s="233">
        <v>37.97</v>
      </c>
      <c r="X15" s="233"/>
      <c r="Y15" s="354"/>
      <c r="Z15" s="310"/>
      <c r="AA15" s="310"/>
      <c r="AB15" s="310" t="s">
        <v>84</v>
      </c>
      <c r="AC15" s="250"/>
      <c r="AD15" s="250">
        <v>16455.51</v>
      </c>
      <c r="AE15" s="250">
        <v>7684.82</v>
      </c>
      <c r="AF15" s="250">
        <v>33448</v>
      </c>
      <c r="AG15" s="250">
        <v>25201.26</v>
      </c>
      <c r="AH15" s="250">
        <v>13749.84</v>
      </c>
      <c r="AI15" s="250">
        <v>33765.53</v>
      </c>
      <c r="AJ15" s="250"/>
      <c r="AK15" s="250">
        <v>22780.8</v>
      </c>
      <c r="AL15" s="250">
        <v>6597.88</v>
      </c>
      <c r="AM15" s="250"/>
      <c r="AN15" s="265"/>
      <c r="AO15" s="266">
        <f t="shared" si="1"/>
        <v>159746.34</v>
      </c>
      <c r="AP15" s="274">
        <f t="shared" si="2"/>
        <v>159683.64</v>
      </c>
      <c r="AQ15" s="359">
        <f t="shared" si="5"/>
        <v>62.7000000000698</v>
      </c>
      <c r="AR15" s="360">
        <f t="shared" si="3"/>
        <v>24.7300000000699</v>
      </c>
      <c r="AS15" s="276" t="s">
        <v>111</v>
      </c>
      <c r="AT15" s="277"/>
      <c r="AU15" s="371"/>
      <c r="AV15" s="91"/>
      <c r="AW15" s="101" t="e">
        <f>VLOOKUP(D15,#REF!,12,FALSE)</f>
        <v>#REF!</v>
      </c>
      <c r="AX15" s="101" t="e">
        <f t="shared" si="4"/>
        <v>#REF!</v>
      </c>
    </row>
    <row r="16" s="10" customFormat="1" ht="24.05" customHeight="1" spans="2:50">
      <c r="B16" s="45" t="s">
        <v>81</v>
      </c>
      <c r="C16" s="325" t="s">
        <v>112</v>
      </c>
      <c r="D16" s="46" t="s">
        <v>113</v>
      </c>
      <c r="E16" s="326">
        <v>379687.2</v>
      </c>
      <c r="F16" s="332">
        <v>173327.19</v>
      </c>
      <c r="G16" s="333"/>
      <c r="H16" s="333"/>
      <c r="I16" s="332"/>
      <c r="J16" s="333">
        <f>44175.26+85444.78</f>
        <v>129620.04</v>
      </c>
      <c r="K16" s="333">
        <v>108012.24</v>
      </c>
      <c r="L16" s="343">
        <f t="shared" si="0"/>
        <v>617319.48</v>
      </c>
      <c r="M16" s="232">
        <v>41693.56</v>
      </c>
      <c r="N16" s="233">
        <v>29584.08</v>
      </c>
      <c r="O16" s="233"/>
      <c r="P16" s="233">
        <v>68983.39</v>
      </c>
      <c r="Q16" s="233">
        <f>93334.56</f>
        <v>93334.56</v>
      </c>
      <c r="R16" s="233">
        <f>95831.35+42720.16</f>
        <v>138551.51</v>
      </c>
      <c r="S16" s="233">
        <v>90801.54</v>
      </c>
      <c r="T16" s="233">
        <v>20924.89</v>
      </c>
      <c r="U16" s="233"/>
      <c r="V16" s="233">
        <v>64055.69</v>
      </c>
      <c r="W16" s="233">
        <v>21990.53</v>
      </c>
      <c r="X16" s="233">
        <v>64802.17</v>
      </c>
      <c r="Y16" s="354"/>
      <c r="Z16" s="310"/>
      <c r="AA16" s="310"/>
      <c r="AB16" s="310" t="s">
        <v>84</v>
      </c>
      <c r="AC16" s="250"/>
      <c r="AD16" s="250">
        <v>300000</v>
      </c>
      <c r="AE16" s="250"/>
      <c r="AF16" s="250"/>
      <c r="AG16" s="250"/>
      <c r="AH16" s="250">
        <v>150000</v>
      </c>
      <c r="AI16" s="250"/>
      <c r="AJ16" s="250"/>
      <c r="AK16" s="250">
        <v>200000</v>
      </c>
      <c r="AL16" s="250">
        <v>200000</v>
      </c>
      <c r="AM16" s="250"/>
      <c r="AN16" s="265"/>
      <c r="AO16" s="266">
        <f t="shared" si="1"/>
        <v>1252041.4</v>
      </c>
      <c r="AP16" s="274">
        <f t="shared" si="2"/>
        <v>850000</v>
      </c>
      <c r="AQ16" s="359">
        <f t="shared" si="5"/>
        <v>402041.4</v>
      </c>
      <c r="AR16" s="360">
        <f t="shared" si="3"/>
        <v>315248.7</v>
      </c>
      <c r="AS16" s="276" t="s">
        <v>85</v>
      </c>
      <c r="AT16" s="277"/>
      <c r="AU16" s="372">
        <v>150000</v>
      </c>
      <c r="AV16" s="91">
        <v>100000</v>
      </c>
      <c r="AW16" s="101" t="e">
        <f>VLOOKUP(D16,#REF!,12,FALSE)</f>
        <v>#REF!</v>
      </c>
      <c r="AX16" s="101" t="e">
        <f t="shared" si="4"/>
        <v>#REF!</v>
      </c>
    </row>
    <row r="17" s="10" customFormat="1" ht="24.05" customHeight="1" spans="2:50">
      <c r="B17" s="45" t="s">
        <v>81</v>
      </c>
      <c r="C17" s="325" t="s">
        <v>114</v>
      </c>
      <c r="D17" s="46" t="s">
        <v>115</v>
      </c>
      <c r="E17" s="326">
        <v>268.440000000061</v>
      </c>
      <c r="F17" s="332"/>
      <c r="G17" s="333"/>
      <c r="H17" s="333"/>
      <c r="I17" s="332">
        <v>290622.44</v>
      </c>
      <c r="J17" s="333"/>
      <c r="K17" s="333"/>
      <c r="L17" s="343">
        <f t="shared" si="0"/>
        <v>290890.88</v>
      </c>
      <c r="M17" s="232">
        <v>306840.2</v>
      </c>
      <c r="N17" s="233"/>
      <c r="O17" s="233"/>
      <c r="P17" s="233">
        <v>70814.84</v>
      </c>
      <c r="Q17" s="233">
        <v>109158</v>
      </c>
      <c r="R17" s="233">
        <v>102111.32</v>
      </c>
      <c r="S17" s="233">
        <v>109560.28</v>
      </c>
      <c r="T17" s="233"/>
      <c r="U17" s="233"/>
      <c r="V17" s="233"/>
      <c r="W17" s="233">
        <f>18193+8176.68+48219.36+77671.68</f>
        <v>152260.72</v>
      </c>
      <c r="X17" s="233"/>
      <c r="Y17" s="354"/>
      <c r="Z17" s="310"/>
      <c r="AA17" s="310"/>
      <c r="AB17" s="310" t="s">
        <v>84</v>
      </c>
      <c r="AC17" s="250"/>
      <c r="AD17" s="250">
        <v>100000</v>
      </c>
      <c r="AE17" s="250">
        <v>297731.38</v>
      </c>
      <c r="AF17" s="250"/>
      <c r="AG17" s="250">
        <v>199999.7</v>
      </c>
      <c r="AH17" s="250"/>
      <c r="AI17" s="250"/>
      <c r="AJ17" s="250">
        <v>109158</v>
      </c>
      <c r="AK17" s="250"/>
      <c r="AL17" s="250"/>
      <c r="AM17" s="250">
        <v>70814.84</v>
      </c>
      <c r="AN17" s="265"/>
      <c r="AO17" s="266">
        <f t="shared" si="1"/>
        <v>1141636.24</v>
      </c>
      <c r="AP17" s="274">
        <f t="shared" si="2"/>
        <v>777703.92</v>
      </c>
      <c r="AQ17" s="359">
        <f t="shared" si="5"/>
        <v>363932.32</v>
      </c>
      <c r="AR17" s="360">
        <f t="shared" si="3"/>
        <v>211671.6</v>
      </c>
      <c r="AS17" s="276" t="s">
        <v>85</v>
      </c>
      <c r="AT17" s="277"/>
      <c r="AU17" s="372">
        <v>100000</v>
      </c>
      <c r="AV17" s="91">
        <v>150000</v>
      </c>
      <c r="AW17" s="101" t="e">
        <f>VLOOKUP(D17,#REF!,12,FALSE)</f>
        <v>#REF!</v>
      </c>
      <c r="AX17" s="101" t="e">
        <f t="shared" si="4"/>
        <v>#REF!</v>
      </c>
    </row>
    <row r="18" s="10" customFormat="1" ht="24.05" customHeight="1" spans="2:50">
      <c r="B18" s="45" t="s">
        <v>81</v>
      </c>
      <c r="C18" s="325" t="s">
        <v>116</v>
      </c>
      <c r="D18" s="46" t="s">
        <v>205</v>
      </c>
      <c r="E18" s="326">
        <v>36671.4</v>
      </c>
      <c r="F18" s="332"/>
      <c r="G18" s="333">
        <v>28601.2</v>
      </c>
      <c r="H18" s="333"/>
      <c r="I18" s="332"/>
      <c r="J18" s="333"/>
      <c r="K18" s="333"/>
      <c r="L18" s="343">
        <f t="shared" si="0"/>
        <v>36671.4</v>
      </c>
      <c r="M18" s="232">
        <v>19717.03</v>
      </c>
      <c r="N18" s="233"/>
      <c r="O18" s="233"/>
      <c r="P18" s="233">
        <v>25264.02</v>
      </c>
      <c r="Q18" s="233">
        <v>32724.8</v>
      </c>
      <c r="R18" s="233"/>
      <c r="S18" s="233">
        <v>31278.4</v>
      </c>
      <c r="T18" s="233"/>
      <c r="U18" s="233">
        <v>9119.1</v>
      </c>
      <c r="V18" s="233">
        <v>8203.8</v>
      </c>
      <c r="W18" s="233">
        <v>6883.96</v>
      </c>
      <c r="X18" s="233"/>
      <c r="Y18" s="354"/>
      <c r="Z18" s="310"/>
      <c r="AA18" s="310"/>
      <c r="AB18" s="310" t="s">
        <v>84</v>
      </c>
      <c r="AC18" s="250"/>
      <c r="AD18" s="250">
        <f>20000+8070.2</f>
        <v>28070.2</v>
      </c>
      <c r="AE18" s="250"/>
      <c r="AF18" s="250"/>
      <c r="AG18" s="250"/>
      <c r="AH18" s="250"/>
      <c r="AI18" s="250"/>
      <c r="AJ18" s="250">
        <v>61043.03</v>
      </c>
      <c r="AK18" s="250"/>
      <c r="AL18" s="250">
        <v>31278.4</v>
      </c>
      <c r="AM18" s="250">
        <v>25264.02</v>
      </c>
      <c r="AN18" s="265"/>
      <c r="AO18" s="266">
        <f t="shared" si="1"/>
        <v>169862.51</v>
      </c>
      <c r="AP18" s="274">
        <f t="shared" si="2"/>
        <v>145655.65</v>
      </c>
      <c r="AQ18" s="359">
        <f t="shared" si="5"/>
        <v>24206.86</v>
      </c>
      <c r="AR18" s="360">
        <f t="shared" si="3"/>
        <v>17322.9</v>
      </c>
      <c r="AS18" s="276" t="s">
        <v>85</v>
      </c>
      <c r="AT18" s="277"/>
      <c r="AU18" s="372">
        <v>9119.1</v>
      </c>
      <c r="AV18" s="91">
        <v>8203.8</v>
      </c>
      <c r="AW18" s="101" t="e">
        <f>VLOOKUP(D18,#REF!,12,FALSE)</f>
        <v>#REF!</v>
      </c>
      <c r="AX18" s="101" t="e">
        <f t="shared" si="4"/>
        <v>#REF!</v>
      </c>
    </row>
    <row r="19" s="10" customFormat="1" ht="24.05" customHeight="1" spans="2:50">
      <c r="B19" s="45" t="s">
        <v>81</v>
      </c>
      <c r="C19" s="325" t="s">
        <v>118</v>
      </c>
      <c r="D19" s="46" t="s">
        <v>119</v>
      </c>
      <c r="E19" s="326">
        <v>283331</v>
      </c>
      <c r="F19" s="332"/>
      <c r="G19" s="333"/>
      <c r="H19" s="333"/>
      <c r="I19" s="332"/>
      <c r="J19" s="333"/>
      <c r="K19" s="333"/>
      <c r="L19" s="343">
        <f t="shared" si="0"/>
        <v>283331</v>
      </c>
      <c r="M19" s="232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354"/>
      <c r="Z19" s="310"/>
      <c r="AA19" s="310"/>
      <c r="AB19" s="310" t="s">
        <v>84</v>
      </c>
      <c r="AC19" s="250"/>
      <c r="AD19" s="250">
        <v>100000</v>
      </c>
      <c r="AE19" s="250">
        <v>100000</v>
      </c>
      <c r="AF19" s="250"/>
      <c r="AG19" s="250"/>
      <c r="AH19" s="250"/>
      <c r="AI19" s="250"/>
      <c r="AJ19" s="250">
        <v>83331</v>
      </c>
      <c r="AK19" s="250"/>
      <c r="AL19" s="250"/>
      <c r="AM19" s="250"/>
      <c r="AN19" s="265"/>
      <c r="AO19" s="266">
        <f t="shared" si="1"/>
        <v>283331</v>
      </c>
      <c r="AP19" s="274">
        <f t="shared" si="2"/>
        <v>283331</v>
      </c>
      <c r="AQ19" s="359">
        <f t="shared" si="5"/>
        <v>0</v>
      </c>
      <c r="AR19" s="360">
        <f t="shared" si="3"/>
        <v>0</v>
      </c>
      <c r="AS19" s="276" t="s">
        <v>85</v>
      </c>
      <c r="AT19" s="277"/>
      <c r="AU19" s="371"/>
      <c r="AV19" s="91"/>
      <c r="AW19" s="101" t="e">
        <f>VLOOKUP(D19,#REF!,12,FALSE)</f>
        <v>#REF!</v>
      </c>
      <c r="AX19" s="101" t="e">
        <f t="shared" si="4"/>
        <v>#REF!</v>
      </c>
    </row>
    <row r="20" s="10" customFormat="1" ht="24.05" customHeight="1" spans="2:50">
      <c r="B20" s="48" t="s">
        <v>81</v>
      </c>
      <c r="C20" s="325" t="s">
        <v>120</v>
      </c>
      <c r="D20" s="46" t="s">
        <v>121</v>
      </c>
      <c r="E20" s="326">
        <v>0</v>
      </c>
      <c r="F20" s="332"/>
      <c r="G20" s="333"/>
      <c r="H20" s="333"/>
      <c r="I20" s="332"/>
      <c r="J20" s="333"/>
      <c r="K20" s="333"/>
      <c r="L20" s="343">
        <f t="shared" si="0"/>
        <v>0</v>
      </c>
      <c r="M20" s="232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354"/>
      <c r="Z20" s="310"/>
      <c r="AA20" s="310"/>
      <c r="AB20" s="310" t="s">
        <v>84</v>
      </c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65"/>
      <c r="AO20" s="266">
        <f t="shared" si="1"/>
        <v>0</v>
      </c>
      <c r="AP20" s="274">
        <f t="shared" si="2"/>
        <v>0</v>
      </c>
      <c r="AQ20" s="359">
        <f t="shared" si="5"/>
        <v>0</v>
      </c>
      <c r="AR20" s="360">
        <f t="shared" si="3"/>
        <v>0</v>
      </c>
      <c r="AS20" s="276" t="s">
        <v>85</v>
      </c>
      <c r="AT20" s="277"/>
      <c r="AU20" s="371"/>
      <c r="AV20" s="91"/>
      <c r="AW20" s="101" t="e">
        <f>VLOOKUP(D20,#REF!,12,FALSE)</f>
        <v>#REF!</v>
      </c>
      <c r="AX20" s="101" t="e">
        <f t="shared" si="4"/>
        <v>#REF!</v>
      </c>
    </row>
    <row r="21" s="10" customFormat="1" ht="24.05" customHeight="1" spans="2:50">
      <c r="B21" s="48" t="s">
        <v>81</v>
      </c>
      <c r="C21" s="325" t="s">
        <v>122</v>
      </c>
      <c r="D21" s="46" t="s">
        <v>123</v>
      </c>
      <c r="E21" s="326">
        <v>568253.28</v>
      </c>
      <c r="F21" s="332">
        <v>568253.28</v>
      </c>
      <c r="G21" s="333"/>
      <c r="H21" s="333"/>
      <c r="I21" s="332"/>
      <c r="J21" s="333">
        <v>285575.32</v>
      </c>
      <c r="K21" s="333">
        <v>401604.1</v>
      </c>
      <c r="L21" s="343">
        <f t="shared" si="0"/>
        <v>1255432.7</v>
      </c>
      <c r="M21" s="232">
        <v>199090.48</v>
      </c>
      <c r="N21" s="233">
        <v>169506.78</v>
      </c>
      <c r="O21" s="233"/>
      <c r="P21" s="233">
        <v>422660.9</v>
      </c>
      <c r="Q21" s="233">
        <v>819237.83</v>
      </c>
      <c r="R21" s="233">
        <v>486674.09</v>
      </c>
      <c r="S21" s="233">
        <f>108777.24+108777.24+72151.07</f>
        <v>289705.55</v>
      </c>
      <c r="T21" s="233">
        <f>41724.12+92223.82</f>
        <v>133947.94</v>
      </c>
      <c r="U21" s="233">
        <f>91620.4+61839.2+110446.2</f>
        <v>263905.8</v>
      </c>
      <c r="V21" s="233">
        <f>61285.37+108657.35</f>
        <v>169942.72</v>
      </c>
      <c r="W21" s="233">
        <f>110446.2+11854.56+3850</f>
        <v>126150.76</v>
      </c>
      <c r="X21" s="233">
        <f>1484.5+110411.49+112900.56</f>
        <v>224796.55</v>
      </c>
      <c r="Y21" s="354"/>
      <c r="Z21" s="310"/>
      <c r="AA21" s="310"/>
      <c r="AB21" s="310" t="s">
        <v>84</v>
      </c>
      <c r="AC21" s="250"/>
      <c r="AD21" s="250">
        <v>400000</v>
      </c>
      <c r="AE21" s="250">
        <v>453828.6</v>
      </c>
      <c r="AF21" s="250">
        <v>401604.1</v>
      </c>
      <c r="AG21" s="250">
        <v>368597.26</v>
      </c>
      <c r="AH21" s="250">
        <v>401604.1</v>
      </c>
      <c r="AI21" s="250"/>
      <c r="AJ21" s="250">
        <v>500000</v>
      </c>
      <c r="AK21" s="250">
        <v>741898.73</v>
      </c>
      <c r="AL21" s="250">
        <v>374775.54</v>
      </c>
      <c r="AM21" s="250">
        <v>303890.66</v>
      </c>
      <c r="AN21" s="265"/>
      <c r="AO21" s="266">
        <f t="shared" si="1"/>
        <v>4561052.1</v>
      </c>
      <c r="AP21" s="274">
        <f t="shared" si="2"/>
        <v>3946198.99</v>
      </c>
      <c r="AQ21" s="359">
        <f t="shared" si="5"/>
        <v>614853.109999999</v>
      </c>
      <c r="AR21" s="360">
        <f t="shared" si="3"/>
        <v>263905.799999999</v>
      </c>
      <c r="AS21" s="276" t="s">
        <v>85</v>
      </c>
      <c r="AT21" s="277"/>
      <c r="AU21" s="372">
        <v>93963.08</v>
      </c>
      <c r="AV21" s="91">
        <v>169942.72</v>
      </c>
      <c r="AW21" s="101" t="e">
        <f>VLOOKUP(D21,#REF!,12,FALSE)</f>
        <v>#REF!</v>
      </c>
      <c r="AX21" s="101" t="e">
        <f t="shared" si="4"/>
        <v>#REF!</v>
      </c>
    </row>
    <row r="22" s="10" customFormat="1" ht="24.05" customHeight="1" spans="2:50">
      <c r="B22" s="48" t="s">
        <v>81</v>
      </c>
      <c r="C22" s="325" t="s">
        <v>124</v>
      </c>
      <c r="D22" s="46" t="s">
        <v>125</v>
      </c>
      <c r="E22" s="326">
        <v>7726.19999999992</v>
      </c>
      <c r="F22" s="332">
        <v>38917.2</v>
      </c>
      <c r="G22" s="333"/>
      <c r="H22" s="333"/>
      <c r="I22" s="332">
        <v>22401.12</v>
      </c>
      <c r="J22" s="333">
        <v>37398.48</v>
      </c>
      <c r="K22" s="333">
        <v>36373.34</v>
      </c>
      <c r="L22" s="343">
        <f t="shared" si="0"/>
        <v>103899.14</v>
      </c>
      <c r="M22" s="232"/>
      <c r="N22" s="233"/>
      <c r="O22" s="233">
        <f>25248.72+13288.8</f>
        <v>38537.52</v>
      </c>
      <c r="P22" s="233"/>
      <c r="Q22" s="233"/>
      <c r="R22" s="233">
        <v>53060.28</v>
      </c>
      <c r="S22" s="233"/>
      <c r="T22" s="233">
        <v>19933.2</v>
      </c>
      <c r="U22" s="233"/>
      <c r="V22" s="233"/>
      <c r="W22" s="233"/>
      <c r="X22" s="233"/>
      <c r="Y22" s="354"/>
      <c r="Z22" s="310"/>
      <c r="AA22" s="310"/>
      <c r="AB22" s="310" t="s">
        <v>84</v>
      </c>
      <c r="AC22" s="250"/>
      <c r="AD22" s="250">
        <v>23000</v>
      </c>
      <c r="AE22" s="250"/>
      <c r="AF22" s="250"/>
      <c r="AG22" s="250"/>
      <c r="AH22" s="250"/>
      <c r="AI22" s="250"/>
      <c r="AJ22" s="250">
        <v>60938.64</v>
      </c>
      <c r="AK22" s="250"/>
      <c r="AL22" s="250">
        <v>56306.54</v>
      </c>
      <c r="AM22" s="250">
        <f>37398.48+37786.48</f>
        <v>75184.96</v>
      </c>
      <c r="AN22" s="265"/>
      <c r="AO22" s="266">
        <f t="shared" si="1"/>
        <v>215430.14</v>
      </c>
      <c r="AP22" s="274">
        <f t="shared" si="2"/>
        <v>215430.14</v>
      </c>
      <c r="AQ22" s="359">
        <f t="shared" si="5"/>
        <v>0</v>
      </c>
      <c r="AR22" s="360">
        <f t="shared" si="3"/>
        <v>0</v>
      </c>
      <c r="AS22" s="276" t="s">
        <v>85</v>
      </c>
      <c r="AT22" s="277"/>
      <c r="AU22" s="371"/>
      <c r="AV22" s="91"/>
      <c r="AW22" s="101" t="e">
        <f>VLOOKUP(D22,#REF!,12,FALSE)</f>
        <v>#REF!</v>
      </c>
      <c r="AX22" s="101" t="e">
        <f t="shared" si="4"/>
        <v>#REF!</v>
      </c>
    </row>
    <row r="23" s="10" customFormat="1" ht="24.05" customHeight="1" spans="2:50">
      <c r="B23" s="48" t="s">
        <v>81</v>
      </c>
      <c r="C23" s="325" t="s">
        <v>126</v>
      </c>
      <c r="D23" s="46" t="s">
        <v>127</v>
      </c>
      <c r="E23" s="326">
        <v>0</v>
      </c>
      <c r="F23" s="332">
        <v>5455.64</v>
      </c>
      <c r="G23" s="333"/>
      <c r="H23" s="333"/>
      <c r="I23" s="332"/>
      <c r="J23" s="333"/>
      <c r="K23" s="333"/>
      <c r="L23" s="343">
        <f t="shared" si="0"/>
        <v>0</v>
      </c>
      <c r="M23" s="232"/>
      <c r="N23" s="233"/>
      <c r="O23" s="233"/>
      <c r="P23" s="233"/>
      <c r="Q23" s="233">
        <v>5455.64</v>
      </c>
      <c r="R23" s="233"/>
      <c r="S23" s="233"/>
      <c r="T23" s="233"/>
      <c r="U23" s="233"/>
      <c r="V23" s="233"/>
      <c r="W23" s="233"/>
      <c r="X23" s="233"/>
      <c r="Y23" s="354"/>
      <c r="Z23" s="310"/>
      <c r="AA23" s="310"/>
      <c r="AB23" s="310" t="s">
        <v>84</v>
      </c>
      <c r="AC23" s="250"/>
      <c r="AD23" s="250"/>
      <c r="AE23" s="250"/>
      <c r="AF23" s="250">
        <v>5455.64</v>
      </c>
      <c r="AG23" s="250"/>
      <c r="AH23" s="250"/>
      <c r="AI23" s="250"/>
      <c r="AJ23" s="250"/>
      <c r="AK23" s="250"/>
      <c r="AL23" s="250"/>
      <c r="AM23" s="250"/>
      <c r="AN23" s="265"/>
      <c r="AO23" s="266">
        <f t="shared" si="1"/>
        <v>5455.64</v>
      </c>
      <c r="AP23" s="274">
        <f t="shared" si="2"/>
        <v>5455.64</v>
      </c>
      <c r="AQ23" s="359">
        <f t="shared" si="5"/>
        <v>0</v>
      </c>
      <c r="AR23" s="360">
        <f t="shared" si="3"/>
        <v>0</v>
      </c>
      <c r="AS23" s="276" t="s">
        <v>96</v>
      </c>
      <c r="AT23" s="277"/>
      <c r="AU23" s="371"/>
      <c r="AV23" s="91"/>
      <c r="AW23" s="101" t="e">
        <f>VLOOKUP(D23,#REF!,12,FALSE)</f>
        <v>#REF!</v>
      </c>
      <c r="AX23" s="101" t="e">
        <f t="shared" si="4"/>
        <v>#REF!</v>
      </c>
    </row>
    <row r="24" s="10" customFormat="1" ht="24.05" customHeight="1" spans="2:50">
      <c r="B24" s="48" t="s">
        <v>81</v>
      </c>
      <c r="C24" s="325" t="s">
        <v>128</v>
      </c>
      <c r="D24" s="46" t="s">
        <v>129</v>
      </c>
      <c r="E24" s="326">
        <v>74904.3</v>
      </c>
      <c r="F24" s="332">
        <v>72360.68</v>
      </c>
      <c r="G24" s="333"/>
      <c r="H24" s="333"/>
      <c r="I24" s="332"/>
      <c r="J24" s="333"/>
      <c r="K24" s="344">
        <v>33212.24</v>
      </c>
      <c r="L24" s="343">
        <f t="shared" si="0"/>
        <v>108116.54</v>
      </c>
      <c r="M24" s="232"/>
      <c r="N24" s="233"/>
      <c r="O24" s="233"/>
      <c r="P24" s="233">
        <v>34952.03</v>
      </c>
      <c r="Q24" s="233">
        <v>60294.54</v>
      </c>
      <c r="R24" s="233">
        <v>42429.39</v>
      </c>
      <c r="S24" s="233">
        <v>43470.9</v>
      </c>
      <c r="T24" s="233"/>
      <c r="U24" s="233"/>
      <c r="V24" s="233">
        <v>47132.53</v>
      </c>
      <c r="W24" s="233">
        <v>1130</v>
      </c>
      <c r="X24" s="233">
        <v>10794.89</v>
      </c>
      <c r="Y24" s="354"/>
      <c r="Z24" s="310"/>
      <c r="AA24" s="310"/>
      <c r="AB24" s="310" t="s">
        <v>84</v>
      </c>
      <c r="AC24" s="250"/>
      <c r="AD24" s="250">
        <v>74904.3</v>
      </c>
      <c r="AE24" s="250"/>
      <c r="AF24" s="250"/>
      <c r="AG24" s="250">
        <v>34952.03</v>
      </c>
      <c r="AH24" s="250"/>
      <c r="AI24" s="250"/>
      <c r="AJ24" s="250">
        <v>60294.54</v>
      </c>
      <c r="AK24" s="250"/>
      <c r="AL24" s="250"/>
      <c r="AM24" s="250">
        <v>85900.29</v>
      </c>
      <c r="AN24" s="265"/>
      <c r="AO24" s="266">
        <f t="shared" si="1"/>
        <v>348320.82</v>
      </c>
      <c r="AP24" s="274">
        <f t="shared" si="2"/>
        <v>256051.16</v>
      </c>
      <c r="AQ24" s="359">
        <f t="shared" si="5"/>
        <v>92269.6600000001</v>
      </c>
      <c r="AR24" s="360">
        <f t="shared" si="3"/>
        <v>80344.7700000001</v>
      </c>
      <c r="AS24" s="276" t="s">
        <v>85</v>
      </c>
      <c r="AT24" s="277"/>
      <c r="AU24" s="372">
        <v>33212.24</v>
      </c>
      <c r="AV24" s="91"/>
      <c r="AW24" s="101" t="e">
        <f>VLOOKUP(D24,#REF!,12,FALSE)</f>
        <v>#REF!</v>
      </c>
      <c r="AX24" s="101" t="e">
        <f t="shared" si="4"/>
        <v>#REF!</v>
      </c>
    </row>
    <row r="25" s="10" customFormat="1" ht="24.05" customHeight="1" spans="2:50">
      <c r="B25" s="48" t="s">
        <v>81</v>
      </c>
      <c r="C25" s="325" t="s">
        <v>130</v>
      </c>
      <c r="D25" s="46" t="s">
        <v>131</v>
      </c>
      <c r="E25" s="326">
        <v>-15576.8</v>
      </c>
      <c r="F25" s="332"/>
      <c r="G25" s="333"/>
      <c r="H25" s="333"/>
      <c r="I25" s="332">
        <v>2500</v>
      </c>
      <c r="J25" s="333">
        <v>1000</v>
      </c>
      <c r="K25" s="333"/>
      <c r="L25" s="343">
        <f t="shared" si="0"/>
        <v>-12076.8</v>
      </c>
      <c r="M25" s="232">
        <v>1000</v>
      </c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354"/>
      <c r="Z25" s="310"/>
      <c r="AA25" s="310"/>
      <c r="AB25" s="310" t="s">
        <v>84</v>
      </c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65"/>
      <c r="AO25" s="266">
        <f t="shared" si="1"/>
        <v>-11076.8</v>
      </c>
      <c r="AP25" s="274">
        <f t="shared" si="2"/>
        <v>0</v>
      </c>
      <c r="AQ25" s="359">
        <f t="shared" si="5"/>
        <v>-11076.8</v>
      </c>
      <c r="AR25" s="360">
        <v>0</v>
      </c>
      <c r="AS25" s="276" t="s">
        <v>85</v>
      </c>
      <c r="AT25" s="277"/>
      <c r="AU25" s="371"/>
      <c r="AV25" s="91"/>
      <c r="AW25" s="101" t="e">
        <f>VLOOKUP(D25,#REF!,12,FALSE)</f>
        <v>#REF!</v>
      </c>
      <c r="AX25" s="101" t="e">
        <f t="shared" si="4"/>
        <v>#REF!</v>
      </c>
    </row>
    <row r="26" s="10" customFormat="1" ht="24.05" customHeight="1" spans="2:50">
      <c r="B26" s="45" t="s">
        <v>81</v>
      </c>
      <c r="C26" s="325" t="s">
        <v>102</v>
      </c>
      <c r="D26" s="40" t="s">
        <v>103</v>
      </c>
      <c r="E26" s="326">
        <v>-818228.05</v>
      </c>
      <c r="F26" s="332"/>
      <c r="G26" s="333"/>
      <c r="H26" s="333"/>
      <c r="I26" s="332">
        <v>327734.09</v>
      </c>
      <c r="J26" s="333">
        <v>216787.22</v>
      </c>
      <c r="K26" s="333">
        <v>273706.82</v>
      </c>
      <c r="L26" s="343">
        <f t="shared" si="0"/>
        <v>0.0800000000745058</v>
      </c>
      <c r="M26" s="232">
        <v>56034.82</v>
      </c>
      <c r="N26" s="232">
        <v>51304.4</v>
      </c>
      <c r="O26" s="233">
        <v>63529.76</v>
      </c>
      <c r="P26" s="233">
        <v>243381.98</v>
      </c>
      <c r="Q26" s="233">
        <v>377470.62</v>
      </c>
      <c r="R26" s="233">
        <v>353804.17</v>
      </c>
      <c r="S26" s="233">
        <v>14195.88</v>
      </c>
      <c r="T26" s="233">
        <v>47482.76</v>
      </c>
      <c r="U26" s="233">
        <v>116108.04</v>
      </c>
      <c r="V26" s="233">
        <v>83727.08</v>
      </c>
      <c r="W26" s="233">
        <v>103488.12</v>
      </c>
      <c r="X26" s="233">
        <v>109247.88</v>
      </c>
      <c r="Y26" s="354"/>
      <c r="Z26" s="310"/>
      <c r="AA26" s="310"/>
      <c r="AB26" s="310" t="s">
        <v>84</v>
      </c>
      <c r="AC26" s="250"/>
      <c r="AD26" s="250">
        <v>56034.8</v>
      </c>
      <c r="AE26" s="250">
        <v>51304.4</v>
      </c>
      <c r="AF26" s="250">
        <v>63529.78</v>
      </c>
      <c r="AG26" s="250">
        <v>243382</v>
      </c>
      <c r="AH26" s="250">
        <v>377470.59</v>
      </c>
      <c r="AI26" s="250">
        <v>353804.19</v>
      </c>
      <c r="AJ26" s="250">
        <v>14195.87</v>
      </c>
      <c r="AK26" s="250">
        <v>47482.78</v>
      </c>
      <c r="AL26" s="250">
        <v>116108.04</v>
      </c>
      <c r="AM26" s="250">
        <v>83727.03</v>
      </c>
      <c r="AN26" s="265">
        <f>103488.11+109247.86</f>
        <v>212735.97</v>
      </c>
      <c r="AO26" s="266">
        <f t="shared" si="1"/>
        <v>1619775.59</v>
      </c>
      <c r="AP26" s="274">
        <f t="shared" si="2"/>
        <v>1619775.45</v>
      </c>
      <c r="AQ26" s="359">
        <f t="shared" si="5"/>
        <v>0.139999999664724</v>
      </c>
      <c r="AR26" s="360">
        <f t="shared" si="3"/>
        <v>-212735.86</v>
      </c>
      <c r="AS26" s="276" t="s">
        <v>104</v>
      </c>
      <c r="AT26" s="277"/>
      <c r="AU26" s="371"/>
      <c r="AV26" s="91"/>
      <c r="AW26" s="101" t="e">
        <f>VLOOKUP(D26,#REF!,12,FALSE)</f>
        <v>#REF!</v>
      </c>
      <c r="AX26" s="101" t="e">
        <f t="shared" si="4"/>
        <v>#REF!</v>
      </c>
    </row>
    <row r="27" s="10" customFormat="1" ht="24.05" customHeight="1" spans="2:50">
      <c r="B27" s="48" t="s">
        <v>81</v>
      </c>
      <c r="C27" s="325" t="s">
        <v>132</v>
      </c>
      <c r="D27" s="40" t="s">
        <v>133</v>
      </c>
      <c r="E27" s="326">
        <v>341946.18</v>
      </c>
      <c r="F27" s="332">
        <v>160618.2</v>
      </c>
      <c r="G27" s="333"/>
      <c r="H27" s="333"/>
      <c r="I27" s="332"/>
      <c r="J27" s="333">
        <v>4283.15</v>
      </c>
      <c r="K27" s="333"/>
      <c r="L27" s="343">
        <f t="shared" si="0"/>
        <v>346229.33</v>
      </c>
      <c r="M27" s="232"/>
      <c r="N27" s="233"/>
      <c r="O27" s="233"/>
      <c r="P27" s="233"/>
      <c r="Q27" s="233">
        <v>256989.12</v>
      </c>
      <c r="R27" s="233">
        <v>224865.48</v>
      </c>
      <c r="S27" s="233"/>
      <c r="T27" s="233"/>
      <c r="U27" s="233">
        <v>578225.52</v>
      </c>
      <c r="V27" s="233"/>
      <c r="W27" s="233"/>
      <c r="X27" s="233"/>
      <c r="Y27" s="354"/>
      <c r="Z27" s="310"/>
      <c r="AA27" s="310"/>
      <c r="AB27" s="310" t="s">
        <v>84</v>
      </c>
      <c r="AC27" s="250"/>
      <c r="AD27" s="250">
        <v>535.4</v>
      </c>
      <c r="AE27" s="250"/>
      <c r="AF27" s="250"/>
      <c r="AG27" s="250">
        <v>3212.38</v>
      </c>
      <c r="AH27" s="250">
        <v>19809.58</v>
      </c>
      <c r="AI27" s="250">
        <v>146697.98</v>
      </c>
      <c r="AJ27" s="250">
        <v>4283.14</v>
      </c>
      <c r="AK27" s="250">
        <v>535.4</v>
      </c>
      <c r="AL27" s="250">
        <v>175073.84</v>
      </c>
      <c r="AM27" s="250">
        <f>133506.57+213622.22</f>
        <v>347128.79</v>
      </c>
      <c r="AN27" s="265">
        <f>150445.7+201843.54+608.13</f>
        <v>352897.37</v>
      </c>
      <c r="AO27" s="266">
        <f t="shared" si="1"/>
        <v>1406309.45</v>
      </c>
      <c r="AP27" s="274">
        <f t="shared" si="2"/>
        <v>1050173.88</v>
      </c>
      <c r="AQ27" s="359">
        <f t="shared" si="5"/>
        <v>356135.57</v>
      </c>
      <c r="AR27" s="360">
        <f t="shared" si="3"/>
        <v>356135.57</v>
      </c>
      <c r="AS27" s="276" t="s">
        <v>104</v>
      </c>
      <c r="AT27" s="277"/>
      <c r="AU27" s="371"/>
      <c r="AV27" s="91"/>
      <c r="AW27" s="101" t="e">
        <f>VLOOKUP(D27,#REF!,12,FALSE)</f>
        <v>#REF!</v>
      </c>
      <c r="AX27" s="101" t="e">
        <f t="shared" si="4"/>
        <v>#REF!</v>
      </c>
    </row>
    <row r="28" s="10" customFormat="1" ht="24.05" customHeight="1" spans="2:50">
      <c r="B28" s="48" t="s">
        <v>134</v>
      </c>
      <c r="C28" s="325">
        <v>1951024</v>
      </c>
      <c r="D28" s="46" t="s">
        <v>206</v>
      </c>
      <c r="E28" s="326">
        <v>0</v>
      </c>
      <c r="F28" s="332"/>
      <c r="G28" s="333"/>
      <c r="H28" s="333"/>
      <c r="I28" s="332"/>
      <c r="J28" s="333"/>
      <c r="K28" s="333"/>
      <c r="L28" s="343">
        <f t="shared" si="0"/>
        <v>0</v>
      </c>
      <c r="M28" s="232"/>
      <c r="N28" s="233"/>
      <c r="O28" s="233"/>
      <c r="P28" s="233"/>
      <c r="Q28" s="233"/>
      <c r="R28" s="233"/>
      <c r="S28" s="233"/>
      <c r="T28" s="233"/>
      <c r="U28" s="233"/>
      <c r="V28" s="233"/>
      <c r="W28" s="233"/>
      <c r="X28" s="233"/>
      <c r="Y28" s="354"/>
      <c r="Z28" s="310"/>
      <c r="AA28" s="310"/>
      <c r="AB28" s="310" t="s">
        <v>84</v>
      </c>
      <c r="AC28" s="250"/>
      <c r="AD28" s="250"/>
      <c r="AE28" s="250"/>
      <c r="AF28" s="250"/>
      <c r="AG28" s="250"/>
      <c r="AH28" s="250"/>
      <c r="AI28" s="250"/>
      <c r="AJ28" s="250"/>
      <c r="AK28" s="250"/>
      <c r="AL28" s="250"/>
      <c r="AM28" s="250"/>
      <c r="AN28" s="265"/>
      <c r="AO28" s="266">
        <f t="shared" si="1"/>
        <v>0</v>
      </c>
      <c r="AP28" s="274">
        <f t="shared" si="2"/>
        <v>0</v>
      </c>
      <c r="AQ28" s="359">
        <f t="shared" si="5"/>
        <v>0</v>
      </c>
      <c r="AR28" s="360">
        <f t="shared" si="3"/>
        <v>0</v>
      </c>
      <c r="AS28" s="276" t="s">
        <v>111</v>
      </c>
      <c r="AT28" s="277"/>
      <c r="AU28" s="371"/>
      <c r="AV28" s="91"/>
      <c r="AW28" s="101" t="e">
        <f>VLOOKUP(D28,#REF!,12,FALSE)</f>
        <v>#REF!</v>
      </c>
      <c r="AX28" s="101" t="e">
        <f t="shared" si="4"/>
        <v>#REF!</v>
      </c>
    </row>
    <row r="29" s="10" customFormat="1" ht="24.05" customHeight="1" spans="2:50">
      <c r="B29" s="48" t="s">
        <v>81</v>
      </c>
      <c r="C29" s="327" t="s">
        <v>136</v>
      </c>
      <c r="D29" s="328" t="s">
        <v>137</v>
      </c>
      <c r="E29" s="326">
        <v>44955.1399999999</v>
      </c>
      <c r="F29" s="332">
        <v>91703.4</v>
      </c>
      <c r="G29" s="333"/>
      <c r="H29" s="333"/>
      <c r="I29" s="332"/>
      <c r="J29" s="333"/>
      <c r="K29" s="333"/>
      <c r="L29" s="343">
        <f t="shared" si="0"/>
        <v>44955.1399999999</v>
      </c>
      <c r="M29" s="232"/>
      <c r="N29" s="233"/>
      <c r="O29" s="233"/>
      <c r="P29" s="233"/>
      <c r="Q29" s="233">
        <f>92579.77+96240.97</f>
        <v>188820.74</v>
      </c>
      <c r="R29" s="233">
        <v>48959.29</v>
      </c>
      <c r="S29" s="233"/>
      <c r="T29" s="233"/>
      <c r="U29" s="233">
        <f>90144.65+73031.61+49069.12</f>
        <v>212245.38</v>
      </c>
      <c r="V29" s="233">
        <v>58699</v>
      </c>
      <c r="W29" s="233">
        <v>28075.84</v>
      </c>
      <c r="X29" s="233">
        <v>29533.25</v>
      </c>
      <c r="Y29" s="355"/>
      <c r="Z29" s="313"/>
      <c r="AA29" s="313"/>
      <c r="AB29" s="310" t="s">
        <v>84</v>
      </c>
      <c r="AC29" s="254"/>
      <c r="AD29" s="254">
        <v>70000</v>
      </c>
      <c r="AE29" s="250"/>
      <c r="AF29" s="250"/>
      <c r="AG29" s="250"/>
      <c r="AH29" s="250"/>
      <c r="AI29" s="250"/>
      <c r="AJ29" s="250"/>
      <c r="AK29" s="250">
        <v>150000</v>
      </c>
      <c r="AL29" s="250">
        <v>121434.17</v>
      </c>
      <c r="AM29" s="250">
        <v>212245.38</v>
      </c>
      <c r="AN29" s="265"/>
      <c r="AO29" s="266">
        <f t="shared" si="1"/>
        <v>611288.64</v>
      </c>
      <c r="AP29" s="274">
        <f t="shared" si="2"/>
        <v>553679.55</v>
      </c>
      <c r="AQ29" s="359">
        <f t="shared" si="5"/>
        <v>57609.0899999997</v>
      </c>
      <c r="AR29" s="360">
        <f t="shared" si="3"/>
        <v>-2.65572452917695e-10</v>
      </c>
      <c r="AS29" s="278" t="s">
        <v>85</v>
      </c>
      <c r="AT29" s="279"/>
      <c r="AU29" s="371"/>
      <c r="AV29" s="91"/>
      <c r="AW29" s="101" t="e">
        <f>VLOOKUP(D29,#REF!,12,FALSE)</f>
        <v>#REF!</v>
      </c>
      <c r="AX29" s="101" t="e">
        <f t="shared" si="4"/>
        <v>#REF!</v>
      </c>
    </row>
    <row r="30" s="10" customFormat="1" ht="24.05" customHeight="1" spans="2:50">
      <c r="B30" s="48" t="s">
        <v>81</v>
      </c>
      <c r="C30" s="327" t="s">
        <v>138</v>
      </c>
      <c r="D30" s="328" t="s">
        <v>139</v>
      </c>
      <c r="E30" s="326">
        <v>0</v>
      </c>
      <c r="F30" s="332"/>
      <c r="G30" s="333"/>
      <c r="H30" s="345"/>
      <c r="I30" s="332"/>
      <c r="J30" s="333"/>
      <c r="K30" s="345"/>
      <c r="L30" s="343">
        <f t="shared" si="0"/>
        <v>0</v>
      </c>
      <c r="M30" s="232"/>
      <c r="N30" s="233"/>
      <c r="O30" s="233"/>
      <c r="P30" s="233"/>
      <c r="Q30" s="233"/>
      <c r="R30" s="233"/>
      <c r="S30" s="233"/>
      <c r="T30" s="233"/>
      <c r="U30" s="233"/>
      <c r="V30" s="233"/>
      <c r="W30" s="233"/>
      <c r="X30" s="233"/>
      <c r="Y30" s="355"/>
      <c r="Z30" s="313"/>
      <c r="AA30" s="313"/>
      <c r="AB30" s="310" t="s">
        <v>84</v>
      </c>
      <c r="AC30" s="254"/>
      <c r="AD30" s="254"/>
      <c r="AE30" s="250"/>
      <c r="AF30" s="250"/>
      <c r="AG30" s="250"/>
      <c r="AH30" s="250"/>
      <c r="AI30" s="250"/>
      <c r="AJ30" s="250"/>
      <c r="AK30" s="250"/>
      <c r="AL30" s="250"/>
      <c r="AM30" s="250"/>
      <c r="AN30" s="265"/>
      <c r="AO30" s="266">
        <f t="shared" si="1"/>
        <v>0</v>
      </c>
      <c r="AP30" s="274">
        <f t="shared" si="2"/>
        <v>0</v>
      </c>
      <c r="AQ30" s="359">
        <f t="shared" si="5"/>
        <v>0</v>
      </c>
      <c r="AR30" s="360">
        <f t="shared" si="3"/>
        <v>0</v>
      </c>
      <c r="AS30" s="278" t="s">
        <v>101</v>
      </c>
      <c r="AT30" s="279"/>
      <c r="AU30" s="371"/>
      <c r="AV30" s="91"/>
      <c r="AW30" s="101" t="e">
        <f>VLOOKUP(D30,#REF!,12,FALSE)</f>
        <v>#REF!</v>
      </c>
      <c r="AX30" s="101" t="e">
        <f t="shared" si="4"/>
        <v>#REF!</v>
      </c>
    </row>
    <row r="31" s="10" customFormat="1" ht="24.05" customHeight="1" spans="2:50">
      <c r="B31" s="48" t="s">
        <v>81</v>
      </c>
      <c r="C31" s="327" t="s">
        <v>140</v>
      </c>
      <c r="D31" s="328" t="s">
        <v>141</v>
      </c>
      <c r="E31" s="326">
        <v>0</v>
      </c>
      <c r="F31" s="332"/>
      <c r="G31" s="333"/>
      <c r="H31" s="345"/>
      <c r="I31" s="332"/>
      <c r="J31" s="333"/>
      <c r="K31" s="345"/>
      <c r="L31" s="343">
        <f t="shared" si="0"/>
        <v>0</v>
      </c>
      <c r="M31" s="232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355"/>
      <c r="Z31" s="313"/>
      <c r="AA31" s="313"/>
      <c r="AB31" s="310" t="s">
        <v>84</v>
      </c>
      <c r="AC31" s="254"/>
      <c r="AD31" s="254"/>
      <c r="AE31" s="250"/>
      <c r="AF31" s="250"/>
      <c r="AG31" s="250"/>
      <c r="AH31" s="250"/>
      <c r="AI31" s="250"/>
      <c r="AJ31" s="250"/>
      <c r="AK31" s="250"/>
      <c r="AL31" s="250"/>
      <c r="AM31" s="250"/>
      <c r="AN31" s="265"/>
      <c r="AO31" s="266">
        <f t="shared" si="1"/>
        <v>0</v>
      </c>
      <c r="AP31" s="274">
        <f t="shared" si="2"/>
        <v>0</v>
      </c>
      <c r="AQ31" s="359">
        <f t="shared" si="5"/>
        <v>0</v>
      </c>
      <c r="AR31" s="360">
        <f t="shared" si="3"/>
        <v>0</v>
      </c>
      <c r="AS31" s="278" t="s">
        <v>101</v>
      </c>
      <c r="AT31" s="279"/>
      <c r="AU31" s="371"/>
      <c r="AV31" s="91"/>
      <c r="AW31" s="101" t="e">
        <f>VLOOKUP(D31,#REF!,12,FALSE)</f>
        <v>#REF!</v>
      </c>
      <c r="AX31" s="101" t="e">
        <f t="shared" si="4"/>
        <v>#REF!</v>
      </c>
    </row>
    <row r="32" s="10" customFormat="1" ht="24.05" customHeight="1" spans="2:50">
      <c r="B32" s="48" t="s">
        <v>81</v>
      </c>
      <c r="C32" s="319" t="s">
        <v>177</v>
      </c>
      <c r="D32" s="328" t="s">
        <v>178</v>
      </c>
      <c r="E32" s="326">
        <v>0</v>
      </c>
      <c r="F32" s="332"/>
      <c r="G32" s="333"/>
      <c r="H32" s="345"/>
      <c r="I32" s="332"/>
      <c r="J32" s="333">
        <v>660</v>
      </c>
      <c r="K32" s="333"/>
      <c r="L32" s="343">
        <f t="shared" si="0"/>
        <v>660</v>
      </c>
      <c r="M32" s="232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355"/>
      <c r="Z32" s="313"/>
      <c r="AA32" s="313"/>
      <c r="AB32" s="310" t="s">
        <v>84</v>
      </c>
      <c r="AC32" s="254"/>
      <c r="AD32" s="254">
        <v>660</v>
      </c>
      <c r="AE32" s="254"/>
      <c r="AF32" s="254"/>
      <c r="AG32" s="254"/>
      <c r="AH32" s="254"/>
      <c r="AI32" s="254"/>
      <c r="AJ32" s="254"/>
      <c r="AK32" s="254"/>
      <c r="AL32" s="254"/>
      <c r="AM32" s="254"/>
      <c r="AN32" s="267"/>
      <c r="AO32" s="266">
        <f t="shared" si="1"/>
        <v>660</v>
      </c>
      <c r="AP32" s="274">
        <f t="shared" si="2"/>
        <v>660</v>
      </c>
      <c r="AQ32" s="359">
        <f t="shared" si="5"/>
        <v>0</v>
      </c>
      <c r="AR32" s="360">
        <f t="shared" si="3"/>
        <v>0</v>
      </c>
      <c r="AS32" s="278"/>
      <c r="AT32" s="279"/>
      <c r="AU32" s="371"/>
      <c r="AV32" s="91"/>
      <c r="AW32" s="101" t="e">
        <f>VLOOKUP(D32,#REF!,12,FALSE)</f>
        <v>#REF!</v>
      </c>
      <c r="AX32" s="101" t="e">
        <f t="shared" si="4"/>
        <v>#REF!</v>
      </c>
    </row>
    <row r="33" s="10" customFormat="1" ht="24.05" customHeight="1" spans="2:50">
      <c r="B33" s="48" t="s">
        <v>81</v>
      </c>
      <c r="C33" s="319" t="s">
        <v>179</v>
      </c>
      <c r="D33" s="328" t="s">
        <v>180</v>
      </c>
      <c r="E33" s="326">
        <v>41584</v>
      </c>
      <c r="F33" s="332"/>
      <c r="G33" s="333"/>
      <c r="H33" s="345"/>
      <c r="I33" s="332"/>
      <c r="J33" s="333">
        <f>225367.2+371431</f>
        <v>596798.2</v>
      </c>
      <c r="K33" s="333">
        <v>80343</v>
      </c>
      <c r="L33" s="343">
        <f t="shared" si="0"/>
        <v>718725.2</v>
      </c>
      <c r="M33" s="232">
        <v>124752</v>
      </c>
      <c r="N33" s="233"/>
      <c r="O33" s="233">
        <v>107915</v>
      </c>
      <c r="P33" s="233">
        <f>107915+107915+19436</f>
        <v>235266</v>
      </c>
      <c r="Q33" s="233">
        <f>105768+107915</f>
        <v>213683</v>
      </c>
      <c r="R33" s="233"/>
      <c r="S33" s="233"/>
      <c r="T33" s="233">
        <v>64184</v>
      </c>
      <c r="U33" s="233"/>
      <c r="V33" s="233">
        <f>110740+98536</f>
        <v>209276</v>
      </c>
      <c r="W33" s="233"/>
      <c r="X33" s="233"/>
      <c r="Y33" s="355"/>
      <c r="Z33" s="313"/>
      <c r="AA33" s="313"/>
      <c r="AB33" s="310" t="s">
        <v>84</v>
      </c>
      <c r="AC33" s="254"/>
      <c r="AD33" s="254">
        <v>266951.2</v>
      </c>
      <c r="AE33" s="254">
        <v>124752</v>
      </c>
      <c r="AF33" s="254">
        <v>371431</v>
      </c>
      <c r="AG33" s="254">
        <v>80343</v>
      </c>
      <c r="AH33" s="254"/>
      <c r="AI33" s="254"/>
      <c r="AJ33" s="254">
        <v>321598</v>
      </c>
      <c r="AK33" s="254">
        <v>235266</v>
      </c>
      <c r="AL33" s="254">
        <v>64184</v>
      </c>
      <c r="AM33" s="254"/>
      <c r="AN33" s="267"/>
      <c r="AO33" s="266">
        <f t="shared" si="1"/>
        <v>1673801.2</v>
      </c>
      <c r="AP33" s="274">
        <f t="shared" si="2"/>
        <v>1464525.2</v>
      </c>
      <c r="AQ33" s="359">
        <f t="shared" si="5"/>
        <v>209276</v>
      </c>
      <c r="AR33" s="360">
        <f t="shared" si="3"/>
        <v>209276</v>
      </c>
      <c r="AS33" s="278" t="s">
        <v>85</v>
      </c>
      <c r="AT33" s="279"/>
      <c r="AU33" s="371"/>
      <c r="AV33" s="91">
        <v>209276</v>
      </c>
      <c r="AW33" s="101" t="e">
        <f>VLOOKUP(D33,#REF!,12,FALSE)</f>
        <v>#REF!</v>
      </c>
      <c r="AX33" s="101" t="e">
        <f t="shared" si="4"/>
        <v>#REF!</v>
      </c>
    </row>
    <row r="34" s="10" customFormat="1" ht="24.05" customHeight="1" spans="2:50">
      <c r="B34" s="48" t="s">
        <v>81</v>
      </c>
      <c r="C34" s="319" t="s">
        <v>181</v>
      </c>
      <c r="D34" s="328" t="s">
        <v>182</v>
      </c>
      <c r="E34" s="326">
        <v>-66613.69</v>
      </c>
      <c r="F34" s="332"/>
      <c r="G34" s="333"/>
      <c r="H34" s="345"/>
      <c r="I34" s="332"/>
      <c r="J34" s="333"/>
      <c r="K34" s="333"/>
      <c r="L34" s="343">
        <f t="shared" si="0"/>
        <v>-66613.69</v>
      </c>
      <c r="M34" s="232"/>
      <c r="N34" s="233"/>
      <c r="O34" s="233"/>
      <c r="P34" s="233"/>
      <c r="Q34" s="233"/>
      <c r="R34" s="233"/>
      <c r="S34" s="233"/>
      <c r="T34" s="233"/>
      <c r="U34" s="233">
        <v>43561.5</v>
      </c>
      <c r="V34" s="233"/>
      <c r="W34" s="233"/>
      <c r="X34" s="233"/>
      <c r="Y34" s="355"/>
      <c r="Z34" s="313"/>
      <c r="AA34" s="313"/>
      <c r="AB34" s="310" t="s">
        <v>84</v>
      </c>
      <c r="AC34" s="254">
        <v>3390</v>
      </c>
      <c r="AD34" s="254"/>
      <c r="AE34" s="254">
        <v>6610.5</v>
      </c>
      <c r="AF34" s="254">
        <f>5424+2881.5</f>
        <v>8305.5</v>
      </c>
      <c r="AG34" s="254">
        <v>9322.5</v>
      </c>
      <c r="AH34" s="254"/>
      <c r="AI34" s="254"/>
      <c r="AJ34" s="254">
        <v>4576.5</v>
      </c>
      <c r="AK34" s="254">
        <v>11356.5</v>
      </c>
      <c r="AL34" s="254"/>
      <c r="AM34" s="254"/>
      <c r="AN34" s="267"/>
      <c r="AO34" s="266">
        <f t="shared" si="1"/>
        <v>-23052.19</v>
      </c>
      <c r="AP34" s="274">
        <f t="shared" si="2"/>
        <v>43561.5</v>
      </c>
      <c r="AQ34" s="359">
        <f t="shared" si="5"/>
        <v>-66613.69</v>
      </c>
      <c r="AR34" s="360">
        <v>0</v>
      </c>
      <c r="AS34" s="280" t="s">
        <v>96</v>
      </c>
      <c r="AT34" s="279"/>
      <c r="AU34" s="371"/>
      <c r="AV34" s="91"/>
      <c r="AW34" s="101">
        <v>-94242.19</v>
      </c>
      <c r="AX34" s="101">
        <f t="shared" si="4"/>
        <v>27628.5</v>
      </c>
    </row>
    <row r="35" s="10" customFormat="1" ht="24.05" customHeight="1" spans="2:50">
      <c r="B35" s="48" t="s">
        <v>81</v>
      </c>
      <c r="C35" s="319" t="s">
        <v>184</v>
      </c>
      <c r="D35" s="328" t="s">
        <v>185</v>
      </c>
      <c r="E35" s="326">
        <v>0</v>
      </c>
      <c r="F35" s="332"/>
      <c r="G35" s="333"/>
      <c r="H35" s="345"/>
      <c r="I35" s="332"/>
      <c r="J35" s="333">
        <v>36869.64</v>
      </c>
      <c r="K35" s="333">
        <v>39302.3</v>
      </c>
      <c r="L35" s="343">
        <f t="shared" si="0"/>
        <v>76171.94</v>
      </c>
      <c r="M35" s="232"/>
      <c r="N35" s="233"/>
      <c r="O35" s="233">
        <v>44791.43</v>
      </c>
      <c r="P35" s="233"/>
      <c r="Q35" s="233">
        <v>53426.4</v>
      </c>
      <c r="R35" s="233">
        <v>15006.4</v>
      </c>
      <c r="S35" s="233">
        <v>11074</v>
      </c>
      <c r="T35" s="233"/>
      <c r="U35" s="233"/>
      <c r="V35" s="233"/>
      <c r="W35" s="233"/>
      <c r="X35" s="233"/>
      <c r="Y35" s="355"/>
      <c r="Z35" s="313"/>
      <c r="AA35" s="313"/>
      <c r="AB35" s="310" t="s">
        <v>84</v>
      </c>
      <c r="AC35" s="254"/>
      <c r="AD35" s="254">
        <v>36869.64</v>
      </c>
      <c r="AE35" s="254"/>
      <c r="AF35" s="254">
        <v>40000</v>
      </c>
      <c r="AG35" s="254"/>
      <c r="AH35" s="254"/>
      <c r="AI35" s="254"/>
      <c r="AJ35" s="254">
        <v>53426.4</v>
      </c>
      <c r="AK35" s="254">
        <v>44093.73</v>
      </c>
      <c r="AL35" s="254"/>
      <c r="AM35" s="254">
        <v>26080.4</v>
      </c>
      <c r="AN35" s="267"/>
      <c r="AO35" s="266">
        <f t="shared" si="1"/>
        <v>200470.17</v>
      </c>
      <c r="AP35" s="274">
        <f t="shared" si="2"/>
        <v>200470.17</v>
      </c>
      <c r="AQ35" s="359">
        <f t="shared" si="5"/>
        <v>0</v>
      </c>
      <c r="AR35" s="360">
        <f t="shared" si="3"/>
        <v>0</v>
      </c>
      <c r="AS35" s="278"/>
      <c r="AT35" s="279"/>
      <c r="AU35" s="371"/>
      <c r="AV35" s="91"/>
      <c r="AW35" s="101" t="e">
        <f>VLOOKUP(D35,#REF!,12,FALSE)</f>
        <v>#REF!</v>
      </c>
      <c r="AX35" s="101" t="e">
        <f t="shared" si="4"/>
        <v>#REF!</v>
      </c>
    </row>
    <row r="36" s="10" customFormat="1" ht="24.05" customHeight="1" spans="2:50">
      <c r="B36" s="48" t="s">
        <v>81</v>
      </c>
      <c r="C36" s="319" t="s">
        <v>207</v>
      </c>
      <c r="D36" s="328" t="s">
        <v>208</v>
      </c>
      <c r="E36" s="326"/>
      <c r="F36" s="332"/>
      <c r="G36" s="333"/>
      <c r="H36" s="345"/>
      <c r="I36" s="332"/>
      <c r="J36" s="333"/>
      <c r="K36" s="333"/>
      <c r="L36" s="343"/>
      <c r="M36" s="232">
        <v>15800</v>
      </c>
      <c r="N36" s="233"/>
      <c r="O36" s="233"/>
      <c r="P36" s="233"/>
      <c r="Q36" s="233">
        <v>17800</v>
      </c>
      <c r="R36" s="233"/>
      <c r="S36" s="233"/>
      <c r="T36" s="233"/>
      <c r="U36" s="233"/>
      <c r="V36" s="233"/>
      <c r="W36" s="233"/>
      <c r="X36" s="233"/>
      <c r="Y36" s="355"/>
      <c r="Z36" s="313"/>
      <c r="AA36" s="313"/>
      <c r="AB36" s="310"/>
      <c r="AC36" s="254"/>
      <c r="AD36" s="254"/>
      <c r="AE36" s="254"/>
      <c r="AF36" s="254">
        <v>15800</v>
      </c>
      <c r="AG36" s="254"/>
      <c r="AH36" s="254"/>
      <c r="AI36" s="254"/>
      <c r="AJ36" s="254">
        <v>17800</v>
      </c>
      <c r="AK36" s="254"/>
      <c r="AL36" s="254"/>
      <c r="AM36" s="254"/>
      <c r="AN36" s="267"/>
      <c r="AO36" s="266">
        <f t="shared" ref="AO36:AO49" si="6">SUM(L36:X36)</f>
        <v>33600</v>
      </c>
      <c r="AP36" s="274">
        <f t="shared" ref="AP36:AP49" si="7">SUM(AC36:AN36)</f>
        <v>33600</v>
      </c>
      <c r="AQ36" s="359">
        <f t="shared" si="5"/>
        <v>0</v>
      </c>
      <c r="AR36" s="360">
        <f t="shared" si="3"/>
        <v>0</v>
      </c>
      <c r="AS36" s="278"/>
      <c r="AT36" s="279"/>
      <c r="AU36" s="371"/>
      <c r="AV36" s="91"/>
      <c r="AW36" s="101" t="e">
        <f>VLOOKUP(D36,#REF!,12,FALSE)</f>
        <v>#REF!</v>
      </c>
      <c r="AX36" s="101" t="e">
        <f t="shared" si="4"/>
        <v>#REF!</v>
      </c>
    </row>
    <row r="37" s="10" customFormat="1" ht="24.05" customHeight="1" spans="2:50">
      <c r="B37" s="48" t="s">
        <v>81</v>
      </c>
      <c r="C37" s="319" t="s">
        <v>209</v>
      </c>
      <c r="D37" s="328" t="s">
        <v>210</v>
      </c>
      <c r="E37" s="326"/>
      <c r="F37" s="332"/>
      <c r="G37" s="333"/>
      <c r="H37" s="345"/>
      <c r="I37" s="332"/>
      <c r="J37" s="333"/>
      <c r="K37" s="333"/>
      <c r="L37" s="343"/>
      <c r="M37" s="232"/>
      <c r="N37" s="233"/>
      <c r="O37" s="233"/>
      <c r="P37" s="233"/>
      <c r="Q37" s="233">
        <f>79100</f>
        <v>79100</v>
      </c>
      <c r="R37" s="233">
        <v>94920</v>
      </c>
      <c r="S37" s="233">
        <f>63280+47460</f>
        <v>110740</v>
      </c>
      <c r="T37" s="233"/>
      <c r="U37" s="233"/>
      <c r="V37" s="233">
        <f>31640+15820+63280+31640</f>
        <v>142380</v>
      </c>
      <c r="W37" s="233"/>
      <c r="X37" s="233"/>
      <c r="Y37" s="355"/>
      <c r="Z37" s="313"/>
      <c r="AA37" s="313"/>
      <c r="AB37" s="310"/>
      <c r="AC37" s="254"/>
      <c r="AD37" s="254"/>
      <c r="AE37" s="254"/>
      <c r="AF37" s="254"/>
      <c r="AG37" s="254"/>
      <c r="AH37" s="254"/>
      <c r="AI37" s="254"/>
      <c r="AJ37" s="254">
        <v>79100</v>
      </c>
      <c r="AK37" s="254"/>
      <c r="AL37" s="254">
        <f>189840+158200</f>
        <v>348040</v>
      </c>
      <c r="AM37" s="254"/>
      <c r="AN37" s="267"/>
      <c r="AO37" s="266">
        <f t="shared" si="6"/>
        <v>427140</v>
      </c>
      <c r="AP37" s="274">
        <f t="shared" si="7"/>
        <v>427140</v>
      </c>
      <c r="AQ37" s="359">
        <f t="shared" si="5"/>
        <v>0</v>
      </c>
      <c r="AR37" s="360">
        <f t="shared" si="3"/>
        <v>0</v>
      </c>
      <c r="AS37" s="278" t="s">
        <v>222</v>
      </c>
      <c r="AT37" s="279"/>
      <c r="AU37" s="371"/>
      <c r="AV37" s="91"/>
      <c r="AW37" s="101" t="e">
        <f>VLOOKUP(D37,#REF!,12,FALSE)</f>
        <v>#REF!</v>
      </c>
      <c r="AX37" s="101" t="e">
        <f t="shared" si="4"/>
        <v>#REF!</v>
      </c>
    </row>
    <row r="38" s="10" customFormat="1" ht="24.05" customHeight="1" spans="2:50">
      <c r="B38" s="48" t="s">
        <v>81</v>
      </c>
      <c r="C38" s="319" t="s">
        <v>211</v>
      </c>
      <c r="D38" s="328" t="e">
        <f t="array" ref="D38">[2]!'!数据!R319C4'</f>
        <v>#REF!</v>
      </c>
      <c r="E38" s="326"/>
      <c r="F38" s="332"/>
      <c r="G38" s="333"/>
      <c r="H38" s="345"/>
      <c r="I38" s="332"/>
      <c r="J38" s="333"/>
      <c r="K38" s="333"/>
      <c r="L38" s="343"/>
      <c r="M38" s="232"/>
      <c r="N38" s="233"/>
      <c r="O38" s="233"/>
      <c r="P38" s="233">
        <v>33330</v>
      </c>
      <c r="Q38" s="233"/>
      <c r="R38" s="233"/>
      <c r="S38" s="233"/>
      <c r="T38" s="233"/>
      <c r="U38" s="233"/>
      <c r="V38" s="233"/>
      <c r="W38" s="233"/>
      <c r="X38" s="233"/>
      <c r="Y38" s="355"/>
      <c r="Z38" s="313"/>
      <c r="AA38" s="313"/>
      <c r="AB38" s="310"/>
      <c r="AC38" s="254"/>
      <c r="AD38" s="254"/>
      <c r="AE38" s="254"/>
      <c r="AF38" s="254"/>
      <c r="AG38" s="254"/>
      <c r="AH38" s="254"/>
      <c r="AI38" s="254"/>
      <c r="AJ38" s="254">
        <v>33330</v>
      </c>
      <c r="AK38" s="254"/>
      <c r="AL38" s="254"/>
      <c r="AM38" s="254"/>
      <c r="AN38" s="267"/>
      <c r="AO38" s="266">
        <f t="shared" si="6"/>
        <v>33330</v>
      </c>
      <c r="AP38" s="274">
        <f t="shared" si="7"/>
        <v>33330</v>
      </c>
      <c r="AQ38" s="359">
        <f t="shared" si="5"/>
        <v>0</v>
      </c>
      <c r="AR38" s="360">
        <f t="shared" si="3"/>
        <v>0</v>
      </c>
      <c r="AS38" s="278" t="s">
        <v>222</v>
      </c>
      <c r="AT38" s="279"/>
      <c r="AU38" s="371"/>
      <c r="AV38" s="91"/>
      <c r="AW38" s="101" t="e">
        <f>VLOOKUP(D38,#REF!,12,FALSE)</f>
        <v>#REF!</v>
      </c>
      <c r="AX38" s="101" t="e">
        <f t="shared" si="4"/>
        <v>#REF!</v>
      </c>
    </row>
    <row r="39" s="10" customFormat="1" ht="24.05" customHeight="1" spans="2:50">
      <c r="B39" s="48" t="s">
        <v>81</v>
      </c>
      <c r="C39" s="319" t="s">
        <v>212</v>
      </c>
      <c r="D39" s="328" t="s">
        <v>213</v>
      </c>
      <c r="E39" s="326"/>
      <c r="F39" s="332"/>
      <c r="G39" s="333"/>
      <c r="H39" s="345"/>
      <c r="I39" s="332"/>
      <c r="J39" s="333"/>
      <c r="K39" s="333"/>
      <c r="L39" s="343"/>
      <c r="M39" s="232"/>
      <c r="N39" s="233"/>
      <c r="O39" s="233"/>
      <c r="P39" s="233"/>
      <c r="Q39" s="233">
        <f>333353.62+336228.34</f>
        <v>669581.96</v>
      </c>
      <c r="R39" s="233">
        <v>334790.98</v>
      </c>
      <c r="S39" s="233"/>
      <c r="T39" s="233"/>
      <c r="U39" s="233">
        <v>167395.48</v>
      </c>
      <c r="V39" s="233"/>
      <c r="W39" s="233">
        <v>167395.48</v>
      </c>
      <c r="X39" s="233"/>
      <c r="Y39" s="355"/>
      <c r="Z39" s="313"/>
      <c r="AA39" s="313"/>
      <c r="AB39" s="310"/>
      <c r="AC39" s="254"/>
      <c r="AD39" s="254"/>
      <c r="AE39" s="254"/>
      <c r="AF39" s="254"/>
      <c r="AG39" s="254"/>
      <c r="AH39" s="254"/>
      <c r="AI39" s="254">
        <v>333353.62</v>
      </c>
      <c r="AJ39" s="254">
        <f>336228.34+334790.98</f>
        <v>671019.32</v>
      </c>
      <c r="AK39" s="254"/>
      <c r="AL39" s="254"/>
      <c r="AM39" s="254">
        <v>167395.48</v>
      </c>
      <c r="AN39" s="267"/>
      <c r="AO39" s="266">
        <f t="shared" si="6"/>
        <v>1339163.9</v>
      </c>
      <c r="AP39" s="274">
        <f t="shared" si="7"/>
        <v>1171768.42</v>
      </c>
      <c r="AQ39" s="359">
        <f t="shared" si="5"/>
        <v>167395.48</v>
      </c>
      <c r="AR39" s="360">
        <f>AQ39-X39</f>
        <v>167395.48</v>
      </c>
      <c r="AS39" s="278" t="s">
        <v>101</v>
      </c>
      <c r="AT39" s="279"/>
      <c r="AU39" s="371"/>
      <c r="AV39" s="91"/>
      <c r="AW39" s="101" t="e">
        <f>VLOOKUP(D39,#REF!,12,FALSE)</f>
        <v>#REF!</v>
      </c>
      <c r="AX39" s="101" t="e">
        <f t="shared" si="4"/>
        <v>#REF!</v>
      </c>
    </row>
    <row r="40" s="10" customFormat="1" ht="24.05" customHeight="1" spans="2:50">
      <c r="B40" s="48" t="s">
        <v>81</v>
      </c>
      <c r="C40" s="319" t="s">
        <v>237</v>
      </c>
      <c r="D40" s="328" t="s">
        <v>214</v>
      </c>
      <c r="E40" s="326"/>
      <c r="F40" s="332"/>
      <c r="G40" s="333"/>
      <c r="H40" s="345"/>
      <c r="I40" s="332"/>
      <c r="J40" s="333"/>
      <c r="K40" s="333"/>
      <c r="L40" s="343"/>
      <c r="M40" s="232"/>
      <c r="N40" s="233"/>
      <c r="O40" s="233"/>
      <c r="P40" s="233"/>
      <c r="Q40" s="233"/>
      <c r="R40" s="233"/>
      <c r="S40" s="233"/>
      <c r="T40" s="233"/>
      <c r="U40" s="233"/>
      <c r="V40" s="233">
        <v>8818.54</v>
      </c>
      <c r="W40" s="233"/>
      <c r="X40" s="233"/>
      <c r="Y40" s="355"/>
      <c r="Z40" s="313"/>
      <c r="AA40" s="313"/>
      <c r="AB40" s="310"/>
      <c r="AC40" s="254"/>
      <c r="AD40" s="254"/>
      <c r="AE40" s="254"/>
      <c r="AF40" s="254"/>
      <c r="AG40" s="254"/>
      <c r="AH40" s="254"/>
      <c r="AI40" s="254"/>
      <c r="AJ40" s="254"/>
      <c r="AK40" s="254"/>
      <c r="AL40" s="254"/>
      <c r="AM40" s="254"/>
      <c r="AN40" s="267"/>
      <c r="AO40" s="266">
        <f t="shared" si="6"/>
        <v>8818.54</v>
      </c>
      <c r="AP40" s="274">
        <f t="shared" si="7"/>
        <v>0</v>
      </c>
      <c r="AQ40" s="359">
        <f t="shared" si="5"/>
        <v>8818.54</v>
      </c>
      <c r="AR40" s="360">
        <f>AQ40-X40-W40-V40</f>
        <v>0</v>
      </c>
      <c r="AS40" s="278" t="s">
        <v>222</v>
      </c>
      <c r="AT40" s="279"/>
      <c r="AU40" s="372">
        <v>8818.54</v>
      </c>
      <c r="AV40" s="91"/>
      <c r="AW40" s="101" t="e">
        <f>VLOOKUP(D40,#REF!,12,FALSE)</f>
        <v>#REF!</v>
      </c>
      <c r="AX40" s="101" t="e">
        <f t="shared" si="4"/>
        <v>#REF!</v>
      </c>
    </row>
    <row r="41" s="10" customFormat="1" ht="24.05" customHeight="1" spans="2:50">
      <c r="B41" s="48" t="s">
        <v>81</v>
      </c>
      <c r="C41" s="319" t="s">
        <v>215</v>
      </c>
      <c r="D41" s="329" t="s">
        <v>216</v>
      </c>
      <c r="E41" s="330"/>
      <c r="F41" s="334"/>
      <c r="G41" s="335"/>
      <c r="H41" s="346"/>
      <c r="I41" s="334"/>
      <c r="J41" s="335"/>
      <c r="K41" s="335"/>
      <c r="L41" s="347"/>
      <c r="M41" s="235"/>
      <c r="N41" s="236"/>
      <c r="O41" s="236"/>
      <c r="P41" s="236">
        <v>21584.03</v>
      </c>
      <c r="Q41" s="236">
        <f>100072.8+18481.78+105347.64</f>
        <v>223902.22</v>
      </c>
      <c r="R41" s="236"/>
      <c r="S41" s="236">
        <v>57132.12</v>
      </c>
      <c r="T41" s="236"/>
      <c r="U41" s="236"/>
      <c r="V41" s="236">
        <v>34739.55</v>
      </c>
      <c r="W41" s="236"/>
      <c r="X41" s="236"/>
      <c r="Y41" s="355"/>
      <c r="Z41" s="313"/>
      <c r="AA41" s="313"/>
      <c r="AB41" s="313"/>
      <c r="AC41" s="254"/>
      <c r="AD41" s="254"/>
      <c r="AE41" s="254"/>
      <c r="AF41" s="254"/>
      <c r="AG41" s="254"/>
      <c r="AH41" s="254"/>
      <c r="AI41" s="254"/>
      <c r="AJ41" s="254"/>
      <c r="AK41" s="254"/>
      <c r="AL41" s="254">
        <v>150000</v>
      </c>
      <c r="AM41" s="254"/>
      <c r="AN41" s="267"/>
      <c r="AO41" s="266">
        <f t="shared" si="6"/>
        <v>337357.92</v>
      </c>
      <c r="AP41" s="274">
        <f t="shared" si="7"/>
        <v>150000</v>
      </c>
      <c r="AQ41" s="359">
        <f t="shared" si="5"/>
        <v>187357.92</v>
      </c>
      <c r="AR41" s="360">
        <f>AQ41-X41-W41-V41</f>
        <v>152618.37</v>
      </c>
      <c r="AS41" s="281" t="s">
        <v>222</v>
      </c>
      <c r="AT41" s="279"/>
      <c r="AU41" s="372">
        <v>152618.37</v>
      </c>
      <c r="AV41" s="91"/>
      <c r="AW41" s="101" t="e">
        <f>VLOOKUP(D41,#REF!,12,FALSE)</f>
        <v>#REF!</v>
      </c>
      <c r="AX41" s="101" t="e">
        <f t="shared" si="4"/>
        <v>#REF!</v>
      </c>
    </row>
    <row r="42" s="10" customFormat="1" ht="24.05" customHeight="1" spans="2:50">
      <c r="B42" s="48" t="s">
        <v>81</v>
      </c>
      <c r="C42" s="319" t="s">
        <v>217</v>
      </c>
      <c r="D42" s="329" t="s">
        <v>223</v>
      </c>
      <c r="E42" s="330"/>
      <c r="F42" s="334"/>
      <c r="G42" s="335"/>
      <c r="H42" s="346"/>
      <c r="I42" s="334"/>
      <c r="J42" s="335"/>
      <c r="K42" s="335"/>
      <c r="L42" s="347"/>
      <c r="M42" s="235"/>
      <c r="N42" s="236"/>
      <c r="O42" s="236"/>
      <c r="P42" s="236"/>
      <c r="Q42" s="236"/>
      <c r="R42" s="236"/>
      <c r="S42" s="236"/>
      <c r="T42" s="236"/>
      <c r="U42" s="236"/>
      <c r="V42" s="236">
        <v>25628.4</v>
      </c>
      <c r="W42" s="236"/>
      <c r="X42" s="236">
        <v>19933.2</v>
      </c>
      <c r="Y42" s="355"/>
      <c r="Z42" s="313"/>
      <c r="AA42" s="313"/>
      <c r="AB42" s="313"/>
      <c r="AC42" s="254"/>
      <c r="AD42" s="254"/>
      <c r="AE42" s="254"/>
      <c r="AF42" s="254"/>
      <c r="AG42" s="254"/>
      <c r="AH42" s="254"/>
      <c r="AI42" s="254"/>
      <c r="AJ42" s="254"/>
      <c r="AK42" s="254"/>
      <c r="AL42" s="254"/>
      <c r="AM42" s="254"/>
      <c r="AN42" s="267"/>
      <c r="AO42" s="266">
        <f t="shared" si="6"/>
        <v>45561.6</v>
      </c>
      <c r="AP42" s="274">
        <f t="shared" si="7"/>
        <v>0</v>
      </c>
      <c r="AQ42" s="359">
        <f t="shared" si="5"/>
        <v>45561.6</v>
      </c>
      <c r="AR42" s="360">
        <f>AQ42-X42</f>
        <v>25628.4</v>
      </c>
      <c r="AS42" s="281" t="s">
        <v>101</v>
      </c>
      <c r="AT42" s="279"/>
      <c r="AU42" s="371"/>
      <c r="AV42" s="91">
        <v>25628.4</v>
      </c>
      <c r="AW42" s="101" t="e">
        <f>VLOOKUP(D42,#REF!,12,FALSE)</f>
        <v>#REF!</v>
      </c>
      <c r="AX42" s="101" t="e">
        <f t="shared" si="4"/>
        <v>#REF!</v>
      </c>
    </row>
    <row r="43" s="10" customFormat="1" ht="24.05" customHeight="1" spans="2:50">
      <c r="B43" s="48" t="s">
        <v>81</v>
      </c>
      <c r="C43" s="319" t="s">
        <v>238</v>
      </c>
      <c r="D43" s="329" t="s">
        <v>219</v>
      </c>
      <c r="E43" s="330"/>
      <c r="F43" s="334"/>
      <c r="G43" s="335"/>
      <c r="H43" s="346"/>
      <c r="I43" s="334"/>
      <c r="J43" s="335"/>
      <c r="K43" s="335"/>
      <c r="L43" s="347"/>
      <c r="M43" s="235"/>
      <c r="N43" s="236"/>
      <c r="O43" s="236"/>
      <c r="P43" s="236"/>
      <c r="Q43" s="236"/>
      <c r="R43" s="236"/>
      <c r="S43" s="236"/>
      <c r="T43" s="236"/>
      <c r="U43" s="236">
        <v>27400</v>
      </c>
      <c r="V43" s="236"/>
      <c r="W43" s="236"/>
      <c r="X43" s="236"/>
      <c r="Y43" s="355"/>
      <c r="Z43" s="313"/>
      <c r="AA43" s="313"/>
      <c r="AB43" s="313"/>
      <c r="AC43" s="254"/>
      <c r="AD43" s="254"/>
      <c r="AE43" s="254"/>
      <c r="AF43" s="254"/>
      <c r="AG43" s="254"/>
      <c r="AH43" s="254"/>
      <c r="AI43" s="254"/>
      <c r="AJ43" s="254"/>
      <c r="AK43" s="254"/>
      <c r="AL43" s="254"/>
      <c r="AM43" s="254">
        <v>27400</v>
      </c>
      <c r="AN43" s="267"/>
      <c r="AO43" s="266">
        <f t="shared" si="6"/>
        <v>27400</v>
      </c>
      <c r="AP43" s="274">
        <f t="shared" si="7"/>
        <v>27400</v>
      </c>
      <c r="AQ43" s="359">
        <f t="shared" si="5"/>
        <v>0</v>
      </c>
      <c r="AR43" s="360">
        <f t="shared" si="3"/>
        <v>0</v>
      </c>
      <c r="AS43" s="281" t="s">
        <v>101</v>
      </c>
      <c r="AT43" s="279"/>
      <c r="AU43" s="371"/>
      <c r="AV43" s="91"/>
      <c r="AW43" s="101" t="e">
        <f>VLOOKUP(D43,#REF!,12,FALSE)</f>
        <v>#REF!</v>
      </c>
      <c r="AX43" s="101" t="e">
        <f t="shared" si="4"/>
        <v>#REF!</v>
      </c>
    </row>
    <row r="44" s="10" customFormat="1" ht="24.05" customHeight="1" spans="2:50">
      <c r="B44" s="48" t="s">
        <v>81</v>
      </c>
      <c r="C44" s="319" t="s">
        <v>239</v>
      </c>
      <c r="D44" s="329" t="s">
        <v>240</v>
      </c>
      <c r="E44" s="330"/>
      <c r="F44" s="334"/>
      <c r="G44" s="335"/>
      <c r="H44" s="346"/>
      <c r="I44" s="334"/>
      <c r="J44" s="335"/>
      <c r="K44" s="346"/>
      <c r="L44" s="347"/>
      <c r="M44" s="235"/>
      <c r="N44" s="236"/>
      <c r="O44" s="236">
        <v>2542.2</v>
      </c>
      <c r="P44" s="236"/>
      <c r="Q44" s="236"/>
      <c r="R44" s="236"/>
      <c r="S44" s="236"/>
      <c r="T44" s="242"/>
      <c r="U44" s="236"/>
      <c r="V44" s="236"/>
      <c r="W44" s="236"/>
      <c r="X44" s="236"/>
      <c r="Y44" s="355"/>
      <c r="Z44" s="313"/>
      <c r="AA44" s="313"/>
      <c r="AB44" s="313"/>
      <c r="AC44" s="254"/>
      <c r="AD44" s="254"/>
      <c r="AE44" s="254">
        <v>2542.2</v>
      </c>
      <c r="AF44" s="254"/>
      <c r="AG44" s="254"/>
      <c r="AH44" s="254"/>
      <c r="AI44" s="254"/>
      <c r="AJ44" s="254"/>
      <c r="AK44" s="254"/>
      <c r="AL44" s="254"/>
      <c r="AM44" s="254"/>
      <c r="AN44" s="267"/>
      <c r="AO44" s="266">
        <f t="shared" si="6"/>
        <v>2542.2</v>
      </c>
      <c r="AP44" s="274">
        <f t="shared" si="7"/>
        <v>2542.2</v>
      </c>
      <c r="AQ44" s="359">
        <f t="shared" si="5"/>
        <v>0</v>
      </c>
      <c r="AR44" s="360">
        <f t="shared" si="3"/>
        <v>0</v>
      </c>
      <c r="AS44" s="281" t="s">
        <v>96</v>
      </c>
      <c r="AT44" s="279"/>
      <c r="AU44" s="371"/>
      <c r="AV44" s="91"/>
      <c r="AW44" s="101">
        <v>0</v>
      </c>
      <c r="AX44" s="101">
        <f t="shared" si="4"/>
        <v>0</v>
      </c>
    </row>
    <row r="45" s="10" customFormat="1" ht="24.05" customHeight="1" spans="2:50">
      <c r="B45" s="48" t="s">
        <v>81</v>
      </c>
      <c r="C45" s="319" t="s">
        <v>224</v>
      </c>
      <c r="D45" s="329" t="s">
        <v>225</v>
      </c>
      <c r="E45" s="330"/>
      <c r="F45" s="334"/>
      <c r="G45" s="335"/>
      <c r="H45" s="346"/>
      <c r="I45" s="334"/>
      <c r="J45" s="335"/>
      <c r="K45" s="346"/>
      <c r="L45" s="347"/>
      <c r="M45" s="235"/>
      <c r="N45" s="236"/>
      <c r="O45" s="236"/>
      <c r="P45" s="236">
        <v>106663.87</v>
      </c>
      <c r="Q45" s="236"/>
      <c r="R45" s="236">
        <v>111079</v>
      </c>
      <c r="S45" s="236"/>
      <c r="T45" s="242"/>
      <c r="U45" s="236"/>
      <c r="V45" s="236"/>
      <c r="W45" s="236"/>
      <c r="X45" s="236"/>
      <c r="Y45" s="355"/>
      <c r="Z45" s="313"/>
      <c r="AA45" s="313"/>
      <c r="AB45" s="313"/>
      <c r="AC45" s="254"/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67"/>
      <c r="AO45" s="266">
        <f t="shared" si="6"/>
        <v>217742.87</v>
      </c>
      <c r="AP45" s="274">
        <f t="shared" si="7"/>
        <v>0</v>
      </c>
      <c r="AQ45" s="359">
        <f t="shared" si="5"/>
        <v>217742.87</v>
      </c>
      <c r="AR45" s="360">
        <f>AQ45-X45-W45-V45</f>
        <v>217742.87</v>
      </c>
      <c r="AS45" s="281" t="s">
        <v>222</v>
      </c>
      <c r="AT45" s="279"/>
      <c r="AU45" s="372">
        <v>111079</v>
      </c>
      <c r="AV45" s="91"/>
      <c r="AW45" s="101" t="e">
        <f>VLOOKUP(D45,#REF!,12,FALSE)</f>
        <v>#REF!</v>
      </c>
      <c r="AX45" s="101" t="e">
        <f t="shared" si="4"/>
        <v>#REF!</v>
      </c>
    </row>
    <row r="46" s="10" customFormat="1" ht="24.05" customHeight="1" spans="2:50">
      <c r="B46" s="48" t="s">
        <v>81</v>
      </c>
      <c r="C46" s="319" t="s">
        <v>226</v>
      </c>
      <c r="D46" s="329" t="s">
        <v>227</v>
      </c>
      <c r="E46" s="330"/>
      <c r="F46" s="334"/>
      <c r="G46" s="335"/>
      <c r="H46" s="346"/>
      <c r="I46" s="334"/>
      <c r="J46" s="335"/>
      <c r="K46" s="346"/>
      <c r="L46" s="347"/>
      <c r="M46" s="235"/>
      <c r="N46" s="236"/>
      <c r="O46" s="236"/>
      <c r="P46" s="236"/>
      <c r="Q46" s="236"/>
      <c r="R46" s="236"/>
      <c r="S46" s="236"/>
      <c r="T46" s="242"/>
      <c r="U46" s="236"/>
      <c r="V46" s="236">
        <v>5979.6</v>
      </c>
      <c r="W46" s="236"/>
      <c r="X46" s="236">
        <v>594</v>
      </c>
      <c r="Y46" s="355"/>
      <c r="Z46" s="313"/>
      <c r="AA46" s="313"/>
      <c r="AB46" s="313"/>
      <c r="AC46" s="254"/>
      <c r="AD46" s="254"/>
      <c r="AE46" s="254"/>
      <c r="AF46" s="254"/>
      <c r="AG46" s="254"/>
      <c r="AH46" s="254"/>
      <c r="AI46" s="254"/>
      <c r="AJ46" s="254"/>
      <c r="AK46" s="254"/>
      <c r="AL46" s="254"/>
      <c r="AM46" s="254"/>
      <c r="AN46" s="267"/>
      <c r="AO46" s="266">
        <f t="shared" si="6"/>
        <v>6573.6</v>
      </c>
      <c r="AP46" s="274">
        <f t="shared" si="7"/>
        <v>0</v>
      </c>
      <c r="AQ46" s="359">
        <f t="shared" si="5"/>
        <v>6573.6</v>
      </c>
      <c r="AR46" s="360">
        <f>AQ46-X46</f>
        <v>5979.6</v>
      </c>
      <c r="AS46" s="281" t="s">
        <v>101</v>
      </c>
      <c r="AT46" s="279"/>
      <c r="AU46" s="372">
        <v>5979.6</v>
      </c>
      <c r="AV46" s="91"/>
      <c r="AW46" s="101" t="e">
        <f>VLOOKUP(D46,#REF!,12,FALSE)</f>
        <v>#REF!</v>
      </c>
      <c r="AX46" s="101" t="e">
        <f t="shared" si="4"/>
        <v>#REF!</v>
      </c>
    </row>
    <row r="47" s="10" customFormat="1" ht="24.05" customHeight="1" spans="2:50">
      <c r="B47" s="48" t="s">
        <v>81</v>
      </c>
      <c r="C47" s="319" t="s">
        <v>228</v>
      </c>
      <c r="D47" s="329" t="s">
        <v>229</v>
      </c>
      <c r="E47" s="330"/>
      <c r="F47" s="334"/>
      <c r="G47" s="335"/>
      <c r="H47" s="346"/>
      <c r="I47" s="334"/>
      <c r="J47" s="335"/>
      <c r="K47" s="346"/>
      <c r="L47" s="347"/>
      <c r="M47" s="235"/>
      <c r="N47" s="236"/>
      <c r="O47" s="236">
        <v>30854.97</v>
      </c>
      <c r="P47" s="236"/>
      <c r="Q47" s="236"/>
      <c r="R47" s="236"/>
      <c r="S47" s="236"/>
      <c r="T47" s="242"/>
      <c r="U47" s="236"/>
      <c r="V47" s="236"/>
      <c r="W47" s="236">
        <v>8018.39</v>
      </c>
      <c r="X47" s="236"/>
      <c r="Y47" s="355"/>
      <c r="Z47" s="313"/>
      <c r="AA47" s="313"/>
      <c r="AB47" s="313"/>
      <c r="AC47" s="254"/>
      <c r="AD47" s="254"/>
      <c r="AE47" s="254"/>
      <c r="AF47" s="254"/>
      <c r="AG47" s="254"/>
      <c r="AH47" s="254"/>
      <c r="AI47" s="254"/>
      <c r="AJ47" s="254"/>
      <c r="AK47" s="254"/>
      <c r="AL47" s="254"/>
      <c r="AM47" s="254">
        <v>30854.97</v>
      </c>
      <c r="AN47" s="267"/>
      <c r="AO47" s="266">
        <f t="shared" si="6"/>
        <v>38873.36</v>
      </c>
      <c r="AP47" s="274">
        <f t="shared" si="7"/>
        <v>30854.97</v>
      </c>
      <c r="AQ47" s="359">
        <f t="shared" si="5"/>
        <v>8018.39</v>
      </c>
      <c r="AR47" s="360">
        <f t="shared" si="3"/>
        <v>0</v>
      </c>
      <c r="AS47" s="281" t="s">
        <v>85</v>
      </c>
      <c r="AT47" s="279"/>
      <c r="AU47" s="371"/>
      <c r="AV47" s="91"/>
      <c r="AW47" s="101"/>
      <c r="AX47" s="101"/>
    </row>
    <row r="48" s="10" customFormat="1" ht="24.05" customHeight="1" spans="2:50">
      <c r="B48" s="48" t="s">
        <v>81</v>
      </c>
      <c r="C48" s="325" t="s">
        <v>230</v>
      </c>
      <c r="D48" s="40" t="s">
        <v>231</v>
      </c>
      <c r="E48" s="326"/>
      <c r="F48" s="332"/>
      <c r="G48" s="333"/>
      <c r="H48" s="333"/>
      <c r="I48" s="332"/>
      <c r="J48" s="333"/>
      <c r="K48" s="333"/>
      <c r="L48" s="343"/>
      <c r="M48" s="232"/>
      <c r="N48" s="233"/>
      <c r="O48" s="233"/>
      <c r="P48" s="233"/>
      <c r="Q48" s="233"/>
      <c r="R48" s="233">
        <v>3169474.4</v>
      </c>
      <c r="S48" s="233"/>
      <c r="T48" s="233"/>
      <c r="U48" s="233"/>
      <c r="V48" s="233"/>
      <c r="W48" s="233">
        <v>887312.2</v>
      </c>
      <c r="X48" s="233">
        <f>108208.8*2</f>
        <v>216417.6</v>
      </c>
      <c r="Y48" s="354"/>
      <c r="Z48" s="310"/>
      <c r="AA48" s="310"/>
      <c r="AB48" s="310"/>
      <c r="AC48" s="250"/>
      <c r="AD48" s="250"/>
      <c r="AE48" s="250"/>
      <c r="AF48" s="250"/>
      <c r="AG48" s="250"/>
      <c r="AH48" s="250"/>
      <c r="AI48" s="250"/>
      <c r="AJ48" s="250"/>
      <c r="AK48" s="250"/>
      <c r="AL48" s="250"/>
      <c r="AM48" s="250">
        <v>1000000</v>
      </c>
      <c r="AN48" s="265">
        <v>2169474.4</v>
      </c>
      <c r="AO48" s="266">
        <f t="shared" si="6"/>
        <v>4273204.2</v>
      </c>
      <c r="AP48" s="274">
        <f t="shared" si="7"/>
        <v>3169474.4</v>
      </c>
      <c r="AQ48" s="359">
        <f t="shared" si="5"/>
        <v>1103729.8</v>
      </c>
      <c r="AR48" s="360">
        <f t="shared" si="3"/>
        <v>0</v>
      </c>
      <c r="AS48" s="276" t="s">
        <v>241</v>
      </c>
      <c r="AT48" s="277"/>
      <c r="AU48" s="372">
        <v>2169474.4</v>
      </c>
      <c r="AV48" s="91"/>
      <c r="AW48" s="101" t="e">
        <f>VLOOKUP(D48,#REF!,12,FALSE)</f>
        <v>#REF!</v>
      </c>
      <c r="AX48" s="101" t="e">
        <f t="shared" si="4"/>
        <v>#REF!</v>
      </c>
    </row>
    <row r="49" s="10" customFormat="1" ht="24.05" customHeight="1" spans="2:50">
      <c r="B49" s="57" t="s">
        <v>81</v>
      </c>
      <c r="C49" s="319" t="s">
        <v>186</v>
      </c>
      <c r="D49" s="328" t="s">
        <v>187</v>
      </c>
      <c r="E49" s="326">
        <v>1745182.33</v>
      </c>
      <c r="F49" s="332">
        <v>1040684.8</v>
      </c>
      <c r="G49" s="333">
        <v>289573.8</v>
      </c>
      <c r="H49" s="345">
        <f>16000</f>
        <v>16000</v>
      </c>
      <c r="I49" s="332"/>
      <c r="J49" s="333"/>
      <c r="K49" s="345">
        <v>320129</v>
      </c>
      <c r="L49" s="343">
        <f t="shared" ref="L49" si="8">SUM(I49:K49)+E49</f>
        <v>2065311.33</v>
      </c>
      <c r="M49" s="232">
        <v>149456.06</v>
      </c>
      <c r="N49" s="233">
        <v>2056724.82</v>
      </c>
      <c r="O49" s="233">
        <v>197945.79</v>
      </c>
      <c r="P49" s="233">
        <v>311102.56</v>
      </c>
      <c r="Q49" s="233">
        <f>443106.62+11186.26</f>
        <v>454292.88</v>
      </c>
      <c r="R49" s="233">
        <f>198972.66+354266.3</f>
        <v>553238.96</v>
      </c>
      <c r="S49" s="233">
        <v>231220.6</v>
      </c>
      <c r="T49" s="233">
        <v>107564.34</v>
      </c>
      <c r="U49" s="233">
        <v>129079.9</v>
      </c>
      <c r="V49" s="233">
        <f>207174.2+538701.01+4859</f>
        <v>750734.21</v>
      </c>
      <c r="W49" s="233">
        <v>-10426.18</v>
      </c>
      <c r="X49" s="233">
        <f>650588.66-163042.54</f>
        <v>487546.12</v>
      </c>
      <c r="Y49" s="355"/>
      <c r="Z49" s="313"/>
      <c r="AA49" s="310" t="s">
        <v>84</v>
      </c>
      <c r="AB49" s="310" t="s">
        <v>84</v>
      </c>
      <c r="AC49" s="254">
        <v>600000</v>
      </c>
      <c r="AD49" s="254"/>
      <c r="AE49" s="254">
        <f>378820-250000</f>
        <v>128820</v>
      </c>
      <c r="AF49" s="254"/>
      <c r="AG49" s="254">
        <v>10500</v>
      </c>
      <c r="AH49" s="254">
        <f>2239.89+12430</f>
        <v>14669.89</v>
      </c>
      <c r="AI49" s="254"/>
      <c r="AJ49" s="254">
        <f>200000+10638.96</f>
        <v>210638.96</v>
      </c>
      <c r="AK49" s="254">
        <v>200000</v>
      </c>
      <c r="AL49" s="254">
        <v>100000</v>
      </c>
      <c r="AM49" s="254">
        <f>300000+200000</f>
        <v>500000</v>
      </c>
      <c r="AN49" s="267">
        <f>900000+150000</f>
        <v>1050000</v>
      </c>
      <c r="AO49" s="266">
        <f t="shared" si="6"/>
        <v>7483791.39</v>
      </c>
      <c r="AP49" s="274">
        <f t="shared" si="7"/>
        <v>2814628.85</v>
      </c>
      <c r="AQ49" s="359">
        <f t="shared" si="5"/>
        <v>4669162.54</v>
      </c>
      <c r="AR49" s="360">
        <f t="shared" si="3"/>
        <v>4192042.6</v>
      </c>
      <c r="AS49" s="278"/>
      <c r="AT49" s="279"/>
      <c r="AU49" s="372">
        <v>200000</v>
      </c>
      <c r="AV49" s="91">
        <v>200000</v>
      </c>
      <c r="AW49" s="101" t="e">
        <f>VLOOKUP(D49,#REF!,12,FALSE)</f>
        <v>#REF!</v>
      </c>
      <c r="AX49" s="101" t="e">
        <f t="shared" si="4"/>
        <v>#REF!</v>
      </c>
    </row>
    <row r="50" s="12" customFormat="1" ht="24.05" customHeight="1" spans="2:48">
      <c r="B50" s="60"/>
      <c r="C50" s="61"/>
      <c r="D50" s="62" t="s">
        <v>142</v>
      </c>
      <c r="E50" s="331">
        <f>SUM(E5:E49)</f>
        <v>2758142.22</v>
      </c>
      <c r="F50" s="336"/>
      <c r="G50" s="337">
        <f t="shared" ref="G50:AQ50" si="9">SUM(G5:G49)</f>
        <v>333580.75</v>
      </c>
      <c r="H50" s="337">
        <f t="shared" si="9"/>
        <v>26937.5</v>
      </c>
      <c r="I50" s="337">
        <f t="shared" si="9"/>
        <v>755825</v>
      </c>
      <c r="J50" s="337">
        <f t="shared" si="9"/>
        <v>2193040.65</v>
      </c>
      <c r="K50" s="337">
        <f t="shared" si="9"/>
        <v>1693626.34</v>
      </c>
      <c r="L50" s="349">
        <f t="shared" si="9"/>
        <v>7400634.21</v>
      </c>
      <c r="M50" s="364">
        <f t="shared" si="9"/>
        <v>1786678.1</v>
      </c>
      <c r="N50" s="350">
        <f t="shared" si="9"/>
        <v>2539553.76</v>
      </c>
      <c r="O50" s="350">
        <f t="shared" si="9"/>
        <v>609965.42</v>
      </c>
      <c r="P50" s="350">
        <f t="shared" si="9"/>
        <v>2492019.5</v>
      </c>
      <c r="Q50" s="350">
        <f t="shared" si="9"/>
        <v>4769286.35</v>
      </c>
      <c r="R50" s="350">
        <f t="shared" si="9"/>
        <v>6375418.92</v>
      </c>
      <c r="S50" s="350">
        <f t="shared" si="9"/>
        <v>1539469.79</v>
      </c>
      <c r="T50" s="350">
        <f t="shared" si="9"/>
        <v>471784.75</v>
      </c>
      <c r="U50" s="350">
        <f t="shared" si="9"/>
        <v>1731854.68</v>
      </c>
      <c r="V50" s="350">
        <f t="shared" si="9"/>
        <v>2313855.74</v>
      </c>
      <c r="W50" s="350">
        <f t="shared" si="9"/>
        <v>1547284.61</v>
      </c>
      <c r="X50" s="350">
        <f t="shared" si="9"/>
        <v>1348526.43</v>
      </c>
      <c r="Y50" s="365">
        <f t="shared" si="9"/>
        <v>0</v>
      </c>
      <c r="Z50" s="366">
        <f t="shared" si="9"/>
        <v>0</v>
      </c>
      <c r="AA50" s="366">
        <f t="shared" si="9"/>
        <v>0</v>
      </c>
      <c r="AB50" s="366">
        <f t="shared" si="9"/>
        <v>0</v>
      </c>
      <c r="AC50" s="366">
        <f t="shared" si="9"/>
        <v>603390</v>
      </c>
      <c r="AD50" s="366">
        <f t="shared" si="9"/>
        <v>2159095.6</v>
      </c>
      <c r="AE50" s="366">
        <f t="shared" si="9"/>
        <v>2155410.69</v>
      </c>
      <c r="AF50" s="366">
        <f t="shared" si="9"/>
        <v>1214408.1</v>
      </c>
      <c r="AG50" s="366">
        <f t="shared" si="9"/>
        <v>1195377.39</v>
      </c>
      <c r="AH50" s="366">
        <f t="shared" si="9"/>
        <v>1177304</v>
      </c>
      <c r="AI50" s="366">
        <f t="shared" si="9"/>
        <v>1162488.58</v>
      </c>
      <c r="AJ50" s="366">
        <f t="shared" si="9"/>
        <v>3972454.69</v>
      </c>
      <c r="AK50" s="366">
        <f t="shared" si="9"/>
        <v>2462204.76</v>
      </c>
      <c r="AL50" s="366">
        <f t="shared" si="9"/>
        <v>2236666.65</v>
      </c>
      <c r="AM50" s="366">
        <f t="shared" si="9"/>
        <v>3258650.51</v>
      </c>
      <c r="AN50" s="367">
        <f t="shared" si="9"/>
        <v>3950008.18</v>
      </c>
      <c r="AO50" s="368">
        <f t="shared" si="9"/>
        <v>34926332.26</v>
      </c>
      <c r="AP50" s="369">
        <f t="shared" si="9"/>
        <v>25547459.15</v>
      </c>
      <c r="AQ50" s="63">
        <f t="shared" si="9"/>
        <v>9378873.11</v>
      </c>
      <c r="AR50" s="367">
        <f>AQ50-V50-W50</f>
        <v>5517732.76</v>
      </c>
      <c r="AS50" s="288"/>
      <c r="AT50" s="289"/>
      <c r="AU50" s="100">
        <f>SUM(AU5:AU49)</f>
        <v>3182537.87</v>
      </c>
      <c r="AV50" s="100">
        <f>SUM(AV5:AV49)</f>
        <v>1444216.74</v>
      </c>
    </row>
    <row r="51" ht="15.05" customHeight="1" spans="5:44">
      <c r="E51" s="65"/>
      <c r="F51" s="65"/>
      <c r="G51" s="65"/>
      <c r="H51" s="65"/>
      <c r="I51" s="65">
        <f>SUM(I5:I44)</f>
        <v>755825</v>
      </c>
      <c r="J51" s="65">
        <f t="shared" ref="J51:AO51" si="10">SUM(J5:J44)</f>
        <v>2193040.65</v>
      </c>
      <c r="K51" s="65">
        <f t="shared" si="10"/>
        <v>1373497.34</v>
      </c>
      <c r="L51" s="65">
        <f t="shared" si="10"/>
        <v>5335322.88</v>
      </c>
      <c r="M51" s="65">
        <f t="shared" si="10"/>
        <v>1637222.04</v>
      </c>
      <c r="N51" s="65">
        <f t="shared" si="10"/>
        <v>482828.94</v>
      </c>
      <c r="O51" s="65">
        <f t="shared" si="10"/>
        <v>381164.66</v>
      </c>
      <c r="P51" s="65">
        <f t="shared" si="10"/>
        <v>2074253.07</v>
      </c>
      <c r="Q51" s="65">
        <f t="shared" si="10"/>
        <v>4314993.47</v>
      </c>
      <c r="R51" s="65">
        <f t="shared" si="10"/>
        <v>2541626.56</v>
      </c>
      <c r="S51" s="65">
        <f t="shared" si="10"/>
        <v>1308249.19</v>
      </c>
      <c r="T51" s="65">
        <f t="shared" si="10"/>
        <v>364220.41</v>
      </c>
      <c r="U51" s="65">
        <f t="shared" si="10"/>
        <v>1602774.78</v>
      </c>
      <c r="V51" s="65">
        <f t="shared" si="10"/>
        <v>1557141.93</v>
      </c>
      <c r="W51" s="65">
        <f t="shared" si="10"/>
        <v>662380.2</v>
      </c>
      <c r="X51" s="65">
        <f t="shared" si="10"/>
        <v>643968.71</v>
      </c>
      <c r="Y51" s="65">
        <f t="shared" si="10"/>
        <v>0</v>
      </c>
      <c r="Z51" s="65">
        <f t="shared" si="10"/>
        <v>0</v>
      </c>
      <c r="AA51" s="65">
        <f t="shared" si="10"/>
        <v>0</v>
      </c>
      <c r="AB51" s="65">
        <f t="shared" si="10"/>
        <v>0</v>
      </c>
      <c r="AC51" s="65">
        <f t="shared" si="10"/>
        <v>3390</v>
      </c>
      <c r="AD51" s="65">
        <f t="shared" si="10"/>
        <v>2159095.6</v>
      </c>
      <c r="AE51" s="65">
        <f t="shared" si="10"/>
        <v>2026590.69</v>
      </c>
      <c r="AF51" s="65">
        <f t="shared" si="10"/>
        <v>1214408.1</v>
      </c>
      <c r="AG51" s="65">
        <f t="shared" si="10"/>
        <v>1184877.39</v>
      </c>
      <c r="AH51" s="65">
        <f t="shared" si="10"/>
        <v>1162634.11</v>
      </c>
      <c r="AI51" s="65">
        <f t="shared" si="10"/>
        <v>1162488.58</v>
      </c>
      <c r="AJ51" s="65">
        <f t="shared" si="10"/>
        <v>3761815.73</v>
      </c>
      <c r="AK51" s="65">
        <f t="shared" si="10"/>
        <v>2262204.76</v>
      </c>
      <c r="AL51" s="65">
        <f t="shared" si="10"/>
        <v>2136666.65</v>
      </c>
      <c r="AM51" s="65">
        <f t="shared" si="10"/>
        <v>1727795.54</v>
      </c>
      <c r="AN51" s="65">
        <f t="shared" si="10"/>
        <v>730533.78</v>
      </c>
      <c r="AO51" s="65">
        <f t="shared" si="10"/>
        <v>22906146.84</v>
      </c>
      <c r="AP51" s="65">
        <f>SUM(AP5:AP48)</f>
        <v>22732830.3</v>
      </c>
      <c r="AQ51" s="65">
        <f t="shared" ref="AQ51:AR51" si="11">SUM(AQ5:AQ48)</f>
        <v>4709710.57</v>
      </c>
      <c r="AR51" s="65">
        <f t="shared" si="11"/>
        <v>2492547.35</v>
      </c>
    </row>
    <row r="52" ht="15.05" customHeight="1" spans="5:24"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</row>
    <row r="53" spans="4:45">
      <c r="D53" s="67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</row>
    <row r="64" spans="2:4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="13" customFormat="1"/>
  </sheetData>
  <autoFilter ref="A4:AX51">
    <extLst/>
  </autoFilter>
  <mergeCells count="53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  <mergeCell ref="AU2:AU4"/>
    <mergeCell ref="AV2:AV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H71"/>
  <sheetViews>
    <sheetView zoomScale="80" zoomScaleNormal="80" workbookViewId="0">
      <pane xSplit="4" ySplit="4" topLeftCell="AM5" activePane="bottomRight" state="frozen"/>
      <selection/>
      <selection pane="topRight"/>
      <selection pane="bottomLeft"/>
      <selection pane="bottomRight" activeCell="AQ54" sqref="AQ54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15" customWidth="1"/>
    <col min="7" max="8" width="12.2" style="215" customWidth="1"/>
    <col min="9" max="9" width="13.9" style="215" customWidth="1"/>
    <col min="10" max="11" width="12.2" style="215" customWidth="1"/>
    <col min="12" max="24" width="14.2" style="215" customWidth="1"/>
    <col min="25" max="25" width="3.6" style="13" customWidth="1"/>
    <col min="26" max="26" width="6.7" style="13" customWidth="1"/>
    <col min="27" max="28" width="4.7" style="13" customWidth="1"/>
    <col min="29" max="30" width="16.4" style="216" customWidth="1"/>
    <col min="31" max="40" width="13" style="216" customWidth="1"/>
    <col min="41" max="43" width="17.2" style="15" customWidth="1"/>
    <col min="44" max="51" width="17.2" style="15" hidden="1" customWidth="1"/>
    <col min="52" max="55" width="17.2" style="15" customWidth="1"/>
    <col min="56" max="56" width="14" style="15" customWidth="1"/>
    <col min="57" max="57" width="20.7" style="13" customWidth="1"/>
    <col min="58" max="58" width="13.1" style="13" customWidth="1"/>
    <col min="59" max="59" width="25.7" style="13" customWidth="1"/>
    <col min="60" max="60" width="11.5" style="13"/>
    <col min="61" max="16384" width="8" style="13"/>
  </cols>
  <sheetData>
    <row r="1" ht="20.95" customHeight="1" spans="2:57">
      <c r="B1" s="20" t="s">
        <v>242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21"/>
    </row>
    <row r="2" ht="18" customHeight="1" spans="2:59">
      <c r="B2" s="24" t="s">
        <v>1</v>
      </c>
      <c r="C2" s="25" t="s">
        <v>2</v>
      </c>
      <c r="D2" s="26" t="s">
        <v>3</v>
      </c>
      <c r="E2" s="226" t="s">
        <v>190</v>
      </c>
      <c r="F2" s="227"/>
      <c r="G2" s="227"/>
      <c r="H2" s="227"/>
      <c r="I2" s="338" t="s">
        <v>190</v>
      </c>
      <c r="J2" s="339"/>
      <c r="K2" s="339"/>
      <c r="L2" s="340"/>
      <c r="M2" s="226" t="s">
        <v>243</v>
      </c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351" t="s">
        <v>36</v>
      </c>
      <c r="Z2" s="301" t="s">
        <v>37</v>
      </c>
      <c r="AA2" s="301"/>
      <c r="AB2" s="301"/>
      <c r="AC2" s="245" t="s">
        <v>192</v>
      </c>
      <c r="AD2" s="245" t="s">
        <v>193</v>
      </c>
      <c r="AE2" s="245" t="s">
        <v>158</v>
      </c>
      <c r="AF2" s="245" t="s">
        <v>159</v>
      </c>
      <c r="AG2" s="245" t="s">
        <v>160</v>
      </c>
      <c r="AH2" s="245" t="s">
        <v>161</v>
      </c>
      <c r="AI2" s="245" t="s">
        <v>162</v>
      </c>
      <c r="AJ2" s="245" t="s">
        <v>163</v>
      </c>
      <c r="AK2" s="245" t="s">
        <v>164</v>
      </c>
      <c r="AL2" s="245" t="s">
        <v>165</v>
      </c>
      <c r="AM2" s="245" t="s">
        <v>166</v>
      </c>
      <c r="AN2" s="357" t="s">
        <v>167</v>
      </c>
      <c r="AO2" s="263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271"/>
      <c r="BE2" s="80" t="s">
        <v>36</v>
      </c>
      <c r="BF2" s="80" t="s">
        <v>244</v>
      </c>
      <c r="BG2" s="13" t="s">
        <v>3</v>
      </c>
    </row>
    <row r="3" ht="31.6" customHeight="1" spans="2:58">
      <c r="B3" s="30"/>
      <c r="C3" s="31"/>
      <c r="D3" s="32"/>
      <c r="E3" s="228" t="s">
        <v>245</v>
      </c>
      <c r="F3" s="229" t="s">
        <v>246</v>
      </c>
      <c r="G3" s="229" t="s">
        <v>247</v>
      </c>
      <c r="H3" s="229" t="s">
        <v>248</v>
      </c>
      <c r="I3" s="363" t="s">
        <v>246</v>
      </c>
      <c r="J3" s="363" t="s">
        <v>247</v>
      </c>
      <c r="K3" s="363" t="s">
        <v>248</v>
      </c>
      <c r="L3" s="341" t="s">
        <v>249</v>
      </c>
      <c r="M3" s="228" t="s">
        <v>73</v>
      </c>
      <c r="N3" s="229" t="s">
        <v>74</v>
      </c>
      <c r="O3" s="229" t="s">
        <v>169</v>
      </c>
      <c r="P3" s="229" t="s">
        <v>170</v>
      </c>
      <c r="Q3" s="229" t="s">
        <v>171</v>
      </c>
      <c r="R3" s="229" t="s">
        <v>172</v>
      </c>
      <c r="S3" s="229" t="s">
        <v>173</v>
      </c>
      <c r="T3" s="229" t="s">
        <v>174</v>
      </c>
      <c r="U3" s="229" t="s">
        <v>175</v>
      </c>
      <c r="V3" s="229" t="s">
        <v>70</v>
      </c>
      <c r="W3" s="229" t="s">
        <v>71</v>
      </c>
      <c r="X3" s="229" t="s">
        <v>72</v>
      </c>
      <c r="Y3" s="352"/>
      <c r="Z3" s="353" t="s">
        <v>76</v>
      </c>
      <c r="AA3" s="353" t="s">
        <v>77</v>
      </c>
      <c r="AB3" s="353" t="s">
        <v>78</v>
      </c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358"/>
      <c r="AO3" s="264" t="s">
        <v>250</v>
      </c>
      <c r="AP3" s="36" t="s">
        <v>251</v>
      </c>
      <c r="AQ3" s="272" t="s">
        <v>252</v>
      </c>
      <c r="AR3" s="36" t="s">
        <v>253</v>
      </c>
      <c r="AS3" s="36" t="s">
        <v>254</v>
      </c>
      <c r="AT3" s="36" t="s">
        <v>255</v>
      </c>
      <c r="AU3" s="36" t="s">
        <v>256</v>
      </c>
      <c r="AV3" s="36" t="s">
        <v>257</v>
      </c>
      <c r="AW3" s="36" t="s">
        <v>258</v>
      </c>
      <c r="AX3" s="36" t="s">
        <v>259</v>
      </c>
      <c r="AY3" s="36" t="s">
        <v>260</v>
      </c>
      <c r="AZ3" s="36" t="s">
        <v>261</v>
      </c>
      <c r="BA3" s="36" t="s">
        <v>262</v>
      </c>
      <c r="BB3" s="36" t="s">
        <v>263</v>
      </c>
      <c r="BC3" s="36" t="s">
        <v>236</v>
      </c>
      <c r="BD3" s="273" t="s">
        <v>203</v>
      </c>
      <c r="BE3" s="83"/>
      <c r="BF3" s="83"/>
    </row>
    <row r="4" ht="18" customHeight="1" spans="2:58">
      <c r="B4" s="30"/>
      <c r="C4" s="31"/>
      <c r="D4" s="32"/>
      <c r="E4" s="230"/>
      <c r="F4" s="231"/>
      <c r="G4" s="231"/>
      <c r="H4" s="231"/>
      <c r="I4" s="231"/>
      <c r="J4" s="231"/>
      <c r="K4" s="231"/>
      <c r="L4" s="342"/>
      <c r="M4" s="230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352"/>
      <c r="Z4" s="353"/>
      <c r="AA4" s="353"/>
      <c r="AB4" s="353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358"/>
      <c r="AO4" s="264"/>
      <c r="AP4" s="36"/>
      <c r="AQ4" s="272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273"/>
      <c r="BE4" s="83"/>
      <c r="BF4" s="83"/>
    </row>
    <row r="5" s="10" customFormat="1" ht="24.05" hidden="1" customHeight="1" spans="2:60">
      <c r="B5" s="45" t="s">
        <v>81</v>
      </c>
      <c r="C5" s="325" t="s">
        <v>82</v>
      </c>
      <c r="D5" s="46" t="s">
        <v>83</v>
      </c>
      <c r="E5" s="326">
        <v>0</v>
      </c>
      <c r="F5" s="332"/>
      <c r="G5" s="333"/>
      <c r="H5" s="333"/>
      <c r="I5" s="332"/>
      <c r="J5" s="333"/>
      <c r="K5" s="333"/>
      <c r="L5" s="343">
        <f t="shared" ref="L5:L26" si="0">SUM(I5:K5)+E5</f>
        <v>0</v>
      </c>
      <c r="M5" s="232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354"/>
      <c r="Z5" s="356"/>
      <c r="AA5" s="310"/>
      <c r="AB5" s="310" t="s">
        <v>84</v>
      </c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65"/>
      <c r="AO5" s="266">
        <f>SUM(L5:X5)</f>
        <v>0</v>
      </c>
      <c r="AP5" s="274">
        <f>SUM(AC5:AN5)</f>
        <v>0</v>
      </c>
      <c r="AQ5" s="275">
        <f t="shared" ref="AQ5:AQ27" si="1">AO5-AP5</f>
        <v>0</v>
      </c>
      <c r="AR5" s="359" t="str">
        <f t="shared" ref="AR5:AR17" si="2">IF(AQ5-SUM(M5:X5)+K5&gt;0,AQ5-SUM(M5:X5)+K5,"")</f>
        <v/>
      </c>
      <c r="AS5" s="359" t="str">
        <f t="shared" ref="AS5:AS17" si="3">IF(AQ5-SUM(M5:X5)&gt;0,AQ5-SUM(M5:X5),"")</f>
        <v/>
      </c>
      <c r="AT5" s="360" t="str">
        <f t="shared" ref="AT5:AT17" si="4">IF(AQ5-SUM(N5:X5)&gt;0,AQ5-SUM(N5:X5),"")</f>
        <v/>
      </c>
      <c r="AU5" s="323" t="str">
        <f>IF(AQ5-SUM(O5:X5)&gt;0,AQ5-SUM(O5:X5),"")</f>
        <v/>
      </c>
      <c r="AV5" s="323" t="str">
        <f t="shared" ref="AV5:AV17" si="5">IF(AQ5-SUM(P5:X5)&gt;0,AQ5-SUM(P5:X5),"")</f>
        <v/>
      </c>
      <c r="AW5" s="323" t="str">
        <f>IF(AQ5-SUM(Q5:Y5)&gt;0,AQ5-SUM(Q5:Y5),"")</f>
        <v/>
      </c>
      <c r="AX5" s="323"/>
      <c r="AY5" s="323"/>
      <c r="AZ5" s="323"/>
      <c r="BA5" s="323"/>
      <c r="BB5" s="323"/>
      <c r="BC5" s="323"/>
      <c r="BD5" s="276" t="s">
        <v>85</v>
      </c>
      <c r="BE5" s="277"/>
      <c r="BF5" s="91"/>
      <c r="BG5" s="10" t="s">
        <v>83</v>
      </c>
      <c r="BH5" s="10">
        <f>SUM(M5:U5)</f>
        <v>0</v>
      </c>
    </row>
    <row r="6" s="10" customFormat="1" ht="24.05" hidden="1" customHeight="1" spans="1:60">
      <c r="A6" s="220"/>
      <c r="B6" s="45" t="s">
        <v>81</v>
      </c>
      <c r="C6" s="325" t="s">
        <v>86</v>
      </c>
      <c r="D6" s="46" t="s">
        <v>87</v>
      </c>
      <c r="E6" s="326">
        <v>60229</v>
      </c>
      <c r="F6" s="332">
        <v>60229</v>
      </c>
      <c r="G6" s="333"/>
      <c r="H6" s="333"/>
      <c r="I6" s="332"/>
      <c r="J6" s="333"/>
      <c r="K6" s="333"/>
      <c r="L6" s="343">
        <f t="shared" si="0"/>
        <v>60229</v>
      </c>
      <c r="M6" s="232"/>
      <c r="N6" s="233"/>
      <c r="O6" s="233"/>
      <c r="P6" s="233"/>
      <c r="Q6" s="233"/>
      <c r="R6" s="233"/>
      <c r="S6" s="238"/>
      <c r="T6" s="238"/>
      <c r="U6" s="233"/>
      <c r="V6" s="233"/>
      <c r="W6" s="233"/>
      <c r="X6" s="233"/>
      <c r="Y6" s="354"/>
      <c r="Z6" s="310"/>
      <c r="AA6" s="310"/>
      <c r="AB6" s="310" t="s">
        <v>84</v>
      </c>
      <c r="AC6" s="250"/>
      <c r="AD6" s="250"/>
      <c r="AE6" s="250"/>
      <c r="AF6" s="250">
        <v>60229</v>
      </c>
      <c r="AG6" s="250"/>
      <c r="AH6" s="250"/>
      <c r="AI6" s="250"/>
      <c r="AJ6" s="250"/>
      <c r="AK6" s="250"/>
      <c r="AL6" s="250"/>
      <c r="AM6" s="250"/>
      <c r="AN6" s="265"/>
      <c r="AO6" s="266">
        <f t="shared" ref="AO6:AO35" si="6">SUM(L6:X6)</f>
        <v>60229</v>
      </c>
      <c r="AP6" s="274">
        <f t="shared" ref="AP6:AP36" si="7">SUM(AC6:AN6)</f>
        <v>60229</v>
      </c>
      <c r="AQ6" s="275">
        <f t="shared" si="1"/>
        <v>0</v>
      </c>
      <c r="AR6" s="359" t="str">
        <f t="shared" si="2"/>
        <v/>
      </c>
      <c r="AS6" s="359" t="str">
        <f t="shared" si="3"/>
        <v/>
      </c>
      <c r="AT6" s="360" t="str">
        <f t="shared" si="4"/>
        <v/>
      </c>
      <c r="AU6" s="323" t="str">
        <f t="shared" ref="AU6:AU26" si="8">IF(AQ6-SUM(O6:X6)&gt;0,AQ6-SUM(O6:X6),"")</f>
        <v/>
      </c>
      <c r="AV6" s="323" t="str">
        <f t="shared" si="5"/>
        <v/>
      </c>
      <c r="AW6" s="323" t="str">
        <f>IF(AQ6-SUM(Q6:Y6)&gt;0,AQ6-SUM(Q6:Y6),"")</f>
        <v/>
      </c>
      <c r="AX6" s="323"/>
      <c r="AY6" s="323"/>
      <c r="AZ6" s="323"/>
      <c r="BA6" s="323"/>
      <c r="BB6" s="323"/>
      <c r="BC6" s="323"/>
      <c r="BD6" s="276" t="s">
        <v>85</v>
      </c>
      <c r="BE6" s="277"/>
      <c r="BF6" s="91"/>
      <c r="BG6" s="10" t="s">
        <v>87</v>
      </c>
      <c r="BH6" s="10">
        <f t="shared" ref="BH6:BH53" si="9">SUM(M6:U6)</f>
        <v>0</v>
      </c>
    </row>
    <row r="7" s="10" customFormat="1" ht="24.05" hidden="1" customHeight="1" spans="2:60">
      <c r="B7" s="45" t="s">
        <v>81</v>
      </c>
      <c r="C7" s="325" t="s">
        <v>88</v>
      </c>
      <c r="D7" s="46" t="s">
        <v>89</v>
      </c>
      <c r="E7" s="326">
        <v>0</v>
      </c>
      <c r="F7" s="332"/>
      <c r="G7" s="333"/>
      <c r="H7" s="333"/>
      <c r="I7" s="332"/>
      <c r="J7" s="333"/>
      <c r="K7" s="333"/>
      <c r="L7" s="343">
        <f t="shared" si="0"/>
        <v>0</v>
      </c>
      <c r="M7" s="232"/>
      <c r="N7" s="233"/>
      <c r="O7" s="233"/>
      <c r="P7" s="233"/>
      <c r="Q7" s="233"/>
      <c r="R7" s="233"/>
      <c r="S7" s="233"/>
      <c r="T7" s="233"/>
      <c r="U7" s="233"/>
      <c r="V7" s="233"/>
      <c r="W7" s="233"/>
      <c r="X7" s="233"/>
      <c r="Y7" s="354"/>
      <c r="Z7" s="310"/>
      <c r="AA7" s="310"/>
      <c r="AB7" s="310" t="s">
        <v>84</v>
      </c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65"/>
      <c r="AO7" s="266">
        <f t="shared" si="6"/>
        <v>0</v>
      </c>
      <c r="AP7" s="274">
        <f t="shared" si="7"/>
        <v>0</v>
      </c>
      <c r="AQ7" s="275">
        <f t="shared" si="1"/>
        <v>0</v>
      </c>
      <c r="AR7" s="359" t="str">
        <f t="shared" si="2"/>
        <v/>
      </c>
      <c r="AS7" s="359" t="str">
        <f t="shared" si="3"/>
        <v/>
      </c>
      <c r="AT7" s="360" t="str">
        <f t="shared" si="4"/>
        <v/>
      </c>
      <c r="AU7" s="323" t="str">
        <f t="shared" si="8"/>
        <v/>
      </c>
      <c r="AV7" s="323" t="str">
        <f t="shared" si="5"/>
        <v/>
      </c>
      <c r="AW7" s="323" t="str">
        <f>IF(AQ7-SUM(Q7:Y7)&gt;0,AQ7-SUM(Q7:Y7),"")</f>
        <v/>
      </c>
      <c r="AX7" s="323"/>
      <c r="AY7" s="323"/>
      <c r="AZ7" s="323"/>
      <c r="BA7" s="323"/>
      <c r="BB7" s="323"/>
      <c r="BC7" s="323"/>
      <c r="BD7" s="276" t="s">
        <v>85</v>
      </c>
      <c r="BE7" s="277"/>
      <c r="BF7" s="91"/>
      <c r="BG7" s="10" t="s">
        <v>89</v>
      </c>
      <c r="BH7" s="10">
        <f t="shared" si="9"/>
        <v>0</v>
      </c>
    </row>
    <row r="8" s="10" customFormat="1" ht="24.05" customHeight="1" spans="2:60">
      <c r="B8" s="45" t="s">
        <v>81</v>
      </c>
      <c r="C8" s="325" t="s">
        <v>90</v>
      </c>
      <c r="D8" s="46" t="s">
        <v>91</v>
      </c>
      <c r="E8" s="326">
        <v>267449.5</v>
      </c>
      <c r="F8" s="332">
        <v>266774.92</v>
      </c>
      <c r="G8" s="333"/>
      <c r="H8" s="333"/>
      <c r="I8" s="332"/>
      <c r="J8" s="333"/>
      <c r="K8" s="333"/>
      <c r="L8" s="343">
        <f t="shared" si="0"/>
        <v>267449.5</v>
      </c>
      <c r="M8" s="232">
        <v>63967.04</v>
      </c>
      <c r="N8" s="233">
        <v>25764</v>
      </c>
      <c r="O8" s="233">
        <v>27572</v>
      </c>
      <c r="P8" s="233"/>
      <c r="Q8" s="233">
        <f>5424+17138.94</f>
        <v>22562.94</v>
      </c>
      <c r="R8" s="233">
        <v>13560</v>
      </c>
      <c r="S8" s="233"/>
      <c r="T8" s="233"/>
      <c r="U8" s="233">
        <f>49381+35595</f>
        <v>84976</v>
      </c>
      <c r="V8" s="233">
        <v>19097</v>
      </c>
      <c r="W8" s="233"/>
      <c r="X8" s="233"/>
      <c r="Y8" s="354"/>
      <c r="Z8" s="310"/>
      <c r="AA8" s="310"/>
      <c r="AB8" s="310" t="s">
        <v>84</v>
      </c>
      <c r="AC8" s="250">
        <v>100000</v>
      </c>
      <c r="AD8" s="250"/>
      <c r="AE8" s="250">
        <v>50000</v>
      </c>
      <c r="AF8" s="250">
        <v>100000</v>
      </c>
      <c r="AG8" s="250">
        <v>100000</v>
      </c>
      <c r="AH8" s="250"/>
      <c r="AI8" s="250"/>
      <c r="AJ8" s="250">
        <v>34752.54</v>
      </c>
      <c r="AK8" s="250">
        <v>22562.94</v>
      </c>
      <c r="AL8" s="250"/>
      <c r="AM8" s="250"/>
      <c r="AN8" s="265"/>
      <c r="AO8" s="266">
        <f t="shared" si="6"/>
        <v>524948.48</v>
      </c>
      <c r="AP8" s="274">
        <f t="shared" si="7"/>
        <v>407315.48</v>
      </c>
      <c r="AQ8" s="275">
        <f t="shared" si="1"/>
        <v>117633</v>
      </c>
      <c r="AR8" s="359" t="str">
        <f t="shared" si="2"/>
        <v/>
      </c>
      <c r="AS8" s="359" t="str">
        <f t="shared" si="3"/>
        <v/>
      </c>
      <c r="AT8" s="360" t="str">
        <f t="shared" si="4"/>
        <v/>
      </c>
      <c r="AU8" s="323" t="str">
        <f t="shared" si="8"/>
        <v/>
      </c>
      <c r="AV8" s="323" t="str">
        <f t="shared" si="5"/>
        <v/>
      </c>
      <c r="AW8" s="323" t="str">
        <f>IF($AQ8-SUM(Q8:$X8)&gt;0,$AQ8-SUM(Q8:$X8),"")</f>
        <v/>
      </c>
      <c r="AX8" s="323" t="str">
        <f>IF($AQ8-SUM(R8:$X8)&gt;0,$AQ8-SUM(R8:$X8),"")</f>
        <v/>
      </c>
      <c r="AY8" s="323">
        <f>IF($AQ8-SUM(S8:$X8)&gt;0,$AQ8-SUM(S8:$X8),"")</f>
        <v>13560</v>
      </c>
      <c r="AZ8" s="323">
        <f>IF($AQ8-SUM(T8:$X8)&gt;0,$AQ8-SUM(T8:$X8),"")</f>
        <v>13560</v>
      </c>
      <c r="BA8" s="323">
        <f>IF($AQ8-SUM(U8:$X8)&gt;0,$AQ8-SUM(U8:$X8),"")</f>
        <v>13560</v>
      </c>
      <c r="BB8" s="323">
        <f>IF($AQ8-SUM(V8:$X8)&gt;0,$AQ8-SUM(V8:$X8),"")</f>
        <v>98536</v>
      </c>
      <c r="BC8" s="323">
        <f>IF($AQ8-SUM(W8:$X8)&gt;0,$AQ8-SUM(W8:$X8),"")</f>
        <v>117633</v>
      </c>
      <c r="BD8" s="276" t="s">
        <v>85</v>
      </c>
      <c r="BE8" s="277"/>
      <c r="BF8" s="91"/>
      <c r="BG8" s="10" t="s">
        <v>91</v>
      </c>
      <c r="BH8" s="10">
        <f t="shared" si="9"/>
        <v>238401.98</v>
      </c>
    </row>
    <row r="9" s="10" customFormat="1" ht="24.05" customHeight="1" spans="2:60">
      <c r="B9" s="45" t="s">
        <v>81</v>
      </c>
      <c r="C9" s="325" t="s">
        <v>92</v>
      </c>
      <c r="D9" s="46" t="s">
        <v>93</v>
      </c>
      <c r="E9" s="326">
        <v>0</v>
      </c>
      <c r="F9" s="332"/>
      <c r="G9" s="333"/>
      <c r="H9" s="333"/>
      <c r="I9" s="332"/>
      <c r="J9" s="333"/>
      <c r="K9" s="333"/>
      <c r="L9" s="343">
        <f t="shared" si="0"/>
        <v>0</v>
      </c>
      <c r="M9" s="232"/>
      <c r="N9" s="233"/>
      <c r="O9" s="233">
        <f>5450.36+5451.12+1817.04</f>
        <v>12718.52</v>
      </c>
      <c r="P9" s="233"/>
      <c r="Q9" s="233">
        <v>7268.16</v>
      </c>
      <c r="R9" s="233">
        <v>8782.36</v>
      </c>
      <c r="S9" s="233"/>
      <c r="T9" s="233">
        <v>19836.02</v>
      </c>
      <c r="U9" s="233">
        <v>5451.12</v>
      </c>
      <c r="V9" s="233">
        <v>4542.6</v>
      </c>
      <c r="W9" s="233">
        <v>4542.6</v>
      </c>
      <c r="X9" s="233">
        <v>10447.98</v>
      </c>
      <c r="Y9" s="354"/>
      <c r="Z9" s="310"/>
      <c r="AA9" s="310"/>
      <c r="AB9" s="310" t="s">
        <v>84</v>
      </c>
      <c r="AC9" s="250"/>
      <c r="AD9" s="250"/>
      <c r="AE9" s="250"/>
      <c r="AF9" s="250"/>
      <c r="AG9" s="250"/>
      <c r="AH9" s="250"/>
      <c r="AI9" s="250"/>
      <c r="AJ9" s="250">
        <v>12718.52</v>
      </c>
      <c r="AK9" s="250">
        <f>7268.16+8782.36</f>
        <v>16050.52</v>
      </c>
      <c r="AL9" s="250"/>
      <c r="AM9" s="250"/>
      <c r="AN9" s="265">
        <v>19836.02</v>
      </c>
      <c r="AO9" s="266">
        <f t="shared" si="6"/>
        <v>73589.36</v>
      </c>
      <c r="AP9" s="274">
        <f t="shared" si="7"/>
        <v>48605.06</v>
      </c>
      <c r="AQ9" s="275">
        <f t="shared" si="1"/>
        <v>24984.3</v>
      </c>
      <c r="AR9" s="359" t="str">
        <f t="shared" si="2"/>
        <v/>
      </c>
      <c r="AS9" s="359" t="str">
        <f t="shared" si="3"/>
        <v/>
      </c>
      <c r="AT9" s="360" t="str">
        <f t="shared" si="4"/>
        <v/>
      </c>
      <c r="AU9" s="323" t="str">
        <f t="shared" si="8"/>
        <v/>
      </c>
      <c r="AV9" s="323" t="str">
        <f t="shared" si="5"/>
        <v/>
      </c>
      <c r="AW9" s="323" t="str">
        <f>IF($AQ9-SUM(Q9:$X9)&gt;0,$AQ9-SUM(Q9:$X9),"")</f>
        <v/>
      </c>
      <c r="AX9" s="323" t="str">
        <f>IF($AQ9-SUM(R9:$X9)&gt;0,$AQ9-SUM(R9:$X9),"")</f>
        <v/>
      </c>
      <c r="AY9" s="323" t="str">
        <f>IF($AQ9-SUM(S9:$X9)&gt;0,$AQ9-SUM(S9:$X9),"")</f>
        <v/>
      </c>
      <c r="AZ9" s="323" t="str">
        <f>IF($AQ9-SUM(T9:$X9)&gt;0,$AQ9-SUM(T9:$X9),"")</f>
        <v/>
      </c>
      <c r="BA9" s="323" t="str">
        <f>IF($AQ9-SUM(U9:$X9)&gt;0,$AQ9-SUM(U9:$X9),"")</f>
        <v/>
      </c>
      <c r="BB9" s="323">
        <f>IF($AQ9-SUM(V9:$X9)&gt;0,$AQ9-SUM(V9:$X9),"")</f>
        <v>5451.12</v>
      </c>
      <c r="BC9" s="323">
        <f>IF($AQ9-SUM(W9:$X9)&gt;0,$AQ9-SUM(W9:$X9),"")</f>
        <v>9993.72</v>
      </c>
      <c r="BD9" s="276" t="s">
        <v>85</v>
      </c>
      <c r="BE9" s="277"/>
      <c r="BF9" s="91"/>
      <c r="BG9" s="10" t="s">
        <v>93</v>
      </c>
      <c r="BH9" s="10">
        <f t="shared" si="9"/>
        <v>54056.18</v>
      </c>
    </row>
    <row r="10" s="10" customFormat="1" ht="24.05" hidden="1" customHeight="1" spans="2:60">
      <c r="B10" s="45" t="s">
        <v>81</v>
      </c>
      <c r="C10" s="325" t="s">
        <v>94</v>
      </c>
      <c r="D10" s="46" t="s">
        <v>95</v>
      </c>
      <c r="E10" s="326">
        <v>0</v>
      </c>
      <c r="F10" s="332"/>
      <c r="G10" s="333"/>
      <c r="H10" s="333"/>
      <c r="I10" s="332"/>
      <c r="J10" s="333"/>
      <c r="K10" s="333"/>
      <c r="L10" s="343">
        <f t="shared" si="0"/>
        <v>0</v>
      </c>
      <c r="M10" s="232"/>
      <c r="N10" s="233"/>
      <c r="O10" s="233"/>
      <c r="P10" s="233"/>
      <c r="Q10" s="233"/>
      <c r="R10" s="233"/>
      <c r="S10" s="233"/>
      <c r="T10" s="233"/>
      <c r="U10" s="233"/>
      <c r="V10" s="233"/>
      <c r="W10" s="233"/>
      <c r="X10" s="233"/>
      <c r="Y10" s="354"/>
      <c r="Z10" s="310"/>
      <c r="AA10" s="310"/>
      <c r="AB10" s="310" t="s">
        <v>84</v>
      </c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65"/>
      <c r="AO10" s="266">
        <f t="shared" si="6"/>
        <v>0</v>
      </c>
      <c r="AP10" s="274">
        <f t="shared" si="7"/>
        <v>0</v>
      </c>
      <c r="AQ10" s="275">
        <f t="shared" si="1"/>
        <v>0</v>
      </c>
      <c r="AR10" s="359" t="str">
        <f t="shared" si="2"/>
        <v/>
      </c>
      <c r="AS10" s="359" t="str">
        <f t="shared" si="3"/>
        <v/>
      </c>
      <c r="AT10" s="360" t="str">
        <f t="shared" si="4"/>
        <v/>
      </c>
      <c r="AU10" s="323" t="str">
        <f t="shared" si="8"/>
        <v/>
      </c>
      <c r="AV10" s="323" t="str">
        <f t="shared" si="5"/>
        <v/>
      </c>
      <c r="AW10" s="323" t="str">
        <f>IF(AQ10-SUM(Q10:Y10)&gt;0,AQ10-SUM(Q10:Y10),"")</f>
        <v/>
      </c>
      <c r="AX10" s="323"/>
      <c r="AY10" s="323"/>
      <c r="AZ10" s="323"/>
      <c r="BA10" s="323"/>
      <c r="BB10" s="323"/>
      <c r="BC10" s="323"/>
      <c r="BD10" s="276" t="s">
        <v>96</v>
      </c>
      <c r="BE10" s="277"/>
      <c r="BF10" s="91"/>
      <c r="BG10" s="10" t="s">
        <v>95</v>
      </c>
      <c r="BH10" s="10">
        <f t="shared" si="9"/>
        <v>0</v>
      </c>
    </row>
    <row r="11" s="10" customFormat="1" ht="24.05" hidden="1" customHeight="1" spans="2:60">
      <c r="B11" s="45" t="s">
        <v>81</v>
      </c>
      <c r="C11" s="325" t="s">
        <v>97</v>
      </c>
      <c r="D11" s="46" t="s">
        <v>98</v>
      </c>
      <c r="E11" s="326">
        <v>26287.46</v>
      </c>
      <c r="F11" s="332">
        <v>16012.1</v>
      </c>
      <c r="G11" s="333"/>
      <c r="H11" s="333"/>
      <c r="I11" s="332"/>
      <c r="J11" s="333"/>
      <c r="K11" s="333"/>
      <c r="L11" s="343">
        <f t="shared" si="0"/>
        <v>26287.46</v>
      </c>
      <c r="M11" s="232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354"/>
      <c r="Z11" s="310"/>
      <c r="AA11" s="310"/>
      <c r="AB11" s="310" t="s">
        <v>84</v>
      </c>
      <c r="AC11" s="250"/>
      <c r="AD11" s="250"/>
      <c r="AE11" s="250">
        <v>26287.46</v>
      </c>
      <c r="AF11" s="250"/>
      <c r="AG11" s="250"/>
      <c r="AH11" s="250"/>
      <c r="AI11" s="250"/>
      <c r="AJ11" s="250"/>
      <c r="AK11" s="250"/>
      <c r="AL11" s="250"/>
      <c r="AM11" s="250"/>
      <c r="AN11" s="265"/>
      <c r="AO11" s="266">
        <f t="shared" si="6"/>
        <v>26287.46</v>
      </c>
      <c r="AP11" s="274">
        <f t="shared" si="7"/>
        <v>26287.46</v>
      </c>
      <c r="AQ11" s="275">
        <f t="shared" si="1"/>
        <v>0</v>
      </c>
      <c r="AR11" s="359" t="str">
        <f t="shared" si="2"/>
        <v/>
      </c>
      <c r="AS11" s="359" t="str">
        <f t="shared" si="3"/>
        <v/>
      </c>
      <c r="AT11" s="360" t="str">
        <f t="shared" si="4"/>
        <v/>
      </c>
      <c r="AU11" s="323" t="str">
        <f t="shared" si="8"/>
        <v/>
      </c>
      <c r="AV11" s="323" t="str">
        <f t="shared" si="5"/>
        <v/>
      </c>
      <c r="AW11" s="323" t="str">
        <f>IF(AQ11-SUM(Q11:Y11)&gt;0,AQ11-SUM(Q11:Y11),"")</f>
        <v/>
      </c>
      <c r="AX11" s="323"/>
      <c r="AY11" s="323"/>
      <c r="AZ11" s="323"/>
      <c r="BA11" s="323"/>
      <c r="BB11" s="323"/>
      <c r="BC11" s="323"/>
      <c r="BD11" s="276" t="s">
        <v>85</v>
      </c>
      <c r="BE11" s="277"/>
      <c r="BF11" s="91"/>
      <c r="BG11" s="10" t="s">
        <v>98</v>
      </c>
      <c r="BH11" s="10">
        <f t="shared" si="9"/>
        <v>0</v>
      </c>
    </row>
    <row r="12" s="10" customFormat="1" ht="24.05" hidden="1" customHeight="1" spans="2:60">
      <c r="B12" s="45" t="s">
        <v>81</v>
      </c>
      <c r="C12" s="325" t="s">
        <v>99</v>
      </c>
      <c r="D12" s="46" t="s">
        <v>100</v>
      </c>
      <c r="E12" s="326">
        <v>0</v>
      </c>
      <c r="F12" s="332"/>
      <c r="G12" s="333"/>
      <c r="H12" s="333"/>
      <c r="I12" s="332"/>
      <c r="J12" s="333"/>
      <c r="K12" s="333"/>
      <c r="L12" s="343">
        <f t="shared" si="0"/>
        <v>0</v>
      </c>
      <c r="M12" s="232"/>
      <c r="N12" s="233"/>
      <c r="O12" s="233"/>
      <c r="P12" s="233"/>
      <c r="Q12" s="233"/>
      <c r="R12" s="233"/>
      <c r="S12" s="233"/>
      <c r="T12" s="233"/>
      <c r="U12" s="233"/>
      <c r="V12" s="233"/>
      <c r="W12" s="233"/>
      <c r="X12" s="233"/>
      <c r="Y12" s="354"/>
      <c r="Z12" s="310"/>
      <c r="AA12" s="310"/>
      <c r="AB12" s="310" t="s">
        <v>84</v>
      </c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65"/>
      <c r="AO12" s="266">
        <f t="shared" si="6"/>
        <v>0</v>
      </c>
      <c r="AP12" s="274">
        <f t="shared" si="7"/>
        <v>0</v>
      </c>
      <c r="AQ12" s="275">
        <f t="shared" si="1"/>
        <v>0</v>
      </c>
      <c r="AR12" s="359" t="str">
        <f t="shared" si="2"/>
        <v/>
      </c>
      <c r="AS12" s="359" t="str">
        <f t="shared" si="3"/>
        <v/>
      </c>
      <c r="AT12" s="360" t="str">
        <f t="shared" si="4"/>
        <v/>
      </c>
      <c r="AU12" s="323" t="str">
        <f t="shared" si="8"/>
        <v/>
      </c>
      <c r="AV12" s="323" t="str">
        <f t="shared" si="5"/>
        <v/>
      </c>
      <c r="AW12" s="323" t="str">
        <f>IF(AQ12-SUM(Q12:Y12)&gt;0,AQ12-SUM(Q12:Y12),"")</f>
        <v/>
      </c>
      <c r="AX12" s="323"/>
      <c r="AY12" s="323"/>
      <c r="AZ12" s="323"/>
      <c r="BA12" s="323"/>
      <c r="BB12" s="323"/>
      <c r="BC12" s="323"/>
      <c r="BD12" s="276" t="s">
        <v>101</v>
      </c>
      <c r="BE12" s="277"/>
      <c r="BF12" s="91"/>
      <c r="BG12" s="10" t="s">
        <v>100</v>
      </c>
      <c r="BH12" s="10">
        <f t="shared" si="9"/>
        <v>0</v>
      </c>
    </row>
    <row r="13" s="10" customFormat="1" ht="24.05" customHeight="1" spans="2:60">
      <c r="B13" s="45" t="s">
        <v>81</v>
      </c>
      <c r="C13" s="325" t="s">
        <v>105</v>
      </c>
      <c r="D13" s="46" t="s">
        <v>106</v>
      </c>
      <c r="E13" s="326">
        <v>238049.14</v>
      </c>
      <c r="F13" s="332">
        <v>135057.46</v>
      </c>
      <c r="G13" s="333"/>
      <c r="H13" s="333">
        <v>19960.32</v>
      </c>
      <c r="I13" s="332"/>
      <c r="J13" s="333"/>
      <c r="K13" s="333"/>
      <c r="L13" s="343">
        <f t="shared" si="0"/>
        <v>238049.14</v>
      </c>
      <c r="M13" s="232">
        <v>31188</v>
      </c>
      <c r="N13" s="233"/>
      <c r="O13" s="233"/>
      <c r="P13" s="233">
        <v>47405.76</v>
      </c>
      <c r="Q13" s="233">
        <v>28069.2</v>
      </c>
      <c r="R13" s="233">
        <v>16217.76</v>
      </c>
      <c r="S13" s="233">
        <v>24950.4</v>
      </c>
      <c r="T13" s="233">
        <v>12475.2</v>
      </c>
      <c r="U13" s="233">
        <v>14970.24</v>
      </c>
      <c r="V13" s="233">
        <v>24950.4</v>
      </c>
      <c r="W13" s="233"/>
      <c r="X13" s="233">
        <v>31185.92</v>
      </c>
      <c r="Y13" s="354"/>
      <c r="Z13" s="310"/>
      <c r="AA13" s="310"/>
      <c r="AB13" s="310" t="s">
        <v>84</v>
      </c>
      <c r="AC13" s="250">
        <v>150000</v>
      </c>
      <c r="AD13" s="250"/>
      <c r="AE13" s="250">
        <v>100000</v>
      </c>
      <c r="AF13" s="250">
        <v>19237.14</v>
      </c>
      <c r="AG13" s="250"/>
      <c r="AH13" s="250"/>
      <c r="AI13" s="250"/>
      <c r="AJ13" s="250">
        <v>47405.76</v>
      </c>
      <c r="AK13" s="250">
        <f>28069.2+16217.76</f>
        <v>44286.96</v>
      </c>
      <c r="AL13" s="250"/>
      <c r="AM13" s="250"/>
      <c r="AN13" s="265">
        <v>37425.6</v>
      </c>
      <c r="AO13" s="266">
        <f t="shared" si="6"/>
        <v>469462.02</v>
      </c>
      <c r="AP13" s="274">
        <f t="shared" si="7"/>
        <v>398355.46</v>
      </c>
      <c r="AQ13" s="275">
        <f t="shared" si="1"/>
        <v>71106.5600000001</v>
      </c>
      <c r="AR13" s="359" t="str">
        <f t="shared" si="2"/>
        <v/>
      </c>
      <c r="AS13" s="359" t="str">
        <f t="shared" si="3"/>
        <v/>
      </c>
      <c r="AT13" s="360" t="str">
        <f t="shared" si="4"/>
        <v/>
      </c>
      <c r="AU13" s="323" t="str">
        <f t="shared" si="8"/>
        <v/>
      </c>
      <c r="AV13" s="323" t="str">
        <f t="shared" si="5"/>
        <v/>
      </c>
      <c r="AW13" s="323" t="str">
        <f>IF($AQ13-SUM(Q13:$X13)&gt;0,$AQ13-SUM(Q13:$X13),"")</f>
        <v/>
      </c>
      <c r="AX13" s="323" t="str">
        <f>IF($AQ13-SUM(R13:$X13)&gt;0,$AQ13-SUM(R13:$X13),"")</f>
        <v/>
      </c>
      <c r="AY13" s="323" t="str">
        <f>IF($AQ13-SUM(S13:$X13)&gt;0,$AQ13-SUM(S13:$X13),"")</f>
        <v/>
      </c>
      <c r="AZ13" s="323" t="str">
        <f>IF($AQ13-SUM(T13:$X13)&gt;0,$AQ13-SUM(T13:$X13),"")</f>
        <v/>
      </c>
      <c r="BA13" s="323" t="str">
        <f>IF($AQ13-SUM(U13:$X13)&gt;0,$AQ13-SUM(U13:$X13),"")</f>
        <v/>
      </c>
      <c r="BB13" s="323">
        <f>IF($AQ13-SUM(V13:$X13)&gt;0,$AQ13-SUM(V13:$X13),"")</f>
        <v>14970.2400000001</v>
      </c>
      <c r="BC13" s="323">
        <f>IF($AQ13-SUM(W13:$X13)&gt;0,$AQ13-SUM(W13:$X13),"")</f>
        <v>39920.6400000001</v>
      </c>
      <c r="BD13" s="276" t="s">
        <v>85</v>
      </c>
      <c r="BE13" s="277"/>
      <c r="BF13" s="91"/>
      <c r="BG13" s="10" t="s">
        <v>106</v>
      </c>
      <c r="BH13" s="10">
        <f t="shared" si="9"/>
        <v>175276.56</v>
      </c>
    </row>
    <row r="14" s="10" customFormat="1" ht="24.05" customHeight="1" spans="2:60">
      <c r="B14" s="45" t="s">
        <v>81</v>
      </c>
      <c r="C14" s="325" t="s">
        <v>107</v>
      </c>
      <c r="D14" s="46" t="s">
        <v>108</v>
      </c>
      <c r="E14" s="326">
        <v>329800.91</v>
      </c>
      <c r="F14" s="332">
        <v>219867.26</v>
      </c>
      <c r="G14" s="333">
        <v>54966.82</v>
      </c>
      <c r="H14" s="333">
        <v>164900.45</v>
      </c>
      <c r="I14" s="332"/>
      <c r="J14" s="333"/>
      <c r="K14" s="333"/>
      <c r="L14" s="343">
        <f t="shared" si="0"/>
        <v>329800.91</v>
      </c>
      <c r="M14" s="232">
        <v>274834.08</v>
      </c>
      <c r="N14" s="233">
        <v>164900.45</v>
      </c>
      <c r="O14" s="233">
        <v>164900.45</v>
      </c>
      <c r="P14" s="233">
        <v>219867.26</v>
      </c>
      <c r="Q14" s="233">
        <v>54954.09</v>
      </c>
      <c r="R14" s="233">
        <v>159403.77</v>
      </c>
      <c r="S14" s="233">
        <v>219867.26</v>
      </c>
      <c r="T14" s="233">
        <v>164900.45</v>
      </c>
      <c r="U14" s="233">
        <v>164900.45</v>
      </c>
      <c r="V14" s="233">
        <v>164900.45</v>
      </c>
      <c r="W14" s="233">
        <v>219867.26</v>
      </c>
      <c r="X14" s="233">
        <v>219867.26</v>
      </c>
      <c r="Y14" s="354"/>
      <c r="Z14" s="310"/>
      <c r="AA14" s="310"/>
      <c r="AB14" s="310" t="s">
        <v>84</v>
      </c>
      <c r="AC14" s="250">
        <v>164900.46</v>
      </c>
      <c r="AD14" s="250"/>
      <c r="AE14" s="250">
        <v>60000</v>
      </c>
      <c r="AF14" s="250">
        <v>379734.53</v>
      </c>
      <c r="AG14" s="250">
        <v>164900.45</v>
      </c>
      <c r="AH14" s="250">
        <v>164900.45</v>
      </c>
      <c r="AI14" s="250"/>
      <c r="AJ14" s="250">
        <v>219867.26</v>
      </c>
      <c r="AK14" s="250">
        <f>214357.86+16217.76</f>
        <v>230575.62</v>
      </c>
      <c r="AL14" s="250"/>
      <c r="AM14" s="250">
        <v>203000</v>
      </c>
      <c r="AN14" s="265"/>
      <c r="AO14" s="266">
        <f t="shared" si="6"/>
        <v>2522964.14</v>
      </c>
      <c r="AP14" s="274">
        <f t="shared" si="7"/>
        <v>1587878.77</v>
      </c>
      <c r="AQ14" s="275">
        <f t="shared" si="1"/>
        <v>935085.37</v>
      </c>
      <c r="AR14" s="359" t="str">
        <f t="shared" si="2"/>
        <v/>
      </c>
      <c r="AS14" s="359" t="str">
        <f t="shared" si="3"/>
        <v/>
      </c>
      <c r="AT14" s="360" t="str">
        <f t="shared" si="4"/>
        <v/>
      </c>
      <c r="AU14" s="323" t="str">
        <f t="shared" si="8"/>
        <v/>
      </c>
      <c r="AV14" s="323" t="str">
        <f t="shared" si="5"/>
        <v/>
      </c>
      <c r="AW14" s="323" t="str">
        <f>IF($AQ14-SUM(Q14:$X14)&gt;0,$AQ14-SUM(Q14:$X14),"")</f>
        <v/>
      </c>
      <c r="AX14" s="323" t="str">
        <f>IF($AQ14-SUM(R14:$X14)&gt;0,$AQ14-SUM(R14:$X14),"")</f>
        <v/>
      </c>
      <c r="AY14" s="323" t="str">
        <f>IF($AQ14-SUM(S14:$X14)&gt;0,$AQ14-SUM(S14:$X14),"")</f>
        <v/>
      </c>
      <c r="AZ14" s="323">
        <f>IF($AQ14-SUM(T14:$X14)&gt;0,$AQ14-SUM(T14:$X14),"")</f>
        <v>649.499999999534</v>
      </c>
      <c r="BA14" s="323">
        <f>IF($AQ14-SUM(U14:$X14)&gt;0,$AQ14-SUM(U14:$X14),"")</f>
        <v>165549.95</v>
      </c>
      <c r="BB14" s="323">
        <f>IF($AQ14-SUM(V14:$X14)&gt;0,$AQ14-SUM(V14:$X14),"")</f>
        <v>330450.4</v>
      </c>
      <c r="BC14" s="323">
        <f>IF($AQ14-SUM(W14:$X14)&gt;0,$AQ14-SUM(W14:$X14),"")</f>
        <v>495350.85</v>
      </c>
      <c r="BD14" s="276" t="s">
        <v>85</v>
      </c>
      <c r="BE14" s="277"/>
      <c r="BF14" s="91"/>
      <c r="BG14" s="10" t="s">
        <v>108</v>
      </c>
      <c r="BH14" s="10">
        <f t="shared" si="9"/>
        <v>1588528.26</v>
      </c>
    </row>
    <row r="15" s="10" customFormat="1" ht="24.05" customHeight="1" spans="2:60">
      <c r="B15" s="45" t="s">
        <v>81</v>
      </c>
      <c r="C15" s="325" t="s">
        <v>109</v>
      </c>
      <c r="D15" s="46" t="s">
        <v>204</v>
      </c>
      <c r="E15" s="326">
        <v>62.7000000000698</v>
      </c>
      <c r="F15" s="332">
        <v>6597.88</v>
      </c>
      <c r="G15" s="333">
        <v>37.97</v>
      </c>
      <c r="H15" s="333"/>
      <c r="I15" s="332"/>
      <c r="J15" s="333"/>
      <c r="K15" s="333"/>
      <c r="L15" s="343">
        <f t="shared" si="0"/>
        <v>62.7000000000698</v>
      </c>
      <c r="M15" s="232"/>
      <c r="N15" s="233"/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354"/>
      <c r="Z15" s="310"/>
      <c r="AA15" s="310"/>
      <c r="AB15" s="310" t="s">
        <v>84</v>
      </c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65"/>
      <c r="AO15" s="266">
        <f t="shared" si="6"/>
        <v>62.7000000000698</v>
      </c>
      <c r="AP15" s="274">
        <f t="shared" si="7"/>
        <v>0</v>
      </c>
      <c r="AQ15" s="275">
        <f t="shared" si="1"/>
        <v>62.7000000000698</v>
      </c>
      <c r="AR15" s="359">
        <f t="shared" si="2"/>
        <v>62.7000000000698</v>
      </c>
      <c r="AS15" s="359">
        <f t="shared" si="3"/>
        <v>62.7000000000698</v>
      </c>
      <c r="AT15" s="360">
        <f t="shared" si="4"/>
        <v>62.7000000000698</v>
      </c>
      <c r="AU15" s="323">
        <f t="shared" si="8"/>
        <v>62.7000000000698</v>
      </c>
      <c r="AV15" s="323">
        <f t="shared" si="5"/>
        <v>62.7000000000698</v>
      </c>
      <c r="AW15" s="323">
        <f>IF($AQ15-SUM(Q15:$X15)&gt;0,$AQ15-SUM(Q15:$X15),"")</f>
        <v>62.7000000000698</v>
      </c>
      <c r="AX15" s="323">
        <f>IF($AQ15-SUM(R15:$X15)&gt;0,$AQ15-SUM(R15:$X15),"")</f>
        <v>62.7000000000698</v>
      </c>
      <c r="AY15" s="323">
        <f>IF($AQ15-SUM(S15:$X15)&gt;0,$AQ15-SUM(S15:$X15),"")</f>
        <v>62.7000000000698</v>
      </c>
      <c r="AZ15" s="323">
        <f>IF($AQ15-SUM(T15:$X15)&gt;0,$AQ15-SUM(T15:$X15),"")</f>
        <v>62.7000000000698</v>
      </c>
      <c r="BA15" s="323">
        <f>IF($AQ15-SUM(U15:$X15)&gt;0,$AQ15-SUM(U15:$X15),"")</f>
        <v>62.7000000000698</v>
      </c>
      <c r="BB15" s="323">
        <f>IF($AQ15-SUM(V15:$X15)&gt;0,$AQ15-SUM(V15:$X15),"")</f>
        <v>62.7000000000698</v>
      </c>
      <c r="BC15" s="323">
        <f>IF($AQ15-SUM(W15:$X15)&gt;0,$AQ15-SUM(W15:$X15),"")</f>
        <v>62.7000000000698</v>
      </c>
      <c r="BD15" s="276" t="s">
        <v>111</v>
      </c>
      <c r="BE15" s="277"/>
      <c r="BF15" s="91"/>
      <c r="BG15" s="10" t="s">
        <v>204</v>
      </c>
      <c r="BH15" s="10">
        <f t="shared" si="9"/>
        <v>0</v>
      </c>
    </row>
    <row r="16" s="10" customFormat="1" ht="24.05" customHeight="1" spans="2:60">
      <c r="B16" s="45" t="s">
        <v>81</v>
      </c>
      <c r="C16" s="325" t="s">
        <v>112</v>
      </c>
      <c r="D16" s="46" t="s">
        <v>113</v>
      </c>
      <c r="E16" s="326">
        <v>402041.4</v>
      </c>
      <c r="F16" s="332">
        <v>64055.69</v>
      </c>
      <c r="G16" s="333">
        <v>21990.53</v>
      </c>
      <c r="H16" s="333">
        <v>64802.17</v>
      </c>
      <c r="I16" s="332"/>
      <c r="J16" s="333"/>
      <c r="K16" s="333"/>
      <c r="L16" s="343">
        <f t="shared" si="0"/>
        <v>402041.4</v>
      </c>
      <c r="M16" s="232">
        <v>42537.15</v>
      </c>
      <c r="N16" s="233">
        <v>42849.6</v>
      </c>
      <c r="O16" s="233">
        <v>41943.51</v>
      </c>
      <c r="P16" s="233">
        <v>45070.5</v>
      </c>
      <c r="Q16" s="233">
        <v>21281.97</v>
      </c>
      <c r="R16" s="233">
        <v>32137.2</v>
      </c>
      <c r="S16" s="233">
        <v>31271.28</v>
      </c>
      <c r="T16" s="233">
        <v>42809.43</v>
      </c>
      <c r="U16" s="233"/>
      <c r="V16" s="233"/>
      <c r="W16" s="233"/>
      <c r="X16" s="233"/>
      <c r="Y16" s="354"/>
      <c r="Z16" s="310"/>
      <c r="AA16" s="310"/>
      <c r="AB16" s="310" t="s">
        <v>84</v>
      </c>
      <c r="AC16" s="250">
        <v>150000</v>
      </c>
      <c r="AD16" s="250"/>
      <c r="AE16" s="250">
        <v>100000</v>
      </c>
      <c r="AF16" s="250">
        <v>150000</v>
      </c>
      <c r="AG16" s="250">
        <v>100000</v>
      </c>
      <c r="AH16" s="250"/>
      <c r="AI16" s="250">
        <v>70000</v>
      </c>
      <c r="AJ16" s="250">
        <v>4442.16</v>
      </c>
      <c r="AK16" s="250">
        <f>21281.97+32137.2</f>
        <v>53419.17</v>
      </c>
      <c r="AL16" s="250"/>
      <c r="AM16" s="250"/>
      <c r="AN16" s="265">
        <v>31271.28</v>
      </c>
      <c r="AO16" s="266">
        <f t="shared" si="6"/>
        <v>701942.04</v>
      </c>
      <c r="AP16" s="274">
        <f t="shared" si="7"/>
        <v>659132.61</v>
      </c>
      <c r="AQ16" s="275">
        <f t="shared" si="1"/>
        <v>42809.4299999999</v>
      </c>
      <c r="AR16" s="359" t="str">
        <f t="shared" si="2"/>
        <v/>
      </c>
      <c r="AS16" s="359" t="str">
        <f t="shared" si="3"/>
        <v/>
      </c>
      <c r="AT16" s="360" t="str">
        <f t="shared" si="4"/>
        <v/>
      </c>
      <c r="AU16" s="323" t="str">
        <f t="shared" si="8"/>
        <v/>
      </c>
      <c r="AV16" s="323" t="str">
        <f t="shared" si="5"/>
        <v/>
      </c>
      <c r="AW16" s="323" t="str">
        <f>IF($AQ16-SUM(Q16:$X16)&gt;0,$AQ16-SUM(Q16:$X16),"")</f>
        <v/>
      </c>
      <c r="AX16" s="323" t="str">
        <f>IF($AQ16-SUM(R16:$X16)&gt;0,$AQ16-SUM(R16:$X16),"")</f>
        <v/>
      </c>
      <c r="AY16" s="323" t="str">
        <f>IF($AQ16-SUM(S16:$X16)&gt;0,$AQ16-SUM(S16:$X16),"")</f>
        <v/>
      </c>
      <c r="AZ16" s="323" t="str">
        <f>IF($AQ16-SUM(T16:$X16)&gt;0,$AQ16-SUM(T16:$X16),"")</f>
        <v/>
      </c>
      <c r="BA16" s="323">
        <f>IF($AQ16-SUM(U16:$X16)&gt;0,$AQ16-SUM(U16:$X16),"")</f>
        <v>42809.4299999999</v>
      </c>
      <c r="BB16" s="323">
        <f>IF($AQ16-SUM(V16:$X16)&gt;0,$AQ16-SUM(V16:$X16),"")</f>
        <v>42809.4299999999</v>
      </c>
      <c r="BC16" s="323">
        <f>IF($AQ16-SUM(W16:$X16)&gt;0,$AQ16-SUM(W16:$X16),"")</f>
        <v>42809.4299999999</v>
      </c>
      <c r="BD16" s="276" t="s">
        <v>85</v>
      </c>
      <c r="BE16" s="277"/>
      <c r="BF16" s="91"/>
      <c r="BG16" s="10" t="s">
        <v>113</v>
      </c>
      <c r="BH16" s="10">
        <f t="shared" si="9"/>
        <v>299900.64</v>
      </c>
    </row>
    <row r="17" s="10" customFormat="1" ht="24.05" hidden="1" customHeight="1" spans="2:60">
      <c r="B17" s="45" t="s">
        <v>81</v>
      </c>
      <c r="C17" s="325" t="s">
        <v>114</v>
      </c>
      <c r="D17" s="46" t="s">
        <v>115</v>
      </c>
      <c r="E17" s="326">
        <v>363932.32</v>
      </c>
      <c r="F17" s="332"/>
      <c r="G17" s="333">
        <v>152260.72</v>
      </c>
      <c r="H17" s="333"/>
      <c r="I17" s="332"/>
      <c r="J17" s="333"/>
      <c r="K17" s="333"/>
      <c r="L17" s="343">
        <f t="shared" si="0"/>
        <v>363932.32</v>
      </c>
      <c r="M17" s="232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354"/>
      <c r="Z17" s="310"/>
      <c r="AA17" s="310"/>
      <c r="AB17" s="310" t="s">
        <v>84</v>
      </c>
      <c r="AC17" s="250">
        <v>50000</v>
      </c>
      <c r="AD17" s="250">
        <v>100000</v>
      </c>
      <c r="AE17" s="250">
        <f>61671.6+152260.72</f>
        <v>213932.32</v>
      </c>
      <c r="AF17" s="250"/>
      <c r="AG17" s="250"/>
      <c r="AH17" s="250"/>
      <c r="AI17" s="250"/>
      <c r="AJ17" s="250"/>
      <c r="AK17" s="250"/>
      <c r="AL17" s="250"/>
      <c r="AM17" s="250"/>
      <c r="AN17" s="265"/>
      <c r="AO17" s="266">
        <f t="shared" si="6"/>
        <v>363932.32</v>
      </c>
      <c r="AP17" s="274">
        <f t="shared" si="7"/>
        <v>363932.32</v>
      </c>
      <c r="AQ17" s="275">
        <f t="shared" si="1"/>
        <v>0</v>
      </c>
      <c r="AR17" s="359" t="str">
        <f t="shared" si="2"/>
        <v/>
      </c>
      <c r="AS17" s="359" t="str">
        <f t="shared" si="3"/>
        <v/>
      </c>
      <c r="AT17" s="360" t="str">
        <f t="shared" si="4"/>
        <v/>
      </c>
      <c r="AU17" s="323" t="str">
        <f t="shared" si="8"/>
        <v/>
      </c>
      <c r="AV17" s="323" t="str">
        <f t="shared" si="5"/>
        <v/>
      </c>
      <c r="AW17" s="323" t="str">
        <f>IF(AQ17-SUM(Q17:Y17)&gt;0,AQ17-SUM(Q17:Y17),"")</f>
        <v/>
      </c>
      <c r="AX17" s="323"/>
      <c r="AY17" s="323"/>
      <c r="AZ17" s="323"/>
      <c r="BA17" s="323"/>
      <c r="BB17" s="323"/>
      <c r="BC17" s="323"/>
      <c r="BD17" s="276" t="s">
        <v>85</v>
      </c>
      <c r="BE17" s="277"/>
      <c r="BF17" s="91"/>
      <c r="BG17" s="10" t="s">
        <v>115</v>
      </c>
      <c r="BH17" s="10">
        <f t="shared" si="9"/>
        <v>0</v>
      </c>
    </row>
    <row r="18" s="10" customFormat="1" ht="24.05" hidden="1" customHeight="1" spans="2:60">
      <c r="B18" s="45" t="s">
        <v>81</v>
      </c>
      <c r="C18" s="325" t="s">
        <v>116</v>
      </c>
      <c r="D18" s="46" t="s">
        <v>205</v>
      </c>
      <c r="E18" s="326">
        <v>24206.86</v>
      </c>
      <c r="F18" s="332">
        <v>8203.8</v>
      </c>
      <c r="G18" s="333">
        <v>6883.96</v>
      </c>
      <c r="H18" s="333"/>
      <c r="I18" s="332"/>
      <c r="J18" s="333"/>
      <c r="K18" s="333"/>
      <c r="L18" s="343">
        <f t="shared" si="0"/>
        <v>24206.86</v>
      </c>
      <c r="M18" s="232">
        <v>14977.02</v>
      </c>
      <c r="N18" s="233"/>
      <c r="O18" s="233"/>
      <c r="P18" s="233"/>
      <c r="Q18" s="233"/>
      <c r="R18" s="233">
        <v>7082.84</v>
      </c>
      <c r="S18" s="233"/>
      <c r="T18" s="233"/>
      <c r="U18" s="233"/>
      <c r="V18" s="233"/>
      <c r="W18" s="233"/>
      <c r="X18" s="233"/>
      <c r="Y18" s="354"/>
      <c r="Z18" s="310"/>
      <c r="AA18" s="310"/>
      <c r="AB18" s="310" t="s">
        <v>84</v>
      </c>
      <c r="AC18" s="250"/>
      <c r="AD18" s="250"/>
      <c r="AE18" s="250"/>
      <c r="AF18" s="250">
        <v>30000</v>
      </c>
      <c r="AG18" s="250"/>
      <c r="AH18" s="250"/>
      <c r="AI18" s="250"/>
      <c r="AJ18" s="250"/>
      <c r="AK18" s="250">
        <v>16266.72</v>
      </c>
      <c r="AL18" s="250"/>
      <c r="AM18" s="250"/>
      <c r="AN18" s="265"/>
      <c r="AO18" s="266">
        <f t="shared" si="6"/>
        <v>46266.72</v>
      </c>
      <c r="AP18" s="274">
        <f t="shared" si="7"/>
        <v>46266.72</v>
      </c>
      <c r="AQ18" s="275">
        <f t="shared" si="1"/>
        <v>0</v>
      </c>
      <c r="AR18" s="359" t="str">
        <f>IF(AQ18-SUM(M18:X18)+K18+J18&gt;0,AQ18-SUM(M18:X18)+K18+J18,"")</f>
        <v/>
      </c>
      <c r="AS18" s="359" t="str">
        <f>IF(AQ18-SUM(M18:X18)+K18&gt;0,AQ18-SUM(M18:X18)+K18,"")</f>
        <v/>
      </c>
      <c r="AT18" s="360" t="str">
        <f>IF(AQ18-SUM(M18:X18)&gt;0,AQ18-SUM(M18:X18),"")</f>
        <v/>
      </c>
      <c r="AU18" s="323" t="str">
        <f>IF(AQ18-SUM(N18:X18)&gt;0,AQ18-SUM(N18:X18),"")</f>
        <v/>
      </c>
      <c r="AV18" s="323" t="str">
        <f>IF(AQ18-SUM(O18:X18)&gt;0,AQ18-SUM(O18:X18),"")</f>
        <v/>
      </c>
      <c r="AW18" s="323" t="str">
        <f>IF($AQ18-SUM(Q18:$X18)&gt;0,$AQ18-SUM(Q18:$X18),"")</f>
        <v/>
      </c>
      <c r="AX18" s="323" t="str">
        <f>IF($AQ18-SUM(R18:$X18)&gt;0,$AQ18-SUM(R18:$X18),"")</f>
        <v/>
      </c>
      <c r="AY18" s="323" t="str">
        <f>IF($AQ18-SUM(S18:$X18)&gt;0,$AQ18-SUM(S18:$X18),"")</f>
        <v/>
      </c>
      <c r="AZ18" s="323" t="str">
        <f>IF($AQ18-SUM(T18:$X18)&gt;0,$AQ18-SUM(T18:$X18),"")</f>
        <v/>
      </c>
      <c r="BA18" s="323" t="str">
        <f>IF($AQ18-SUM(U18:$X18)&gt;0,$AQ18-SUM(U18:$X18),"")</f>
        <v/>
      </c>
      <c r="BB18" s="323"/>
      <c r="BC18" s="323"/>
      <c r="BD18" s="276" t="s">
        <v>264</v>
      </c>
      <c r="BE18" s="277"/>
      <c r="BF18" s="91"/>
      <c r="BG18" s="10" t="s">
        <v>205</v>
      </c>
      <c r="BH18" s="10">
        <f t="shared" si="9"/>
        <v>22059.86</v>
      </c>
    </row>
    <row r="19" s="10" customFormat="1" ht="24.05" hidden="1" customHeight="1" spans="2:60">
      <c r="B19" s="45" t="s">
        <v>81</v>
      </c>
      <c r="C19" s="325" t="s">
        <v>118</v>
      </c>
      <c r="D19" s="46" t="s">
        <v>119</v>
      </c>
      <c r="E19" s="326">
        <v>0</v>
      </c>
      <c r="F19" s="332"/>
      <c r="G19" s="333"/>
      <c r="H19" s="333"/>
      <c r="I19" s="332"/>
      <c r="J19" s="333"/>
      <c r="K19" s="333"/>
      <c r="L19" s="343">
        <f t="shared" si="0"/>
        <v>0</v>
      </c>
      <c r="M19" s="232"/>
      <c r="N19" s="233"/>
      <c r="O19" s="233"/>
      <c r="P19" s="233"/>
      <c r="Q19" s="233"/>
      <c r="R19" s="233"/>
      <c r="S19" s="233"/>
      <c r="T19" s="233"/>
      <c r="U19" s="233"/>
      <c r="V19" s="233"/>
      <c r="W19" s="233"/>
      <c r="X19" s="233"/>
      <c r="Y19" s="354"/>
      <c r="Z19" s="310"/>
      <c r="AA19" s="310"/>
      <c r="AB19" s="310" t="s">
        <v>84</v>
      </c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65"/>
      <c r="AO19" s="266">
        <f t="shared" si="6"/>
        <v>0</v>
      </c>
      <c r="AP19" s="274">
        <f t="shared" si="7"/>
        <v>0</v>
      </c>
      <c r="AQ19" s="275">
        <f t="shared" si="1"/>
        <v>0</v>
      </c>
      <c r="AR19" s="359" t="str">
        <f t="shared" ref="AR19:AR26" si="10">IF(AQ19-SUM(M19:X19)+K19&gt;0,AQ19-SUM(M19:X19)+K19,"")</f>
        <v/>
      </c>
      <c r="AS19" s="359" t="str">
        <f t="shared" ref="AS19:AS26" si="11">IF(AQ19-SUM(M19:X19)&gt;0,AQ19-SUM(M19:X19),"")</f>
        <v/>
      </c>
      <c r="AT19" s="360" t="str">
        <f t="shared" ref="AT19:AT26" si="12">IF(AQ19-SUM(N19:X19)&gt;0,AQ19-SUM(N19:X19),"")</f>
        <v/>
      </c>
      <c r="AU19" s="323" t="str">
        <f t="shared" si="8"/>
        <v/>
      </c>
      <c r="AV19" s="323" t="str">
        <f t="shared" ref="AV19:AV26" si="13">IF(AQ19-SUM(P19:X19)&gt;0,AQ19-SUM(P19:X19),"")</f>
        <v/>
      </c>
      <c r="AW19" s="323" t="str">
        <f>IF(AQ19-SUM(Q19:Y19)&gt;0,AQ19-SUM(Q19:Y19),"")</f>
        <v/>
      </c>
      <c r="AX19" s="323"/>
      <c r="AY19" s="323"/>
      <c r="AZ19" s="323"/>
      <c r="BA19" s="323"/>
      <c r="BB19" s="323"/>
      <c r="BC19" s="323"/>
      <c r="BD19" s="276" t="s">
        <v>85</v>
      </c>
      <c r="BE19" s="277"/>
      <c r="BF19" s="91"/>
      <c r="BG19" s="10" t="s">
        <v>119</v>
      </c>
      <c r="BH19" s="10">
        <f t="shared" si="9"/>
        <v>0</v>
      </c>
    </row>
    <row r="20" s="10" customFormat="1" ht="24.05" hidden="1" customHeight="1" spans="2:60">
      <c r="B20" s="48" t="s">
        <v>81</v>
      </c>
      <c r="C20" s="325" t="s">
        <v>120</v>
      </c>
      <c r="D20" s="46" t="s">
        <v>121</v>
      </c>
      <c r="E20" s="326">
        <v>0</v>
      </c>
      <c r="F20" s="332"/>
      <c r="G20" s="333"/>
      <c r="H20" s="333"/>
      <c r="I20" s="332"/>
      <c r="J20" s="333"/>
      <c r="K20" s="333"/>
      <c r="L20" s="343">
        <f t="shared" si="0"/>
        <v>0</v>
      </c>
      <c r="M20" s="232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354"/>
      <c r="Z20" s="310"/>
      <c r="AA20" s="310"/>
      <c r="AB20" s="310" t="s">
        <v>84</v>
      </c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65"/>
      <c r="AO20" s="266">
        <f t="shared" si="6"/>
        <v>0</v>
      </c>
      <c r="AP20" s="274">
        <f t="shared" si="7"/>
        <v>0</v>
      </c>
      <c r="AQ20" s="275">
        <f t="shared" si="1"/>
        <v>0</v>
      </c>
      <c r="AR20" s="359" t="str">
        <f t="shared" si="10"/>
        <v/>
      </c>
      <c r="AS20" s="359" t="str">
        <f t="shared" si="11"/>
        <v/>
      </c>
      <c r="AT20" s="360" t="str">
        <f t="shared" si="12"/>
        <v/>
      </c>
      <c r="AU20" s="323" t="str">
        <f t="shared" si="8"/>
        <v/>
      </c>
      <c r="AV20" s="323" t="str">
        <f t="shared" si="13"/>
        <v/>
      </c>
      <c r="AW20" s="323" t="str">
        <f>IF(AQ20-SUM(Q20:Y20)&gt;0,AQ20-SUM(Q20:Y20),"")</f>
        <v/>
      </c>
      <c r="AX20" s="323"/>
      <c r="AY20" s="323"/>
      <c r="AZ20" s="323"/>
      <c r="BA20" s="323"/>
      <c r="BB20" s="323"/>
      <c r="BC20" s="323"/>
      <c r="BD20" s="276" t="s">
        <v>85</v>
      </c>
      <c r="BE20" s="277"/>
      <c r="BF20" s="91"/>
      <c r="BG20" s="10" t="s">
        <v>121</v>
      </c>
      <c r="BH20" s="10">
        <f t="shared" si="9"/>
        <v>0</v>
      </c>
    </row>
    <row r="21" s="10" customFormat="1" ht="24.05" customHeight="1" spans="2:60">
      <c r="B21" s="48" t="s">
        <v>81</v>
      </c>
      <c r="C21" s="325" t="s">
        <v>122</v>
      </c>
      <c r="D21" s="46" t="s">
        <v>123</v>
      </c>
      <c r="E21" s="326">
        <v>614853.109999999</v>
      </c>
      <c r="F21" s="332">
        <v>169942.72</v>
      </c>
      <c r="G21" s="333">
        <v>126150.76</v>
      </c>
      <c r="H21" s="333">
        <v>224796.55</v>
      </c>
      <c r="I21" s="332"/>
      <c r="J21" s="333"/>
      <c r="K21" s="333"/>
      <c r="L21" s="343">
        <f t="shared" si="0"/>
        <v>614853.109999999</v>
      </c>
      <c r="M21" s="232">
        <f>80976.53+110446.2</f>
        <v>191422.73</v>
      </c>
      <c r="N21" s="233">
        <f>1260+108799.23+51281.66+110446.2</f>
        <v>271787.09</v>
      </c>
      <c r="O21" s="233">
        <f>49074.93+77964.6+97346.68</f>
        <v>224386.21</v>
      </c>
      <c r="P21" s="233">
        <f>98174.4+70771.47+101227.66</f>
        <v>270173.53</v>
      </c>
      <c r="Q21" s="233"/>
      <c r="R21" s="233">
        <f>110446.2+108004.11+68715.3+68234.29</f>
        <v>355399.9</v>
      </c>
      <c r="S21" s="233">
        <f>88322.56+110446.2</f>
        <v>198768.76</v>
      </c>
      <c r="T21" s="233">
        <f>109944.48+111060.42+110446.2</f>
        <v>331451.1</v>
      </c>
      <c r="U21" s="233">
        <f>71349.39+75901.08</f>
        <v>147250.47</v>
      </c>
      <c r="V21" s="233">
        <f>109564.24+112234.99</f>
        <v>221799.23</v>
      </c>
      <c r="W21" s="233">
        <f>110446.2+48449.07</f>
        <v>158895.27</v>
      </c>
      <c r="X21" s="233">
        <v>176578.93</v>
      </c>
      <c r="Y21" s="354"/>
      <c r="Z21" s="310"/>
      <c r="AA21" s="310"/>
      <c r="AB21" s="310" t="s">
        <v>84</v>
      </c>
      <c r="AC21" s="250">
        <v>263905.8</v>
      </c>
      <c r="AD21" s="250"/>
      <c r="AE21" s="250">
        <f>126150.76+330000</f>
        <v>456150.76</v>
      </c>
      <c r="AF21" s="250">
        <v>86219.28</v>
      </c>
      <c r="AG21" s="250">
        <v>271787.09</v>
      </c>
      <c r="AH21" s="250"/>
      <c r="AI21" s="250">
        <v>224386.21</v>
      </c>
      <c r="AJ21" s="250">
        <v>270173.53</v>
      </c>
      <c r="AK21" s="250">
        <f>250000+105399.9</f>
        <v>355399.9</v>
      </c>
      <c r="AL21" s="250"/>
      <c r="AM21" s="250">
        <v>195000</v>
      </c>
      <c r="AN21" s="265">
        <v>198768.76</v>
      </c>
      <c r="AO21" s="266">
        <f t="shared" si="6"/>
        <v>3162766.33</v>
      </c>
      <c r="AP21" s="274">
        <f t="shared" si="7"/>
        <v>2321791.33</v>
      </c>
      <c r="AQ21" s="275">
        <f t="shared" si="1"/>
        <v>840975</v>
      </c>
      <c r="AR21" s="359" t="str">
        <f t="shared" si="10"/>
        <v/>
      </c>
      <c r="AS21" s="359" t="str">
        <f t="shared" si="11"/>
        <v/>
      </c>
      <c r="AT21" s="360" t="str">
        <f t="shared" si="12"/>
        <v/>
      </c>
      <c r="AU21" s="323" t="str">
        <f t="shared" si="8"/>
        <v/>
      </c>
      <c r="AV21" s="323" t="str">
        <f t="shared" si="13"/>
        <v/>
      </c>
      <c r="AW21" s="323" t="str">
        <f>IF($AQ21-SUM(Q21:$X21)&gt;0,$AQ21-SUM(Q21:$X21),"")</f>
        <v/>
      </c>
      <c r="AX21" s="323" t="str">
        <f>IF($AQ21-SUM(R21:$X21)&gt;0,$AQ21-SUM(R21:$X21),"")</f>
        <v/>
      </c>
      <c r="AY21" s="323" t="str">
        <f>IF($AQ21-SUM(S21:$X21)&gt;0,$AQ21-SUM(S21:$X21),"")</f>
        <v/>
      </c>
      <c r="AZ21" s="323" t="str">
        <f>IF($AQ21-SUM(T21:$X21)&gt;0,$AQ21-SUM(T21:$X21),"")</f>
        <v/>
      </c>
      <c r="BA21" s="323">
        <f>IF($AQ21-SUM(U21:$X21)&gt;0,$AQ21-SUM(U21:$X21),"")</f>
        <v>136451.1</v>
      </c>
      <c r="BB21" s="323">
        <f>IF($AQ21-SUM(V21:$X21)&gt;0,$AQ21-SUM(V21:$X21),"")</f>
        <v>283701.57</v>
      </c>
      <c r="BC21" s="323">
        <f>IF($AQ21-SUM(W21:$X21)&gt;0,$AQ21-SUM(W21:$X21),"")</f>
        <v>505500.8</v>
      </c>
      <c r="BD21" s="276" t="s">
        <v>85</v>
      </c>
      <c r="BE21" s="277"/>
      <c r="BF21" s="91"/>
      <c r="BG21" s="10" t="s">
        <v>123</v>
      </c>
      <c r="BH21" s="10">
        <f t="shared" si="9"/>
        <v>1990639.79</v>
      </c>
    </row>
    <row r="22" s="10" customFormat="1" ht="24.05" customHeight="1" spans="2:60">
      <c r="B22" s="48" t="s">
        <v>81</v>
      </c>
      <c r="C22" s="325" t="s">
        <v>124</v>
      </c>
      <c r="D22" s="46" t="s">
        <v>125</v>
      </c>
      <c r="E22" s="326">
        <v>0</v>
      </c>
      <c r="F22" s="332"/>
      <c r="G22" s="333"/>
      <c r="H22" s="333"/>
      <c r="I22" s="332"/>
      <c r="J22" s="333"/>
      <c r="K22" s="333"/>
      <c r="L22" s="343">
        <f t="shared" si="0"/>
        <v>0</v>
      </c>
      <c r="M22" s="232">
        <f>7973.28+26008.08</f>
        <v>33981.36</v>
      </c>
      <c r="N22" s="233">
        <f>1423.8+3986.64</f>
        <v>5410.44</v>
      </c>
      <c r="O22" s="233">
        <v>3986.64</v>
      </c>
      <c r="P22" s="233"/>
      <c r="Q22" s="233"/>
      <c r="R22" s="233"/>
      <c r="S22" s="233"/>
      <c r="T22" s="233"/>
      <c r="U22" s="233"/>
      <c r="V22" s="233"/>
      <c r="W22" s="233"/>
      <c r="X22" s="233"/>
      <c r="Y22" s="354"/>
      <c r="Z22" s="310"/>
      <c r="AA22" s="310"/>
      <c r="AB22" s="310" t="s">
        <v>84</v>
      </c>
      <c r="AC22" s="250"/>
      <c r="AD22" s="251" t="s">
        <v>265</v>
      </c>
      <c r="AE22" s="250"/>
      <c r="AF22" s="250"/>
      <c r="AG22" s="250"/>
      <c r="AH22" s="250"/>
      <c r="AI22" s="250"/>
      <c r="AJ22" s="250"/>
      <c r="AK22" s="250"/>
      <c r="AL22" s="250"/>
      <c r="AM22" s="250"/>
      <c r="AN22" s="265"/>
      <c r="AO22" s="266">
        <f t="shared" si="6"/>
        <v>43378.44</v>
      </c>
      <c r="AP22" s="274">
        <f t="shared" si="7"/>
        <v>0</v>
      </c>
      <c r="AQ22" s="275">
        <f t="shared" si="1"/>
        <v>43378.44</v>
      </c>
      <c r="AR22" s="359" t="str">
        <f t="shared" si="10"/>
        <v/>
      </c>
      <c r="AS22" s="359" t="str">
        <f t="shared" si="11"/>
        <v/>
      </c>
      <c r="AT22" s="360">
        <f t="shared" si="12"/>
        <v>33981.36</v>
      </c>
      <c r="AU22" s="323">
        <f t="shared" si="8"/>
        <v>39391.8</v>
      </c>
      <c r="AV22" s="323">
        <f t="shared" si="13"/>
        <v>43378.44</v>
      </c>
      <c r="AW22" s="323">
        <f>IF($AQ22-SUM(Q22:$X22)&gt;0,$AQ22-SUM(Q22:$X22),"")</f>
        <v>43378.44</v>
      </c>
      <c r="AX22" s="323">
        <f>IF($AQ22-SUM(R22:$X22)&gt;0,$AQ22-SUM(R22:$X22),"")</f>
        <v>43378.44</v>
      </c>
      <c r="AY22" s="323">
        <f>IF($AQ22-SUM(S22:$X22)&gt;0,$AQ22-SUM(S22:$X22),"")</f>
        <v>43378.44</v>
      </c>
      <c r="AZ22" s="323">
        <f>IF($AQ22-SUM(T22:$X22)&gt;0,$AQ22-SUM(T22:$X22),"")</f>
        <v>43378.44</v>
      </c>
      <c r="BA22" s="323">
        <f>IF($AQ22-SUM(U22:$X22)&gt;0,$AQ22-SUM(U22:$X22),"")</f>
        <v>43378.44</v>
      </c>
      <c r="BB22" s="323">
        <f>IF($AQ22-SUM(V22:$X22)&gt;0,$AQ22-SUM(V22:$X22),"")</f>
        <v>43378.44</v>
      </c>
      <c r="BC22" s="323">
        <f>IF($AQ22-SUM(W22:$X22)&gt;0,$AQ22-SUM(W22:$X22),"")</f>
        <v>43378.44</v>
      </c>
      <c r="BD22" s="276" t="s">
        <v>85</v>
      </c>
      <c r="BE22" s="277" t="s">
        <v>266</v>
      </c>
      <c r="BF22" s="91"/>
      <c r="BG22" s="10" t="s">
        <v>125</v>
      </c>
      <c r="BH22" s="10">
        <f t="shared" si="9"/>
        <v>43378.44</v>
      </c>
    </row>
    <row r="23" s="10" customFormat="1" ht="24.05" hidden="1" customHeight="1" spans="2:60">
      <c r="B23" s="48" t="s">
        <v>81</v>
      </c>
      <c r="C23" s="325" t="s">
        <v>126</v>
      </c>
      <c r="D23" s="46" t="s">
        <v>127</v>
      </c>
      <c r="E23" s="326">
        <v>0</v>
      </c>
      <c r="F23" s="332"/>
      <c r="G23" s="333"/>
      <c r="H23" s="333"/>
      <c r="I23" s="332"/>
      <c r="J23" s="333"/>
      <c r="K23" s="333"/>
      <c r="L23" s="343">
        <f t="shared" si="0"/>
        <v>0</v>
      </c>
      <c r="M23" s="232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354"/>
      <c r="Z23" s="310"/>
      <c r="AA23" s="310"/>
      <c r="AB23" s="310" t="s">
        <v>84</v>
      </c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65"/>
      <c r="AO23" s="266">
        <f t="shared" si="6"/>
        <v>0</v>
      </c>
      <c r="AP23" s="274">
        <f t="shared" si="7"/>
        <v>0</v>
      </c>
      <c r="AQ23" s="275">
        <f t="shared" si="1"/>
        <v>0</v>
      </c>
      <c r="AR23" s="359" t="str">
        <f t="shared" si="10"/>
        <v/>
      </c>
      <c r="AS23" s="359" t="str">
        <f t="shared" si="11"/>
        <v/>
      </c>
      <c r="AT23" s="360" t="str">
        <f t="shared" si="12"/>
        <v/>
      </c>
      <c r="AU23" s="323" t="str">
        <f t="shared" si="8"/>
        <v/>
      </c>
      <c r="AV23" s="323" t="str">
        <f t="shared" si="13"/>
        <v/>
      </c>
      <c r="AW23" s="323" t="str">
        <f>IF(AQ23-SUM(Q23:Y23)&gt;0,AQ23-SUM(Q23:Y23),"")</f>
        <v/>
      </c>
      <c r="AX23" s="323"/>
      <c r="AY23" s="323"/>
      <c r="AZ23" s="323"/>
      <c r="BA23" s="323"/>
      <c r="BB23" s="323"/>
      <c r="BC23" s="323"/>
      <c r="BD23" s="276" t="s">
        <v>96</v>
      </c>
      <c r="BE23" s="277"/>
      <c r="BF23" s="91"/>
      <c r="BG23" s="10" t="s">
        <v>127</v>
      </c>
      <c r="BH23" s="10">
        <f t="shared" si="9"/>
        <v>0</v>
      </c>
    </row>
    <row r="24" s="10" customFormat="1" ht="24.05" customHeight="1" spans="2:60">
      <c r="B24" s="48" t="s">
        <v>81</v>
      </c>
      <c r="C24" s="325" t="s">
        <v>128</v>
      </c>
      <c r="D24" s="46" t="s">
        <v>129</v>
      </c>
      <c r="E24" s="326">
        <v>92269.6600000001</v>
      </c>
      <c r="F24" s="332">
        <v>47132.53</v>
      </c>
      <c r="G24" s="333">
        <v>1130</v>
      </c>
      <c r="H24" s="333">
        <v>10794.89</v>
      </c>
      <c r="I24" s="332"/>
      <c r="J24" s="333"/>
      <c r="K24" s="344">
        <v>39520.62</v>
      </c>
      <c r="L24" s="343">
        <f t="shared" si="0"/>
        <v>131790.28</v>
      </c>
      <c r="M24" s="232">
        <v>27162.94</v>
      </c>
      <c r="N24" s="233">
        <v>16479.92</v>
      </c>
      <c r="O24" s="233">
        <v>30769.9</v>
      </c>
      <c r="P24" s="233">
        <v>14805.26</v>
      </c>
      <c r="Q24" s="233">
        <f>29095.24+9040</f>
        <v>38135.24</v>
      </c>
      <c r="R24" s="233">
        <v>16110.41</v>
      </c>
      <c r="S24" s="233"/>
      <c r="T24" s="233">
        <v>20990.11</v>
      </c>
      <c r="U24" s="233">
        <v>24360.11</v>
      </c>
      <c r="V24" s="233">
        <v>21710.01</v>
      </c>
      <c r="W24" s="233">
        <v>23909.67</v>
      </c>
      <c r="X24" s="233">
        <v>23358.23</v>
      </c>
      <c r="Y24" s="354"/>
      <c r="Z24" s="310"/>
      <c r="AA24" s="310"/>
      <c r="AB24" s="310" t="s">
        <v>84</v>
      </c>
      <c r="AC24" s="250">
        <v>33212.24</v>
      </c>
      <c r="AD24" s="250"/>
      <c r="AE24" s="250">
        <v>86220.36</v>
      </c>
      <c r="AF24" s="250"/>
      <c r="AG24" s="250">
        <v>16479.92</v>
      </c>
      <c r="AH24" s="250"/>
      <c r="AI24" s="250">
        <v>30769.9</v>
      </c>
      <c r="AJ24" s="250">
        <v>14805.26</v>
      </c>
      <c r="AK24" s="250">
        <f>38135.24+16110.41</f>
        <v>54245.65</v>
      </c>
      <c r="AL24" s="250"/>
      <c r="AM24" s="250"/>
      <c r="AN24" s="265">
        <v>60510.73</v>
      </c>
      <c r="AO24" s="266">
        <f t="shared" si="6"/>
        <v>389582.08</v>
      </c>
      <c r="AP24" s="274">
        <f t="shared" si="7"/>
        <v>296244.06</v>
      </c>
      <c r="AQ24" s="275">
        <f t="shared" si="1"/>
        <v>93338.0200000001</v>
      </c>
      <c r="AR24" s="359" t="str">
        <f t="shared" si="10"/>
        <v/>
      </c>
      <c r="AS24" s="359" t="str">
        <f t="shared" si="11"/>
        <v/>
      </c>
      <c r="AT24" s="360" t="str">
        <f t="shared" si="12"/>
        <v/>
      </c>
      <c r="AU24" s="323" t="str">
        <f t="shared" si="8"/>
        <v/>
      </c>
      <c r="AV24" s="323" t="str">
        <f t="shared" si="13"/>
        <v/>
      </c>
      <c r="AW24" s="323" t="str">
        <f>IF($AQ24-SUM(Q24:$X24)&gt;0,$AQ24-SUM(Q24:$X24),"")</f>
        <v/>
      </c>
      <c r="AX24" s="323" t="str">
        <f>IF($AQ24-SUM(R24:$X24)&gt;0,$AQ24-SUM(R24:$X24),"")</f>
        <v/>
      </c>
      <c r="AY24" s="323" t="str">
        <f>IF($AQ24-SUM(S24:$X24)&gt;0,$AQ24-SUM(S24:$X24),"")</f>
        <v/>
      </c>
      <c r="AZ24" s="323" t="str">
        <f>IF($AQ24-SUM(T24:$X24)&gt;0,$AQ24-SUM(T24:$X24),"")</f>
        <v/>
      </c>
      <c r="BA24" s="323">
        <f>IF($AQ24-SUM(U24:$X24)&gt;0,$AQ24-SUM(U24:$X24),"")</f>
        <v>8.73114913702011e-11</v>
      </c>
      <c r="BB24" s="323">
        <f>IF($AQ24-SUM(V24:$X24)&gt;0,$AQ24-SUM(V24:$X24),"")</f>
        <v>24360.1100000001</v>
      </c>
      <c r="BC24" s="323">
        <f>IF($AQ24-SUM(W24:$X24)&gt;0,$AQ24-SUM(W24:$X24),"")</f>
        <v>46070.1200000001</v>
      </c>
      <c r="BD24" s="276" t="s">
        <v>85</v>
      </c>
      <c r="BE24" s="277"/>
      <c r="BF24" s="91"/>
      <c r="BG24" s="10" t="s">
        <v>129</v>
      </c>
      <c r="BH24" s="10">
        <f t="shared" si="9"/>
        <v>188813.89</v>
      </c>
    </row>
    <row r="25" s="10" customFormat="1" ht="24.05" hidden="1" customHeight="1" spans="2:60">
      <c r="B25" s="48" t="s">
        <v>81</v>
      </c>
      <c r="C25" s="325" t="s">
        <v>130</v>
      </c>
      <c r="D25" s="46" t="s">
        <v>131</v>
      </c>
      <c r="E25" s="326">
        <v>-11076.8</v>
      </c>
      <c r="F25" s="332"/>
      <c r="G25" s="333"/>
      <c r="H25" s="333"/>
      <c r="I25" s="332"/>
      <c r="J25" s="333"/>
      <c r="K25" s="333">
        <v>9000</v>
      </c>
      <c r="L25" s="343">
        <f t="shared" si="0"/>
        <v>-2076.8</v>
      </c>
      <c r="M25" s="232"/>
      <c r="N25" s="233"/>
      <c r="O25" s="233"/>
      <c r="P25" s="233"/>
      <c r="Q25" s="233"/>
      <c r="R25" s="233"/>
      <c r="S25" s="233"/>
      <c r="T25" s="233"/>
      <c r="U25" s="233"/>
      <c r="V25" s="241">
        <v>2076.8</v>
      </c>
      <c r="W25" s="233"/>
      <c r="X25" s="233"/>
      <c r="Y25" s="354"/>
      <c r="Z25" s="310"/>
      <c r="AA25" s="310"/>
      <c r="AB25" s="310" t="s">
        <v>84</v>
      </c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65"/>
      <c r="AO25" s="266">
        <f t="shared" si="6"/>
        <v>0</v>
      </c>
      <c r="AP25" s="274">
        <f t="shared" si="7"/>
        <v>0</v>
      </c>
      <c r="AQ25" s="275">
        <f t="shared" si="1"/>
        <v>0</v>
      </c>
      <c r="AR25" s="359">
        <f t="shared" si="10"/>
        <v>6923.2</v>
      </c>
      <c r="AS25" s="359" t="str">
        <f t="shared" si="11"/>
        <v/>
      </c>
      <c r="AT25" s="360" t="str">
        <f t="shared" si="12"/>
        <v/>
      </c>
      <c r="AU25" s="323" t="str">
        <f t="shared" si="8"/>
        <v/>
      </c>
      <c r="AV25" s="323" t="str">
        <f t="shared" si="13"/>
        <v/>
      </c>
      <c r="AW25" s="323" t="str">
        <f>IF($AQ25-SUM(Q25:$X25)&gt;0,$AQ25-SUM(Q25:$X25),"")</f>
        <v/>
      </c>
      <c r="AX25" s="323" t="str">
        <f>IF($AQ25-SUM(R25:$X25)&gt;0,$AQ25-SUM(R25:$X25),"")</f>
        <v/>
      </c>
      <c r="AY25" s="323" t="str">
        <f>IF($AQ25-SUM(S25:$X25)&gt;0,$AQ25-SUM(S25:$X25),"")</f>
        <v/>
      </c>
      <c r="AZ25" s="323" t="str">
        <f>IF($AQ25-SUM(T25:$X25)&gt;0,$AQ25-SUM(T25:$X25),"")</f>
        <v/>
      </c>
      <c r="BA25" s="323" t="str">
        <f>IF($AQ25-SUM(U25:$X25)&gt;0,$AQ25-SUM(U25:$X25),"")</f>
        <v/>
      </c>
      <c r="BB25" s="323" t="str">
        <f>IF($AQ25-SUM(V25:$X25)&gt;0,$AQ25-SUM(V25:$X25),"")</f>
        <v/>
      </c>
      <c r="BC25" s="323" t="str">
        <f>IF($AQ25-SUM(W25:$X25)&gt;0,$AQ25-SUM(W25:$X25),"")</f>
        <v/>
      </c>
      <c r="BD25" s="276" t="s">
        <v>85</v>
      </c>
      <c r="BE25" s="277"/>
      <c r="BF25" s="91"/>
      <c r="BG25" s="10" t="s">
        <v>131</v>
      </c>
      <c r="BH25" s="10">
        <f t="shared" si="9"/>
        <v>0</v>
      </c>
    </row>
    <row r="26" s="10" customFormat="1" ht="24.05" customHeight="1" spans="2:60">
      <c r="B26" s="48" t="s">
        <v>81</v>
      </c>
      <c r="C26" s="325" t="s">
        <v>102</v>
      </c>
      <c r="D26" s="40" t="s">
        <v>103</v>
      </c>
      <c r="E26" s="326">
        <v>0.139999999664724</v>
      </c>
      <c r="F26" s="332">
        <v>83727.08</v>
      </c>
      <c r="G26" s="333">
        <v>103488.12</v>
      </c>
      <c r="H26" s="333">
        <v>109247.88</v>
      </c>
      <c r="I26" s="332"/>
      <c r="J26" s="333"/>
      <c r="K26" s="333"/>
      <c r="L26" s="343">
        <f t="shared" si="0"/>
        <v>0.139999999664724</v>
      </c>
      <c r="M26" s="232">
        <v>103253.96</v>
      </c>
      <c r="N26" s="232"/>
      <c r="O26" s="233">
        <f>143577.58+138429.96</f>
        <v>282007.54</v>
      </c>
      <c r="P26" s="233">
        <f>95208.32</f>
        <v>95208.32</v>
      </c>
      <c r="Q26" s="233"/>
      <c r="R26" s="233">
        <v>64734.62</v>
      </c>
      <c r="S26" s="233">
        <v>76707.42</v>
      </c>
      <c r="T26" s="233">
        <v>22941.32</v>
      </c>
      <c r="U26" s="233">
        <v>33766.26</v>
      </c>
      <c r="V26" s="233">
        <v>78991.44</v>
      </c>
      <c r="W26" s="233">
        <v>22471.7</v>
      </c>
      <c r="X26" s="233"/>
      <c r="Y26" s="354"/>
      <c r="Z26" s="310"/>
      <c r="AA26" s="310"/>
      <c r="AB26" s="310" t="s">
        <v>84</v>
      </c>
      <c r="AC26" s="250"/>
      <c r="AD26" s="250">
        <v>103253.98</v>
      </c>
      <c r="AE26" s="250"/>
      <c r="AF26" s="250">
        <v>282007.54</v>
      </c>
      <c r="AG26" s="250">
        <v>95208.32</v>
      </c>
      <c r="AH26" s="250">
        <v>30932.24</v>
      </c>
      <c r="AI26" s="250">
        <v>33802.38</v>
      </c>
      <c r="AJ26" s="250">
        <v>76707.4200000002</v>
      </c>
      <c r="AK26" s="250">
        <v>22941.32</v>
      </c>
      <c r="AL26" s="250">
        <v>33766.26</v>
      </c>
      <c r="AM26" s="250">
        <v>78991.44</v>
      </c>
      <c r="AN26" s="265">
        <v>22471.6999999996</v>
      </c>
      <c r="AO26" s="266">
        <f t="shared" si="6"/>
        <v>780082.72</v>
      </c>
      <c r="AP26" s="274">
        <f t="shared" si="7"/>
        <v>780082.6</v>
      </c>
      <c r="AQ26" s="275">
        <f t="shared" si="1"/>
        <v>0.119999999995343</v>
      </c>
      <c r="AR26" s="359" t="str">
        <f t="shared" si="10"/>
        <v/>
      </c>
      <c r="AS26" s="359" t="str">
        <f t="shared" si="11"/>
        <v/>
      </c>
      <c r="AT26" s="360" t="str">
        <f t="shared" si="12"/>
        <v/>
      </c>
      <c r="AU26" s="323" t="str">
        <f t="shared" si="8"/>
        <v/>
      </c>
      <c r="AV26" s="323" t="str">
        <f t="shared" si="13"/>
        <v/>
      </c>
      <c r="AW26" s="323" t="str">
        <f>IF($AQ26-SUM(Q26:$X26)&gt;0,$AQ26-SUM(Q26:$X26),"")</f>
        <v/>
      </c>
      <c r="AX26" s="323" t="str">
        <f>IF($AQ26-SUM(R26:$X26)&gt;0,$AQ26-SUM(R26:$X26),"")</f>
        <v/>
      </c>
      <c r="AY26" s="323" t="str">
        <f>IF($AQ26-SUM(S26:$X26)&gt;0,$AQ26-SUM(S26:$X26),"")</f>
        <v/>
      </c>
      <c r="AZ26" s="323" t="str">
        <f>IF($AQ26-SUM(T26:$X26)&gt;0,$AQ26-SUM(T26:$X26),"")</f>
        <v/>
      </c>
      <c r="BA26" s="323" t="str">
        <f>IF($AQ26-SUM(U26:$X26)&gt;0,$AQ26-SUM(U26:$X26),"")</f>
        <v/>
      </c>
      <c r="BB26" s="323" t="str">
        <f>IF($AQ26-SUM(V26:$X26)&gt;0,$AQ26-SUM(V26:$X26),"")</f>
        <v/>
      </c>
      <c r="BC26" s="323" t="str">
        <f>IF($AQ26-SUM(W26:$X26)&gt;0,$AQ26-SUM(W26:$X26),"")</f>
        <v/>
      </c>
      <c r="BD26" s="276" t="s">
        <v>104</v>
      </c>
      <c r="BE26" s="277"/>
      <c r="BF26" s="91"/>
      <c r="BG26" s="10" t="s">
        <v>103</v>
      </c>
      <c r="BH26" s="10">
        <f t="shared" si="9"/>
        <v>678619.44</v>
      </c>
    </row>
    <row r="27" s="10" customFormat="1" ht="24.05" customHeight="1" spans="2:60">
      <c r="B27" s="48" t="s">
        <v>81</v>
      </c>
      <c r="C27" s="325" t="s">
        <v>267</v>
      </c>
      <c r="D27" s="40" t="s">
        <v>268</v>
      </c>
      <c r="E27" s="326"/>
      <c r="F27" s="332"/>
      <c r="G27" s="333"/>
      <c r="H27" s="333"/>
      <c r="I27" s="332"/>
      <c r="J27" s="333"/>
      <c r="K27" s="333"/>
      <c r="L27" s="343"/>
      <c r="M27" s="232"/>
      <c r="N27" s="234"/>
      <c r="O27" s="233"/>
      <c r="P27" s="233"/>
      <c r="Q27" s="233"/>
      <c r="R27" s="233"/>
      <c r="S27" s="233"/>
      <c r="T27" s="233"/>
      <c r="U27" s="233">
        <v>180073.43</v>
      </c>
      <c r="V27" s="233"/>
      <c r="W27" s="233">
        <f>129620.04+27892.92</f>
        <v>157512.96</v>
      </c>
      <c r="X27" s="233">
        <v>36506.91</v>
      </c>
      <c r="Y27" s="354"/>
      <c r="Z27" s="310"/>
      <c r="AA27" s="310"/>
      <c r="AB27" s="310"/>
      <c r="AC27" s="250"/>
      <c r="AD27" s="250"/>
      <c r="AE27" s="250"/>
      <c r="AF27" s="250"/>
      <c r="AG27" s="250"/>
      <c r="AH27" s="250"/>
      <c r="AI27" s="250"/>
      <c r="AJ27" s="250">
        <v>79987.06</v>
      </c>
      <c r="AK27" s="250">
        <v>48607.52</v>
      </c>
      <c r="AL27" s="250">
        <v>51478.85</v>
      </c>
      <c r="AM27" s="250">
        <v>129620.04</v>
      </c>
      <c r="AN27" s="265">
        <v>27892.9200000001</v>
      </c>
      <c r="AO27" s="266">
        <f t="shared" si="6"/>
        <v>374093.3</v>
      </c>
      <c r="AP27" s="274">
        <f t="shared" si="7"/>
        <v>337586.39</v>
      </c>
      <c r="AQ27" s="275">
        <f t="shared" si="1"/>
        <v>36506.91</v>
      </c>
      <c r="AR27" s="359"/>
      <c r="AS27" s="359"/>
      <c r="AT27" s="360"/>
      <c r="AU27" s="323"/>
      <c r="AV27" s="323"/>
      <c r="AW27" s="323"/>
      <c r="AX27" s="323"/>
      <c r="AY27" s="323"/>
      <c r="AZ27" s="323" t="str">
        <f>IF($AQ27-SUM(T27:$X27)&gt;0,$AQ27-SUM(T27:$X27),"")</f>
        <v/>
      </c>
      <c r="BA27" s="323" t="str">
        <f>IF($AQ27-SUM(U27:$X27)&gt;0,$AQ27-SUM(U27:$X27),"")</f>
        <v/>
      </c>
      <c r="BB27" s="323" t="str">
        <f>IF($AQ27-SUM(V27:$X27)&gt;0,$AQ27-SUM(V27:$X27),"")</f>
        <v/>
      </c>
      <c r="BC27" s="323" t="str">
        <f>IF($AQ27-SUM(W27:$X27)&gt;0,$AQ27-SUM(W27:$X27),"")</f>
        <v/>
      </c>
      <c r="BD27" s="276"/>
      <c r="BE27" s="277"/>
      <c r="BF27" s="91"/>
      <c r="BG27" s="10" t="s">
        <v>268</v>
      </c>
      <c r="BH27" s="10">
        <f t="shared" si="9"/>
        <v>180073.43</v>
      </c>
    </row>
    <row r="28" s="10" customFormat="1" ht="24.05" customHeight="1" spans="2:60">
      <c r="B28" s="48" t="s">
        <v>81</v>
      </c>
      <c r="C28" s="325" t="s">
        <v>132</v>
      </c>
      <c r="D28" s="40" t="s">
        <v>133</v>
      </c>
      <c r="E28" s="326">
        <v>356135.57</v>
      </c>
      <c r="F28" s="332"/>
      <c r="G28" s="333"/>
      <c r="H28" s="333"/>
      <c r="I28" s="332"/>
      <c r="J28" s="333"/>
      <c r="K28" s="333"/>
      <c r="L28" s="343">
        <f t="shared" ref="L28:L49" si="14">SUM(I28:K28)+E28</f>
        <v>356135.57</v>
      </c>
      <c r="M28" s="232"/>
      <c r="N28" s="233">
        <v>64247.28</v>
      </c>
      <c r="O28" s="233">
        <v>513978.24</v>
      </c>
      <c r="P28" s="233">
        <v>53539.4</v>
      </c>
      <c r="Q28" s="233"/>
      <c r="R28" s="233"/>
      <c r="S28" s="233"/>
      <c r="T28" s="233"/>
      <c r="U28" s="233"/>
      <c r="V28" s="233"/>
      <c r="W28" s="233"/>
      <c r="X28" s="233">
        <v>-32123.64</v>
      </c>
      <c r="Y28" s="354"/>
      <c r="Z28" s="310"/>
      <c r="AA28" s="310"/>
      <c r="AB28" s="310" t="s">
        <v>84</v>
      </c>
      <c r="AC28" s="250"/>
      <c r="AD28" s="250">
        <v>127423.78</v>
      </c>
      <c r="AE28" s="250">
        <v>139202.44</v>
      </c>
      <c r="AF28" s="250">
        <v>451337.16</v>
      </c>
      <c r="AG28" s="250">
        <v>57822.56</v>
      </c>
      <c r="AH28" s="250">
        <v>32659.04</v>
      </c>
      <c r="AI28" s="250">
        <v>15526.42</v>
      </c>
      <c r="AJ28" s="250">
        <v>11778.6599999999</v>
      </c>
      <c r="AK28" s="250"/>
      <c r="AL28" s="250"/>
      <c r="AM28" s="250"/>
      <c r="AN28" s="265"/>
      <c r="AO28" s="266">
        <f t="shared" si="6"/>
        <v>955776.85</v>
      </c>
      <c r="AP28" s="274">
        <f t="shared" si="7"/>
        <v>835750.06</v>
      </c>
      <c r="AQ28" s="275">
        <f t="shared" ref="AQ28:AQ53" si="15">AO28-AP28</f>
        <v>120026.79</v>
      </c>
      <c r="AR28" s="359" t="str">
        <f t="shared" ref="AR28:AR51" si="16">IF(AQ28-SUM(M28:X28)+K28&gt;0,AQ28-SUM(M28:X28)+K28,"")</f>
        <v/>
      </c>
      <c r="AS28" s="359" t="str">
        <f t="shared" ref="AS28:AS51" si="17">IF(AQ28-SUM(M28:X28)&gt;0,AQ28-SUM(M28:X28),"")</f>
        <v/>
      </c>
      <c r="AT28" s="360" t="str">
        <f t="shared" ref="AT28:AT51" si="18">IF(AQ28-SUM(N28:X28)&gt;0,AQ28-SUM(N28:X28),"")</f>
        <v/>
      </c>
      <c r="AU28" s="323" t="str">
        <f t="shared" ref="AU28:AU39" si="19">IF(AQ28-SUM(O28:X28)&gt;0,AQ28-SUM(O28:X28),"")</f>
        <v/>
      </c>
      <c r="AV28" s="323">
        <f t="shared" ref="AV28:AV51" si="20">IF(AQ28-SUM(P28:X28)&gt;0,AQ28-SUM(P28:X28),"")</f>
        <v>98611.03</v>
      </c>
      <c r="AW28" s="323">
        <f>IF($AQ28-SUM(Q28:$X28)&gt;0,$AQ28-SUM(Q28:$X28),"")</f>
        <v>152150.43</v>
      </c>
      <c r="AX28" s="323">
        <f>IF($AQ28-SUM(R28:$X28)&gt;0,$AQ28-SUM(R28:$X28),"")</f>
        <v>152150.43</v>
      </c>
      <c r="AY28" s="323">
        <f>IF($AQ28-SUM(S28:$X28)&gt;0,$AQ28-SUM(S28:$X28),"")</f>
        <v>152150.43</v>
      </c>
      <c r="AZ28" s="323">
        <f>IF($AQ28-SUM(T28:$X28)&gt;0,$AQ28-SUM(T28:$X28),"")</f>
        <v>152150.43</v>
      </c>
      <c r="BA28" s="323">
        <f>IF($AQ28-SUM(U28:$X28)&gt;0,$AQ28-SUM(U28:$X28),"")</f>
        <v>152150.43</v>
      </c>
      <c r="BB28" s="323">
        <f>IF($AQ28-SUM(V28:$X28)&gt;0,$AQ28-SUM(V28:$X28),"")</f>
        <v>152150.43</v>
      </c>
      <c r="BC28" s="323">
        <f>IF($AQ28-SUM(W28:$X28)&gt;0,$AQ28-SUM(W28:$X28),"")</f>
        <v>152150.43</v>
      </c>
      <c r="BD28" s="276" t="s">
        <v>104</v>
      </c>
      <c r="BE28" s="277"/>
      <c r="BF28" s="91"/>
      <c r="BG28" s="10" t="s">
        <v>133</v>
      </c>
      <c r="BH28" s="10">
        <f t="shared" si="9"/>
        <v>631764.92</v>
      </c>
    </row>
    <row r="29" s="10" customFormat="1" ht="24.05" hidden="1" customHeight="1" spans="2:60">
      <c r="B29" s="48" t="s">
        <v>134</v>
      </c>
      <c r="C29" s="325">
        <v>1951024</v>
      </c>
      <c r="D29" s="46" t="s">
        <v>206</v>
      </c>
      <c r="E29" s="326">
        <v>0</v>
      </c>
      <c r="F29" s="332"/>
      <c r="G29" s="333"/>
      <c r="H29" s="333"/>
      <c r="I29" s="332"/>
      <c r="J29" s="333"/>
      <c r="K29" s="333"/>
      <c r="L29" s="343">
        <f t="shared" si="14"/>
        <v>0</v>
      </c>
      <c r="M29" s="232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354"/>
      <c r="Z29" s="310"/>
      <c r="AA29" s="310"/>
      <c r="AB29" s="310" t="s">
        <v>84</v>
      </c>
      <c r="AC29" s="250"/>
      <c r="AD29" s="250"/>
      <c r="AE29" s="250"/>
      <c r="AF29" s="250"/>
      <c r="AG29" s="250"/>
      <c r="AH29" s="250"/>
      <c r="AI29" s="250"/>
      <c r="AJ29" s="250"/>
      <c r="AK29" s="250"/>
      <c r="AL29" s="250"/>
      <c r="AM29" s="250"/>
      <c r="AN29" s="265"/>
      <c r="AO29" s="266">
        <f t="shared" si="6"/>
        <v>0</v>
      </c>
      <c r="AP29" s="274">
        <f t="shared" si="7"/>
        <v>0</v>
      </c>
      <c r="AQ29" s="275">
        <f t="shared" si="15"/>
        <v>0</v>
      </c>
      <c r="AR29" s="359" t="str">
        <f t="shared" si="16"/>
        <v/>
      </c>
      <c r="AS29" s="359" t="str">
        <f t="shared" si="17"/>
        <v/>
      </c>
      <c r="AT29" s="360" t="str">
        <f t="shared" si="18"/>
        <v/>
      </c>
      <c r="AU29" s="323" t="str">
        <f t="shared" si="19"/>
        <v/>
      </c>
      <c r="AV29" s="323" t="str">
        <f t="shared" si="20"/>
        <v/>
      </c>
      <c r="AW29" s="323" t="str">
        <f t="shared" ref="AW29:AW51" si="21">IF(AQ29-SUM(Q29:Y29)&gt;0,AQ29-SUM(Q29:Y29),"")</f>
        <v/>
      </c>
      <c r="AX29" s="323"/>
      <c r="AY29" s="323"/>
      <c r="AZ29" s="323"/>
      <c r="BA29" s="323"/>
      <c r="BB29" s="323"/>
      <c r="BC29" s="323"/>
      <c r="BD29" s="276" t="s">
        <v>111</v>
      </c>
      <c r="BE29" s="277"/>
      <c r="BF29" s="91"/>
      <c r="BG29" s="10" t="s">
        <v>206</v>
      </c>
      <c r="BH29" s="10">
        <f t="shared" si="9"/>
        <v>0</v>
      </c>
    </row>
    <row r="30" s="10" customFormat="1" ht="24.05" customHeight="1" spans="2:60">
      <c r="B30" s="48" t="s">
        <v>81</v>
      </c>
      <c r="C30" s="327" t="s">
        <v>136</v>
      </c>
      <c r="D30" s="328" t="s">
        <v>137</v>
      </c>
      <c r="E30" s="326">
        <v>57609.0899999999</v>
      </c>
      <c r="F30" s="332">
        <v>58699</v>
      </c>
      <c r="G30" s="333">
        <v>28075.84</v>
      </c>
      <c r="H30" s="333">
        <v>29533.25</v>
      </c>
      <c r="I30" s="332"/>
      <c r="J30" s="333"/>
      <c r="K30" s="333"/>
      <c r="L30" s="343">
        <f t="shared" si="14"/>
        <v>57609.0899999999</v>
      </c>
      <c r="M30" s="232">
        <f>95133.65+18018.98</f>
        <v>113152.63</v>
      </c>
      <c r="N30" s="233"/>
      <c r="O30" s="233">
        <f>97108.3+71346.7</f>
        <v>168455</v>
      </c>
      <c r="P30" s="233">
        <f>46653.58+67942.55</f>
        <v>114596.13</v>
      </c>
      <c r="Q30" s="233">
        <v>56137.51</v>
      </c>
      <c r="R30" s="233">
        <v>56179.98</v>
      </c>
      <c r="S30" s="233">
        <v>34606.56</v>
      </c>
      <c r="T30" s="233">
        <v>54289.65</v>
      </c>
      <c r="U30" s="233"/>
      <c r="V30" s="233">
        <f>51595.03+68134.05</f>
        <v>119729.08</v>
      </c>
      <c r="W30" s="233">
        <f>49448.8+47605.26</f>
        <v>97054.06</v>
      </c>
      <c r="X30" s="233"/>
      <c r="Y30" s="355"/>
      <c r="Z30" s="313"/>
      <c r="AA30" s="313"/>
      <c r="AB30" s="310" t="s">
        <v>84</v>
      </c>
      <c r="AC30" s="254"/>
      <c r="AD30" s="254"/>
      <c r="AE30" s="250">
        <v>60000</v>
      </c>
      <c r="AF30" s="250">
        <v>110761.72</v>
      </c>
      <c r="AG30" s="250">
        <v>100000</v>
      </c>
      <c r="AH30" s="250"/>
      <c r="AI30" s="250">
        <v>90000</v>
      </c>
      <c r="AJ30" s="250">
        <v>90000</v>
      </c>
      <c r="AK30" s="250">
        <f>59188.64+56179.98</f>
        <v>115368.62</v>
      </c>
      <c r="AL30" s="250"/>
      <c r="AM30" s="250"/>
      <c r="AN30" s="265"/>
      <c r="AO30" s="266">
        <f t="shared" si="6"/>
        <v>871809.69</v>
      </c>
      <c r="AP30" s="274">
        <f t="shared" si="7"/>
        <v>566130.34</v>
      </c>
      <c r="AQ30" s="275">
        <f t="shared" si="15"/>
        <v>305679.35</v>
      </c>
      <c r="AR30" s="359" t="str">
        <f t="shared" si="16"/>
        <v/>
      </c>
      <c r="AS30" s="359" t="str">
        <f t="shared" si="17"/>
        <v/>
      </c>
      <c r="AT30" s="360" t="str">
        <f t="shared" si="18"/>
        <v/>
      </c>
      <c r="AU30" s="323" t="str">
        <f t="shared" si="19"/>
        <v/>
      </c>
      <c r="AV30" s="323" t="str">
        <f t="shared" si="20"/>
        <v/>
      </c>
      <c r="AW30" s="323" t="str">
        <f>IF($AQ30-SUM(Q30:$X30)&gt;0,$AQ30-SUM(Q30:$X30),"")</f>
        <v/>
      </c>
      <c r="AX30" s="323" t="str">
        <f>IF($AQ30-SUM(R30:$X30)&gt;0,$AQ30-SUM(R30:$X30),"")</f>
        <v/>
      </c>
      <c r="AY30" s="323" t="str">
        <f>IF($AQ30-SUM(S30:$X30)&gt;0,$AQ30-SUM(S30:$X30),"")</f>
        <v/>
      </c>
      <c r="AZ30" s="323">
        <f>IF($AQ30-SUM(T30:$X30)&gt;0,$AQ30-SUM(T30:$X30),"")</f>
        <v>34606.5599999999</v>
      </c>
      <c r="BA30" s="323">
        <f>IF($AQ30-SUM(U30:$X30)&gt;0,$AQ30-SUM(U30:$X30),"")</f>
        <v>88896.21</v>
      </c>
      <c r="BB30" s="323">
        <f>IF($AQ30-SUM(V30:$X30)&gt;0,$AQ30-SUM(V30:$X30),"")</f>
        <v>88896.21</v>
      </c>
      <c r="BC30" s="323">
        <f>IF($AQ30-SUM(W30:$X30)&gt;0,$AQ30-SUM(W30:$X30),"")</f>
        <v>208625.29</v>
      </c>
      <c r="BD30" s="278" t="s">
        <v>85</v>
      </c>
      <c r="BE30" s="279"/>
      <c r="BF30" s="91"/>
      <c r="BG30" s="10" t="s">
        <v>137</v>
      </c>
      <c r="BH30" s="10">
        <f t="shared" si="9"/>
        <v>597417.46</v>
      </c>
    </row>
    <row r="31" s="10" customFormat="1" ht="24.05" hidden="1" customHeight="1" spans="2:60">
      <c r="B31" s="48" t="s">
        <v>81</v>
      </c>
      <c r="C31" s="327" t="s">
        <v>138</v>
      </c>
      <c r="D31" s="328" t="s">
        <v>139</v>
      </c>
      <c r="E31" s="326">
        <v>0</v>
      </c>
      <c r="F31" s="332"/>
      <c r="G31" s="333"/>
      <c r="H31" s="345"/>
      <c r="I31" s="332"/>
      <c r="J31" s="333"/>
      <c r="K31" s="345"/>
      <c r="L31" s="343">
        <f t="shared" si="14"/>
        <v>0</v>
      </c>
      <c r="M31" s="232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355"/>
      <c r="Z31" s="313"/>
      <c r="AA31" s="313"/>
      <c r="AB31" s="310" t="s">
        <v>84</v>
      </c>
      <c r="AC31" s="254"/>
      <c r="AD31" s="254"/>
      <c r="AE31" s="250"/>
      <c r="AF31" s="250"/>
      <c r="AG31" s="250"/>
      <c r="AH31" s="250"/>
      <c r="AI31" s="250"/>
      <c r="AJ31" s="250"/>
      <c r="AK31" s="250"/>
      <c r="AL31" s="250"/>
      <c r="AM31" s="250"/>
      <c r="AN31" s="265"/>
      <c r="AO31" s="266">
        <f t="shared" si="6"/>
        <v>0</v>
      </c>
      <c r="AP31" s="274">
        <f t="shared" si="7"/>
        <v>0</v>
      </c>
      <c r="AQ31" s="275">
        <f t="shared" si="15"/>
        <v>0</v>
      </c>
      <c r="AR31" s="359" t="str">
        <f t="shared" si="16"/>
        <v/>
      </c>
      <c r="AS31" s="359" t="str">
        <f t="shared" si="17"/>
        <v/>
      </c>
      <c r="AT31" s="360" t="str">
        <f t="shared" si="18"/>
        <v/>
      </c>
      <c r="AU31" s="323" t="str">
        <f t="shared" si="19"/>
        <v/>
      </c>
      <c r="AV31" s="323" t="str">
        <f t="shared" si="20"/>
        <v/>
      </c>
      <c r="AW31" s="323" t="str">
        <f t="shared" si="21"/>
        <v/>
      </c>
      <c r="AX31" s="323"/>
      <c r="AY31" s="323"/>
      <c r="AZ31" s="323"/>
      <c r="BA31" s="323"/>
      <c r="BB31" s="323"/>
      <c r="BC31" s="323"/>
      <c r="BD31" s="278" t="s">
        <v>101</v>
      </c>
      <c r="BE31" s="279"/>
      <c r="BF31" s="91"/>
      <c r="BG31" s="10" t="s">
        <v>139</v>
      </c>
      <c r="BH31" s="10">
        <f t="shared" si="9"/>
        <v>0</v>
      </c>
    </row>
    <row r="32" s="10" customFormat="1" ht="24.05" hidden="1" customHeight="1" spans="2:60">
      <c r="B32" s="48" t="s">
        <v>81</v>
      </c>
      <c r="C32" s="327" t="s">
        <v>140</v>
      </c>
      <c r="D32" s="328" t="s">
        <v>141</v>
      </c>
      <c r="E32" s="326">
        <v>0</v>
      </c>
      <c r="F32" s="332"/>
      <c r="G32" s="333"/>
      <c r="H32" s="345"/>
      <c r="I32" s="332"/>
      <c r="J32" s="333"/>
      <c r="K32" s="345"/>
      <c r="L32" s="343">
        <f t="shared" si="14"/>
        <v>0</v>
      </c>
      <c r="M32" s="232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355"/>
      <c r="Z32" s="313"/>
      <c r="AA32" s="313"/>
      <c r="AB32" s="310" t="s">
        <v>84</v>
      </c>
      <c r="AC32" s="254"/>
      <c r="AD32" s="254"/>
      <c r="AE32" s="250"/>
      <c r="AF32" s="250"/>
      <c r="AG32" s="250"/>
      <c r="AH32" s="250"/>
      <c r="AI32" s="250"/>
      <c r="AJ32" s="250"/>
      <c r="AK32" s="250"/>
      <c r="AL32" s="250"/>
      <c r="AM32" s="250"/>
      <c r="AN32" s="265"/>
      <c r="AO32" s="266">
        <f t="shared" si="6"/>
        <v>0</v>
      </c>
      <c r="AP32" s="274">
        <f t="shared" si="7"/>
        <v>0</v>
      </c>
      <c r="AQ32" s="275">
        <f t="shared" si="15"/>
        <v>0</v>
      </c>
      <c r="AR32" s="359" t="str">
        <f t="shared" si="16"/>
        <v/>
      </c>
      <c r="AS32" s="359" t="str">
        <f t="shared" si="17"/>
        <v/>
      </c>
      <c r="AT32" s="360" t="str">
        <f t="shared" si="18"/>
        <v/>
      </c>
      <c r="AU32" s="323" t="str">
        <f t="shared" si="19"/>
        <v/>
      </c>
      <c r="AV32" s="323" t="str">
        <f t="shared" si="20"/>
        <v/>
      </c>
      <c r="AW32" s="323" t="str">
        <f t="shared" si="21"/>
        <v/>
      </c>
      <c r="AX32" s="323"/>
      <c r="AY32" s="323"/>
      <c r="AZ32" s="323"/>
      <c r="BA32" s="323"/>
      <c r="BB32" s="323"/>
      <c r="BC32" s="323"/>
      <c r="BD32" s="278" t="s">
        <v>101</v>
      </c>
      <c r="BE32" s="279"/>
      <c r="BF32" s="91"/>
      <c r="BG32" s="10" t="s">
        <v>141</v>
      </c>
      <c r="BH32" s="10">
        <f t="shared" si="9"/>
        <v>0</v>
      </c>
    </row>
    <row r="33" s="10" customFormat="1" ht="24.05" hidden="1" customHeight="1" spans="2:60">
      <c r="B33" s="48" t="s">
        <v>81</v>
      </c>
      <c r="C33" s="319" t="s">
        <v>177</v>
      </c>
      <c r="D33" s="328" t="s">
        <v>178</v>
      </c>
      <c r="E33" s="326">
        <v>0</v>
      </c>
      <c r="F33" s="332"/>
      <c r="G33" s="333"/>
      <c r="H33" s="345"/>
      <c r="I33" s="332"/>
      <c r="J33" s="333"/>
      <c r="K33" s="333"/>
      <c r="L33" s="343">
        <f t="shared" si="14"/>
        <v>0</v>
      </c>
      <c r="M33" s="232"/>
      <c r="N33" s="233"/>
      <c r="O33" s="233"/>
      <c r="P33" s="233"/>
      <c r="Q33" s="233"/>
      <c r="R33" s="233"/>
      <c r="S33" s="233"/>
      <c r="T33" s="233"/>
      <c r="U33" s="233"/>
      <c r="V33" s="233"/>
      <c r="W33" s="233"/>
      <c r="X33" s="233"/>
      <c r="Y33" s="355"/>
      <c r="Z33" s="313"/>
      <c r="AA33" s="313"/>
      <c r="AB33" s="310" t="s">
        <v>84</v>
      </c>
      <c r="AC33" s="254"/>
      <c r="AD33" s="254"/>
      <c r="AE33" s="254"/>
      <c r="AF33" s="254"/>
      <c r="AG33" s="254"/>
      <c r="AH33" s="254"/>
      <c r="AI33" s="254"/>
      <c r="AJ33" s="254"/>
      <c r="AK33" s="254"/>
      <c r="AL33" s="254"/>
      <c r="AM33" s="254"/>
      <c r="AN33" s="267"/>
      <c r="AO33" s="266">
        <f t="shared" si="6"/>
        <v>0</v>
      </c>
      <c r="AP33" s="274">
        <f t="shared" si="7"/>
        <v>0</v>
      </c>
      <c r="AQ33" s="275">
        <f t="shared" si="15"/>
        <v>0</v>
      </c>
      <c r="AR33" s="359" t="str">
        <f t="shared" si="16"/>
        <v/>
      </c>
      <c r="AS33" s="359" t="str">
        <f t="shared" si="17"/>
        <v/>
      </c>
      <c r="AT33" s="360" t="str">
        <f t="shared" si="18"/>
        <v/>
      </c>
      <c r="AU33" s="323" t="str">
        <f t="shared" si="19"/>
        <v/>
      </c>
      <c r="AV33" s="323" t="str">
        <f t="shared" si="20"/>
        <v/>
      </c>
      <c r="AW33" s="323" t="str">
        <f t="shared" si="21"/>
        <v/>
      </c>
      <c r="AX33" s="323"/>
      <c r="AY33" s="323"/>
      <c r="AZ33" s="323"/>
      <c r="BA33" s="323"/>
      <c r="BB33" s="323"/>
      <c r="BC33" s="323"/>
      <c r="BD33" s="278"/>
      <c r="BE33" s="279"/>
      <c r="BF33" s="91"/>
      <c r="BG33" s="10" t="s">
        <v>178</v>
      </c>
      <c r="BH33" s="10">
        <f t="shared" si="9"/>
        <v>0</v>
      </c>
    </row>
    <row r="34" s="10" customFormat="1" ht="24.05" hidden="1" customHeight="1" spans="2:60">
      <c r="B34" s="48" t="s">
        <v>81</v>
      </c>
      <c r="C34" s="319" t="s">
        <v>179</v>
      </c>
      <c r="D34" s="328" t="s">
        <v>180</v>
      </c>
      <c r="E34" s="326">
        <v>209276</v>
      </c>
      <c r="F34" s="332">
        <v>209276</v>
      </c>
      <c r="G34" s="333"/>
      <c r="H34" s="345"/>
      <c r="I34" s="332"/>
      <c r="J34" s="333"/>
      <c r="K34" s="333"/>
      <c r="L34" s="343">
        <f t="shared" si="14"/>
        <v>209276</v>
      </c>
      <c r="M34" s="232"/>
      <c r="N34" s="233"/>
      <c r="O34" s="233"/>
      <c r="P34" s="233"/>
      <c r="Q34" s="233"/>
      <c r="R34" s="233"/>
      <c r="S34" s="233"/>
      <c r="T34" s="233"/>
      <c r="U34" s="233"/>
      <c r="V34" s="233"/>
      <c r="W34" s="233"/>
      <c r="X34" s="233"/>
      <c r="Y34" s="355"/>
      <c r="Z34" s="313"/>
      <c r="AA34" s="313"/>
      <c r="AB34" s="310" t="s">
        <v>84</v>
      </c>
      <c r="AC34" s="254">
        <v>109276</v>
      </c>
      <c r="AD34" s="254"/>
      <c r="AE34" s="254">
        <v>100000</v>
      </c>
      <c r="AF34" s="254"/>
      <c r="AG34" s="254"/>
      <c r="AH34" s="254"/>
      <c r="AI34" s="254"/>
      <c r="AJ34" s="254"/>
      <c r="AK34" s="254"/>
      <c r="AL34" s="254"/>
      <c r="AM34" s="254"/>
      <c r="AN34" s="267"/>
      <c r="AO34" s="266">
        <f t="shared" si="6"/>
        <v>209276</v>
      </c>
      <c r="AP34" s="274">
        <f t="shared" si="7"/>
        <v>209276</v>
      </c>
      <c r="AQ34" s="275">
        <f t="shared" si="15"/>
        <v>0</v>
      </c>
      <c r="AR34" s="359" t="str">
        <f t="shared" si="16"/>
        <v/>
      </c>
      <c r="AS34" s="359" t="str">
        <f t="shared" si="17"/>
        <v/>
      </c>
      <c r="AT34" s="360" t="str">
        <f t="shared" si="18"/>
        <v/>
      </c>
      <c r="AU34" s="323" t="str">
        <f t="shared" si="19"/>
        <v/>
      </c>
      <c r="AV34" s="323" t="str">
        <f t="shared" si="20"/>
        <v/>
      </c>
      <c r="AW34" s="323" t="str">
        <f t="shared" si="21"/>
        <v/>
      </c>
      <c r="AX34" s="323"/>
      <c r="AY34" s="323"/>
      <c r="AZ34" s="323"/>
      <c r="BA34" s="323"/>
      <c r="BB34" s="323"/>
      <c r="BC34" s="323"/>
      <c r="BD34" s="278" t="s">
        <v>85</v>
      </c>
      <c r="BE34" s="279"/>
      <c r="BF34" s="91"/>
      <c r="BG34" s="10" t="s">
        <v>180</v>
      </c>
      <c r="BH34" s="10">
        <f t="shared" si="9"/>
        <v>0</v>
      </c>
    </row>
    <row r="35" s="10" customFormat="1" ht="24.05" hidden="1" customHeight="1" spans="2:60">
      <c r="B35" s="48" t="s">
        <v>81</v>
      </c>
      <c r="C35" s="319" t="s">
        <v>181</v>
      </c>
      <c r="D35" s="328" t="s">
        <v>182</v>
      </c>
      <c r="E35" s="326">
        <v>-66613.69</v>
      </c>
      <c r="F35" s="332"/>
      <c r="G35" s="333"/>
      <c r="H35" s="345"/>
      <c r="I35" s="332">
        <v>35934</v>
      </c>
      <c r="J35" s="333">
        <v>7627.5</v>
      </c>
      <c r="K35" s="344">
        <v>23052.19</v>
      </c>
      <c r="L35" s="343">
        <f t="shared" si="14"/>
        <v>0</v>
      </c>
      <c r="M35" s="232"/>
      <c r="N35" s="233"/>
      <c r="O35" s="233"/>
      <c r="P35" s="233"/>
      <c r="Q35" s="233"/>
      <c r="R35" s="233"/>
      <c r="S35" s="233"/>
      <c r="T35" s="233"/>
      <c r="U35" s="233"/>
      <c r="V35" s="233"/>
      <c r="W35" s="233"/>
      <c r="X35" s="233"/>
      <c r="Y35" s="355"/>
      <c r="Z35" s="313"/>
      <c r="AA35" s="313"/>
      <c r="AB35" s="310" t="s">
        <v>84</v>
      </c>
      <c r="AC35" s="254"/>
      <c r="AD35" s="254"/>
      <c r="AE35" s="254"/>
      <c r="AF35" s="254"/>
      <c r="AG35" s="254"/>
      <c r="AH35" s="254"/>
      <c r="AI35" s="254"/>
      <c r="AJ35" s="254"/>
      <c r="AK35" s="254"/>
      <c r="AL35" s="254"/>
      <c r="AM35" s="254"/>
      <c r="AN35" s="267"/>
      <c r="AO35" s="266">
        <f t="shared" si="6"/>
        <v>0</v>
      </c>
      <c r="AP35" s="274">
        <f t="shared" si="7"/>
        <v>0</v>
      </c>
      <c r="AQ35" s="275">
        <f t="shared" si="15"/>
        <v>0</v>
      </c>
      <c r="AR35" s="359">
        <f t="shared" si="16"/>
        <v>23052.19</v>
      </c>
      <c r="AS35" s="359" t="str">
        <f t="shared" si="17"/>
        <v/>
      </c>
      <c r="AT35" s="360" t="str">
        <f t="shared" si="18"/>
        <v/>
      </c>
      <c r="AU35" s="323" t="str">
        <f t="shared" si="19"/>
        <v/>
      </c>
      <c r="AV35" s="323" t="str">
        <f t="shared" si="20"/>
        <v/>
      </c>
      <c r="AW35" s="323" t="str">
        <f>IF($AQ35-SUM(Q35:$X35)&gt;0,$AQ35-SUM(Q35:$X35),"")</f>
        <v/>
      </c>
      <c r="AX35" s="323" t="str">
        <f>IF($AQ35-SUM(R35:$X35)&gt;0,$AQ35-SUM(R35:$X35),"")</f>
        <v/>
      </c>
      <c r="AY35" s="323" t="str">
        <f>IF($AQ35-SUM(S35:$X35)&gt;0,$AQ35-SUM(S35:$X35),"")</f>
        <v/>
      </c>
      <c r="AZ35" s="323" t="str">
        <f>IF($AQ35-SUM(T35:$X35)&gt;0,$AQ35-SUM(T35:$X35),"")</f>
        <v/>
      </c>
      <c r="BA35" s="323" t="str">
        <f>IF($AQ35-SUM(U35:$X35)&gt;0,$AQ35-SUM(U35:$X35),"")</f>
        <v/>
      </c>
      <c r="BB35" s="323" t="str">
        <f>IF($AQ35-SUM(V35:$X35)&gt;0,$AQ35-SUM(V35:$X35),"")</f>
        <v/>
      </c>
      <c r="BC35" s="323" t="str">
        <f>IF($AQ35-SUM(W35:$X35)&gt;0,$AQ35-SUM(W35:$X35),"")</f>
        <v/>
      </c>
      <c r="BD35" s="280" t="s">
        <v>96</v>
      </c>
      <c r="BE35" s="279"/>
      <c r="BF35" s="91"/>
      <c r="BG35" s="10" t="s">
        <v>182</v>
      </c>
      <c r="BH35" s="10">
        <f t="shared" si="9"/>
        <v>0</v>
      </c>
    </row>
    <row r="36" s="10" customFormat="1" ht="24.05" customHeight="1" spans="2:60">
      <c r="B36" s="48" t="s">
        <v>81</v>
      </c>
      <c r="C36" s="319" t="s">
        <v>184</v>
      </c>
      <c r="D36" s="328" t="s">
        <v>185</v>
      </c>
      <c r="E36" s="326">
        <v>0</v>
      </c>
      <c r="F36" s="332"/>
      <c r="G36" s="333"/>
      <c r="H36" s="345"/>
      <c r="I36" s="332"/>
      <c r="J36" s="333"/>
      <c r="K36" s="333"/>
      <c r="L36" s="343">
        <f t="shared" si="14"/>
        <v>0</v>
      </c>
      <c r="M36" s="232">
        <v>19074.4</v>
      </c>
      <c r="N36" s="233"/>
      <c r="O36" s="233">
        <v>22385.76</v>
      </c>
      <c r="P36" s="233"/>
      <c r="Q36" s="233">
        <v>24048.66</v>
      </c>
      <c r="R36" s="233"/>
      <c r="S36" s="233"/>
      <c r="T36" s="233"/>
      <c r="U36" s="233"/>
      <c r="V36" s="233">
        <f>44115.2+12486.5</f>
        <v>56601.7</v>
      </c>
      <c r="W36" s="233">
        <v>6611.86</v>
      </c>
      <c r="X36" s="233">
        <v>27360.46</v>
      </c>
      <c r="Y36" s="355"/>
      <c r="Z36" s="313"/>
      <c r="AA36" s="313"/>
      <c r="AB36" s="310" t="s">
        <v>84</v>
      </c>
      <c r="AC36" s="254"/>
      <c r="AD36" s="254"/>
      <c r="AE36" s="254">
        <v>18734.4</v>
      </c>
      <c r="AF36" s="254"/>
      <c r="AG36" s="254"/>
      <c r="AH36" s="254"/>
      <c r="AI36" s="254">
        <v>22725.76</v>
      </c>
      <c r="AJ36" s="254"/>
      <c r="AK36" s="254">
        <v>24048.66</v>
      </c>
      <c r="AL36" s="254">
        <v>44115.2</v>
      </c>
      <c r="AM36" s="254"/>
      <c r="AN36" s="267"/>
      <c r="AO36" s="266">
        <f t="shared" ref="AO36:AO52" si="22">SUM(L36:X36)</f>
        <v>156082.84</v>
      </c>
      <c r="AP36" s="274">
        <f t="shared" si="7"/>
        <v>109624.02</v>
      </c>
      <c r="AQ36" s="275">
        <f t="shared" si="15"/>
        <v>46458.82</v>
      </c>
      <c r="AR36" s="359" t="str">
        <f t="shared" si="16"/>
        <v/>
      </c>
      <c r="AS36" s="359" t="str">
        <f t="shared" si="17"/>
        <v/>
      </c>
      <c r="AT36" s="360" t="str">
        <f t="shared" si="18"/>
        <v/>
      </c>
      <c r="AU36" s="323" t="str">
        <f t="shared" si="19"/>
        <v/>
      </c>
      <c r="AV36" s="323" t="str">
        <f t="shared" si="20"/>
        <v/>
      </c>
      <c r="AW36" s="323" t="str">
        <f>IF($AQ36-SUM(Q36:$X36)&gt;0,$AQ36-SUM(Q36:$X36),"")</f>
        <v/>
      </c>
      <c r="AX36" s="323" t="str">
        <f>IF($AQ36-SUM(R36:$X36)&gt;0,$AQ36-SUM(R36:$X36),"")</f>
        <v/>
      </c>
      <c r="AY36" s="323" t="str">
        <f>IF($AQ36-SUM(S36:$X36)&gt;0,$AQ36-SUM(S36:$X36),"")</f>
        <v/>
      </c>
      <c r="AZ36" s="323" t="str">
        <f>IF($AQ36-SUM(T36:$X36)&gt;0,$AQ36-SUM(T36:$X36),"")</f>
        <v/>
      </c>
      <c r="BA36" s="323" t="str">
        <f>IF($AQ36-SUM(U36:$X36)&gt;0,$AQ36-SUM(U36:$X36),"")</f>
        <v/>
      </c>
      <c r="BB36" s="323" t="str">
        <f>IF($AQ36-SUM(V36:$X36)&gt;0,$AQ36-SUM(V36:$X36),"")</f>
        <v/>
      </c>
      <c r="BC36" s="323">
        <f>IF($AQ36-SUM(W36:$X36)&gt;0,$AQ36-SUM(W36:$X36),"")</f>
        <v>12486.5</v>
      </c>
      <c r="BD36" s="278"/>
      <c r="BE36" s="279"/>
      <c r="BF36" s="91"/>
      <c r="BG36" s="10" t="s">
        <v>185</v>
      </c>
      <c r="BH36" s="10">
        <f t="shared" si="9"/>
        <v>65508.82</v>
      </c>
    </row>
    <row r="37" s="10" customFormat="1" ht="24.05" hidden="1" customHeight="1" spans="2:60">
      <c r="B37" s="48" t="s">
        <v>81</v>
      </c>
      <c r="C37" s="319" t="s">
        <v>207</v>
      </c>
      <c r="D37" s="328" t="s">
        <v>208</v>
      </c>
      <c r="E37" s="326">
        <v>0</v>
      </c>
      <c r="F37" s="332"/>
      <c r="G37" s="333"/>
      <c r="H37" s="345"/>
      <c r="I37" s="332"/>
      <c r="J37" s="333"/>
      <c r="K37" s="333"/>
      <c r="L37" s="343">
        <f t="shared" si="14"/>
        <v>0</v>
      </c>
      <c r="M37" s="232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355"/>
      <c r="Z37" s="313"/>
      <c r="AA37" s="313"/>
      <c r="AB37" s="310"/>
      <c r="AC37" s="254"/>
      <c r="AD37" s="254"/>
      <c r="AE37" s="254"/>
      <c r="AF37" s="254"/>
      <c r="AG37" s="254"/>
      <c r="AH37" s="254"/>
      <c r="AI37" s="254"/>
      <c r="AJ37" s="254"/>
      <c r="AK37" s="254"/>
      <c r="AL37" s="254"/>
      <c r="AM37" s="254"/>
      <c r="AN37" s="267"/>
      <c r="AO37" s="266">
        <f t="shared" si="22"/>
        <v>0</v>
      </c>
      <c r="AP37" s="274">
        <f t="shared" ref="AP37:AP49" si="23">SUM(AC37:AN37)</f>
        <v>0</v>
      </c>
      <c r="AQ37" s="275">
        <f t="shared" si="15"/>
        <v>0</v>
      </c>
      <c r="AR37" s="359" t="str">
        <f t="shared" si="16"/>
        <v/>
      </c>
      <c r="AS37" s="359" t="str">
        <f t="shared" si="17"/>
        <v/>
      </c>
      <c r="AT37" s="360" t="str">
        <f t="shared" si="18"/>
        <v/>
      </c>
      <c r="AU37" s="323" t="str">
        <f t="shared" si="19"/>
        <v/>
      </c>
      <c r="AV37" s="323" t="str">
        <f t="shared" si="20"/>
        <v/>
      </c>
      <c r="AW37" s="323" t="str">
        <f t="shared" si="21"/>
        <v/>
      </c>
      <c r="AX37" s="323"/>
      <c r="AY37" s="323"/>
      <c r="AZ37" s="323"/>
      <c r="BA37" s="323"/>
      <c r="BB37" s="323"/>
      <c r="BC37" s="323"/>
      <c r="BD37" s="278"/>
      <c r="BE37" s="279"/>
      <c r="BF37" s="91"/>
      <c r="BG37" s="10" t="s">
        <v>208</v>
      </c>
      <c r="BH37" s="10">
        <f t="shared" si="9"/>
        <v>0</v>
      </c>
    </row>
    <row r="38" s="10" customFormat="1" ht="24.05" hidden="1" customHeight="1" spans="2:60">
      <c r="B38" s="48" t="s">
        <v>81</v>
      </c>
      <c r="C38" s="319" t="s">
        <v>209</v>
      </c>
      <c r="D38" s="328" t="s">
        <v>210</v>
      </c>
      <c r="E38" s="326">
        <v>0</v>
      </c>
      <c r="F38" s="332">
        <v>142380</v>
      </c>
      <c r="G38" s="333"/>
      <c r="H38" s="345"/>
      <c r="I38" s="332"/>
      <c r="J38" s="333"/>
      <c r="K38" s="333"/>
      <c r="L38" s="343">
        <f t="shared" si="14"/>
        <v>0</v>
      </c>
      <c r="M38" s="232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355"/>
      <c r="Z38" s="313"/>
      <c r="AA38" s="313"/>
      <c r="AB38" s="310"/>
      <c r="AC38" s="254"/>
      <c r="AD38" s="254"/>
      <c r="AE38" s="254"/>
      <c r="AF38" s="254"/>
      <c r="AG38" s="254"/>
      <c r="AH38" s="254"/>
      <c r="AI38" s="254"/>
      <c r="AJ38" s="254"/>
      <c r="AK38" s="254"/>
      <c r="AL38" s="254"/>
      <c r="AM38" s="254"/>
      <c r="AN38" s="267"/>
      <c r="AO38" s="266">
        <f t="shared" si="22"/>
        <v>0</v>
      </c>
      <c r="AP38" s="274">
        <f t="shared" si="23"/>
        <v>0</v>
      </c>
      <c r="AQ38" s="275">
        <f t="shared" si="15"/>
        <v>0</v>
      </c>
      <c r="AR38" s="359" t="str">
        <f t="shared" si="16"/>
        <v/>
      </c>
      <c r="AS38" s="359" t="str">
        <f t="shared" si="17"/>
        <v/>
      </c>
      <c r="AT38" s="360" t="str">
        <f t="shared" si="18"/>
        <v/>
      </c>
      <c r="AU38" s="323" t="str">
        <f t="shared" si="19"/>
        <v/>
      </c>
      <c r="AV38" s="323" t="str">
        <f t="shared" si="20"/>
        <v/>
      </c>
      <c r="AW38" s="323" t="str">
        <f t="shared" si="21"/>
        <v/>
      </c>
      <c r="AX38" s="323"/>
      <c r="AY38" s="323"/>
      <c r="AZ38" s="323"/>
      <c r="BA38" s="323"/>
      <c r="BB38" s="323"/>
      <c r="BC38" s="323"/>
      <c r="BD38" s="278" t="s">
        <v>222</v>
      </c>
      <c r="BE38" s="279"/>
      <c r="BF38" s="91"/>
      <c r="BG38" s="10" t="s">
        <v>210</v>
      </c>
      <c r="BH38" s="10">
        <f t="shared" si="9"/>
        <v>0</v>
      </c>
    </row>
    <row r="39" s="10" customFormat="1" ht="24.05" hidden="1" customHeight="1" spans="2:60">
      <c r="B39" s="48" t="s">
        <v>81</v>
      </c>
      <c r="C39" s="319" t="s">
        <v>211</v>
      </c>
      <c r="D39" s="328" t="e">
        <f t="array" ref="D39">[2]!'!数据!R319C4'</f>
        <v>#REF!</v>
      </c>
      <c r="E39" s="326">
        <v>0</v>
      </c>
      <c r="F39" s="332"/>
      <c r="G39" s="333"/>
      <c r="H39" s="345"/>
      <c r="I39" s="332"/>
      <c r="J39" s="333"/>
      <c r="K39" s="333"/>
      <c r="L39" s="343">
        <f t="shared" si="14"/>
        <v>0</v>
      </c>
      <c r="M39" s="232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355"/>
      <c r="Z39" s="313"/>
      <c r="AA39" s="313"/>
      <c r="AB39" s="310"/>
      <c r="AC39" s="254"/>
      <c r="AD39" s="254"/>
      <c r="AE39" s="254"/>
      <c r="AF39" s="254"/>
      <c r="AG39" s="254"/>
      <c r="AH39" s="254"/>
      <c r="AI39" s="254"/>
      <c r="AJ39" s="254"/>
      <c r="AK39" s="254"/>
      <c r="AL39" s="254"/>
      <c r="AM39" s="254"/>
      <c r="AN39" s="267"/>
      <c r="AO39" s="266">
        <f t="shared" si="22"/>
        <v>0</v>
      </c>
      <c r="AP39" s="274">
        <f t="shared" si="23"/>
        <v>0</v>
      </c>
      <c r="AQ39" s="275">
        <f t="shared" si="15"/>
        <v>0</v>
      </c>
      <c r="AR39" s="359" t="str">
        <f t="shared" si="16"/>
        <v/>
      </c>
      <c r="AS39" s="359" t="str">
        <f t="shared" si="17"/>
        <v/>
      </c>
      <c r="AT39" s="360" t="str">
        <f t="shared" si="18"/>
        <v/>
      </c>
      <c r="AU39" s="323" t="str">
        <f t="shared" si="19"/>
        <v/>
      </c>
      <c r="AV39" s="323" t="str">
        <f t="shared" si="20"/>
        <v/>
      </c>
      <c r="AW39" s="323" t="str">
        <f t="shared" si="21"/>
        <v/>
      </c>
      <c r="AX39" s="323"/>
      <c r="AY39" s="323"/>
      <c r="AZ39" s="323"/>
      <c r="BA39" s="323"/>
      <c r="BB39" s="323"/>
      <c r="BC39" s="323"/>
      <c r="BD39" s="278" t="s">
        <v>222</v>
      </c>
      <c r="BE39" s="279"/>
      <c r="BF39" s="91"/>
      <c r="BG39" s="10" t="s">
        <v>269</v>
      </c>
      <c r="BH39" s="10">
        <f t="shared" si="9"/>
        <v>0</v>
      </c>
    </row>
    <row r="40" s="10" customFormat="1" ht="24.05" customHeight="1" spans="2:60">
      <c r="B40" s="48" t="s">
        <v>81</v>
      </c>
      <c r="C40" s="319" t="s">
        <v>212</v>
      </c>
      <c r="D40" s="328" t="s">
        <v>213</v>
      </c>
      <c r="E40" s="326">
        <v>167395.48</v>
      </c>
      <c r="F40" s="332"/>
      <c r="G40" s="333">
        <v>167395.48</v>
      </c>
      <c r="H40" s="345"/>
      <c r="I40" s="332"/>
      <c r="J40" s="333"/>
      <c r="K40" s="333">
        <v>167395.48</v>
      </c>
      <c r="L40" s="343">
        <f t="shared" si="14"/>
        <v>334790.96</v>
      </c>
      <c r="M40" s="232">
        <v>167395.48</v>
      </c>
      <c r="N40" s="233">
        <f>167395.48+167395.48</f>
        <v>334790.96</v>
      </c>
      <c r="O40" s="233">
        <f>167395.48+167395.48</f>
        <v>334790.96</v>
      </c>
      <c r="P40" s="233"/>
      <c r="Q40" s="233"/>
      <c r="R40" s="233"/>
      <c r="S40" s="233">
        <v>167395.48</v>
      </c>
      <c r="T40" s="233">
        <v>167395.48</v>
      </c>
      <c r="U40" s="233">
        <v>167395.48</v>
      </c>
      <c r="V40" s="233">
        <v>167395.48</v>
      </c>
      <c r="W40" s="233">
        <v>167395.48</v>
      </c>
      <c r="X40" s="233"/>
      <c r="Y40" s="355"/>
      <c r="Z40" s="313"/>
      <c r="AA40" s="313"/>
      <c r="AB40" s="310"/>
      <c r="AC40" s="254">
        <v>167395.48</v>
      </c>
      <c r="AD40" s="254"/>
      <c r="AE40" s="254">
        <v>334790.96</v>
      </c>
      <c r="AF40" s="254"/>
      <c r="AG40" s="254">
        <v>502186.44</v>
      </c>
      <c r="AH40" s="254"/>
      <c r="AI40" s="254">
        <v>167395.48</v>
      </c>
      <c r="AJ40" s="254"/>
      <c r="AK40" s="254">
        <v>167395.48</v>
      </c>
      <c r="AL40" s="254"/>
      <c r="AM40" s="254"/>
      <c r="AN40" s="267">
        <v>334790.96</v>
      </c>
      <c r="AO40" s="266">
        <f t="shared" si="22"/>
        <v>2008745.76</v>
      </c>
      <c r="AP40" s="274">
        <f t="shared" si="23"/>
        <v>1673954.8</v>
      </c>
      <c r="AQ40" s="275">
        <f t="shared" si="15"/>
        <v>334790.96</v>
      </c>
      <c r="AR40" s="359" t="str">
        <f t="shared" si="16"/>
        <v/>
      </c>
      <c r="AS40" s="359" t="str">
        <f t="shared" si="17"/>
        <v/>
      </c>
      <c r="AT40" s="360" t="str">
        <f t="shared" si="18"/>
        <v/>
      </c>
      <c r="AU40" s="323" t="str">
        <f>IF(AQ40-SUM(P40:X40)&gt;0,AQ40-SUM(P40:X40),"")</f>
        <v/>
      </c>
      <c r="AV40" s="323">
        <f>IF($AQ40-SUM(Q40)&gt;0,$AQ40-SUM(Q40),"")</f>
        <v>334790.96</v>
      </c>
      <c r="AW40" s="323">
        <f>IF($AQ40-SUM(R40)&gt;0,$AQ40-SUM(R40),"")</f>
        <v>334790.96</v>
      </c>
      <c r="AX40" s="323">
        <f t="shared" ref="AX40:BC40" si="24">IF($AQ40-SUM(S40)&gt;0,$AQ40-SUM(S40),"")</f>
        <v>167395.48</v>
      </c>
      <c r="AY40" s="323">
        <f>IF($AQ40-SUM(U40)&gt;0,$AQ40-SUM(U40),"")</f>
        <v>167395.48</v>
      </c>
      <c r="AZ40" s="323">
        <f t="shared" si="24"/>
        <v>167395.48</v>
      </c>
      <c r="BA40" s="323">
        <f t="shared" si="24"/>
        <v>167395.48</v>
      </c>
      <c r="BB40" s="323">
        <f t="shared" si="24"/>
        <v>167395.48</v>
      </c>
      <c r="BC40" s="323">
        <f t="shared" si="24"/>
        <v>334790.96</v>
      </c>
      <c r="BD40" s="278" t="s">
        <v>101</v>
      </c>
      <c r="BE40" s="279"/>
      <c r="BF40" s="91"/>
      <c r="BG40" s="10" t="s">
        <v>213</v>
      </c>
      <c r="BH40" s="10">
        <f t="shared" si="9"/>
        <v>1339163.84</v>
      </c>
    </row>
    <row r="41" s="10" customFormat="1" ht="24.05" hidden="1" customHeight="1" spans="2:60">
      <c r="B41" s="48" t="s">
        <v>81</v>
      </c>
      <c r="C41" s="319" t="s">
        <v>237</v>
      </c>
      <c r="D41" s="328" t="s">
        <v>214</v>
      </c>
      <c r="E41" s="326">
        <v>8818.54</v>
      </c>
      <c r="F41" s="332">
        <v>8818.54</v>
      </c>
      <c r="G41" s="333"/>
      <c r="H41" s="345"/>
      <c r="I41" s="332"/>
      <c r="J41" s="333"/>
      <c r="K41" s="333"/>
      <c r="L41" s="343">
        <f t="shared" si="14"/>
        <v>8818.54</v>
      </c>
      <c r="M41" s="232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355"/>
      <c r="Z41" s="313"/>
      <c r="AA41" s="313"/>
      <c r="AB41" s="310"/>
      <c r="AC41" s="254"/>
      <c r="AD41" s="254"/>
      <c r="AE41" s="254">
        <v>8818.54</v>
      </c>
      <c r="AF41" s="254"/>
      <c r="AG41" s="254"/>
      <c r="AH41" s="254"/>
      <c r="AI41" s="254"/>
      <c r="AJ41" s="254"/>
      <c r="AK41" s="254"/>
      <c r="AL41" s="254"/>
      <c r="AM41" s="254"/>
      <c r="AN41" s="267"/>
      <c r="AO41" s="266">
        <f t="shared" si="22"/>
        <v>8818.54</v>
      </c>
      <c r="AP41" s="274">
        <f t="shared" si="23"/>
        <v>8818.54</v>
      </c>
      <c r="AQ41" s="275">
        <f t="shared" si="15"/>
        <v>0</v>
      </c>
      <c r="AR41" s="359" t="str">
        <f t="shared" si="16"/>
        <v/>
      </c>
      <c r="AS41" s="359" t="str">
        <f t="shared" si="17"/>
        <v/>
      </c>
      <c r="AT41" s="360" t="str">
        <f t="shared" si="18"/>
        <v/>
      </c>
      <c r="AU41" s="323" t="str">
        <f>IF(AQ41-SUM(O41:X41)&gt;0,AQ41-SUM(O41:X41),"")</f>
        <v/>
      </c>
      <c r="AV41" s="323" t="str">
        <f t="shared" si="20"/>
        <v/>
      </c>
      <c r="AW41" s="323" t="str">
        <f t="shared" si="21"/>
        <v/>
      </c>
      <c r="AX41" s="323"/>
      <c r="AY41" s="323"/>
      <c r="AZ41" s="323"/>
      <c r="BA41" s="323"/>
      <c r="BB41" s="323"/>
      <c r="BC41" s="323"/>
      <c r="BD41" s="278" t="s">
        <v>222</v>
      </c>
      <c r="BE41" s="279"/>
      <c r="BF41" s="91"/>
      <c r="BG41" s="10" t="s">
        <v>214</v>
      </c>
      <c r="BH41" s="10">
        <f t="shared" si="9"/>
        <v>0</v>
      </c>
    </row>
    <row r="42" s="10" customFormat="1" ht="24.05" customHeight="1" spans="2:60">
      <c r="B42" s="48" t="s">
        <v>81</v>
      </c>
      <c r="C42" s="319" t="s">
        <v>215</v>
      </c>
      <c r="D42" s="329" t="s">
        <v>216</v>
      </c>
      <c r="E42" s="330">
        <v>187357.92</v>
      </c>
      <c r="F42" s="334">
        <v>34739.55</v>
      </c>
      <c r="G42" s="335"/>
      <c r="H42" s="346"/>
      <c r="I42" s="334"/>
      <c r="J42" s="335"/>
      <c r="K42" s="335">
        <v>24634</v>
      </c>
      <c r="L42" s="343">
        <f t="shared" si="14"/>
        <v>211991.92</v>
      </c>
      <c r="M42" s="235"/>
      <c r="N42" s="236"/>
      <c r="O42" s="236">
        <v>45154.8</v>
      </c>
      <c r="P42" s="236">
        <v>17494.1</v>
      </c>
      <c r="Q42" s="236"/>
      <c r="R42" s="236">
        <f>11146.32+24408</f>
        <v>35554.32</v>
      </c>
      <c r="S42" s="236">
        <v>12204</v>
      </c>
      <c r="T42" s="236"/>
      <c r="U42" s="236"/>
      <c r="V42" s="236">
        <v>42307.2</v>
      </c>
      <c r="W42" s="236"/>
      <c r="X42" s="236">
        <v>34983.11</v>
      </c>
      <c r="Y42" s="355"/>
      <c r="Z42" s="313"/>
      <c r="AA42" s="313"/>
      <c r="AB42" s="313"/>
      <c r="AC42" s="254">
        <v>100000</v>
      </c>
      <c r="AD42" s="254"/>
      <c r="AE42" s="254">
        <v>50000</v>
      </c>
      <c r="AF42" s="254">
        <v>61991.92</v>
      </c>
      <c r="AG42" s="254"/>
      <c r="AH42" s="254"/>
      <c r="AI42" s="254">
        <v>20000</v>
      </c>
      <c r="AJ42" s="254"/>
      <c r="AK42" s="254">
        <v>42648.9</v>
      </c>
      <c r="AL42" s="254"/>
      <c r="AM42" s="254"/>
      <c r="AN42" s="267">
        <v>47758.32</v>
      </c>
      <c r="AO42" s="266">
        <f t="shared" si="22"/>
        <v>399689.45</v>
      </c>
      <c r="AP42" s="274">
        <f t="shared" si="23"/>
        <v>322399.14</v>
      </c>
      <c r="AQ42" s="275">
        <f t="shared" si="15"/>
        <v>77290.31</v>
      </c>
      <c r="AR42" s="359" t="str">
        <f>IF(AQ42-SUM(M42:X42)+K42+J42&gt;0,AQ42-SUM(M42:X42)+K42+J42,"")</f>
        <v/>
      </c>
      <c r="AS42" s="359" t="str">
        <f>IF(AQ42-SUM(M42:X42)+K42&gt;0,AQ42-SUM(M42:X42)+K42,"")</f>
        <v/>
      </c>
      <c r="AT42" s="360" t="str">
        <f>IF(AQ42-SUM(M42:X42)&gt;0,AQ42-SUM(M42:X42),"")</f>
        <v/>
      </c>
      <c r="AU42" s="323" t="str">
        <f>IF(AQ42-SUM(N42:X42)&gt;0,AQ42-SUM(N42:X42),"")</f>
        <v/>
      </c>
      <c r="AV42" s="323" t="str">
        <f>IF(AQ42-SUM(O42:X42)&gt;0,AQ42-SUM(O42:X42),"")</f>
        <v/>
      </c>
      <c r="AW42" s="323" t="str">
        <f>IF($AQ42-SUM(P42:$X42)&gt;0,$AQ42-SUM(P42:$X42),"")</f>
        <v/>
      </c>
      <c r="AX42" s="323" t="str">
        <f>IF($AQ42-SUM(Q42:$X42)&gt;0,$AQ42-SUM(Q42:$X42),"")</f>
        <v/>
      </c>
      <c r="AY42" s="323" t="str">
        <f>IF($AQ42-SUM(R42:$X42)&gt;0,$AQ42-SUM(R42:$X42),"")</f>
        <v/>
      </c>
      <c r="AZ42" s="323" t="str">
        <f>IF($AQ42-SUM(S42:$X42)&gt;0,$AQ42-SUM(S42:$X42),"")</f>
        <v/>
      </c>
      <c r="BA42" s="323" t="str">
        <f>IF($AQ42-SUM(T42:$X42)&gt;0,$AQ42-SUM(T42:$X42),"")</f>
        <v/>
      </c>
      <c r="BB42" s="323" t="str">
        <f>IF($AQ42-SUM(U42:$X42)&gt;0,$AQ42-SUM(U42:$X42),"")</f>
        <v/>
      </c>
      <c r="BC42" s="323" t="str">
        <f>IF($AQ42-SUM(V42:$X42)&gt;0,$AQ42-SUM(V42:$X42),"")</f>
        <v/>
      </c>
      <c r="BD42" s="281" t="s">
        <v>222</v>
      </c>
      <c r="BE42" s="279"/>
      <c r="BF42" s="91"/>
      <c r="BG42" s="10" t="s">
        <v>216</v>
      </c>
      <c r="BH42" s="10">
        <f t="shared" si="9"/>
        <v>110407.22</v>
      </c>
    </row>
    <row r="43" s="10" customFormat="1" ht="24.05" customHeight="1" spans="2:60">
      <c r="B43" s="48" t="s">
        <v>81</v>
      </c>
      <c r="C43" s="319" t="s">
        <v>217</v>
      </c>
      <c r="D43" s="329" t="s">
        <v>223</v>
      </c>
      <c r="E43" s="330">
        <v>45561.6</v>
      </c>
      <c r="F43" s="334">
        <v>25628.4</v>
      </c>
      <c r="G43" s="335"/>
      <c r="H43" s="346">
        <v>19933.2</v>
      </c>
      <c r="I43" s="334"/>
      <c r="J43" s="335"/>
      <c r="K43" s="335"/>
      <c r="L43" s="343">
        <f t="shared" si="14"/>
        <v>45561.6</v>
      </c>
      <c r="M43" s="235">
        <v>2600.8</v>
      </c>
      <c r="N43" s="236">
        <v>17351.38</v>
      </c>
      <c r="O43" s="236">
        <v>14233.25</v>
      </c>
      <c r="P43" s="236">
        <v>12814.2</v>
      </c>
      <c r="Q43" s="236">
        <v>10441.2</v>
      </c>
      <c r="R43" s="236"/>
      <c r="S43" s="236">
        <v>5695.2</v>
      </c>
      <c r="T43" s="236">
        <v>9492</v>
      </c>
      <c r="U43" s="236">
        <v>6644.4</v>
      </c>
      <c r="V43" s="236">
        <v>14475.3</v>
      </c>
      <c r="W43" s="236">
        <v>10915.8</v>
      </c>
      <c r="X43" s="236"/>
      <c r="Y43" s="355"/>
      <c r="Z43" s="313"/>
      <c r="AA43" s="313"/>
      <c r="AB43" s="313"/>
      <c r="AC43" s="254">
        <v>25628.4</v>
      </c>
      <c r="AD43" s="255">
        <v>5000</v>
      </c>
      <c r="AE43" s="254">
        <v>34885.38</v>
      </c>
      <c r="AF43" s="254"/>
      <c r="AG43" s="254">
        <v>14233.25</v>
      </c>
      <c r="AH43" s="254"/>
      <c r="AI43" s="254">
        <v>12814.2</v>
      </c>
      <c r="AJ43" s="254">
        <v>10441.2</v>
      </c>
      <c r="AK43" s="254"/>
      <c r="AL43" s="254"/>
      <c r="AM43" s="254"/>
      <c r="AN43" s="267">
        <v>21831.6</v>
      </c>
      <c r="AO43" s="266">
        <f t="shared" si="22"/>
        <v>150225.13</v>
      </c>
      <c r="AP43" s="274">
        <f t="shared" si="23"/>
        <v>124834.03</v>
      </c>
      <c r="AQ43" s="275">
        <f t="shared" si="15"/>
        <v>25391.1</v>
      </c>
      <c r="AR43" s="359" t="str">
        <f t="shared" si="16"/>
        <v/>
      </c>
      <c r="AS43" s="359" t="str">
        <f t="shared" si="17"/>
        <v/>
      </c>
      <c r="AT43" s="360" t="str">
        <f t="shared" si="18"/>
        <v/>
      </c>
      <c r="AU43" s="323" t="str">
        <f>IF(AQ43-SUM(P43:X43)&gt;0,AQ43-SUM(P43:X43),"")</f>
        <v/>
      </c>
      <c r="AV43" s="323" t="str">
        <f>IF(AQ43-SUM(Q43:X43)&gt;0,AQ43-SUM(Q43:X43),"")</f>
        <v/>
      </c>
      <c r="AW43" s="323">
        <f>IF(AQ43-SUM(Y43)&gt;0,AQ43-SUM(Y43),"")</f>
        <v>25391.1</v>
      </c>
      <c r="AX43" s="323">
        <f t="shared" ref="AX43:BC43" si="25">IF($AQ43-SUM(S43)&gt;0,$AQ43-SUM(S43),"")</f>
        <v>19695.9</v>
      </c>
      <c r="AY43" s="323">
        <f t="shared" si="25"/>
        <v>15899.1</v>
      </c>
      <c r="AZ43" s="323">
        <f t="shared" si="25"/>
        <v>18746.7</v>
      </c>
      <c r="BA43" s="323">
        <f t="shared" si="25"/>
        <v>10915.8</v>
      </c>
      <c r="BB43" s="323">
        <f t="shared" si="25"/>
        <v>14475.3</v>
      </c>
      <c r="BC43" s="323">
        <f t="shared" si="25"/>
        <v>25391.1</v>
      </c>
      <c r="BD43" s="281" t="s">
        <v>101</v>
      </c>
      <c r="BE43" s="279"/>
      <c r="BF43" s="91"/>
      <c r="BG43" s="10" t="s">
        <v>223</v>
      </c>
      <c r="BH43" s="10">
        <f t="shared" si="9"/>
        <v>79272.43</v>
      </c>
    </row>
    <row r="44" s="10" customFormat="1" ht="24.05" hidden="1" customHeight="1" spans="2:60">
      <c r="B44" s="48" t="s">
        <v>81</v>
      </c>
      <c r="C44" s="319" t="s">
        <v>238</v>
      </c>
      <c r="D44" s="329" t="s">
        <v>219</v>
      </c>
      <c r="E44" s="330">
        <v>0</v>
      </c>
      <c r="F44" s="334"/>
      <c r="G44" s="335"/>
      <c r="H44" s="346"/>
      <c r="I44" s="334"/>
      <c r="J44" s="335"/>
      <c r="K44" s="335"/>
      <c r="L44" s="343">
        <f t="shared" si="14"/>
        <v>0</v>
      </c>
      <c r="M44" s="235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355"/>
      <c r="Z44" s="313"/>
      <c r="AA44" s="313"/>
      <c r="AB44" s="313"/>
      <c r="AC44" s="254"/>
      <c r="AD44" s="254"/>
      <c r="AE44" s="254"/>
      <c r="AF44" s="254"/>
      <c r="AG44" s="254"/>
      <c r="AH44" s="254"/>
      <c r="AI44" s="254"/>
      <c r="AJ44" s="254"/>
      <c r="AK44" s="254"/>
      <c r="AL44" s="254"/>
      <c r="AM44" s="254"/>
      <c r="AN44" s="267"/>
      <c r="AO44" s="266">
        <f t="shared" si="22"/>
        <v>0</v>
      </c>
      <c r="AP44" s="274">
        <f t="shared" si="23"/>
        <v>0</v>
      </c>
      <c r="AQ44" s="275">
        <f t="shared" si="15"/>
        <v>0</v>
      </c>
      <c r="AR44" s="359" t="str">
        <f t="shared" si="16"/>
        <v/>
      </c>
      <c r="AS44" s="359" t="str">
        <f t="shared" si="17"/>
        <v/>
      </c>
      <c r="AT44" s="360" t="str">
        <f t="shared" si="18"/>
        <v/>
      </c>
      <c r="AU44" s="323" t="str">
        <f>IF(AQ44-SUM(O44:X44)&gt;0,AQ44-SUM(O44:X44),"")</f>
        <v/>
      </c>
      <c r="AV44" s="323" t="str">
        <f t="shared" si="20"/>
        <v/>
      </c>
      <c r="AW44" s="323" t="str">
        <f t="shared" si="21"/>
        <v/>
      </c>
      <c r="AX44" s="322"/>
      <c r="AY44" s="322"/>
      <c r="AZ44" s="322"/>
      <c r="BA44" s="322"/>
      <c r="BB44" s="322"/>
      <c r="BC44" s="322"/>
      <c r="BD44" s="281" t="s">
        <v>101</v>
      </c>
      <c r="BE44" s="279"/>
      <c r="BF44" s="91"/>
      <c r="BG44" s="10" t="s">
        <v>219</v>
      </c>
      <c r="BH44" s="10">
        <f t="shared" si="9"/>
        <v>0</v>
      </c>
    </row>
    <row r="45" s="10" customFormat="1" ht="24.05" hidden="1" customHeight="1" spans="2:60">
      <c r="B45" s="48" t="s">
        <v>81</v>
      </c>
      <c r="C45" s="319" t="s">
        <v>239</v>
      </c>
      <c r="D45" s="329" t="s">
        <v>240</v>
      </c>
      <c r="E45" s="330">
        <v>0</v>
      </c>
      <c r="F45" s="334"/>
      <c r="G45" s="335"/>
      <c r="H45" s="346"/>
      <c r="I45" s="334"/>
      <c r="J45" s="335"/>
      <c r="K45" s="346"/>
      <c r="L45" s="343">
        <f t="shared" si="14"/>
        <v>0</v>
      </c>
      <c r="M45" s="235"/>
      <c r="N45" s="236"/>
      <c r="O45" s="236"/>
      <c r="P45" s="236"/>
      <c r="Q45" s="236"/>
      <c r="R45" s="236"/>
      <c r="S45" s="236"/>
      <c r="T45" s="242"/>
      <c r="U45" s="236"/>
      <c r="V45" s="236"/>
      <c r="W45" s="236"/>
      <c r="X45" s="236"/>
      <c r="Y45" s="355"/>
      <c r="Z45" s="313"/>
      <c r="AA45" s="313"/>
      <c r="AB45" s="313"/>
      <c r="AC45" s="254"/>
      <c r="AD45" s="254"/>
      <c r="AE45" s="254"/>
      <c r="AF45" s="254"/>
      <c r="AG45" s="254"/>
      <c r="AH45" s="254"/>
      <c r="AI45" s="254"/>
      <c r="AJ45" s="254"/>
      <c r="AK45" s="254"/>
      <c r="AL45" s="254"/>
      <c r="AM45" s="254"/>
      <c r="AN45" s="267"/>
      <c r="AO45" s="266">
        <f t="shared" si="22"/>
        <v>0</v>
      </c>
      <c r="AP45" s="274">
        <f t="shared" si="23"/>
        <v>0</v>
      </c>
      <c r="AQ45" s="275">
        <f t="shared" si="15"/>
        <v>0</v>
      </c>
      <c r="AR45" s="359" t="str">
        <f t="shared" si="16"/>
        <v/>
      </c>
      <c r="AS45" s="359" t="str">
        <f t="shared" si="17"/>
        <v/>
      </c>
      <c r="AT45" s="360" t="str">
        <f t="shared" si="18"/>
        <v/>
      </c>
      <c r="AU45" s="323" t="str">
        <f>IF(AQ45-SUM(O45:X45)&gt;0,AQ45-SUM(O45:X45),"")</f>
        <v/>
      </c>
      <c r="AV45" s="323" t="str">
        <f t="shared" si="20"/>
        <v/>
      </c>
      <c r="AW45" s="323" t="str">
        <f t="shared" si="21"/>
        <v/>
      </c>
      <c r="AX45" s="322"/>
      <c r="AY45" s="322"/>
      <c r="AZ45" s="322"/>
      <c r="BA45" s="322"/>
      <c r="BB45" s="322"/>
      <c r="BC45" s="322"/>
      <c r="BD45" s="281" t="s">
        <v>96</v>
      </c>
      <c r="BE45" s="279"/>
      <c r="BF45" s="91"/>
      <c r="BG45" s="10" t="s">
        <v>240</v>
      </c>
      <c r="BH45" s="10">
        <f t="shared" si="9"/>
        <v>0</v>
      </c>
    </row>
    <row r="46" s="10" customFormat="1" ht="24.05" hidden="1" customHeight="1" spans="2:60">
      <c r="B46" s="48" t="s">
        <v>81</v>
      </c>
      <c r="C46" s="319" t="s">
        <v>224</v>
      </c>
      <c r="D46" s="329" t="s">
        <v>225</v>
      </c>
      <c r="E46" s="330">
        <v>217742.87</v>
      </c>
      <c r="F46" s="334"/>
      <c r="G46" s="335"/>
      <c r="H46" s="346"/>
      <c r="I46" s="334"/>
      <c r="J46" s="335"/>
      <c r="K46" s="346"/>
      <c r="L46" s="343">
        <f t="shared" si="14"/>
        <v>217742.87</v>
      </c>
      <c r="M46" s="235">
        <v>45981.51</v>
      </c>
      <c r="N46" s="236"/>
      <c r="O46" s="236">
        <v>49586.66</v>
      </c>
      <c r="P46" s="236">
        <f>25069.28</f>
        <v>25069.28</v>
      </c>
      <c r="Q46" s="236"/>
      <c r="R46" s="236"/>
      <c r="S46" s="236"/>
      <c r="T46" s="242"/>
      <c r="U46" s="236"/>
      <c r="V46" s="236"/>
      <c r="W46" s="236"/>
      <c r="X46" s="236"/>
      <c r="Y46" s="355"/>
      <c r="Z46" s="313"/>
      <c r="AA46" s="313"/>
      <c r="AB46" s="313"/>
      <c r="AC46" s="254">
        <v>50000</v>
      </c>
      <c r="AD46" s="254"/>
      <c r="AE46" s="254">
        <v>100000</v>
      </c>
      <c r="AF46" s="254"/>
      <c r="AG46" s="254">
        <v>100000</v>
      </c>
      <c r="AH46" s="254"/>
      <c r="AI46" s="254"/>
      <c r="AJ46" s="254">
        <v>63311.04</v>
      </c>
      <c r="AK46" s="254">
        <v>25069.28</v>
      </c>
      <c r="AL46" s="254"/>
      <c r="AM46" s="254"/>
      <c r="AN46" s="267"/>
      <c r="AO46" s="266">
        <f t="shared" si="22"/>
        <v>338380.32</v>
      </c>
      <c r="AP46" s="274">
        <f t="shared" si="23"/>
        <v>338380.32</v>
      </c>
      <c r="AQ46" s="275">
        <f t="shared" si="15"/>
        <v>0</v>
      </c>
      <c r="AR46" s="359" t="str">
        <f>IF(AQ46-SUM(M46:X46)+K46+J46&gt;0,AQ46-SUM(M46:X46)+K46+J46,"")</f>
        <v/>
      </c>
      <c r="AS46" s="359" t="str">
        <f>IF(AQ46-SUM(M46:X46)+K46&gt;0,AQ46-SUM(M46:X46)+K46,"")</f>
        <v/>
      </c>
      <c r="AT46" s="360" t="str">
        <f>IF(AQ46-SUM(M46:X46)&gt;0,AQ46-SUM(M46:X46),"")</f>
        <v/>
      </c>
      <c r="AU46" s="323" t="str">
        <f>IF(AQ46-SUM(N46:X46)&gt;0,AQ46-SUM(N46:X46),"")</f>
        <v/>
      </c>
      <c r="AV46" s="323" t="str">
        <f>IF(AQ46-SUM(O46:X46)&gt;0,AQ46-SUM(O46:X46),"")</f>
        <v/>
      </c>
      <c r="AW46" s="323" t="str">
        <f>IF($AQ46-SUM(P46:$X46)&gt;0,$AQ46-SUM(P46:$X46),"")</f>
        <v/>
      </c>
      <c r="AX46" s="323" t="str">
        <f>IF($AQ46-SUM(Q46:$X46)&gt;0,$AQ46-SUM(Q46:$X46),"")</f>
        <v/>
      </c>
      <c r="AY46" s="323" t="str">
        <f>IF($AQ46-SUM(R46:$X46)&gt;0,$AQ46-SUM(R46:$X46),"")</f>
        <v/>
      </c>
      <c r="AZ46" s="323" t="str">
        <f>IF($AQ46-SUM(S46:$X46)&gt;0,$AQ46-SUM(S46:$X46),"")</f>
        <v/>
      </c>
      <c r="BA46" s="323" t="str">
        <f>IF($AQ46-SUM(T46:$X46)&gt;0,$AQ46-SUM(T46:$X46),"")</f>
        <v/>
      </c>
      <c r="BB46" s="322"/>
      <c r="BC46" s="322"/>
      <c r="BD46" s="281" t="s">
        <v>222</v>
      </c>
      <c r="BE46" s="279"/>
      <c r="BF46" s="91"/>
      <c r="BG46" s="10" t="s">
        <v>225</v>
      </c>
      <c r="BH46" s="10">
        <f t="shared" si="9"/>
        <v>120637.45</v>
      </c>
    </row>
    <row r="47" s="10" customFormat="1" ht="24.05" hidden="1" customHeight="1" spans="2:60">
      <c r="B47" s="48" t="s">
        <v>81</v>
      </c>
      <c r="C47" s="319" t="s">
        <v>226</v>
      </c>
      <c r="D47" s="329" t="s">
        <v>227</v>
      </c>
      <c r="E47" s="330">
        <v>6573.6</v>
      </c>
      <c r="F47" s="334">
        <v>5979.6</v>
      </c>
      <c r="G47" s="335"/>
      <c r="H47" s="346">
        <v>594</v>
      </c>
      <c r="I47" s="334"/>
      <c r="J47" s="335"/>
      <c r="K47" s="346"/>
      <c r="L47" s="343">
        <f t="shared" si="14"/>
        <v>6573.6</v>
      </c>
      <c r="M47" s="235"/>
      <c r="N47" s="236"/>
      <c r="O47" s="236"/>
      <c r="P47" s="236"/>
      <c r="Q47" s="236"/>
      <c r="R47" s="236"/>
      <c r="S47" s="236"/>
      <c r="T47" s="242"/>
      <c r="U47" s="236"/>
      <c r="V47" s="236"/>
      <c r="W47" s="236"/>
      <c r="X47" s="236"/>
      <c r="Y47" s="355"/>
      <c r="Z47" s="313"/>
      <c r="AA47" s="313"/>
      <c r="AB47" s="313"/>
      <c r="AC47" s="254"/>
      <c r="AD47" s="254"/>
      <c r="AE47" s="254">
        <v>6573.6</v>
      </c>
      <c r="AF47" s="254"/>
      <c r="AG47" s="254"/>
      <c r="AH47" s="254"/>
      <c r="AI47" s="254"/>
      <c r="AJ47" s="254"/>
      <c r="AK47" s="254"/>
      <c r="AL47" s="254"/>
      <c r="AM47" s="254"/>
      <c r="AN47" s="267"/>
      <c r="AO47" s="266">
        <f t="shared" si="22"/>
        <v>6573.6</v>
      </c>
      <c r="AP47" s="274">
        <f t="shared" si="23"/>
        <v>6573.6</v>
      </c>
      <c r="AQ47" s="275">
        <f t="shared" si="15"/>
        <v>0</v>
      </c>
      <c r="AR47" s="359" t="str">
        <f t="shared" si="16"/>
        <v/>
      </c>
      <c r="AS47" s="359" t="str">
        <f t="shared" si="17"/>
        <v/>
      </c>
      <c r="AT47" s="360" t="str">
        <f t="shared" si="18"/>
        <v/>
      </c>
      <c r="AU47" s="362"/>
      <c r="AV47" s="323" t="str">
        <f t="shared" si="20"/>
        <v/>
      </c>
      <c r="AW47" s="323" t="str">
        <f>IF(AQ47-SUM(Y47)&gt;0,AQ47-SUM(Y47),"")</f>
        <v/>
      </c>
      <c r="AX47" s="322"/>
      <c r="AY47" s="322"/>
      <c r="AZ47" s="322"/>
      <c r="BA47" s="322"/>
      <c r="BB47" s="322"/>
      <c r="BC47" s="322"/>
      <c r="BD47" s="281" t="s">
        <v>101</v>
      </c>
      <c r="BE47" s="279"/>
      <c r="BF47" s="91"/>
      <c r="BG47" s="10" t="s">
        <v>227</v>
      </c>
      <c r="BH47" s="10">
        <f t="shared" si="9"/>
        <v>0</v>
      </c>
    </row>
    <row r="48" s="10" customFormat="1" ht="24.05" customHeight="1" spans="2:60">
      <c r="B48" s="48" t="s">
        <v>81</v>
      </c>
      <c r="C48" s="319" t="s">
        <v>228</v>
      </c>
      <c r="D48" s="329" t="s">
        <v>229</v>
      </c>
      <c r="E48" s="330">
        <v>8018.39</v>
      </c>
      <c r="F48" s="334"/>
      <c r="G48" s="335">
        <v>8018.39</v>
      </c>
      <c r="H48" s="346"/>
      <c r="I48" s="334"/>
      <c r="J48" s="335"/>
      <c r="K48" s="346"/>
      <c r="L48" s="343">
        <f t="shared" si="14"/>
        <v>8018.39</v>
      </c>
      <c r="M48" s="235"/>
      <c r="N48" s="236"/>
      <c r="O48" s="236"/>
      <c r="P48" s="236"/>
      <c r="Q48" s="236"/>
      <c r="R48" s="236"/>
      <c r="S48" s="236"/>
      <c r="T48" s="242"/>
      <c r="U48" s="236"/>
      <c r="V48" s="236"/>
      <c r="W48" s="236"/>
      <c r="X48" s="236"/>
      <c r="Y48" s="355"/>
      <c r="Z48" s="313"/>
      <c r="AA48" s="313"/>
      <c r="AB48" s="313"/>
      <c r="AC48" s="254"/>
      <c r="AD48" s="254"/>
      <c r="AE48" s="256">
        <v>5500</v>
      </c>
      <c r="AF48" s="254"/>
      <c r="AG48" s="254"/>
      <c r="AH48" s="254"/>
      <c r="AI48" s="254"/>
      <c r="AJ48" s="254"/>
      <c r="AK48" s="254"/>
      <c r="AL48" s="254"/>
      <c r="AM48" s="254"/>
      <c r="AN48" s="267"/>
      <c r="AO48" s="266">
        <f t="shared" si="22"/>
        <v>8018.39</v>
      </c>
      <c r="AP48" s="274">
        <f t="shared" si="23"/>
        <v>5500</v>
      </c>
      <c r="AQ48" s="275">
        <f t="shared" si="15"/>
        <v>2518.39</v>
      </c>
      <c r="AR48" s="359">
        <f t="shared" si="16"/>
        <v>2518.39</v>
      </c>
      <c r="AS48" s="359">
        <f t="shared" si="17"/>
        <v>2518.39</v>
      </c>
      <c r="AT48" s="360">
        <f t="shared" si="18"/>
        <v>2518.39</v>
      </c>
      <c r="AU48" s="323">
        <f>AQ48-P48-O48</f>
        <v>2518.39</v>
      </c>
      <c r="AV48" s="323">
        <f t="shared" si="20"/>
        <v>2518.39</v>
      </c>
      <c r="AW48" s="323">
        <f>IF($AQ48-SUM(Q48:$X48)&gt;0,$AQ48-SUM(Q48:$X48),"")</f>
        <v>2518.39</v>
      </c>
      <c r="AX48" s="323">
        <f>IF($AQ48-SUM(R48:$X48)&gt;0,$AQ48-SUM(R48:$X48),"")</f>
        <v>2518.39</v>
      </c>
      <c r="AY48" s="323">
        <f>IF($AQ48-SUM(S48:$X48)&gt;0,$AQ48-SUM(S48:$X48),"")</f>
        <v>2518.39</v>
      </c>
      <c r="AZ48" s="323">
        <f>IF($AQ48-SUM(T48:$X48)&gt;0,$AQ48-SUM(T48:$X48),"")</f>
        <v>2518.39</v>
      </c>
      <c r="BA48" s="323">
        <f>IF($AQ48-SUM(U48:$X48)&gt;0,$AQ48-SUM(U48:$X48),"")</f>
        <v>2518.39</v>
      </c>
      <c r="BB48" s="323">
        <f>IF($AQ48-SUM(V48:$X48)&gt;0,$AQ48-SUM(V48:$X48),"")</f>
        <v>2518.39</v>
      </c>
      <c r="BC48" s="323">
        <f>IF($AQ48-SUM(W48:$X48)&gt;0,$AQ48-SUM(W48:$X48),"")</f>
        <v>2518.39</v>
      </c>
      <c r="BD48" s="281" t="s">
        <v>85</v>
      </c>
      <c r="BE48" s="279" t="s">
        <v>270</v>
      </c>
      <c r="BF48" s="91"/>
      <c r="BG48" s="10" t="s">
        <v>229</v>
      </c>
      <c r="BH48" s="10">
        <f t="shared" si="9"/>
        <v>0</v>
      </c>
    </row>
    <row r="49" s="10" customFormat="1" ht="24.05" customHeight="1" spans="2:60">
      <c r="B49" s="48" t="s">
        <v>81</v>
      </c>
      <c r="C49" s="325" t="s">
        <v>230</v>
      </c>
      <c r="D49" s="40" t="s">
        <v>231</v>
      </c>
      <c r="E49" s="326">
        <v>1103729.8</v>
      </c>
      <c r="F49" s="332"/>
      <c r="G49" s="333">
        <v>887312.2</v>
      </c>
      <c r="H49" s="333">
        <v>216417.6</v>
      </c>
      <c r="I49" s="332"/>
      <c r="J49" s="333"/>
      <c r="K49" s="333"/>
      <c r="L49" s="343">
        <f t="shared" si="14"/>
        <v>1103729.8</v>
      </c>
      <c r="M49" s="232">
        <v>289497.18</v>
      </c>
      <c r="N49" s="233"/>
      <c r="O49" s="233"/>
      <c r="P49" s="233"/>
      <c r="Q49" s="233">
        <f>38646+110295.68+110353.65</f>
        <v>259295.33</v>
      </c>
      <c r="R49" s="233">
        <f>108189.48*2</f>
        <v>216378.96</v>
      </c>
      <c r="S49" s="233">
        <f>23322.86+112942.94+112942.94+112942.94+112942.94</f>
        <v>475094.62</v>
      </c>
      <c r="T49" s="233">
        <f>86567.04+86470.43</f>
        <v>173037.47</v>
      </c>
      <c r="U49" s="233">
        <f>64867.31*2</f>
        <v>129734.62</v>
      </c>
      <c r="V49" s="233"/>
      <c r="W49" s="233">
        <f>85484.95+95223.74+108034.89+108092.86</f>
        <v>396836.44</v>
      </c>
      <c r="X49" s="233"/>
      <c r="Y49" s="354"/>
      <c r="Z49" s="310"/>
      <c r="AA49" s="310"/>
      <c r="AB49" s="310"/>
      <c r="AC49" s="250"/>
      <c r="AD49" s="250"/>
      <c r="AE49" s="250">
        <v>1020000</v>
      </c>
      <c r="AF49" s="250"/>
      <c r="AG49" s="250">
        <v>150000</v>
      </c>
      <c r="AH49" s="250"/>
      <c r="AI49" s="250"/>
      <c r="AJ49" s="250">
        <v>223226.98</v>
      </c>
      <c r="AK49" s="250"/>
      <c r="AL49" s="250"/>
      <c r="AM49" s="250">
        <v>470000</v>
      </c>
      <c r="AN49" s="265"/>
      <c r="AO49" s="266">
        <f t="shared" si="22"/>
        <v>3043604.42</v>
      </c>
      <c r="AP49" s="274">
        <f t="shared" si="23"/>
        <v>1863226.98</v>
      </c>
      <c r="AQ49" s="275">
        <f t="shared" si="15"/>
        <v>1180377.44</v>
      </c>
      <c r="AR49" s="359" t="str">
        <f>IF(AQ49-SUM(M49:X49)+K49+J49&gt;0,AQ49-SUM(M49:X49)+K49+J49,"")</f>
        <v/>
      </c>
      <c r="AS49" s="359" t="str">
        <f>IF(AQ49-SUM(M49:X49)+K49&gt;0,AQ49-SUM(M49:X49)+K49,"")</f>
        <v/>
      </c>
      <c r="AT49" s="360" t="str">
        <f t="shared" si="18"/>
        <v/>
      </c>
      <c r="AU49" s="323">
        <f>AQ49-P49-O49-N49</f>
        <v>1180377.44</v>
      </c>
      <c r="AV49" s="323" t="str">
        <f>IF(AQ49-SUM(O49:X49)&gt;0,AQ49-SUM(O49:X49),"")</f>
        <v/>
      </c>
      <c r="AW49" s="323" t="str">
        <f>IF($AQ49-SUM(P49:$X49)&gt;0,$AQ49-SUM(P49:$X49),"")</f>
        <v/>
      </c>
      <c r="AX49" s="323" t="str">
        <f>IF($AQ49-SUM(Q49:$X49)&gt;0,$AQ49-SUM(Q49:$X49),"")</f>
        <v/>
      </c>
      <c r="AY49" s="323" t="str">
        <f>IF($AQ49-SUM(R49:$X49)&gt;0,$AQ49-SUM(R49:$X49),"")</f>
        <v/>
      </c>
      <c r="AZ49" s="323">
        <f>IF($AQ49-SUM(S49:$X49)&gt;0,$AQ49-SUM(S49:$X49),"")</f>
        <v>5674.2900000005</v>
      </c>
      <c r="BA49" s="323">
        <f>IF($AQ49-SUM(T49:$X49)&gt;0,$AQ49-SUM(T49:$X49),"")</f>
        <v>480768.91</v>
      </c>
      <c r="BB49" s="323">
        <f>IF($AQ49-SUM(U49:$X49)&gt;0,$AQ49-SUM(U49:$X49),"")</f>
        <v>653806.38</v>
      </c>
      <c r="BC49" s="323">
        <f>IF($AQ49-SUM(V49:$X49)&gt;0,$AQ49-SUM(V49:$X49),"")</f>
        <v>783541</v>
      </c>
      <c r="BD49" s="276" t="s">
        <v>241</v>
      </c>
      <c r="BE49" s="277"/>
      <c r="BF49" s="91"/>
      <c r="BG49" s="10" t="s">
        <v>231</v>
      </c>
      <c r="BH49" s="10">
        <f t="shared" si="9"/>
        <v>1543038.18</v>
      </c>
    </row>
    <row r="50" s="10" customFormat="1" ht="24.05" customHeight="1" spans="2:60">
      <c r="B50" s="48" t="s">
        <v>81</v>
      </c>
      <c r="C50" s="320" t="s">
        <v>271</v>
      </c>
      <c r="D50" s="40" t="s">
        <v>272</v>
      </c>
      <c r="E50" s="326"/>
      <c r="F50" s="332"/>
      <c r="G50" s="333"/>
      <c r="H50" s="333"/>
      <c r="I50" s="332"/>
      <c r="J50" s="333"/>
      <c r="K50" s="333"/>
      <c r="L50" s="343"/>
      <c r="M50" s="232">
        <v>4214.9</v>
      </c>
      <c r="N50" s="233">
        <v>18419</v>
      </c>
      <c r="O50" s="233"/>
      <c r="P50" s="233"/>
      <c r="Q50" s="233">
        <v>9957.56</v>
      </c>
      <c r="R50" s="233"/>
      <c r="S50" s="233">
        <v>17325.16</v>
      </c>
      <c r="T50" s="233"/>
      <c r="U50" s="233">
        <v>14735.2</v>
      </c>
      <c r="V50" s="233">
        <v>9202.52</v>
      </c>
      <c r="W50" s="233">
        <v>6820.68</v>
      </c>
      <c r="X50" s="233"/>
      <c r="Y50" s="355"/>
      <c r="Z50" s="313"/>
      <c r="AA50" s="310"/>
      <c r="AB50" s="310"/>
      <c r="AC50" s="254"/>
      <c r="AD50" s="254"/>
      <c r="AE50" s="254"/>
      <c r="AF50" s="254"/>
      <c r="AG50" s="254">
        <v>22633.9</v>
      </c>
      <c r="AH50" s="254"/>
      <c r="AI50" s="254"/>
      <c r="AJ50" s="254"/>
      <c r="AK50" s="254"/>
      <c r="AL50" s="254"/>
      <c r="AM50" s="254"/>
      <c r="AN50" s="267">
        <v>27282.72</v>
      </c>
      <c r="AO50" s="266">
        <f t="shared" si="22"/>
        <v>80675.02</v>
      </c>
      <c r="AP50" s="274">
        <f t="shared" ref="AP50:AP53" si="26">SUM(AC50:AN50)</f>
        <v>49916.62</v>
      </c>
      <c r="AQ50" s="275">
        <f t="shared" si="15"/>
        <v>30758.4</v>
      </c>
      <c r="AR50" s="359" t="str">
        <f>IF(AQ50-SUM(M50:X50)+K50+J50&gt;0,AQ50-SUM(M50:X50)+K50+J50,"")</f>
        <v/>
      </c>
      <c r="AS50" s="359" t="str">
        <f>IF(AQ50-SUM(M50:X50)+K50&gt;0,AQ50-SUM(M50:X50)+K50,"")</f>
        <v/>
      </c>
      <c r="AT50" s="360" t="str">
        <f>IF(AQ50-SUM(M50:X50)&gt;0,AQ50-SUM(M50:X50),"")</f>
        <v/>
      </c>
      <c r="AU50" s="323" t="str">
        <f>IF(AQ50-SUM(N50:X50)&gt;0,AQ50-SUM(N50:X50),"")</f>
        <v/>
      </c>
      <c r="AV50" s="323" t="str">
        <f t="shared" si="20"/>
        <v/>
      </c>
      <c r="AW50" s="323" t="str">
        <f t="shared" si="21"/>
        <v/>
      </c>
      <c r="AX50" s="322"/>
      <c r="AY50" s="322"/>
      <c r="AZ50" s="323" t="str">
        <f>IF($AQ50-SUM(S50:$X50)&gt;0,$AQ50-SUM(S50:$X50),"")</f>
        <v/>
      </c>
      <c r="BA50" s="323" t="str">
        <f>IF($AQ50-SUM(T50:$X50)&gt;0,$AQ50-SUM(T50:$X50),"")</f>
        <v/>
      </c>
      <c r="BB50" s="323" t="str">
        <f>IF($AQ50-SUM(U50:$X50)&gt;0,$AQ50-SUM(U50:$X50),"")</f>
        <v/>
      </c>
      <c r="BC50" s="323">
        <f>IF($AQ50-SUM(V50:$X50)&gt;0,$AQ50-SUM(V50:$X50),"")</f>
        <v>14735.2</v>
      </c>
      <c r="BD50" s="281" t="s">
        <v>222</v>
      </c>
      <c r="BE50" s="279"/>
      <c r="BF50" s="91"/>
      <c r="BG50" s="10" t="s">
        <v>272</v>
      </c>
      <c r="BH50" s="10">
        <f t="shared" si="9"/>
        <v>64651.82</v>
      </c>
    </row>
    <row r="51" s="10" customFormat="1" ht="24.05" hidden="1" customHeight="1" spans="2:60">
      <c r="B51" s="48" t="s">
        <v>81</v>
      </c>
      <c r="C51" s="320"/>
      <c r="D51" s="40" t="s">
        <v>273</v>
      </c>
      <c r="E51" s="326"/>
      <c r="F51" s="332"/>
      <c r="G51" s="333"/>
      <c r="H51" s="333"/>
      <c r="I51" s="332"/>
      <c r="J51" s="333"/>
      <c r="K51" s="333"/>
      <c r="L51" s="343"/>
      <c r="M51" s="232"/>
      <c r="N51" s="233">
        <v>13085.4</v>
      </c>
      <c r="O51" s="233"/>
      <c r="P51" s="233"/>
      <c r="Q51" s="233"/>
      <c r="R51" s="233"/>
      <c r="S51" s="233"/>
      <c r="T51" s="233"/>
      <c r="U51" s="233"/>
      <c r="V51" s="233"/>
      <c r="W51" s="233"/>
      <c r="X51" s="233"/>
      <c r="Y51" s="355"/>
      <c r="Z51" s="313"/>
      <c r="AA51" s="310"/>
      <c r="AB51" s="310"/>
      <c r="AC51" s="254"/>
      <c r="AD51" s="254"/>
      <c r="AE51" s="254"/>
      <c r="AF51" s="254"/>
      <c r="AG51" s="254">
        <v>13085.4</v>
      </c>
      <c r="AH51" s="254"/>
      <c r="AI51" s="254"/>
      <c r="AJ51" s="254"/>
      <c r="AK51" s="254"/>
      <c r="AL51" s="254"/>
      <c r="AM51" s="254"/>
      <c r="AN51" s="267"/>
      <c r="AO51" s="266">
        <f t="shared" si="22"/>
        <v>13085.4</v>
      </c>
      <c r="AP51" s="274">
        <f t="shared" si="26"/>
        <v>13085.4</v>
      </c>
      <c r="AQ51" s="275">
        <f t="shared" si="15"/>
        <v>0</v>
      </c>
      <c r="AR51" s="359" t="str">
        <f t="shared" si="16"/>
        <v/>
      </c>
      <c r="AS51" s="359" t="str">
        <f t="shared" si="17"/>
        <v/>
      </c>
      <c r="AT51" s="360" t="str">
        <f t="shared" si="18"/>
        <v/>
      </c>
      <c r="AU51" s="323">
        <f>AQ51-P51-O51</f>
        <v>0</v>
      </c>
      <c r="AV51" s="323" t="str">
        <f t="shared" si="20"/>
        <v/>
      </c>
      <c r="AW51" s="323" t="str">
        <f t="shared" si="21"/>
        <v/>
      </c>
      <c r="AX51" s="323"/>
      <c r="AY51" s="323"/>
      <c r="AZ51" s="323" t="str">
        <f>IF($AQ51-SUM(S51:$X51)&gt;0,$AQ51-SUM(S51:$X51),"")</f>
        <v/>
      </c>
      <c r="BA51" s="323" t="str">
        <f>IF($AQ51-SUM(T51:$X51)&gt;0,$AQ51-SUM(T51:$X51),"")</f>
        <v/>
      </c>
      <c r="BB51" s="323"/>
      <c r="BC51" s="323"/>
      <c r="BD51" s="276"/>
      <c r="BE51" s="279"/>
      <c r="BF51" s="91"/>
      <c r="BG51" s="10" t="s">
        <v>273</v>
      </c>
      <c r="BH51" s="10">
        <f t="shared" si="9"/>
        <v>13085.4</v>
      </c>
    </row>
    <row r="52" s="10" customFormat="1" ht="24.05" customHeight="1" spans="2:60">
      <c r="B52" s="48" t="s">
        <v>81</v>
      </c>
      <c r="C52" s="320" t="s">
        <v>274</v>
      </c>
      <c r="D52" s="329" t="s">
        <v>275</v>
      </c>
      <c r="E52" s="326"/>
      <c r="F52" s="332"/>
      <c r="G52" s="333"/>
      <c r="H52" s="333"/>
      <c r="I52" s="332"/>
      <c r="J52" s="333"/>
      <c r="K52" s="333"/>
      <c r="L52" s="343"/>
      <c r="M52" s="232"/>
      <c r="N52" s="233"/>
      <c r="O52" s="233"/>
      <c r="P52" s="233"/>
      <c r="Q52" s="233"/>
      <c r="R52" s="233">
        <v>37916.02</v>
      </c>
      <c r="S52" s="233"/>
      <c r="T52" s="233">
        <v>62498.04</v>
      </c>
      <c r="U52" s="233">
        <v>62498.04</v>
      </c>
      <c r="V52" s="233">
        <v>104163.4</v>
      </c>
      <c r="W52" s="233">
        <f>52081.7+52081.7</f>
        <v>104163.4</v>
      </c>
      <c r="X52" s="233"/>
      <c r="Y52" s="355"/>
      <c r="Z52" s="313"/>
      <c r="AA52" s="310"/>
      <c r="AB52" s="310"/>
      <c r="AC52" s="254"/>
      <c r="AD52" s="254"/>
      <c r="AE52" s="254">
        <v>52081.7</v>
      </c>
      <c r="AF52" s="254"/>
      <c r="AG52" s="254"/>
      <c r="AH52" s="254"/>
      <c r="AI52" s="254">
        <v>48832.36</v>
      </c>
      <c r="AJ52" s="254"/>
      <c r="AK52" s="254"/>
      <c r="AL52" s="254"/>
      <c r="AM52" s="254"/>
      <c r="AN52" s="267"/>
      <c r="AO52" s="266">
        <f t="shared" si="22"/>
        <v>371238.9</v>
      </c>
      <c r="AP52" s="274">
        <f t="shared" si="26"/>
        <v>100914.06</v>
      </c>
      <c r="AQ52" s="275">
        <f t="shared" si="15"/>
        <v>270324.84</v>
      </c>
      <c r="AR52" s="359"/>
      <c r="AS52" s="359"/>
      <c r="AT52" s="360"/>
      <c r="AU52" s="323"/>
      <c r="AV52" s="323"/>
      <c r="AW52" s="323"/>
      <c r="AX52" s="323"/>
      <c r="AY52" s="323"/>
      <c r="AZ52" s="323" t="str">
        <f>IF($AQ52-SUM(S52:$X52)&gt;0,$AQ52-SUM(S52:$X52),"")</f>
        <v/>
      </c>
      <c r="BA52" s="323">
        <f t="shared" ref="BA52:BC52" si="27">IF($AQ52-SUM(V52)&gt;0,$AQ52-SUM(V52),"")</f>
        <v>166161.44</v>
      </c>
      <c r="BB52" s="323">
        <f t="shared" si="27"/>
        <v>166161.44</v>
      </c>
      <c r="BC52" s="323">
        <f t="shared" si="27"/>
        <v>270324.84</v>
      </c>
      <c r="BD52" s="276" t="s">
        <v>101</v>
      </c>
      <c r="BE52" s="279"/>
      <c r="BF52" s="91"/>
      <c r="BG52" s="10" t="s">
        <v>275</v>
      </c>
      <c r="BH52" s="10">
        <f t="shared" si="9"/>
        <v>162912.1</v>
      </c>
    </row>
    <row r="53" s="10" customFormat="1" ht="24.05" customHeight="1" spans="2:60">
      <c r="B53" s="57" t="s">
        <v>81</v>
      </c>
      <c r="C53" s="319" t="s">
        <v>186</v>
      </c>
      <c r="D53" s="328" t="s">
        <v>187</v>
      </c>
      <c r="E53" s="326">
        <v>4669162.54</v>
      </c>
      <c r="F53" s="332">
        <v>750734.21</v>
      </c>
      <c r="G53" s="333">
        <v>-10426.18</v>
      </c>
      <c r="H53" s="333">
        <v>650588.660000001</v>
      </c>
      <c r="I53" s="332"/>
      <c r="J53" s="333"/>
      <c r="K53" s="345"/>
      <c r="L53" s="343">
        <f t="shared" ref="L53" si="28">SUM(I53:K53)+E53</f>
        <v>4669162.54</v>
      </c>
      <c r="M53" s="232">
        <f>-3510345+1040288.54</f>
        <v>-2470056.46</v>
      </c>
      <c r="N53" s="233">
        <v>618379.18</v>
      </c>
      <c r="O53" s="233">
        <v>887948.4</v>
      </c>
      <c r="P53" s="233">
        <v>786347.46</v>
      </c>
      <c r="Q53" s="233">
        <v>595184.04</v>
      </c>
      <c r="R53" s="233">
        <v>620126.64</v>
      </c>
      <c r="S53" s="233">
        <v>460665.15</v>
      </c>
      <c r="T53" s="233">
        <v>1219081.13</v>
      </c>
      <c r="U53" s="233">
        <v>759894.65</v>
      </c>
      <c r="V53" s="233">
        <v>-701702.24</v>
      </c>
      <c r="W53" s="233"/>
      <c r="X53" s="233">
        <v>790018.83</v>
      </c>
      <c r="Y53" s="355"/>
      <c r="Z53" s="313"/>
      <c r="AA53" s="310" t="s">
        <v>84</v>
      </c>
      <c r="AB53" s="310" t="s">
        <v>84</v>
      </c>
      <c r="AC53" s="254">
        <f>300000+300000</f>
        <v>600000</v>
      </c>
      <c r="AD53" s="254">
        <v>1200000</v>
      </c>
      <c r="AE53" s="254">
        <f>200000+26789.01-26789.01</f>
        <v>200000</v>
      </c>
      <c r="AF53" s="254"/>
      <c r="AG53" s="254"/>
      <c r="AH53" s="254"/>
      <c r="AI53" s="254">
        <f>20000+2430000</f>
        <v>2450000</v>
      </c>
      <c r="AJ53" s="254"/>
      <c r="AK53" s="254">
        <v>720000</v>
      </c>
      <c r="AL53" s="254">
        <f>100000+1200000</f>
        <v>1300000</v>
      </c>
      <c r="AM53" s="254">
        <v>-335000</v>
      </c>
      <c r="AN53" s="267"/>
      <c r="AO53" s="266">
        <f t="shared" ref="AO53" si="29">SUM(L53:X53)</f>
        <v>8235049.32</v>
      </c>
      <c r="AP53" s="274">
        <f t="shared" si="26"/>
        <v>6135000</v>
      </c>
      <c r="AQ53" s="275">
        <f t="shared" si="15"/>
        <v>2100049.32</v>
      </c>
      <c r="AR53" s="359" t="str">
        <f>IF(AQ53-SUM(M53:X53)+K53&gt;0,AQ53-SUM(M53:X53)+K53,"")</f>
        <v/>
      </c>
      <c r="AS53" s="359" t="str">
        <f>IF(AQ53-SUM(M53:X53)&gt;0,AQ53-SUM(M53:X53),"")</f>
        <v/>
      </c>
      <c r="AT53" s="360" t="str">
        <f>IF(AQ53-SUM(N53:X53)&gt;0,AQ53-SUM(N53:X53),"")</f>
        <v/>
      </c>
      <c r="AU53" s="323">
        <f>AQ53-P53-O53</f>
        <v>425753.46</v>
      </c>
      <c r="AV53" s="323" t="str">
        <f>IF(AQ53-SUM(P53:X53)&gt;0,AQ53-SUM(P53:X53),"")</f>
        <v/>
      </c>
      <c r="AW53" s="323" t="str">
        <f>IF($AQ53-SUM(Q53:$X53)&gt;0,$AQ53-SUM(Q53:$X53),"")</f>
        <v/>
      </c>
      <c r="AX53" s="323" t="str">
        <f>IF($AQ53-SUM(R53:$X53)&gt;0,$AQ53-SUM(R53:$X53),"")</f>
        <v/>
      </c>
      <c r="AY53" s="323" t="str">
        <f>IF($AQ53-SUM(S53:$X53)&gt;0,$AQ53-SUM(S53:$X53),"")</f>
        <v/>
      </c>
      <c r="AZ53" s="323">
        <f>IF($AQ53-SUM(T53:$X53)&gt;0,$AQ53-SUM(T53:$X53),"")</f>
        <v>32756.9500000007</v>
      </c>
      <c r="BA53" s="323">
        <f>IF($AQ53-SUM(U53:$X53)&gt;0,$AQ53-SUM(U53:$X53),"")</f>
        <v>1251838.08</v>
      </c>
      <c r="BB53" s="323">
        <f>IF($AQ53-SUM(V53:$X53)&gt;0,$AQ53-SUM(V53:$X53),"")</f>
        <v>2011732.73</v>
      </c>
      <c r="BC53" s="323">
        <f>IF($AQ53-SUM(W53:$X53)&gt;0,$AQ53-SUM(W53:$X53),"")</f>
        <v>1310030.49</v>
      </c>
      <c r="BD53" s="278" t="s">
        <v>85</v>
      </c>
      <c r="BE53" s="279"/>
      <c r="BF53" s="91"/>
      <c r="BG53" s="10" t="s">
        <v>187</v>
      </c>
      <c r="BH53" s="10">
        <f t="shared" si="9"/>
        <v>3477570.19</v>
      </c>
    </row>
    <row r="54" s="12" customFormat="1" ht="24.05" customHeight="1" spans="2:59">
      <c r="B54" s="60"/>
      <c r="C54" s="61"/>
      <c r="D54" s="62" t="s">
        <v>142</v>
      </c>
      <c r="E54" s="331">
        <f>SUM(E5:E53)</f>
        <v>9378873.11</v>
      </c>
      <c r="F54" s="336"/>
      <c r="G54" s="337">
        <f t="shared" ref="G54:AQ54" si="30">SUM(G5:G53)</f>
        <v>1547284.61</v>
      </c>
      <c r="H54" s="337">
        <f t="shared" si="30"/>
        <v>1511568.97</v>
      </c>
      <c r="I54" s="337">
        <f t="shared" si="30"/>
        <v>35934</v>
      </c>
      <c r="J54" s="337">
        <f t="shared" si="30"/>
        <v>7627.5</v>
      </c>
      <c r="K54" s="337">
        <f t="shared" si="30"/>
        <v>263602.29</v>
      </c>
      <c r="L54" s="349">
        <f t="shared" si="30"/>
        <v>9686036.9</v>
      </c>
      <c r="M54" s="364">
        <f t="shared" si="30"/>
        <v>-1044815.28</v>
      </c>
      <c r="N54" s="350">
        <f t="shared" si="30"/>
        <v>1593464.7</v>
      </c>
      <c r="O54" s="350">
        <f t="shared" si="30"/>
        <v>2824817.84</v>
      </c>
      <c r="P54" s="350">
        <f t="shared" si="30"/>
        <v>1702391.2</v>
      </c>
      <c r="Q54" s="350">
        <f t="shared" si="30"/>
        <v>1127335.9</v>
      </c>
      <c r="R54" s="350">
        <f t="shared" si="30"/>
        <v>1639584.78</v>
      </c>
      <c r="S54" s="350">
        <f t="shared" si="30"/>
        <v>1724551.29</v>
      </c>
      <c r="T54" s="350">
        <f t="shared" si="30"/>
        <v>2301197.4</v>
      </c>
      <c r="U54" s="350">
        <f t="shared" si="30"/>
        <v>1796650.47</v>
      </c>
      <c r="V54" s="350">
        <f t="shared" si="30"/>
        <v>350240.37</v>
      </c>
      <c r="W54" s="350">
        <f t="shared" si="30"/>
        <v>1376997.18</v>
      </c>
      <c r="X54" s="350">
        <f t="shared" si="30"/>
        <v>1318183.99</v>
      </c>
      <c r="Y54" s="365">
        <f t="shared" si="30"/>
        <v>0</v>
      </c>
      <c r="Z54" s="366">
        <f t="shared" si="30"/>
        <v>0</v>
      </c>
      <c r="AA54" s="366">
        <f t="shared" si="30"/>
        <v>0</v>
      </c>
      <c r="AB54" s="366">
        <f t="shared" si="30"/>
        <v>0</v>
      </c>
      <c r="AC54" s="366">
        <f t="shared" si="30"/>
        <v>1964318.38</v>
      </c>
      <c r="AD54" s="366">
        <f t="shared" si="30"/>
        <v>1535677.76</v>
      </c>
      <c r="AE54" s="366">
        <f t="shared" si="30"/>
        <v>3223177.92</v>
      </c>
      <c r="AF54" s="366">
        <f t="shared" si="30"/>
        <v>1731518.29</v>
      </c>
      <c r="AG54" s="366">
        <f t="shared" si="30"/>
        <v>1708337.33</v>
      </c>
      <c r="AH54" s="366">
        <f t="shared" si="30"/>
        <v>228491.73</v>
      </c>
      <c r="AI54" s="366">
        <f t="shared" si="30"/>
        <v>3186252.71</v>
      </c>
      <c r="AJ54" s="366">
        <f t="shared" si="30"/>
        <v>1159617.39</v>
      </c>
      <c r="AK54" s="366">
        <f t="shared" si="30"/>
        <v>1958887.26</v>
      </c>
      <c r="AL54" s="366">
        <f t="shared" si="30"/>
        <v>1429360.31</v>
      </c>
      <c r="AM54" s="366">
        <f t="shared" si="30"/>
        <v>741611.48</v>
      </c>
      <c r="AN54" s="367">
        <f t="shared" si="30"/>
        <v>829840.61</v>
      </c>
      <c r="AO54" s="368">
        <f t="shared" si="30"/>
        <v>26396636.74</v>
      </c>
      <c r="AP54" s="369">
        <f t="shared" si="30"/>
        <v>19697091.17</v>
      </c>
      <c r="AQ54" s="370">
        <f t="shared" si="30"/>
        <v>6699545.57</v>
      </c>
      <c r="AR54" s="63">
        <f t="shared" ref="AR54:BC54" si="31">SUM(AR5:AR53)</f>
        <v>32556.4800000001</v>
      </c>
      <c r="AS54" s="63">
        <f t="shared" si="31"/>
        <v>2581.09000000007</v>
      </c>
      <c r="AT54" s="63">
        <f t="shared" si="31"/>
        <v>36562.4500000001</v>
      </c>
      <c r="AU54" s="63">
        <f t="shared" si="31"/>
        <v>1648103.79</v>
      </c>
      <c r="AV54" s="63">
        <f t="shared" si="31"/>
        <v>479361.52</v>
      </c>
      <c r="AW54" s="63">
        <f t="shared" si="31"/>
        <v>558292.02</v>
      </c>
      <c r="AX54" s="63">
        <f t="shared" si="31"/>
        <v>385201.34</v>
      </c>
      <c r="AY54" s="63">
        <f t="shared" si="31"/>
        <v>394964.54</v>
      </c>
      <c r="AZ54" s="63">
        <f t="shared" si="31"/>
        <v>471499.440000001</v>
      </c>
      <c r="BA54" s="63">
        <f t="shared" si="31"/>
        <v>2722456.36</v>
      </c>
      <c r="BB54" s="63">
        <f t="shared" si="31"/>
        <v>4100856.37</v>
      </c>
      <c r="BC54" s="63">
        <f t="shared" si="31"/>
        <v>4415313.9</v>
      </c>
      <c r="BD54" s="288"/>
      <c r="BE54" s="289"/>
      <c r="BF54" s="100">
        <f>SUM(BF5:BF53)</f>
        <v>0</v>
      </c>
      <c r="BG54" s="12" t="s">
        <v>142</v>
      </c>
    </row>
    <row r="55" ht="15.05" customHeight="1" spans="5:56">
      <c r="E55" s="65"/>
      <c r="F55" s="65"/>
      <c r="G55" s="65"/>
      <c r="H55" s="65"/>
      <c r="I55" s="65">
        <f t="shared" ref="I55:AG55" si="32">SUM(I5:I45)</f>
        <v>35934</v>
      </c>
      <c r="J55" s="65">
        <f t="shared" si="32"/>
        <v>7627.5</v>
      </c>
      <c r="K55" s="65">
        <f t="shared" si="32"/>
        <v>263602.29</v>
      </c>
      <c r="L55" s="65">
        <f t="shared" si="32"/>
        <v>3680809.7</v>
      </c>
      <c r="M55" s="65">
        <f t="shared" si="32"/>
        <v>1085547.59</v>
      </c>
      <c r="N55" s="65">
        <f t="shared" si="32"/>
        <v>943581.12</v>
      </c>
      <c r="O55" s="65">
        <f t="shared" si="32"/>
        <v>1887282.78</v>
      </c>
      <c r="P55" s="65">
        <f t="shared" si="32"/>
        <v>890974.46</v>
      </c>
      <c r="Q55" s="65">
        <f t="shared" si="32"/>
        <v>262898.97</v>
      </c>
      <c r="R55" s="65">
        <f t="shared" si="32"/>
        <v>765163.16</v>
      </c>
      <c r="S55" s="65">
        <f t="shared" si="32"/>
        <v>771466.36</v>
      </c>
      <c r="T55" s="65">
        <f t="shared" si="32"/>
        <v>846580.76</v>
      </c>
      <c r="U55" s="65">
        <f t="shared" si="32"/>
        <v>829787.96</v>
      </c>
      <c r="V55" s="65">
        <f t="shared" si="32"/>
        <v>938576.69</v>
      </c>
      <c r="W55" s="65">
        <f t="shared" si="32"/>
        <v>869176.66</v>
      </c>
      <c r="X55" s="65">
        <f t="shared" si="32"/>
        <v>528165.16</v>
      </c>
      <c r="Y55" s="65">
        <f t="shared" si="32"/>
        <v>0</v>
      </c>
      <c r="Z55" s="65">
        <f t="shared" si="32"/>
        <v>0</v>
      </c>
      <c r="AA55" s="65">
        <f t="shared" si="32"/>
        <v>0</v>
      </c>
      <c r="AB55" s="65">
        <f t="shared" si="32"/>
        <v>0</v>
      </c>
      <c r="AC55" s="65">
        <f t="shared" si="32"/>
        <v>1314318.38</v>
      </c>
      <c r="AD55" s="65">
        <f t="shared" si="32"/>
        <v>335677.76</v>
      </c>
      <c r="AE55" s="65">
        <f t="shared" si="32"/>
        <v>1839022.62</v>
      </c>
      <c r="AF55" s="65">
        <f t="shared" si="32"/>
        <v>1731518.29</v>
      </c>
      <c r="AG55" s="65">
        <f t="shared" si="32"/>
        <v>1422618.03</v>
      </c>
      <c r="AH55" s="65">
        <f t="shared" ref="AH55:AQ55" si="33">SUM(AH5:AH52)</f>
        <v>228491.73</v>
      </c>
      <c r="AI55" s="65">
        <f t="shared" si="33"/>
        <v>736252.71</v>
      </c>
      <c r="AJ55" s="65">
        <f t="shared" si="33"/>
        <v>1159617.39</v>
      </c>
      <c r="AK55" s="65">
        <f t="shared" si="33"/>
        <v>1238887.26</v>
      </c>
      <c r="AL55" s="65">
        <f t="shared" si="33"/>
        <v>129360.31</v>
      </c>
      <c r="AM55" s="65">
        <f t="shared" si="33"/>
        <v>1076611.48</v>
      </c>
      <c r="AN55" s="65">
        <f t="shared" si="33"/>
        <v>829840.61</v>
      </c>
      <c r="AO55" s="65">
        <f t="shared" si="33"/>
        <v>18161587.42</v>
      </c>
      <c r="AP55" s="65">
        <f t="shared" si="33"/>
        <v>13562091.17</v>
      </c>
      <c r="AQ55" s="65">
        <f t="shared" si="33"/>
        <v>4599496.25</v>
      </c>
      <c r="AR55" s="65">
        <f t="shared" ref="AR55:BC55" si="34">SUM(AR5:AR52)</f>
        <v>32556.4800000001</v>
      </c>
      <c r="AS55" s="65">
        <f t="shared" si="34"/>
        <v>2581.09000000007</v>
      </c>
      <c r="AT55" s="65">
        <f t="shared" si="34"/>
        <v>36562.4500000001</v>
      </c>
      <c r="AU55" s="65">
        <f t="shared" si="34"/>
        <v>1222350.33</v>
      </c>
      <c r="AV55" s="65">
        <f t="shared" si="34"/>
        <v>479361.52</v>
      </c>
      <c r="AW55" s="65">
        <f t="shared" si="34"/>
        <v>558292.02</v>
      </c>
      <c r="AX55" s="65">
        <f t="shared" si="34"/>
        <v>385201.34</v>
      </c>
      <c r="AY55" s="65">
        <f t="shared" si="34"/>
        <v>394964.54</v>
      </c>
      <c r="AZ55" s="65">
        <f t="shared" si="34"/>
        <v>438742.49</v>
      </c>
      <c r="BA55" s="65">
        <f t="shared" si="34"/>
        <v>1470618.28</v>
      </c>
      <c r="BB55" s="65">
        <f t="shared" si="34"/>
        <v>2089123.64</v>
      </c>
      <c r="BC55" s="65">
        <f t="shared" si="34"/>
        <v>3105283.41</v>
      </c>
      <c r="BD55" s="65">
        <f>SUM(BD5:BD51)</f>
        <v>0</v>
      </c>
    </row>
    <row r="56" ht="15.05" customHeight="1" spans="5:24"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</row>
    <row r="57" spans="4:59">
      <c r="D57" s="67" t="s">
        <v>143</v>
      </c>
      <c r="AC57" s="19">
        <f>AC54-AC26-AC28</f>
        <v>1964318.38</v>
      </c>
      <c r="AD57" s="19">
        <f t="shared" ref="AD57:AH57" si="35">AD54-AD26-AD28</f>
        <v>1305000</v>
      </c>
      <c r="AE57" s="19">
        <f t="shared" si="35"/>
        <v>3083975.48</v>
      </c>
      <c r="AF57" s="19">
        <f t="shared" si="35"/>
        <v>998173.59</v>
      </c>
      <c r="AG57" s="19">
        <f t="shared" si="35"/>
        <v>1555306.45</v>
      </c>
      <c r="AH57" s="19">
        <f t="shared" si="35"/>
        <v>164900.45</v>
      </c>
      <c r="AI57" s="13"/>
      <c r="AJ57" s="13"/>
      <c r="AK57" s="13"/>
      <c r="AL57" s="13"/>
      <c r="AM57" s="13"/>
      <c r="AN57" s="13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G57" s="13" t="s">
        <v>143</v>
      </c>
    </row>
    <row r="58" spans="29:55">
      <c r="AC58" s="216">
        <f>AC57/10000</f>
        <v>196.431838</v>
      </c>
      <c r="AD58" s="216">
        <f t="shared" ref="AD58:AH58" si="36">AD57/10000</f>
        <v>130.5</v>
      </c>
      <c r="AE58" s="216">
        <f t="shared" si="36"/>
        <v>308.397548</v>
      </c>
      <c r="AF58" s="216">
        <f t="shared" si="36"/>
        <v>99.817359</v>
      </c>
      <c r="AG58" s="216">
        <f t="shared" si="36"/>
        <v>155.530645</v>
      </c>
      <c r="AH58" s="216">
        <f t="shared" si="36"/>
        <v>16.490045</v>
      </c>
      <c r="AV58" s="105"/>
      <c r="AW58" s="105"/>
      <c r="AX58" s="105"/>
      <c r="AY58" s="105"/>
      <c r="AZ58" s="105"/>
      <c r="BA58" s="105"/>
      <c r="BB58" s="105"/>
      <c r="BC58" s="105"/>
    </row>
    <row r="68" s="13" customFormat="1"/>
    <row r="71" s="13" customFormat="1"/>
  </sheetData>
  <autoFilter ref="A4:BF55">
    <filterColumn colId="42">
      <filters>
        <filter val="24,984.30"/>
        <filter val="4,329,171.41"/>
        <filter val="36,506.91"/>
        <filter val="0.12"/>
        <filter val="2,100,049.32"/>
        <filter val="120,026.79"/>
        <filter val="30,758.40"/>
        <filter val="840,975.00"/>
        <filter val="1,180,377.44"/>
        <filter val="270,324.84"/>
        <filter val="305,679.35"/>
        <filter val="935,085.37"/>
        <filter val="62.70"/>
        <filter val="117,633.00"/>
        <filter val="93,338.02"/>
        <filter val="43,378.44"/>
        <filter val="334,790.96"/>
        <filter val="2,518.39"/>
        <filter val="25,391.10"/>
        <filter val="77,290.31"/>
        <filter val="46,458.82"/>
        <filter val="42,809.43"/>
        <filter val="71,106.56"/>
        <filter val="6,699,545.57"/>
      </filters>
    </filterColumn>
    <extLst/>
  </autoFilter>
  <mergeCells count="63">
    <mergeCell ref="B1:AN1"/>
    <mergeCell ref="E2:H2"/>
    <mergeCell ref="I2:L2"/>
    <mergeCell ref="M2:X2"/>
    <mergeCell ref="Z2:AB2"/>
    <mergeCell ref="AO2:BD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2:BE4"/>
    <mergeCell ref="BF2:BF4"/>
  </mergeCells>
  <conditionalFormatting sqref="D52">
    <cfRule type="duplicateValues" dxfId="0" priority="1"/>
  </conditionalFormatting>
  <conditionalFormatting sqref="D43:D44">
    <cfRule type="duplicateValues" dxfId="0" priority="3"/>
  </conditionalFormatting>
  <conditionalFormatting sqref="D45:D48">
    <cfRule type="duplicateValues" dxfId="0" priority="4"/>
  </conditionalFormatting>
  <conditionalFormatting sqref="D49:D51">
    <cfRule type="duplicateValues" dxfId="0" priority="2"/>
  </conditionalFormatting>
  <conditionalFormatting sqref="D1:D42 D53:D1048576">
    <cfRule type="duplicateValues" dxfId="0" priority="6"/>
  </conditionalFormatting>
  <conditionalFormatting sqref="AP1:BC1 AP56:BC1048576">
    <cfRule type="duplicateValues" dxfId="0" priority="5"/>
  </conditionalFormatting>
  <pageMargins left="0.7" right="0.7" top="0.75" bottom="0.75" header="0.3" footer="0.3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W271"/>
  <sheetViews>
    <sheetView zoomScale="80" zoomScaleNormal="80" workbookViewId="0">
      <pane xSplit="4" ySplit="4" topLeftCell="AW44" activePane="bottomRight" state="frozen"/>
      <selection/>
      <selection pane="topRight"/>
      <selection pane="bottomLeft"/>
      <selection pane="bottomRight" activeCell="BP55" sqref="BP55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5" width="23.6" style="215" customWidth="1"/>
    <col min="6" max="13" width="14.2" style="215" customWidth="1"/>
    <col min="14" max="14" width="17.7" style="215" customWidth="1"/>
    <col min="15" max="15" width="13.9" style="215" customWidth="1"/>
    <col min="16" max="17" width="12.2" style="215" customWidth="1"/>
    <col min="18" max="18" width="13.9" style="215" customWidth="1"/>
    <col min="19" max="20" width="12.2" style="215" customWidth="1"/>
    <col min="21" max="33" width="14.2" style="215" customWidth="1"/>
    <col min="34" max="34" width="3.6" style="13" customWidth="1"/>
    <col min="35" max="35" width="6.7" style="13" customWidth="1"/>
    <col min="36" max="37" width="4.7" style="13" customWidth="1"/>
    <col min="38" max="38" width="16.4" style="216" customWidth="1"/>
    <col min="39" max="39" width="14.4" style="216" customWidth="1"/>
    <col min="40" max="46" width="13" style="216" customWidth="1"/>
    <col min="47" max="49" width="12.8" style="216" customWidth="1"/>
    <col min="50" max="54" width="17.2" style="15" customWidth="1"/>
    <col min="55" max="64" width="17.2" style="15" hidden="1" customWidth="1"/>
    <col min="65" max="65" width="14" style="15" customWidth="1"/>
    <col min="66" max="66" width="20.7" style="13" customWidth="1"/>
    <col min="67" max="68" width="13.1" style="13" customWidth="1"/>
    <col min="69" max="69" width="13.9" style="19" customWidth="1"/>
    <col min="70" max="70" width="8.1" style="13"/>
    <col min="71" max="71" width="11.5" style="13"/>
    <col min="72" max="72" width="12.6" style="13"/>
    <col min="73" max="73" width="8" style="13"/>
    <col min="74" max="74" width="23.1" style="1" customWidth="1"/>
    <col min="75" max="75" width="9.4" style="1" customWidth="1"/>
    <col min="76" max="16384" width="8" style="13"/>
  </cols>
  <sheetData>
    <row r="1" ht="20.95" customHeight="1" spans="2:75">
      <c r="B1" s="20" t="s">
        <v>276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21"/>
      <c r="AI1" s="21"/>
      <c r="AJ1" s="21"/>
      <c r="AK1" s="21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21"/>
      <c r="BV1" s="2"/>
      <c r="BW1" s="2"/>
    </row>
    <row r="2" ht="18" customHeight="1" spans="2:75">
      <c r="B2" s="24" t="s">
        <v>1</v>
      </c>
      <c r="C2" s="25" t="s">
        <v>2</v>
      </c>
      <c r="D2" s="26" t="s">
        <v>3</v>
      </c>
      <c r="E2" s="226" t="s">
        <v>277</v>
      </c>
      <c r="F2" s="226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338" t="s">
        <v>278</v>
      </c>
      <c r="S2" s="339"/>
      <c r="T2" s="339"/>
      <c r="U2" s="340"/>
      <c r="V2" s="226" t="s">
        <v>279</v>
      </c>
      <c r="W2" s="227"/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351" t="s">
        <v>36</v>
      </c>
      <c r="AI2" s="301" t="s">
        <v>37</v>
      </c>
      <c r="AJ2" s="301"/>
      <c r="AK2" s="301"/>
      <c r="AL2" s="245" t="s">
        <v>192</v>
      </c>
      <c r="AM2" s="245" t="s">
        <v>193</v>
      </c>
      <c r="AN2" s="245" t="s">
        <v>158</v>
      </c>
      <c r="AO2" s="245" t="s">
        <v>159</v>
      </c>
      <c r="AP2" s="245" t="s">
        <v>160</v>
      </c>
      <c r="AQ2" s="245" t="s">
        <v>161</v>
      </c>
      <c r="AR2" s="245" t="s">
        <v>162</v>
      </c>
      <c r="AS2" s="245" t="s">
        <v>163</v>
      </c>
      <c r="AT2" s="245" t="s">
        <v>164</v>
      </c>
      <c r="AU2" s="245" t="s">
        <v>165</v>
      </c>
      <c r="AV2" s="245" t="s">
        <v>166</v>
      </c>
      <c r="AW2" s="357" t="s">
        <v>167</v>
      </c>
      <c r="AX2" s="263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271"/>
      <c r="BN2" s="80" t="s">
        <v>36</v>
      </c>
      <c r="BO2" s="80" t="s">
        <v>280</v>
      </c>
      <c r="BV2" s="5"/>
      <c r="BW2" s="5"/>
    </row>
    <row r="3" ht="31.6" customHeight="1" spans="2:75">
      <c r="B3" s="30"/>
      <c r="C3" s="31"/>
      <c r="D3" s="32"/>
      <c r="E3" s="228" t="s">
        <v>281</v>
      </c>
      <c r="F3" s="228" t="s">
        <v>73</v>
      </c>
      <c r="G3" s="229" t="s">
        <v>74</v>
      </c>
      <c r="H3" s="229" t="s">
        <v>169</v>
      </c>
      <c r="I3" s="229" t="s">
        <v>170</v>
      </c>
      <c r="J3" s="229" t="s">
        <v>171</v>
      </c>
      <c r="K3" s="229" t="s">
        <v>172</v>
      </c>
      <c r="L3" s="229" t="s">
        <v>173</v>
      </c>
      <c r="M3" s="229" t="s">
        <v>174</v>
      </c>
      <c r="N3" s="229" t="s">
        <v>175</v>
      </c>
      <c r="O3" s="229" t="s">
        <v>282</v>
      </c>
      <c r="P3" s="229" t="s">
        <v>283</v>
      </c>
      <c r="Q3" s="229" t="s">
        <v>284</v>
      </c>
      <c r="R3" s="229" t="s">
        <v>282</v>
      </c>
      <c r="S3" s="229" t="s">
        <v>283</v>
      </c>
      <c r="T3" s="229" t="s">
        <v>284</v>
      </c>
      <c r="U3" s="341" t="s">
        <v>285</v>
      </c>
      <c r="V3" s="228" t="s">
        <v>73</v>
      </c>
      <c r="W3" s="229" t="s">
        <v>74</v>
      </c>
      <c r="X3" s="229" t="s">
        <v>169</v>
      </c>
      <c r="Y3" s="229" t="s">
        <v>170</v>
      </c>
      <c r="Z3" s="229" t="s">
        <v>171</v>
      </c>
      <c r="AA3" s="229" t="s">
        <v>172</v>
      </c>
      <c r="AB3" s="229" t="s">
        <v>173</v>
      </c>
      <c r="AC3" s="229" t="s">
        <v>174</v>
      </c>
      <c r="AD3" s="229" t="s">
        <v>175</v>
      </c>
      <c r="AE3" s="229" t="s">
        <v>70</v>
      </c>
      <c r="AF3" s="229" t="s">
        <v>71</v>
      </c>
      <c r="AG3" s="229" t="s">
        <v>72</v>
      </c>
      <c r="AH3" s="352"/>
      <c r="AI3" s="353" t="s">
        <v>76</v>
      </c>
      <c r="AJ3" s="353" t="s">
        <v>77</v>
      </c>
      <c r="AK3" s="353" t="s">
        <v>78</v>
      </c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358"/>
      <c r="AX3" s="264" t="s">
        <v>250</v>
      </c>
      <c r="AY3" s="36" t="s">
        <v>251</v>
      </c>
      <c r="AZ3" s="272" t="s">
        <v>252</v>
      </c>
      <c r="BA3" s="36" t="s">
        <v>253</v>
      </c>
      <c r="BB3" s="36" t="s">
        <v>254</v>
      </c>
      <c r="BC3" s="36" t="s">
        <v>255</v>
      </c>
      <c r="BD3" s="36" t="s">
        <v>256</v>
      </c>
      <c r="BE3" s="36" t="s">
        <v>257</v>
      </c>
      <c r="BF3" s="36" t="s">
        <v>258</v>
      </c>
      <c r="BG3" s="36" t="s">
        <v>259</v>
      </c>
      <c r="BH3" s="36" t="s">
        <v>260</v>
      </c>
      <c r="BI3" s="36" t="s">
        <v>261</v>
      </c>
      <c r="BJ3" s="36" t="s">
        <v>262</v>
      </c>
      <c r="BK3" s="36" t="s">
        <v>263</v>
      </c>
      <c r="BL3" s="36" t="s">
        <v>236</v>
      </c>
      <c r="BM3" s="273" t="s">
        <v>203</v>
      </c>
      <c r="BN3" s="83"/>
      <c r="BO3" s="83"/>
      <c r="BV3" s="8"/>
      <c r="BW3" s="8"/>
    </row>
    <row r="4" ht="18" customHeight="1" spans="2:75">
      <c r="B4" s="30"/>
      <c r="C4" s="31"/>
      <c r="D4" s="32"/>
      <c r="E4" s="230"/>
      <c r="F4" s="230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342"/>
      <c r="V4" s="230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352"/>
      <c r="AI4" s="353"/>
      <c r="AJ4" s="353"/>
      <c r="AK4" s="353"/>
      <c r="AL4" s="247"/>
      <c r="AM4" s="247"/>
      <c r="AN4" s="247"/>
      <c r="AO4" s="247"/>
      <c r="AP4" s="247"/>
      <c r="AQ4" s="247"/>
      <c r="AR4" s="247"/>
      <c r="AS4" s="247"/>
      <c r="AT4" s="247"/>
      <c r="AU4" s="247"/>
      <c r="AV4" s="247"/>
      <c r="AW4" s="358"/>
      <c r="AX4" s="264"/>
      <c r="AY4" s="36"/>
      <c r="AZ4" s="272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273"/>
      <c r="BN4" s="83"/>
      <c r="BO4" s="83"/>
      <c r="BV4" s="5"/>
      <c r="BW4" s="5"/>
    </row>
    <row r="5" s="10" customFormat="1" ht="24.05" customHeight="1" spans="2:75">
      <c r="B5" s="45" t="s">
        <v>81</v>
      </c>
      <c r="C5" s="325" t="s">
        <v>90</v>
      </c>
      <c r="D5" s="46" t="s">
        <v>91</v>
      </c>
      <c r="E5" s="326">
        <v>117633</v>
      </c>
      <c r="F5" s="232">
        <v>63967.04</v>
      </c>
      <c r="G5" s="233">
        <v>25764</v>
      </c>
      <c r="H5" s="233">
        <v>27572</v>
      </c>
      <c r="I5" s="233"/>
      <c r="J5" s="233">
        <v>22562.94</v>
      </c>
      <c r="K5" s="233">
        <v>13560</v>
      </c>
      <c r="L5" s="233"/>
      <c r="M5" s="233"/>
      <c r="N5" s="233">
        <f>49381+35595</f>
        <v>84976</v>
      </c>
      <c r="O5" s="332">
        <v>19097</v>
      </c>
      <c r="P5" s="333"/>
      <c r="Q5" s="333"/>
      <c r="R5" s="332"/>
      <c r="S5" s="333"/>
      <c r="T5" s="333"/>
      <c r="U5" s="343">
        <f>SUM(R5:T5)+E5</f>
        <v>117633</v>
      </c>
      <c r="V5" s="232">
        <v>49042</v>
      </c>
      <c r="W5" s="233"/>
      <c r="X5" s="233"/>
      <c r="Y5" s="233"/>
      <c r="Z5" s="233">
        <v>21696</v>
      </c>
      <c r="AA5" s="233"/>
      <c r="AB5" s="233">
        <v>16272</v>
      </c>
      <c r="AC5" s="233"/>
      <c r="AD5" s="233"/>
      <c r="AE5" s="233"/>
      <c r="AF5" s="233"/>
      <c r="AG5" s="233">
        <v>149914.84</v>
      </c>
      <c r="AH5" s="354"/>
      <c r="AI5" s="310"/>
      <c r="AJ5" s="310"/>
      <c r="AK5" s="310" t="s">
        <v>84</v>
      </c>
      <c r="AL5" s="250"/>
      <c r="AM5" s="250"/>
      <c r="AN5" s="250"/>
      <c r="AO5" s="250"/>
      <c r="AP5" s="250"/>
      <c r="AQ5" s="250"/>
      <c r="AR5" s="250">
        <v>30000</v>
      </c>
      <c r="AS5" s="250">
        <v>10000</v>
      </c>
      <c r="AT5" s="250"/>
      <c r="AU5" s="250">
        <v>30000</v>
      </c>
      <c r="AV5" s="250"/>
      <c r="AW5" s="265"/>
      <c r="AX5" s="266">
        <f>SUM(U5:AG5)</f>
        <v>354557.84</v>
      </c>
      <c r="AY5" s="274">
        <f t="shared" ref="AY5:AY33" si="0">SUM(AL5:AW5)</f>
        <v>70000</v>
      </c>
      <c r="AZ5" s="275">
        <f t="shared" ref="AZ5:AZ33" si="1">AX5-AY5</f>
        <v>284557.84</v>
      </c>
      <c r="BA5" s="359">
        <f>IF(AZ5-V5-T5-Q5&gt;0,AZ5-V5-T5-Q5,0)</f>
        <v>235515.84</v>
      </c>
      <c r="BB5" s="359">
        <f>IF(AZ5-W5-V5&gt;0,AZ5-W5-V5,0)</f>
        <v>235515.84</v>
      </c>
      <c r="BC5" s="360">
        <f t="shared" ref="BC5:BC15" si="2">IF(AZ5-SUM(W5:AG5)&gt;0,AZ5-SUM(W5:AG5),"")</f>
        <v>96675</v>
      </c>
      <c r="BD5" s="323">
        <f t="shared" ref="BD5:BD15" si="3">IF(AZ5-SUM(X5:AG5)&gt;0,AZ5-SUM(X5:AG5),"")</f>
        <v>96675</v>
      </c>
      <c r="BE5" s="323">
        <f t="shared" ref="BE5:BE15" si="4">IF(AZ5-SUM(Y5:AG5)&gt;0,AZ5-SUM(Y5:AG5),"")</f>
        <v>96675</v>
      </c>
      <c r="BF5" s="323">
        <f>IF($AZ5-SUM(Z5:$AG5)&gt;0,$AZ5-SUM(Z5:$AG5),"")</f>
        <v>96675</v>
      </c>
      <c r="BG5" s="323">
        <f>IF($AZ5-SUM(AA5:$AG5)&gt;0,$AZ5-SUM(AA5:$AG5),"")</f>
        <v>118371</v>
      </c>
      <c r="BH5" s="323">
        <f>IF($AZ5-SUM(AB5:$AG5)&gt;0,$AZ5-SUM(AB5:$AG5),"")</f>
        <v>118371</v>
      </c>
      <c r="BI5" s="323">
        <f>IF($AZ5-SUM(AC5:$AG5)&gt;0,$AZ5-SUM(AC5:$AG5),"")</f>
        <v>134643</v>
      </c>
      <c r="BJ5" s="323">
        <f>IF($AZ5-SUM(AD5:$AG5)&gt;0,$AZ5-SUM(AD5:$AG5),"")</f>
        <v>134643</v>
      </c>
      <c r="BK5" s="323">
        <f>IF($AZ5-SUM(AE5:$AG5)&gt;0,$AZ5-SUM(AE5:$AG5),"")</f>
        <v>134643</v>
      </c>
      <c r="BL5" s="323">
        <f>IF($AZ5-SUM(AF5:$AG5)&gt;0,$AZ5-SUM(AF5:$AG5),"")</f>
        <v>134643</v>
      </c>
      <c r="BM5" s="276" t="s">
        <v>85</v>
      </c>
      <c r="BN5" s="277"/>
      <c r="BO5" s="91"/>
      <c r="BP5" s="101">
        <f>IFERROR(VLOOKUP(D5,Sheet2!D:O,12,FALSE),"")</f>
        <v>264557.84</v>
      </c>
      <c r="BQ5" s="101">
        <f>IFERROR(AZ5-BP5,"")</f>
        <v>20000</v>
      </c>
      <c r="BS5" s="10">
        <f>SUBTOTAL(9,W5:AB5)</f>
        <v>37968</v>
      </c>
      <c r="BT5" s="10">
        <f>BS5/6</f>
        <v>6328</v>
      </c>
      <c r="BV5" s="8"/>
      <c r="BW5" s="8"/>
    </row>
    <row r="6" s="10" customFormat="1" ht="24.05" customHeight="1" spans="2:75">
      <c r="B6" s="45" t="s">
        <v>81</v>
      </c>
      <c r="C6" s="325" t="s">
        <v>92</v>
      </c>
      <c r="D6" s="46" t="s">
        <v>93</v>
      </c>
      <c r="E6" s="326">
        <v>24984.3</v>
      </c>
      <c r="F6" s="233">
        <v>0</v>
      </c>
      <c r="G6" s="233">
        <v>0</v>
      </c>
      <c r="H6" s="233">
        <v>12718.52</v>
      </c>
      <c r="I6" s="233">
        <v>0</v>
      </c>
      <c r="J6" s="233">
        <v>7268.16</v>
      </c>
      <c r="K6" s="233">
        <v>8782.36</v>
      </c>
      <c r="L6" s="233">
        <v>0</v>
      </c>
      <c r="M6" s="233">
        <v>19836.02</v>
      </c>
      <c r="N6" s="233">
        <f>IFERROR(VLOOKUP($D6,'2022年'!$D:AF,COLUMN(R1),FALSE),"")</f>
        <v>5451.12</v>
      </c>
      <c r="O6" s="332">
        <v>4542.6</v>
      </c>
      <c r="P6" s="333">
        <v>4542.6</v>
      </c>
      <c r="Q6" s="333">
        <v>10447.98</v>
      </c>
      <c r="R6" s="332"/>
      <c r="S6" s="333"/>
      <c r="T6" s="333"/>
      <c r="U6" s="343">
        <f t="shared" ref="U6:U34" si="5">SUM(R6:T6)+E6</f>
        <v>24984.3</v>
      </c>
      <c r="V6" s="232"/>
      <c r="W6" s="233">
        <v>2271.3</v>
      </c>
      <c r="X6" s="233">
        <v>1817.04</v>
      </c>
      <c r="Y6" s="233"/>
      <c r="Z6" s="233">
        <f>10902.24+9528.16</f>
        <v>20430.4</v>
      </c>
      <c r="AA6" s="233">
        <v>17261.88</v>
      </c>
      <c r="AB6" s="233">
        <v>12265.02</v>
      </c>
      <c r="AC6" s="233">
        <v>442.96</v>
      </c>
      <c r="AD6" s="233"/>
      <c r="AE6" s="233">
        <v>7268.16</v>
      </c>
      <c r="AF6" s="233">
        <v>221.48</v>
      </c>
      <c r="AG6" s="233"/>
      <c r="AH6" s="354"/>
      <c r="AI6" s="310"/>
      <c r="AJ6" s="310"/>
      <c r="AK6" s="310" t="s">
        <v>84</v>
      </c>
      <c r="AL6" s="250"/>
      <c r="AM6" s="250"/>
      <c r="AN6" s="250"/>
      <c r="AO6" s="250"/>
      <c r="AP6" s="250"/>
      <c r="AQ6" s="250"/>
      <c r="AR6" s="250">
        <v>10000</v>
      </c>
      <c r="AS6" s="250">
        <v>5000</v>
      </c>
      <c r="AT6" s="250"/>
      <c r="AU6" s="250">
        <v>10000</v>
      </c>
      <c r="AV6" s="250">
        <v>10000</v>
      </c>
      <c r="AW6" s="265"/>
      <c r="AX6" s="266">
        <f t="shared" ref="AX6:AX33" si="6">SUM(U6:AG6)</f>
        <v>86962.54</v>
      </c>
      <c r="AY6" s="274">
        <f t="shared" si="0"/>
        <v>35000</v>
      </c>
      <c r="AZ6" s="275">
        <f t="shared" si="1"/>
        <v>51962.54</v>
      </c>
      <c r="BA6" s="359">
        <f t="shared" ref="BA6:BA24" si="7">IF(AZ6-V6-T6-Q6&gt;0,AZ6-V6-T6-Q6,0)</f>
        <v>41514.56</v>
      </c>
      <c r="BB6" s="359">
        <f t="shared" ref="BB6:BB24" si="8">IF(AZ6-W6-V6&gt;0,AZ6-W6-V6,0)</f>
        <v>49691.24</v>
      </c>
      <c r="BC6" s="360" t="str">
        <f t="shared" si="2"/>
        <v/>
      </c>
      <c r="BD6" s="323" t="str">
        <f t="shared" si="3"/>
        <v/>
      </c>
      <c r="BE6" s="323" t="str">
        <f t="shared" si="4"/>
        <v/>
      </c>
      <c r="BF6" s="323" t="str">
        <f>IF($AZ6-SUM(Z6:$AG6)&gt;0,$AZ6-SUM(Z6:$AG6),"")</f>
        <v/>
      </c>
      <c r="BG6" s="323">
        <f>IF($AZ6-SUM(AA6:$AG6)&gt;0,$AZ6-SUM(AA6:$AG6),"")</f>
        <v>14503.04</v>
      </c>
      <c r="BH6" s="323">
        <f>IF($AZ6-SUM(AB6:$AG6)&gt;0,$AZ6-SUM(AB6:$AG6),"")</f>
        <v>31764.92</v>
      </c>
      <c r="BI6" s="323">
        <f>IF($AZ6-SUM(AC6:$AG6)&gt;0,$AZ6-SUM(AC6:$AG6),"")</f>
        <v>44029.94</v>
      </c>
      <c r="BJ6" s="323">
        <f>IF($AZ6-SUM(AD6:$AG6)&gt;0,$AZ6-SUM(AD6:$AG6),"")</f>
        <v>44472.9</v>
      </c>
      <c r="BK6" s="323">
        <f>IF($AZ6-SUM(AE6:$AG6)&gt;0,$AZ6-SUM(AE6:$AG6),"")</f>
        <v>44472.9</v>
      </c>
      <c r="BL6" s="323">
        <f>IF($AZ6-SUM(AF6:$AG6)&gt;0,$AZ6-SUM(AF6:$AG6),"")</f>
        <v>51741.06</v>
      </c>
      <c r="BM6" s="276" t="s">
        <v>85</v>
      </c>
      <c r="BN6" s="277"/>
      <c r="BO6" s="91"/>
      <c r="BP6" s="101">
        <f>IFERROR(VLOOKUP(D6,Sheet2!D:O,12,FALSE),"")</f>
        <v>31962.54</v>
      </c>
      <c r="BQ6" s="101">
        <f t="shared" ref="BQ6:BQ37" si="9">IFERROR(AZ6-BP6,"")</f>
        <v>20000</v>
      </c>
      <c r="BS6" s="10">
        <f t="shared" ref="BS6:BS13" si="10">SUBTOTAL(9,W6:AB6)</f>
        <v>54045.64</v>
      </c>
      <c r="BT6" s="10">
        <f t="shared" ref="BT6:BT13" si="11">BS6/6</f>
        <v>9007.60666666667</v>
      </c>
      <c r="BV6" s="5"/>
      <c r="BW6" s="5"/>
    </row>
    <row r="7" s="10" customFormat="1" ht="24.05" customHeight="1" spans="2:75">
      <c r="B7" s="45" t="s">
        <v>81</v>
      </c>
      <c r="C7" s="325" t="s">
        <v>105</v>
      </c>
      <c r="D7" s="46" t="s">
        <v>106</v>
      </c>
      <c r="E7" s="326">
        <v>71106.5600000001</v>
      </c>
      <c r="F7" s="233">
        <v>31188</v>
      </c>
      <c r="G7" s="233">
        <v>0</v>
      </c>
      <c r="H7" s="233">
        <v>0</v>
      </c>
      <c r="I7" s="233">
        <v>47405.76</v>
      </c>
      <c r="J7" s="233">
        <v>28069.2</v>
      </c>
      <c r="K7" s="233">
        <v>16217.76</v>
      </c>
      <c r="L7" s="233">
        <v>24950.4</v>
      </c>
      <c r="M7" s="233">
        <v>12475.2</v>
      </c>
      <c r="N7" s="233">
        <f>IFERROR(VLOOKUP($D7,'2022年'!$D:AF,COLUMN(R1),FALSE),"")</f>
        <v>14970.24</v>
      </c>
      <c r="O7" s="332">
        <v>24950.4</v>
      </c>
      <c r="P7" s="333"/>
      <c r="Q7" s="333">
        <v>31185.92</v>
      </c>
      <c r="R7" s="332"/>
      <c r="S7" s="333"/>
      <c r="T7" s="333"/>
      <c r="U7" s="343">
        <f t="shared" si="5"/>
        <v>71106.5600000001</v>
      </c>
      <c r="V7" s="232"/>
      <c r="W7" s="233">
        <v>65893.25</v>
      </c>
      <c r="X7" s="233"/>
      <c r="Y7" s="233">
        <v>110547.64</v>
      </c>
      <c r="Z7" s="233">
        <v>123272.71</v>
      </c>
      <c r="AA7" s="233">
        <v>168452.57</v>
      </c>
      <c r="AB7" s="233">
        <v>216571.33</v>
      </c>
      <c r="AC7" s="233">
        <v>42820.86</v>
      </c>
      <c r="AD7" s="233">
        <v>46304.35</v>
      </c>
      <c r="AE7" s="233">
        <v>121434.8</v>
      </c>
      <c r="AF7" s="233">
        <v>68031.5</v>
      </c>
      <c r="AG7" s="233">
        <f>87094.32</f>
        <v>87094.32</v>
      </c>
      <c r="AH7" s="354"/>
      <c r="AI7" s="310"/>
      <c r="AJ7" s="310"/>
      <c r="AK7" s="310" t="s">
        <v>84</v>
      </c>
      <c r="AL7" s="250"/>
      <c r="AM7" s="250"/>
      <c r="AN7" s="250">
        <v>60000</v>
      </c>
      <c r="AO7" s="250"/>
      <c r="AP7" s="250"/>
      <c r="AQ7" s="250">
        <v>30000</v>
      </c>
      <c r="AR7" s="250">
        <v>30000</v>
      </c>
      <c r="AS7" s="250">
        <f>30000+20000+30000</f>
        <v>80000</v>
      </c>
      <c r="AT7" s="250">
        <v>80000</v>
      </c>
      <c r="AU7" s="250">
        <v>80000</v>
      </c>
      <c r="AV7" s="250">
        <f>30000+50000</f>
        <v>80000</v>
      </c>
      <c r="AW7" s="265">
        <v>90000</v>
      </c>
      <c r="AX7" s="266">
        <f t="shared" si="6"/>
        <v>1121529.89</v>
      </c>
      <c r="AY7" s="274">
        <f t="shared" si="0"/>
        <v>530000</v>
      </c>
      <c r="AZ7" s="275">
        <f t="shared" si="1"/>
        <v>591529.89</v>
      </c>
      <c r="BA7" s="359">
        <f t="shared" si="7"/>
        <v>560343.97</v>
      </c>
      <c r="BB7" s="359">
        <f t="shared" si="8"/>
        <v>525636.64</v>
      </c>
      <c r="BC7" s="360" t="str">
        <f t="shared" si="2"/>
        <v/>
      </c>
      <c r="BD7" s="323" t="str">
        <f t="shared" si="3"/>
        <v/>
      </c>
      <c r="BE7" s="323" t="str">
        <f t="shared" si="4"/>
        <v/>
      </c>
      <c r="BF7" s="323" t="str">
        <f>IF($AZ7-SUM(Z7:$AG7)&gt;0,$AZ7-SUM(Z7:$AG7),"")</f>
        <v/>
      </c>
      <c r="BG7" s="323" t="str">
        <f>IF($AZ7-SUM(AA7:$AG7)&gt;0,$AZ7-SUM(AA7:$AG7),"")</f>
        <v/>
      </c>
      <c r="BH7" s="323">
        <f>IF($AZ7-SUM(AB7:$AG7)&gt;0,$AZ7-SUM(AB7:$AG7),"")</f>
        <v>9272.73000000021</v>
      </c>
      <c r="BI7" s="323">
        <f>IF($AZ7-SUM(AC7:$AG7)&gt;0,$AZ7-SUM(AC7:$AG7),"")</f>
        <v>225844.06</v>
      </c>
      <c r="BJ7" s="323">
        <f>IF($AZ7-SUM(AD7:$AG7)&gt;0,$AZ7-SUM(AD7:$AG7),"")</f>
        <v>268664.92</v>
      </c>
      <c r="BK7" s="323">
        <f>IF($AZ7-SUM(AE7:$AG7)&gt;0,$AZ7-SUM(AE7:$AG7),"")</f>
        <v>314969.27</v>
      </c>
      <c r="BL7" s="323">
        <f>IF($AZ7-SUM(AF7:$AG7)&gt;0,$AZ7-SUM(AF7:$AG7),"")</f>
        <v>436404.07</v>
      </c>
      <c r="BM7" s="276" t="s">
        <v>85</v>
      </c>
      <c r="BN7" s="277"/>
      <c r="BO7" s="91"/>
      <c r="BP7" s="101">
        <f>IFERROR(VLOOKUP(D7,Sheet2!D:O,12,FALSE),"")</f>
        <v>524217.72</v>
      </c>
      <c r="BQ7" s="101">
        <f t="shared" si="9"/>
        <v>67312.17</v>
      </c>
      <c r="BS7" s="10">
        <f t="shared" si="10"/>
        <v>684737.5</v>
      </c>
      <c r="BT7" s="10">
        <f t="shared" si="11"/>
        <v>114122.916666667</v>
      </c>
      <c r="BV7" s="8"/>
      <c r="BW7" s="8"/>
    </row>
    <row r="8" s="10" customFormat="1" ht="24.05" customHeight="1" spans="2:75">
      <c r="B8" s="45" t="s">
        <v>81</v>
      </c>
      <c r="C8" s="325" t="s">
        <v>107</v>
      </c>
      <c r="D8" s="46" t="s">
        <v>108</v>
      </c>
      <c r="E8" s="326">
        <v>935085.37</v>
      </c>
      <c r="F8" s="233">
        <v>274834.08</v>
      </c>
      <c r="G8" s="233">
        <v>164900.45</v>
      </c>
      <c r="H8" s="233">
        <v>164900.45</v>
      </c>
      <c r="I8" s="233">
        <v>219867.26</v>
      </c>
      <c r="J8" s="233">
        <v>54954.09</v>
      </c>
      <c r="K8" s="233">
        <v>159403.77</v>
      </c>
      <c r="L8" s="233">
        <v>219867.26</v>
      </c>
      <c r="M8" s="233">
        <v>164900.45</v>
      </c>
      <c r="N8" s="233">
        <v>164900.45</v>
      </c>
      <c r="O8" s="332">
        <v>164900.45</v>
      </c>
      <c r="P8" s="333">
        <v>219867.26</v>
      </c>
      <c r="Q8" s="333">
        <v>219867.26</v>
      </c>
      <c r="R8" s="332"/>
      <c r="S8" s="333"/>
      <c r="T8" s="333"/>
      <c r="U8" s="343">
        <f t="shared" si="5"/>
        <v>935085.37</v>
      </c>
      <c r="V8" s="232"/>
      <c r="W8" s="233"/>
      <c r="X8" s="233">
        <v>54966.82</v>
      </c>
      <c r="Y8" s="233">
        <v>219867.26</v>
      </c>
      <c r="Z8" s="233">
        <v>219867.26</v>
      </c>
      <c r="AA8" s="233">
        <f>274834.08</f>
        <v>274834.08</v>
      </c>
      <c r="AB8" s="233">
        <v>329800.9</v>
      </c>
      <c r="AC8" s="233">
        <v>54966.82</v>
      </c>
      <c r="AD8" s="233"/>
      <c r="AE8" s="233"/>
      <c r="AF8" s="233">
        <v>109933.63</v>
      </c>
      <c r="AG8" s="233">
        <v>54966.82</v>
      </c>
      <c r="AH8" s="354"/>
      <c r="AI8" s="310"/>
      <c r="AJ8" s="310"/>
      <c r="AK8" s="310" t="s">
        <v>84</v>
      </c>
      <c r="AL8" s="250">
        <f>150000+225000</f>
        <v>375000</v>
      </c>
      <c r="AM8" s="250">
        <v>340000</v>
      </c>
      <c r="AN8" s="250">
        <v>220000</v>
      </c>
      <c r="AO8" s="250"/>
      <c r="AP8" s="250"/>
      <c r="AQ8" s="250"/>
      <c r="AR8" s="250">
        <f>100000+100000</f>
        <v>200000</v>
      </c>
      <c r="AS8" s="251">
        <v>120000</v>
      </c>
      <c r="AT8" s="250">
        <f>10000+324826.59+100000</f>
        <v>434826.59</v>
      </c>
      <c r="AU8" s="250"/>
      <c r="AV8" s="250">
        <f>64341.61+85658.39+200000</f>
        <v>350000</v>
      </c>
      <c r="AW8" s="265">
        <v>49561.92</v>
      </c>
      <c r="AX8" s="266">
        <f t="shared" si="6"/>
        <v>2254288.96</v>
      </c>
      <c r="AY8" s="274">
        <f t="shared" si="0"/>
        <v>2089388.51</v>
      </c>
      <c r="AZ8" s="275">
        <f t="shared" si="1"/>
        <v>164900.45</v>
      </c>
      <c r="BA8" s="359">
        <f t="shared" si="7"/>
        <v>0</v>
      </c>
      <c r="BB8" s="359">
        <f t="shared" si="8"/>
        <v>164900.45</v>
      </c>
      <c r="BC8" s="360" t="str">
        <f t="shared" si="2"/>
        <v/>
      </c>
      <c r="BD8" s="323" t="str">
        <f t="shared" si="3"/>
        <v/>
      </c>
      <c r="BE8" s="323" t="str">
        <f t="shared" si="4"/>
        <v/>
      </c>
      <c r="BF8" s="323" t="str">
        <f>IF($AZ8-SUM(Z8:$AG8)&gt;0,$AZ8-SUM(Z8:$AG8),"")</f>
        <v/>
      </c>
      <c r="BG8" s="323" t="str">
        <f>IF($AZ8-SUM(AA8:$AG8)&gt;0,$AZ8-SUM(AA8:$AG8),"")</f>
        <v/>
      </c>
      <c r="BH8" s="323" t="str">
        <f>IF($AZ8-SUM(AB8:$AG8)&gt;0,$AZ8-SUM(AB8:$AG8),"")</f>
        <v/>
      </c>
      <c r="BI8" s="323" t="str">
        <f>IF($AZ8-SUM(AC8:$AG8)&gt;0,$AZ8-SUM(AC8:$AG8),"")</f>
        <v/>
      </c>
      <c r="BJ8" s="323" t="str">
        <f>IF($AZ8-SUM(AD8:$AG8)&gt;0,$AZ8-SUM(AD8:$AG8),"")</f>
        <v/>
      </c>
      <c r="BK8" s="323" t="str">
        <f>IF($AZ8-SUM(AE8:$AG8)&gt;0,$AZ8-SUM(AE8:$AG8),"")</f>
        <v/>
      </c>
      <c r="BL8" s="323" t="str">
        <f>IF($AZ8-SUM(AF8:$AG8)&gt;0,$AZ8-SUM(AF8:$AG8),"")</f>
        <v/>
      </c>
      <c r="BM8" s="276" t="s">
        <v>85</v>
      </c>
      <c r="BN8" s="277"/>
      <c r="BO8" s="91"/>
      <c r="BP8" s="101">
        <f>IFERROR(VLOOKUP(D8,Sheet2!D:O,12,FALSE),"")</f>
        <v>714568.61</v>
      </c>
      <c r="BQ8" s="101">
        <f t="shared" si="9"/>
        <v>-549668.16</v>
      </c>
      <c r="BS8" s="10">
        <f t="shared" si="10"/>
        <v>1099336.32</v>
      </c>
      <c r="BT8" s="10">
        <f t="shared" si="11"/>
        <v>183222.72</v>
      </c>
      <c r="BV8" s="5"/>
      <c r="BW8" s="5"/>
    </row>
    <row r="9" s="10" customFormat="1" ht="24.05" customHeight="1" spans="2:75">
      <c r="B9" s="45" t="s">
        <v>81</v>
      </c>
      <c r="C9" s="325" t="s">
        <v>109</v>
      </c>
      <c r="D9" s="46" t="s">
        <v>204</v>
      </c>
      <c r="E9" s="326">
        <v>62.7000000000698</v>
      </c>
      <c r="F9" s="233">
        <v>0</v>
      </c>
      <c r="G9" s="233">
        <v>0</v>
      </c>
      <c r="H9" s="233">
        <v>0</v>
      </c>
      <c r="I9" s="233">
        <v>0</v>
      </c>
      <c r="J9" s="233">
        <v>0</v>
      </c>
      <c r="K9" s="233">
        <v>0</v>
      </c>
      <c r="L9" s="233">
        <v>0</v>
      </c>
      <c r="M9" s="233">
        <v>0</v>
      </c>
      <c r="N9" s="233">
        <f>IFERROR(VLOOKUP($D9,'2022年'!$D:AF,COLUMN(R3),FALSE),"")</f>
        <v>0</v>
      </c>
      <c r="O9" s="332"/>
      <c r="P9" s="333"/>
      <c r="Q9" s="333"/>
      <c r="R9" s="332"/>
      <c r="S9" s="333"/>
      <c r="T9" s="333"/>
      <c r="U9" s="343">
        <f t="shared" si="5"/>
        <v>62.7000000000698</v>
      </c>
      <c r="V9" s="232"/>
      <c r="W9" s="233"/>
      <c r="X9" s="233"/>
      <c r="Y9" s="233">
        <f>682.52+136.5</f>
        <v>819.02</v>
      </c>
      <c r="Z9" s="233"/>
      <c r="AA9" s="233">
        <v>511.89</v>
      </c>
      <c r="AB9" s="233"/>
      <c r="AC9" s="233"/>
      <c r="AD9" s="233"/>
      <c r="AE9" s="233"/>
      <c r="AF9" s="233">
        <v>682.52</v>
      </c>
      <c r="AG9" s="233"/>
      <c r="AH9" s="354"/>
      <c r="AI9" s="310"/>
      <c r="AJ9" s="310"/>
      <c r="AK9" s="310" t="s">
        <v>84</v>
      </c>
      <c r="AL9" s="250"/>
      <c r="AM9" s="250"/>
      <c r="AN9" s="250"/>
      <c r="AO9" s="250"/>
      <c r="AP9" s="250">
        <v>819.02</v>
      </c>
      <c r="AQ9" s="250">
        <v>511.89</v>
      </c>
      <c r="AR9" s="250"/>
      <c r="AS9" s="250"/>
      <c r="AT9" s="250"/>
      <c r="AU9" s="250"/>
      <c r="AV9" s="250">
        <v>682.52</v>
      </c>
      <c r="AW9" s="265"/>
      <c r="AX9" s="266">
        <f t="shared" si="6"/>
        <v>2076.13000000007</v>
      </c>
      <c r="AY9" s="274">
        <f t="shared" si="0"/>
        <v>2013.43</v>
      </c>
      <c r="AZ9" s="275">
        <f t="shared" si="1"/>
        <v>62.7000000000698</v>
      </c>
      <c r="BA9" s="359">
        <f t="shared" si="7"/>
        <v>62.7000000000698</v>
      </c>
      <c r="BB9" s="359">
        <f t="shared" si="8"/>
        <v>62.7000000000698</v>
      </c>
      <c r="BC9" s="360" t="str">
        <f t="shared" si="2"/>
        <v/>
      </c>
      <c r="BD9" s="323" t="str">
        <f t="shared" si="3"/>
        <v/>
      </c>
      <c r="BE9" s="323" t="str">
        <f t="shared" si="4"/>
        <v/>
      </c>
      <c r="BF9" s="323" t="str">
        <f>IF($AZ9-SUM(Z9:$AG9)&gt;0,$AZ9-SUM(Z9:$AG9),"")</f>
        <v/>
      </c>
      <c r="BG9" s="323" t="str">
        <f>IF($AZ9-SUM(AA9:$AG9)&gt;0,$AZ9-SUM(AA9:$AG9),"")</f>
        <v/>
      </c>
      <c r="BH9" s="323" t="str">
        <f>IF($AZ9-SUM(AB9:$AG9)&gt;0,$AZ9-SUM(AB9:$AG9),"")</f>
        <v/>
      </c>
      <c r="BI9" s="323" t="str">
        <f>IF($AZ9-SUM(AC9:$AG9)&gt;0,$AZ9-SUM(AC9:$AG9),"")</f>
        <v/>
      </c>
      <c r="BJ9" s="323" t="str">
        <f>IF($AZ9-SUM(AD9:$AG9)&gt;0,$AZ9-SUM(AD9:$AG9),"")</f>
        <v/>
      </c>
      <c r="BK9" s="323" t="str">
        <f>IF($AZ9-SUM(AE9:$AG9)&gt;0,$AZ9-SUM(AE9:$AG9),"")</f>
        <v/>
      </c>
      <c r="BL9" s="323" t="str">
        <f>IF($AZ9-SUM(AF9:$AG9)&gt;0,$AZ9-SUM(AF9:$AG9),"")</f>
        <v/>
      </c>
      <c r="BM9" s="276" t="s">
        <v>111</v>
      </c>
      <c r="BN9" s="277"/>
      <c r="BO9" s="91"/>
      <c r="BP9" s="101">
        <f>IFERROR(VLOOKUP(D9,Sheet2!D:O,12,FALSE),"")</f>
        <v>62.7</v>
      </c>
      <c r="BQ9" s="101">
        <f t="shared" si="9"/>
        <v>6.97966129337146e-11</v>
      </c>
      <c r="BS9" s="10">
        <f t="shared" si="10"/>
        <v>1330.91</v>
      </c>
      <c r="BT9" s="10">
        <f t="shared" si="11"/>
        <v>221.818333333333</v>
      </c>
      <c r="BV9" s="8"/>
      <c r="BW9" s="8"/>
    </row>
    <row r="10" s="10" customFormat="1" ht="24.05" customHeight="1" spans="2:75">
      <c r="B10" s="45" t="s">
        <v>81</v>
      </c>
      <c r="C10" s="325" t="s">
        <v>112</v>
      </c>
      <c r="D10" s="46" t="s">
        <v>113</v>
      </c>
      <c r="E10" s="326">
        <v>42809.4299999999</v>
      </c>
      <c r="F10" s="233">
        <v>42537.15</v>
      </c>
      <c r="G10" s="233">
        <v>42849.6</v>
      </c>
      <c r="H10" s="233">
        <v>41943.51</v>
      </c>
      <c r="I10" s="233">
        <v>45070.5</v>
      </c>
      <c r="J10" s="233">
        <v>21281.97</v>
      </c>
      <c r="K10" s="233">
        <v>32137.2</v>
      </c>
      <c r="L10" s="233">
        <v>31271.28</v>
      </c>
      <c r="M10" s="233">
        <v>42809.43</v>
      </c>
      <c r="N10" s="233" t="str">
        <f>IFERROR(VLOOKUP($D10,'2022年'!$D:AF,COLUMN(#REF!),FALSE),"")</f>
        <v/>
      </c>
      <c r="O10" s="332"/>
      <c r="P10" s="333"/>
      <c r="Q10" s="333"/>
      <c r="R10" s="332"/>
      <c r="S10" s="333"/>
      <c r="T10" s="333"/>
      <c r="U10" s="343">
        <f t="shared" si="5"/>
        <v>42809.4299999999</v>
      </c>
      <c r="V10" s="232"/>
      <c r="W10" s="233">
        <f>84175.45+78294.25</f>
        <v>162469.7</v>
      </c>
      <c r="X10" s="233"/>
      <c r="Y10" s="233"/>
      <c r="Z10" s="233"/>
      <c r="AA10" s="233"/>
      <c r="AB10" s="233">
        <v>89595.83</v>
      </c>
      <c r="AC10" s="233"/>
      <c r="AD10" s="233"/>
      <c r="AE10" s="233"/>
      <c r="AF10" s="233"/>
      <c r="AG10" s="233">
        <f>52093.51+83328.46</f>
        <v>135421.97</v>
      </c>
      <c r="AH10" s="354"/>
      <c r="AI10" s="310"/>
      <c r="AJ10" s="310"/>
      <c r="AK10" s="310" t="s">
        <v>84</v>
      </c>
      <c r="AL10" s="250"/>
      <c r="AM10" s="250"/>
      <c r="AN10" s="250"/>
      <c r="AO10" s="250"/>
      <c r="AP10" s="250"/>
      <c r="AQ10" s="250"/>
      <c r="AR10" s="250"/>
      <c r="AS10" s="250">
        <v>30000</v>
      </c>
      <c r="AT10" s="250"/>
      <c r="AU10" s="250">
        <v>20000</v>
      </c>
      <c r="AV10" s="250"/>
      <c r="AW10" s="265"/>
      <c r="AX10" s="266">
        <f t="shared" si="6"/>
        <v>430296.93</v>
      </c>
      <c r="AY10" s="274">
        <f t="shared" si="0"/>
        <v>50000</v>
      </c>
      <c r="AZ10" s="275">
        <f t="shared" si="1"/>
        <v>380296.93</v>
      </c>
      <c r="BA10" s="359">
        <f t="shared" si="7"/>
        <v>380296.93</v>
      </c>
      <c r="BB10" s="359">
        <f t="shared" si="8"/>
        <v>217827.23</v>
      </c>
      <c r="BC10" s="360" t="str">
        <f t="shared" si="2"/>
        <v/>
      </c>
      <c r="BD10" s="323">
        <f t="shared" si="3"/>
        <v>155279.13</v>
      </c>
      <c r="BE10" s="323">
        <f t="shared" si="4"/>
        <v>155279.13</v>
      </c>
      <c r="BF10" s="323">
        <f>IF($AZ10-SUM(Z10:$AG10)&gt;0,$AZ10-SUM(Z10:$AG10),"")</f>
        <v>155279.13</v>
      </c>
      <c r="BG10" s="323">
        <f>IF($AZ10-SUM(AA10:$AG10)&gt;0,$AZ10-SUM(AA10:$AG10),"")</f>
        <v>155279.13</v>
      </c>
      <c r="BH10" s="323">
        <f>IF($AZ10-SUM(AB10:$AG10)&gt;0,$AZ10-SUM(AB10:$AG10),"")</f>
        <v>155279.13</v>
      </c>
      <c r="BI10" s="323">
        <f>IF($AZ10-SUM(AC10:$AG10)&gt;0,$AZ10-SUM(AC10:$AG10),"")</f>
        <v>244874.96</v>
      </c>
      <c r="BJ10" s="323">
        <f>IF($AZ10-SUM(AD10:$AG10)&gt;0,$AZ10-SUM(AD10:$AG10),"")</f>
        <v>244874.96</v>
      </c>
      <c r="BK10" s="323">
        <f>IF($AZ10-SUM(AE10:$AG10)&gt;0,$AZ10-SUM(AE10:$AG10),"")</f>
        <v>244874.96</v>
      </c>
      <c r="BL10" s="323">
        <f>IF($AZ10-SUM(AF10:$AG10)&gt;0,$AZ10-SUM(AF10:$AG10),"")</f>
        <v>244874.96</v>
      </c>
      <c r="BM10" s="276" t="s">
        <v>85</v>
      </c>
      <c r="BN10" s="277"/>
      <c r="BO10" s="91"/>
      <c r="BP10" s="101">
        <f>IFERROR(VLOOKUP(D10,Sheet2!D:O,12,FALSE),"")</f>
        <v>350296.93</v>
      </c>
      <c r="BQ10" s="101">
        <f t="shared" si="9"/>
        <v>30000</v>
      </c>
      <c r="BS10" s="10">
        <f t="shared" si="10"/>
        <v>252065.53</v>
      </c>
      <c r="BT10" s="10">
        <f t="shared" si="11"/>
        <v>42010.9216666667</v>
      </c>
      <c r="BV10" s="5"/>
      <c r="BW10" s="5"/>
    </row>
    <row r="11" s="10" customFormat="1" ht="24.05" customHeight="1" spans="2:75">
      <c r="B11" s="48" t="s">
        <v>81</v>
      </c>
      <c r="C11" s="325" t="s">
        <v>122</v>
      </c>
      <c r="D11" s="46" t="s">
        <v>123</v>
      </c>
      <c r="E11" s="326">
        <v>840975</v>
      </c>
      <c r="F11" s="233">
        <v>191422.73</v>
      </c>
      <c r="G11" s="233">
        <v>271787.09</v>
      </c>
      <c r="H11" s="233">
        <v>224386.21</v>
      </c>
      <c r="I11" s="233">
        <v>270173.53</v>
      </c>
      <c r="J11" s="233">
        <v>0</v>
      </c>
      <c r="K11" s="233">
        <v>355399.9</v>
      </c>
      <c r="L11" s="233">
        <v>198768.76</v>
      </c>
      <c r="M11" s="233">
        <v>331451.1</v>
      </c>
      <c r="N11" s="233">
        <f>IFERROR(VLOOKUP($D11,'2022年'!$D:AF,COLUMN(R5),FALSE),"")</f>
        <v>147250.47</v>
      </c>
      <c r="O11" s="332">
        <v>221799.23</v>
      </c>
      <c r="P11" s="333">
        <v>158895.27</v>
      </c>
      <c r="Q11" s="333">
        <v>176578.93</v>
      </c>
      <c r="R11" s="332"/>
      <c r="S11" s="333"/>
      <c r="T11" s="333"/>
      <c r="U11" s="343">
        <f t="shared" si="5"/>
        <v>840975</v>
      </c>
      <c r="V11" s="232"/>
      <c r="W11" s="233"/>
      <c r="X11" s="233"/>
      <c r="Y11" s="233">
        <f>36520.88+110446.2</f>
        <v>146967.08</v>
      </c>
      <c r="Z11" s="233">
        <f>98244.64+110446.2</f>
        <v>208690.84</v>
      </c>
      <c r="AA11" s="233">
        <v>272237.61</v>
      </c>
      <c r="AB11" s="233">
        <v>124953</v>
      </c>
      <c r="AC11" s="233"/>
      <c r="AD11" s="233"/>
      <c r="AE11" s="233"/>
      <c r="AF11" s="233">
        <v>200873.82</v>
      </c>
      <c r="AG11" s="233">
        <v>137052.3</v>
      </c>
      <c r="AH11" s="354"/>
      <c r="AI11" s="310"/>
      <c r="AJ11" s="310"/>
      <c r="AK11" s="310" t="s">
        <v>84</v>
      </c>
      <c r="AL11" s="250"/>
      <c r="AM11" s="250">
        <v>150000</v>
      </c>
      <c r="AN11" s="250">
        <v>200000</v>
      </c>
      <c r="AO11" s="250">
        <v>120000</v>
      </c>
      <c r="AP11" s="250">
        <v>370975</v>
      </c>
      <c r="AQ11" s="250"/>
      <c r="AR11" s="250"/>
      <c r="AS11" s="251">
        <v>100000</v>
      </c>
      <c r="AT11" s="250"/>
      <c r="AU11" s="250">
        <f>80000+230000</f>
        <v>310000</v>
      </c>
      <c r="AV11" s="250"/>
      <c r="AW11" s="265">
        <f>100000+200000+42848.53</f>
        <v>342848.53</v>
      </c>
      <c r="AX11" s="266">
        <f t="shared" si="6"/>
        <v>1931749.65</v>
      </c>
      <c r="AY11" s="274">
        <f t="shared" si="0"/>
        <v>1593823.53</v>
      </c>
      <c r="AZ11" s="275">
        <f t="shared" si="1"/>
        <v>337926.12</v>
      </c>
      <c r="BA11" s="359">
        <f t="shared" si="7"/>
        <v>161347.19</v>
      </c>
      <c r="BB11" s="359">
        <f t="shared" si="8"/>
        <v>337926.12</v>
      </c>
      <c r="BC11" s="360" t="str">
        <f t="shared" si="2"/>
        <v/>
      </c>
      <c r="BD11" s="323" t="str">
        <f t="shared" si="3"/>
        <v/>
      </c>
      <c r="BE11" s="323" t="str">
        <f t="shared" si="4"/>
        <v/>
      </c>
      <c r="BF11" s="323" t="str">
        <f>IF($AZ11-SUM(Z11:$AG11)&gt;0,$AZ11-SUM(Z11:$AG11),"")</f>
        <v/>
      </c>
      <c r="BG11" s="323" t="str">
        <f>IF($AZ11-SUM(AA11:$AG11)&gt;0,$AZ11-SUM(AA11:$AG11),"")</f>
        <v/>
      </c>
      <c r="BH11" s="323" t="str">
        <f>IF($AZ11-SUM(AB11:$AG11)&gt;0,$AZ11-SUM(AB11:$AG11),"")</f>
        <v/>
      </c>
      <c r="BI11" s="323" t="str">
        <f>IF($AZ11-SUM(AC11:$AG11)&gt;0,$AZ11-SUM(AC11:$AG11),"")</f>
        <v/>
      </c>
      <c r="BJ11" s="323" t="str">
        <f>IF($AZ11-SUM(AD11:$AG11)&gt;0,$AZ11-SUM(AD11:$AG11),"")</f>
        <v/>
      </c>
      <c r="BK11" s="323" t="str">
        <f>IF($AZ11-SUM(AE11:$AG11)&gt;0,$AZ11-SUM(AE11:$AG11),"")</f>
        <v/>
      </c>
      <c r="BL11" s="323" t="str">
        <f>IF($AZ11-SUM(AF11:$AG11)&gt;0,$AZ11-SUM(AF11:$AG11),"")</f>
        <v/>
      </c>
      <c r="BM11" s="276" t="s">
        <v>85</v>
      </c>
      <c r="BN11" s="277"/>
      <c r="BO11" s="91"/>
      <c r="BP11" s="101">
        <f>IFERROR(VLOOKUP(D11,Sheet2!D:O,12,FALSE),"")</f>
        <v>335053.23</v>
      </c>
      <c r="BQ11" s="101">
        <f t="shared" si="9"/>
        <v>2872.89000000001</v>
      </c>
      <c r="BS11" s="10">
        <f t="shared" si="10"/>
        <v>752848.53</v>
      </c>
      <c r="BT11" s="10">
        <f t="shared" si="11"/>
        <v>125474.755</v>
      </c>
      <c r="BV11" s="8"/>
      <c r="BW11" s="8"/>
    </row>
    <row r="12" s="10" customFormat="1" ht="24.05" customHeight="1" spans="2:75">
      <c r="B12" s="48" t="s">
        <v>81</v>
      </c>
      <c r="C12" s="325" t="s">
        <v>124</v>
      </c>
      <c r="D12" s="46" t="s">
        <v>125</v>
      </c>
      <c r="E12" s="326">
        <v>43378.44</v>
      </c>
      <c r="F12" s="233">
        <v>33981.36</v>
      </c>
      <c r="G12" s="233">
        <v>5410.44</v>
      </c>
      <c r="H12" s="233">
        <v>3986.64</v>
      </c>
      <c r="I12" s="233" t="s">
        <v>286</v>
      </c>
      <c r="J12" s="233" t="s">
        <v>286</v>
      </c>
      <c r="K12" s="233" t="s">
        <v>286</v>
      </c>
      <c r="L12" s="233" t="s">
        <v>286</v>
      </c>
      <c r="M12" s="233" t="s">
        <v>286</v>
      </c>
      <c r="N12" s="233" t="str">
        <f>IFERROR(VLOOKUP($D12,'2022年'!$D:AF,COLUMN(#REF!),FALSE),"")</f>
        <v/>
      </c>
      <c r="O12" s="332"/>
      <c r="P12" s="333"/>
      <c r="Q12" s="333"/>
      <c r="R12" s="332"/>
      <c r="S12" s="333"/>
      <c r="T12" s="333"/>
      <c r="U12" s="343">
        <f t="shared" si="5"/>
        <v>43378.44</v>
      </c>
      <c r="V12" s="232"/>
      <c r="W12" s="233"/>
      <c r="X12" s="233"/>
      <c r="Y12" s="233"/>
      <c r="Z12" s="233"/>
      <c r="AA12" s="233"/>
      <c r="AB12" s="233"/>
      <c r="AC12" s="233"/>
      <c r="AD12" s="233"/>
      <c r="AE12" s="233"/>
      <c r="AF12" s="233"/>
      <c r="AG12" s="233"/>
      <c r="AH12" s="354"/>
      <c r="AI12" s="310"/>
      <c r="AJ12" s="310"/>
      <c r="AK12" s="310" t="s">
        <v>84</v>
      </c>
      <c r="AL12" s="250"/>
      <c r="AM12" s="251"/>
      <c r="AN12" s="250"/>
      <c r="AO12" s="250"/>
      <c r="AP12" s="250"/>
      <c r="AQ12" s="250"/>
      <c r="AR12" s="250"/>
      <c r="AS12" s="250"/>
      <c r="AT12" s="250"/>
      <c r="AU12" s="250"/>
      <c r="AV12" s="250"/>
      <c r="AW12" s="265"/>
      <c r="AX12" s="266">
        <f t="shared" si="6"/>
        <v>43378.44</v>
      </c>
      <c r="AY12" s="274">
        <f t="shared" si="0"/>
        <v>0</v>
      </c>
      <c r="AZ12" s="275">
        <f t="shared" si="1"/>
        <v>43378.44</v>
      </c>
      <c r="BA12" s="359">
        <f t="shared" si="7"/>
        <v>43378.44</v>
      </c>
      <c r="BB12" s="359">
        <f t="shared" si="8"/>
        <v>43378.44</v>
      </c>
      <c r="BC12" s="360">
        <f t="shared" si="2"/>
        <v>43378.44</v>
      </c>
      <c r="BD12" s="323">
        <f t="shared" si="3"/>
        <v>43378.44</v>
      </c>
      <c r="BE12" s="323">
        <f t="shared" si="4"/>
        <v>43378.44</v>
      </c>
      <c r="BF12" s="323">
        <f>IF($AZ12-SUM(Z12:$AG12)&gt;0,$AZ12-SUM(Z12:$AG12),"")</f>
        <v>43378.44</v>
      </c>
      <c r="BG12" s="323">
        <f>IF($AZ12-SUM(AA12:$AG12)&gt;0,$AZ12-SUM(AA12:$AG12),"")</f>
        <v>43378.44</v>
      </c>
      <c r="BH12" s="323">
        <f>IF($AZ12-SUM(AB12:$AG12)&gt;0,$AZ12-SUM(AB12:$AG12),"")</f>
        <v>43378.44</v>
      </c>
      <c r="BI12" s="323">
        <f>IF($AZ12-SUM(AC12:$AG12)&gt;0,$AZ12-SUM(AC12:$AG12),"")</f>
        <v>43378.44</v>
      </c>
      <c r="BJ12" s="323">
        <f>IF($AZ12-SUM(AD12:$AG12)&gt;0,$AZ12-SUM(AD12:$AG12),"")</f>
        <v>43378.44</v>
      </c>
      <c r="BK12" s="323">
        <f>IF($AZ12-SUM(AE12:$AG12)&gt;0,$AZ12-SUM(AE12:$AG12),"")</f>
        <v>43378.44</v>
      </c>
      <c r="BL12" s="323">
        <f>IF($AZ12-SUM(AF12:$AG12)&gt;0,$AZ12-SUM(AF12:$AG12),"")</f>
        <v>43378.44</v>
      </c>
      <c r="BM12" s="276" t="s">
        <v>85</v>
      </c>
      <c r="BN12" s="277" t="s">
        <v>266</v>
      </c>
      <c r="BO12" s="91"/>
      <c r="BP12" s="101">
        <f>IFERROR(VLOOKUP(D12,Sheet2!D:O,12,FALSE),"")</f>
        <v>43378.44</v>
      </c>
      <c r="BQ12" s="101">
        <f t="shared" si="9"/>
        <v>0</v>
      </c>
      <c r="BS12" s="10">
        <f t="shared" si="10"/>
        <v>0</v>
      </c>
      <c r="BT12" s="10">
        <f t="shared" si="11"/>
        <v>0</v>
      </c>
      <c r="BV12" s="5"/>
      <c r="BW12" s="5"/>
    </row>
    <row r="13" s="10" customFormat="1" ht="24.05" customHeight="1" spans="2:75">
      <c r="B13" s="48" t="s">
        <v>81</v>
      </c>
      <c r="C13" s="325" t="s">
        <v>128</v>
      </c>
      <c r="D13" s="46" t="s">
        <v>129</v>
      </c>
      <c r="E13" s="326">
        <v>93338.0200000001</v>
      </c>
      <c r="F13" s="233">
        <v>27162.94</v>
      </c>
      <c r="G13" s="233">
        <v>16479.92</v>
      </c>
      <c r="H13" s="233">
        <v>30769.9</v>
      </c>
      <c r="I13" s="233">
        <v>14805.26</v>
      </c>
      <c r="J13" s="233">
        <v>38135.24</v>
      </c>
      <c r="K13" s="233">
        <v>16110.41</v>
      </c>
      <c r="L13" s="233">
        <v>0</v>
      </c>
      <c r="M13" s="233">
        <v>20990.11</v>
      </c>
      <c r="N13" s="233">
        <f>IFERROR(VLOOKUP($D13,'2022年'!$D:AF,COLUMN(R7),FALSE),"")</f>
        <v>24360.11</v>
      </c>
      <c r="O13" s="332">
        <v>21710.01</v>
      </c>
      <c r="P13" s="333">
        <v>23909.67</v>
      </c>
      <c r="Q13" s="333">
        <v>23358.23</v>
      </c>
      <c r="R13" s="332"/>
      <c r="S13" s="333"/>
      <c r="T13" s="344"/>
      <c r="U13" s="343">
        <f t="shared" si="5"/>
        <v>93338.0200000001</v>
      </c>
      <c r="V13" s="232"/>
      <c r="W13" s="233"/>
      <c r="X13" s="233"/>
      <c r="Y13" s="233">
        <v>49145.74</v>
      </c>
      <c r="Z13" s="233"/>
      <c r="AA13" s="233">
        <v>60857.28</v>
      </c>
      <c r="AB13" s="233">
        <v>6068.1</v>
      </c>
      <c r="AC13" s="233">
        <v>13979.23</v>
      </c>
      <c r="AD13" s="233"/>
      <c r="AE13" s="233">
        <v>52357.11</v>
      </c>
      <c r="AF13" s="233">
        <v>5606.92</v>
      </c>
      <c r="AG13" s="233"/>
      <c r="AH13" s="354"/>
      <c r="AI13" s="310"/>
      <c r="AJ13" s="310"/>
      <c r="AK13" s="310" t="s">
        <v>84</v>
      </c>
      <c r="AL13" s="250"/>
      <c r="AM13" s="250"/>
      <c r="AN13" s="250"/>
      <c r="AO13" s="250"/>
      <c r="AP13" s="250">
        <v>30000</v>
      </c>
      <c r="AQ13" s="250"/>
      <c r="AR13" s="250">
        <v>30000</v>
      </c>
      <c r="AS13" s="250">
        <v>15000</v>
      </c>
      <c r="AT13" s="250"/>
      <c r="AU13" s="250">
        <v>20000</v>
      </c>
      <c r="AV13" s="250"/>
      <c r="AW13" s="265">
        <v>20000</v>
      </c>
      <c r="AX13" s="266">
        <f t="shared" si="6"/>
        <v>281352.4</v>
      </c>
      <c r="AY13" s="274">
        <f t="shared" si="0"/>
        <v>115000</v>
      </c>
      <c r="AZ13" s="275">
        <f t="shared" si="1"/>
        <v>166352.4</v>
      </c>
      <c r="BA13" s="359">
        <f t="shared" si="7"/>
        <v>142994.17</v>
      </c>
      <c r="BB13" s="359">
        <f t="shared" si="8"/>
        <v>166352.4</v>
      </c>
      <c r="BC13" s="360" t="str">
        <f t="shared" si="2"/>
        <v/>
      </c>
      <c r="BD13" s="323" t="str">
        <f t="shared" si="3"/>
        <v/>
      </c>
      <c r="BE13" s="323" t="str">
        <f t="shared" si="4"/>
        <v/>
      </c>
      <c r="BF13" s="323">
        <f>IF($AZ13-SUM(Z13:$AG13)&gt;0,$AZ13-SUM(Z13:$AG13),"")</f>
        <v>27483.7600000001</v>
      </c>
      <c r="BG13" s="323">
        <f>IF($AZ13-SUM(AA13:$AG13)&gt;0,$AZ13-SUM(AA13:$AG13),"")</f>
        <v>27483.7600000001</v>
      </c>
      <c r="BH13" s="323">
        <f>IF($AZ13-SUM(AB13:$AG13)&gt;0,$AZ13-SUM(AB13:$AG13),"")</f>
        <v>88341.0400000001</v>
      </c>
      <c r="BI13" s="323">
        <f>IF($AZ13-SUM(AC13:$AG13)&gt;0,$AZ13-SUM(AC13:$AG13),"")</f>
        <v>94409.1400000001</v>
      </c>
      <c r="BJ13" s="323">
        <f>IF($AZ13-SUM(AD13:$AG13)&gt;0,$AZ13-SUM(AD13:$AG13),"")</f>
        <v>108388.37</v>
      </c>
      <c r="BK13" s="323">
        <f>IF($AZ13-SUM(AE13:$AG13)&gt;0,$AZ13-SUM(AE13:$AG13),"")</f>
        <v>108388.37</v>
      </c>
      <c r="BL13" s="323">
        <f>IF($AZ13-SUM(AF13:$AG13)&gt;0,$AZ13-SUM(AF13:$AG13),"")</f>
        <v>160745.48</v>
      </c>
      <c r="BM13" s="276" t="s">
        <v>85</v>
      </c>
      <c r="BN13" s="277"/>
      <c r="BO13" s="91"/>
      <c r="BP13" s="101">
        <f>IFERROR(VLOOKUP(D13,Sheet2!D:O,12,FALSE),"")</f>
        <v>146352.4</v>
      </c>
      <c r="BQ13" s="101">
        <f t="shared" si="9"/>
        <v>20000</v>
      </c>
      <c r="BS13" s="10">
        <f t="shared" si="10"/>
        <v>116071.12</v>
      </c>
      <c r="BT13" s="10">
        <f t="shared" si="11"/>
        <v>19345.1866666667</v>
      </c>
      <c r="BV13" s="8"/>
      <c r="BW13" s="8"/>
    </row>
    <row r="14" s="10" customFormat="1" ht="24.05" customHeight="1" spans="2:75">
      <c r="B14" s="48" t="s">
        <v>81</v>
      </c>
      <c r="C14" s="325" t="s">
        <v>130</v>
      </c>
      <c r="D14" s="46" t="s">
        <v>131</v>
      </c>
      <c r="E14" s="326">
        <v>0</v>
      </c>
      <c r="F14" s="233" t="s">
        <v>286</v>
      </c>
      <c r="G14" s="233" t="s">
        <v>286</v>
      </c>
      <c r="H14" s="233" t="s">
        <v>286</v>
      </c>
      <c r="I14" s="233" t="s">
        <v>286</v>
      </c>
      <c r="J14" s="233" t="s">
        <v>286</v>
      </c>
      <c r="K14" s="233" t="s">
        <v>286</v>
      </c>
      <c r="L14" s="233" t="s">
        <v>286</v>
      </c>
      <c r="M14" s="233" t="s">
        <v>286</v>
      </c>
      <c r="N14" s="233" t="str">
        <f>IFERROR(VLOOKUP($D14,'2022年'!$D:AF,COLUMN(#REF!),FALSE),"")</f>
        <v/>
      </c>
      <c r="O14" s="332">
        <v>2076.8</v>
      </c>
      <c r="P14" s="333"/>
      <c r="Q14" s="333"/>
      <c r="R14" s="332"/>
      <c r="S14" s="333">
        <v>2000</v>
      </c>
      <c r="T14" s="333"/>
      <c r="U14" s="343">
        <f t="shared" si="5"/>
        <v>2000</v>
      </c>
      <c r="V14" s="232"/>
      <c r="W14" s="233"/>
      <c r="X14" s="233"/>
      <c r="Y14" s="233"/>
      <c r="Z14" s="233"/>
      <c r="AA14" s="233"/>
      <c r="AB14" s="233"/>
      <c r="AC14" s="233"/>
      <c r="AD14" s="233">
        <v>7000</v>
      </c>
      <c r="AE14" s="241"/>
      <c r="AF14" s="233"/>
      <c r="AG14" s="233"/>
      <c r="AH14" s="354"/>
      <c r="AI14" s="310"/>
      <c r="AJ14" s="310"/>
      <c r="AK14" s="310" t="s">
        <v>84</v>
      </c>
      <c r="AL14" s="250"/>
      <c r="AM14" s="250"/>
      <c r="AN14" s="250"/>
      <c r="AO14" s="250"/>
      <c r="AP14" s="250"/>
      <c r="AQ14" s="250"/>
      <c r="AR14" s="250">
        <v>2000</v>
      </c>
      <c r="AS14" s="250"/>
      <c r="AT14" s="250"/>
      <c r="AU14" s="250"/>
      <c r="AV14" s="250"/>
      <c r="AW14" s="265"/>
      <c r="AX14" s="266">
        <f t="shared" si="6"/>
        <v>9000</v>
      </c>
      <c r="AY14" s="274">
        <f t="shared" si="0"/>
        <v>2000</v>
      </c>
      <c r="AZ14" s="275">
        <f t="shared" si="1"/>
        <v>7000</v>
      </c>
      <c r="BA14" s="359">
        <f t="shared" si="7"/>
        <v>7000</v>
      </c>
      <c r="BB14" s="359">
        <f t="shared" si="8"/>
        <v>7000</v>
      </c>
      <c r="BC14" s="360" t="str">
        <f t="shared" si="2"/>
        <v/>
      </c>
      <c r="BD14" s="323" t="str">
        <f t="shared" si="3"/>
        <v/>
      </c>
      <c r="BE14" s="323" t="str">
        <f t="shared" si="4"/>
        <v/>
      </c>
      <c r="BF14" s="323" t="str">
        <f>IF($AZ14-SUM(Z14:$AG14)&gt;0,$AZ14-SUM(Z14:$AG14),"")</f>
        <v/>
      </c>
      <c r="BG14" s="323" t="str">
        <f>IF($AZ14-SUM(AA14:$AG14)&gt;0,$AZ14-SUM(AA14:$AG14),"")</f>
        <v/>
      </c>
      <c r="BH14" s="323" t="str">
        <f>IF($AZ14-SUM(AB14:$AG14)&gt;0,$AZ14-SUM(AB14:$AG14),"")</f>
        <v/>
      </c>
      <c r="BI14" s="323" t="str">
        <f>IF($AZ14-SUM(AC14:$AG14)&gt;0,$AZ14-SUM(AC14:$AG14),"")</f>
        <v/>
      </c>
      <c r="BJ14" s="323" t="str">
        <f>IF($AZ14-SUM(AD14:$AG14)&gt;0,$AZ14-SUM(AD14:$AG14),"")</f>
        <v/>
      </c>
      <c r="BK14" s="323">
        <f>IF($AZ14-SUM(AE14:$AG14)&gt;0,$AZ14-SUM(AE14:$AG14),"")</f>
        <v>7000</v>
      </c>
      <c r="BL14" s="323">
        <f>IF($AZ14-SUM(AF14:$AG14)&gt;0,$AZ14-SUM(AF14:$AG14),"")</f>
        <v>7000</v>
      </c>
      <c r="BM14" s="276" t="s">
        <v>85</v>
      </c>
      <c r="BN14" s="277"/>
      <c r="BO14" s="91"/>
      <c r="BP14" s="101">
        <f>IFERROR(VLOOKUP(D14,Sheet2!D:O,12,FALSE),"")</f>
        <v>7000</v>
      </c>
      <c r="BQ14" s="101">
        <f t="shared" si="9"/>
        <v>0</v>
      </c>
      <c r="BS14" s="10">
        <f>SUM(F14:N14)</f>
        <v>0</v>
      </c>
      <c r="BT14" s="10" t="e">
        <f>#REF!-BS14</f>
        <v>#REF!</v>
      </c>
      <c r="BV14" s="5"/>
      <c r="BW14" s="5"/>
    </row>
    <row r="15" s="10" customFormat="1" ht="24.05" customHeight="1" spans="2:75">
      <c r="B15" s="48" t="s">
        <v>81</v>
      </c>
      <c r="C15" s="325" t="s">
        <v>102</v>
      </c>
      <c r="D15" s="40" t="s">
        <v>103</v>
      </c>
      <c r="E15" s="326">
        <v>0.12</v>
      </c>
      <c r="F15" s="233">
        <v>103253.96</v>
      </c>
      <c r="G15" s="233">
        <v>0</v>
      </c>
      <c r="H15" s="233">
        <v>282007.54</v>
      </c>
      <c r="I15" s="233">
        <v>95208.32</v>
      </c>
      <c r="J15" s="233">
        <v>0</v>
      </c>
      <c r="K15" s="233">
        <v>64734.62</v>
      </c>
      <c r="L15" s="233">
        <v>76707.42</v>
      </c>
      <c r="M15" s="233">
        <v>22941.32</v>
      </c>
      <c r="N15" s="233">
        <f>IFERROR(VLOOKUP($D15,'2022年'!$D:AF,COLUMN(R9),FALSE),"")</f>
        <v>33766.26</v>
      </c>
      <c r="O15" s="332">
        <v>78991.44</v>
      </c>
      <c r="P15" s="333">
        <v>22471.7</v>
      </c>
      <c r="Q15" s="333"/>
      <c r="R15" s="332"/>
      <c r="S15" s="333"/>
      <c r="T15" s="333">
        <v>21555.34</v>
      </c>
      <c r="U15" s="343">
        <f t="shared" si="5"/>
        <v>21555.46</v>
      </c>
      <c r="V15" s="232">
        <v>13548.18</v>
      </c>
      <c r="W15" s="233">
        <v>53656.12</v>
      </c>
      <c r="X15" s="233">
        <v>89792.9</v>
      </c>
      <c r="Y15" s="233">
        <v>88067.12</v>
      </c>
      <c r="Z15" s="233">
        <v>79072.14</v>
      </c>
      <c r="AA15" s="233">
        <f>330916.43+50466.02</f>
        <v>381382.45</v>
      </c>
      <c r="AB15" s="233">
        <v>61657.48</v>
      </c>
      <c r="AC15" s="233">
        <v>30056.2</v>
      </c>
      <c r="AD15" s="233">
        <f>226304.54+15286.4</f>
        <v>241590.94</v>
      </c>
      <c r="AE15" s="233">
        <v>26463.54</v>
      </c>
      <c r="AF15" s="233">
        <f>18758.56+54440.56+32474.5</f>
        <v>105673.62</v>
      </c>
      <c r="AG15" s="233">
        <f>56846.18+36883.22</f>
        <v>93729.4</v>
      </c>
      <c r="AH15" s="354"/>
      <c r="AI15" s="310"/>
      <c r="AJ15" s="310"/>
      <c r="AK15" s="310" t="s">
        <v>84</v>
      </c>
      <c r="AL15" s="250">
        <v>21555.34</v>
      </c>
      <c r="AM15" s="250">
        <v>13548.18</v>
      </c>
      <c r="AN15" s="250">
        <v>53656.11</v>
      </c>
      <c r="AO15" s="250">
        <v>89792.92</v>
      </c>
      <c r="AP15" s="250">
        <v>88067.1400000001</v>
      </c>
      <c r="AQ15" s="250">
        <v>79072.16</v>
      </c>
      <c r="AR15" s="250">
        <v>50466.03</v>
      </c>
      <c r="AS15" s="250">
        <v>61657.46</v>
      </c>
      <c r="AT15" s="250">
        <v>30056.19</v>
      </c>
      <c r="AU15" s="250">
        <v>15286.39</v>
      </c>
      <c r="AV15" s="250">
        <v>26463.54</v>
      </c>
      <c r="AW15" s="265">
        <v>105673.63</v>
      </c>
      <c r="AX15" s="266">
        <f t="shared" si="6"/>
        <v>1286245.55</v>
      </c>
      <c r="AY15" s="274">
        <f t="shared" si="0"/>
        <v>635295.09</v>
      </c>
      <c r="AZ15" s="275">
        <f t="shared" si="1"/>
        <v>650950.46</v>
      </c>
      <c r="BA15" s="359">
        <f t="shared" si="7"/>
        <v>615846.94</v>
      </c>
      <c r="BB15" s="359">
        <f t="shared" si="8"/>
        <v>583746.16</v>
      </c>
      <c r="BC15" s="360" t="str">
        <f t="shared" si="2"/>
        <v/>
      </c>
      <c r="BD15" s="323" t="str">
        <f t="shared" si="3"/>
        <v/>
      </c>
      <c r="BE15" s="323" t="str">
        <f t="shared" si="4"/>
        <v/>
      </c>
      <c r="BF15" s="323" t="str">
        <f>IF($AZ15-SUM(Z15:$AG15)&gt;0,$AZ15-SUM(Z15:$AG15),"")</f>
        <v/>
      </c>
      <c r="BG15" s="323" t="str">
        <f>IF($AZ15-SUM(AA15:$AG15)&gt;0,$AZ15-SUM(AA15:$AG15),"")</f>
        <v/>
      </c>
      <c r="BH15" s="323">
        <f>IF($AZ15-SUM(AB15:$AG15)&gt;0,$AZ15-SUM(AB15:$AG15),"")</f>
        <v>91779.2799999997</v>
      </c>
      <c r="BI15" s="323">
        <f>IF($AZ15-SUM(AC15:$AG15)&gt;0,$AZ15-SUM(AC15:$AG15),"")</f>
        <v>153436.76</v>
      </c>
      <c r="BJ15" s="323">
        <f>IF($AZ15-SUM(AD15:$AG15)&gt;0,$AZ15-SUM(AD15:$AG15),"")</f>
        <v>183492.96</v>
      </c>
      <c r="BK15" s="323">
        <f>IF($AZ15-SUM(AE15:$AG15)&gt;0,$AZ15-SUM(AE15:$AG15),"")</f>
        <v>425083.9</v>
      </c>
      <c r="BL15" s="323">
        <f>IF($AZ15-SUM(AF15:$AG15)&gt;0,$AZ15-SUM(AF15:$AG15),"")</f>
        <v>451547.44</v>
      </c>
      <c r="BM15" s="276" t="s">
        <v>104</v>
      </c>
      <c r="BN15" s="277"/>
      <c r="BO15" s="91"/>
      <c r="BP15" s="101" t="str">
        <f>IFERROR(VLOOKUP(D15,Sheet2!D:O,12,FALSE),"")</f>
        <v/>
      </c>
      <c r="BQ15" s="101" t="str">
        <f t="shared" si="9"/>
        <v/>
      </c>
      <c r="BS15" s="10">
        <f>SUBTOTAL(9,W15:AB15)</f>
        <v>753628.21</v>
      </c>
      <c r="BT15" s="10">
        <f>BS15/6</f>
        <v>125604.701666667</v>
      </c>
      <c r="BV15" s="8"/>
      <c r="BW15" s="8"/>
    </row>
    <row r="16" s="10" customFormat="1" ht="24.05" customHeight="1" spans="2:75">
      <c r="B16" s="48" t="s">
        <v>81</v>
      </c>
      <c r="C16" s="325" t="s">
        <v>267</v>
      </c>
      <c r="D16" s="40" t="s">
        <v>268</v>
      </c>
      <c r="E16" s="326">
        <v>36506.91</v>
      </c>
      <c r="F16" s="233" t="s">
        <v>286</v>
      </c>
      <c r="G16" s="233" t="s">
        <v>286</v>
      </c>
      <c r="H16" s="233" t="s">
        <v>286</v>
      </c>
      <c r="I16" s="233" t="s">
        <v>286</v>
      </c>
      <c r="J16" s="233" t="s">
        <v>286</v>
      </c>
      <c r="K16" s="233" t="s">
        <v>286</v>
      </c>
      <c r="L16" s="233" t="s">
        <v>286</v>
      </c>
      <c r="M16" s="233" t="s">
        <v>286</v>
      </c>
      <c r="N16" s="233">
        <v>180073.43</v>
      </c>
      <c r="O16" s="332"/>
      <c r="P16" s="333">
        <v>157512.96</v>
      </c>
      <c r="Q16" s="333">
        <v>36506.91</v>
      </c>
      <c r="R16" s="332"/>
      <c r="S16" s="333"/>
      <c r="T16" s="333"/>
      <c r="U16" s="343">
        <f t="shared" si="5"/>
        <v>36506.91</v>
      </c>
      <c r="V16" s="232">
        <v>60297.93</v>
      </c>
      <c r="W16" s="234">
        <v>54555.27</v>
      </c>
      <c r="X16" s="233">
        <v>30559.16</v>
      </c>
      <c r="Y16" s="233">
        <v>34250.87</v>
      </c>
      <c r="Z16" s="233">
        <f>45120.9+21115.99</f>
        <v>66236.89</v>
      </c>
      <c r="AA16" s="233">
        <v>195932.06</v>
      </c>
      <c r="AB16" s="233">
        <v>239382.27</v>
      </c>
      <c r="AC16" s="233">
        <v>259889.15</v>
      </c>
      <c r="AD16" s="233">
        <v>132178</v>
      </c>
      <c r="AE16" s="233">
        <v>228824.28</v>
      </c>
      <c r="AF16" s="233">
        <v>211362.97</v>
      </c>
      <c r="AG16" s="233">
        <v>220702.74</v>
      </c>
      <c r="AH16" s="354"/>
      <c r="AI16" s="310"/>
      <c r="AJ16" s="310"/>
      <c r="AK16" s="310"/>
      <c r="AL16" s="250">
        <v>36506.91</v>
      </c>
      <c r="AM16" s="250">
        <v>60297.9299999999</v>
      </c>
      <c r="AN16" s="250">
        <v>54555.27</v>
      </c>
      <c r="AO16" s="250">
        <v>30559.16</v>
      </c>
      <c r="AP16" s="250">
        <v>34250.8700000001</v>
      </c>
      <c r="AQ16" s="250">
        <v>66236.89</v>
      </c>
      <c r="AR16" s="250">
        <v>195932.06</v>
      </c>
      <c r="AS16" s="250">
        <v>239382.27</v>
      </c>
      <c r="AT16" s="250">
        <v>259889.15</v>
      </c>
      <c r="AU16" s="250">
        <v>132178</v>
      </c>
      <c r="AV16" s="250">
        <v>228824.28</v>
      </c>
      <c r="AW16" s="265">
        <v>211362.97</v>
      </c>
      <c r="AX16" s="266">
        <f t="shared" si="6"/>
        <v>1770678.5</v>
      </c>
      <c r="AY16" s="274">
        <f t="shared" si="0"/>
        <v>1549975.76</v>
      </c>
      <c r="AZ16" s="275">
        <f t="shared" si="1"/>
        <v>220702.74</v>
      </c>
      <c r="BA16" s="359">
        <f t="shared" si="7"/>
        <v>123897.9</v>
      </c>
      <c r="BB16" s="359">
        <f t="shared" si="8"/>
        <v>105849.54</v>
      </c>
      <c r="BC16" s="360"/>
      <c r="BD16" s="323"/>
      <c r="BE16" s="323"/>
      <c r="BF16" s="323"/>
      <c r="BG16" s="323"/>
      <c r="BH16" s="323"/>
      <c r="BI16" s="323" t="str">
        <f>IF($AZ16-SUM(AC16:$AG16)&gt;0,$AZ16-SUM(AC16:$AG16),"")</f>
        <v/>
      </c>
      <c r="BJ16" s="323" t="str">
        <f>IF($AZ16-SUM(AD16:$AG16)&gt;0,$AZ16-SUM(AD16:$AG16),"")</f>
        <v/>
      </c>
      <c r="BK16" s="323" t="str">
        <f>IF($AZ16-SUM(AE16:$AG16)&gt;0,$AZ16-SUM(AE16:$AG16),"")</f>
        <v/>
      </c>
      <c r="BL16" s="323" t="str">
        <f>IF($AZ16-SUM(AF16:$AG16)&gt;0,$AZ16-SUM(AF16:$AG16),"")</f>
        <v/>
      </c>
      <c r="BM16" s="276"/>
      <c r="BN16" s="277"/>
      <c r="BO16" s="91"/>
      <c r="BP16" s="101">
        <f>IFERROR(VLOOKUP(D16,Sheet2!D:O,12,FALSE),"")</f>
        <v>120198.73</v>
      </c>
      <c r="BQ16" s="101">
        <f t="shared" si="9"/>
        <v>100504.01</v>
      </c>
      <c r="BS16" s="10">
        <f>SUBTOTAL(9,W16:AB16)</f>
        <v>620916.52</v>
      </c>
      <c r="BT16" s="10">
        <f>BS16/6</f>
        <v>103486.086666667</v>
      </c>
      <c r="BV16" s="5"/>
      <c r="BW16" s="5"/>
    </row>
    <row r="17" s="10" customFormat="1" ht="24.05" customHeight="1" spans="2:75">
      <c r="B17" s="48" t="s">
        <v>81</v>
      </c>
      <c r="C17" s="325" t="s">
        <v>132</v>
      </c>
      <c r="D17" s="40" t="s">
        <v>133</v>
      </c>
      <c r="E17" s="326">
        <v>120026.79</v>
      </c>
      <c r="F17" s="233">
        <v>0</v>
      </c>
      <c r="G17" s="233">
        <v>64247.28</v>
      </c>
      <c r="H17" s="233">
        <v>513978.24</v>
      </c>
      <c r="I17" s="233">
        <v>53539.4</v>
      </c>
      <c r="J17" s="233">
        <v>0</v>
      </c>
      <c r="K17" s="233">
        <v>0</v>
      </c>
      <c r="L17" s="233">
        <v>0</v>
      </c>
      <c r="M17" s="233">
        <v>0</v>
      </c>
      <c r="N17" s="233">
        <f>IFERROR(VLOOKUP($D17,'2022年'!$D:AF,COLUMN(R11),FALSE),"")</f>
        <v>0</v>
      </c>
      <c r="O17" s="332"/>
      <c r="P17" s="333"/>
      <c r="Q17" s="333">
        <v>-32123.64</v>
      </c>
      <c r="R17" s="332"/>
      <c r="S17" s="333"/>
      <c r="T17" s="333"/>
      <c r="U17" s="343">
        <f t="shared" si="5"/>
        <v>120026.79</v>
      </c>
      <c r="V17" s="232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354"/>
      <c r="AI17" s="310"/>
      <c r="AJ17" s="310"/>
      <c r="AK17" s="310" t="s">
        <v>84</v>
      </c>
      <c r="AL17" s="250">
        <v>120026.79</v>
      </c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65"/>
      <c r="AX17" s="266">
        <f t="shared" si="6"/>
        <v>120026.79</v>
      </c>
      <c r="AY17" s="274">
        <f t="shared" si="0"/>
        <v>120026.79</v>
      </c>
      <c r="AZ17" s="275">
        <f t="shared" si="1"/>
        <v>0</v>
      </c>
      <c r="BA17" s="359">
        <f t="shared" si="7"/>
        <v>32123.64</v>
      </c>
      <c r="BB17" s="359">
        <f t="shared" si="8"/>
        <v>0</v>
      </c>
      <c r="BC17" s="360" t="str">
        <f>IF(AZ17-SUM(W17:AG17)&gt;0,AZ17-SUM(W17:AG17),"")</f>
        <v/>
      </c>
      <c r="BD17" s="323" t="str">
        <f>IF(AZ17-SUM(X17:AG17)&gt;0,AZ17-SUM(X17:AG17),"")</f>
        <v/>
      </c>
      <c r="BE17" s="323" t="str">
        <f>IF(AZ17-SUM(Y17:AG17)&gt;0,AZ17-SUM(Y17:AG17),"")</f>
        <v/>
      </c>
      <c r="BF17" s="323" t="str">
        <f>IF($AZ17-SUM(Z17:$AG17)&gt;0,$AZ17-SUM(Z17:$AG17),"")</f>
        <v/>
      </c>
      <c r="BG17" s="323" t="str">
        <f>IF($AZ17-SUM(AA17:$AG17)&gt;0,$AZ17-SUM(AA17:$AG17),"")</f>
        <v/>
      </c>
      <c r="BH17" s="323" t="str">
        <f>IF($AZ17-SUM(AB17:$AG17)&gt;0,$AZ17-SUM(AB17:$AG17),"")</f>
        <v/>
      </c>
      <c r="BI17" s="323" t="str">
        <f>IF($AZ17-SUM(AC17:$AG17)&gt;0,$AZ17-SUM(AC17:$AG17),"")</f>
        <v/>
      </c>
      <c r="BJ17" s="323" t="str">
        <f>IF($AZ17-SUM(AD17:$AG17)&gt;0,$AZ17-SUM(AD17:$AG17),"")</f>
        <v/>
      </c>
      <c r="BK17" s="323" t="str">
        <f>IF($AZ17-SUM(AE17:$AG17)&gt;0,$AZ17-SUM(AE17:$AG17),"")</f>
        <v/>
      </c>
      <c r="BL17" s="323" t="str">
        <f>IF($AZ17-SUM(AF17:$AG17)&gt;0,$AZ17-SUM(AF17:$AG17),"")</f>
        <v/>
      </c>
      <c r="BM17" s="276" t="s">
        <v>104</v>
      </c>
      <c r="BN17" s="277"/>
      <c r="BO17" s="91"/>
      <c r="BP17" s="101">
        <f>IFERROR(VLOOKUP(D17,Sheet2!D:O,12,FALSE),"")</f>
        <v>379.93</v>
      </c>
      <c r="BQ17" s="101">
        <f t="shared" si="9"/>
        <v>-379.93</v>
      </c>
      <c r="BS17" s="10">
        <f>SUM(F17:N17)</f>
        <v>631764.92</v>
      </c>
      <c r="BT17" s="10" t="e">
        <f>#REF!-BS17</f>
        <v>#REF!</v>
      </c>
      <c r="BV17" s="8"/>
      <c r="BW17" s="8"/>
    </row>
    <row r="18" s="10" customFormat="1" ht="24.05" customHeight="1" spans="2:75">
      <c r="B18" s="48" t="s">
        <v>81</v>
      </c>
      <c r="C18" s="327" t="s">
        <v>136</v>
      </c>
      <c r="D18" s="328" t="s">
        <v>137</v>
      </c>
      <c r="E18" s="326">
        <v>305679.35</v>
      </c>
      <c r="F18" s="233">
        <v>113152.63</v>
      </c>
      <c r="G18" s="233">
        <v>0</v>
      </c>
      <c r="H18" s="233">
        <v>168455</v>
      </c>
      <c r="I18" s="233">
        <v>114596.13</v>
      </c>
      <c r="J18" s="233">
        <v>56137.51</v>
      </c>
      <c r="K18" s="233">
        <v>56179.98</v>
      </c>
      <c r="L18" s="233">
        <v>34606.56</v>
      </c>
      <c r="M18" s="233">
        <v>54289.65</v>
      </c>
      <c r="N18" s="233">
        <f>IFERROR(VLOOKUP($D18,'2022年'!$D:AF,COLUMN(R12),FALSE),"")</f>
        <v>0</v>
      </c>
      <c r="O18" s="233">
        <f>51595.03+68134.05</f>
        <v>119729.08</v>
      </c>
      <c r="P18" s="233">
        <f>49448.8+47605.26</f>
        <v>97054.06</v>
      </c>
      <c r="Q18" s="333"/>
      <c r="R18" s="332"/>
      <c r="S18" s="333"/>
      <c r="T18" s="333"/>
      <c r="U18" s="343">
        <f t="shared" si="5"/>
        <v>305679.35</v>
      </c>
      <c r="V18" s="232">
        <v>46043.28</v>
      </c>
      <c r="W18" s="233"/>
      <c r="X18" s="233">
        <v>16.72</v>
      </c>
      <c r="Y18" s="233">
        <v>42395.78</v>
      </c>
      <c r="Z18" s="233">
        <v>47545.77</v>
      </c>
      <c r="AA18" s="233"/>
      <c r="AB18" s="233">
        <v>91824.79</v>
      </c>
      <c r="AC18" s="233"/>
      <c r="AD18" s="233">
        <v>45900.5</v>
      </c>
      <c r="AE18" s="233">
        <v>45864.8</v>
      </c>
      <c r="AF18" s="233">
        <v>45986.2</v>
      </c>
      <c r="AG18" s="233"/>
      <c r="AH18" s="355"/>
      <c r="AI18" s="313"/>
      <c r="AJ18" s="313"/>
      <c r="AK18" s="310" t="s">
        <v>84</v>
      </c>
      <c r="AL18" s="254"/>
      <c r="AM18" s="254"/>
      <c r="AN18" s="250">
        <v>100000</v>
      </c>
      <c r="AO18" s="250"/>
      <c r="AP18" s="250"/>
      <c r="AQ18" s="250"/>
      <c r="AR18" s="250">
        <v>50000</v>
      </c>
      <c r="AS18" s="250">
        <v>30000</v>
      </c>
      <c r="AT18" s="250">
        <v>20000</v>
      </c>
      <c r="AU18" s="250">
        <v>30000</v>
      </c>
      <c r="AV18" s="250"/>
      <c r="AW18" s="265"/>
      <c r="AX18" s="266">
        <f t="shared" si="6"/>
        <v>671257.19</v>
      </c>
      <c r="AY18" s="274">
        <f t="shared" si="0"/>
        <v>230000</v>
      </c>
      <c r="AZ18" s="275">
        <f t="shared" si="1"/>
        <v>441257.19</v>
      </c>
      <c r="BA18" s="359">
        <f t="shared" si="7"/>
        <v>395213.91</v>
      </c>
      <c r="BB18" s="359">
        <f t="shared" si="8"/>
        <v>395213.91</v>
      </c>
      <c r="BC18" s="360">
        <f>IF(AZ18-SUM(W18:AG18)&gt;0,AZ18-SUM(W18:AG18),"")</f>
        <v>121722.63</v>
      </c>
      <c r="BD18" s="323">
        <f>IF(AZ18-SUM(X18:AG18)&gt;0,AZ18-SUM(X18:AG18),"")</f>
        <v>121722.63</v>
      </c>
      <c r="BE18" s="323">
        <f>IF(AZ18-SUM(Y18:AG18)&gt;0,AZ18-SUM(Y18:AG18),"")</f>
        <v>121739.35</v>
      </c>
      <c r="BF18" s="323">
        <f>IF($AZ18-SUM(Z18:$AG18)&gt;0,$AZ18-SUM(Z18:$AG18),"")</f>
        <v>164135.13</v>
      </c>
      <c r="BG18" s="323">
        <f>IF($AZ18-SUM(AA18:$AG18)&gt;0,$AZ18-SUM(AA18:$AG18),"")</f>
        <v>211680.9</v>
      </c>
      <c r="BH18" s="323">
        <f>IF($AZ18-SUM(AB18:$AG18)&gt;0,$AZ18-SUM(AB18:$AG18),"")</f>
        <v>211680.9</v>
      </c>
      <c r="BI18" s="323">
        <f>IF($AZ18-SUM(AC18:$AG18)&gt;0,$AZ18-SUM(AC18:$AG18),"")</f>
        <v>303505.69</v>
      </c>
      <c r="BJ18" s="323">
        <f>IF($AZ18-SUM(AD18:$AG18)&gt;0,$AZ18-SUM(AD18:$AG18),"")</f>
        <v>303505.69</v>
      </c>
      <c r="BK18" s="323">
        <f>IF($AZ18-SUM(AE18:$AG18)&gt;0,$AZ18-SUM(AE18:$AG18),"")</f>
        <v>349406.19</v>
      </c>
      <c r="BL18" s="323">
        <f>IF($AZ18-SUM(AF18:$AG18)&gt;0,$AZ18-SUM(AF18:$AG18),"")</f>
        <v>395270.99</v>
      </c>
      <c r="BM18" s="278" t="s">
        <v>85</v>
      </c>
      <c r="BN18" s="279"/>
      <c r="BO18" s="91"/>
      <c r="BP18" s="101">
        <f>IFERROR(VLOOKUP(D18,Sheet2!D:O,12,FALSE),"")</f>
        <v>301257.19</v>
      </c>
      <c r="BQ18" s="101">
        <f t="shared" si="9"/>
        <v>140000</v>
      </c>
      <c r="BS18" s="10">
        <f>SUBTOTAL(9,W18:AB18)</f>
        <v>181783.06</v>
      </c>
      <c r="BT18" s="10">
        <f>BS18/6</f>
        <v>30297.1766666667</v>
      </c>
      <c r="BV18" s="5"/>
      <c r="BW18" s="5"/>
    </row>
    <row r="19" s="10" customFormat="1" ht="24.05" customHeight="1" spans="2:75">
      <c r="B19" s="48" t="s">
        <v>81</v>
      </c>
      <c r="C19" s="319" t="s">
        <v>181</v>
      </c>
      <c r="D19" s="328" t="s">
        <v>182</v>
      </c>
      <c r="E19" s="326">
        <v>0</v>
      </c>
      <c r="F19" s="233">
        <v>0</v>
      </c>
      <c r="G19" s="233">
        <v>0</v>
      </c>
      <c r="H19" s="233">
        <v>0</v>
      </c>
      <c r="I19" s="233">
        <v>0</v>
      </c>
      <c r="J19" s="233">
        <v>0</v>
      </c>
      <c r="K19" s="233">
        <v>0</v>
      </c>
      <c r="L19" s="233">
        <v>0</v>
      </c>
      <c r="M19" s="233">
        <v>0</v>
      </c>
      <c r="N19" s="233">
        <f>IFERROR(VLOOKUP($D19,'2022年'!$D:AF,COLUMN(R13),FALSE),"")</f>
        <v>0</v>
      </c>
      <c r="O19" s="332"/>
      <c r="P19" s="333"/>
      <c r="Q19" s="345"/>
      <c r="R19" s="332"/>
      <c r="S19" s="333"/>
      <c r="T19" s="344"/>
      <c r="U19" s="343">
        <f t="shared" si="5"/>
        <v>0</v>
      </c>
      <c r="V19" s="232"/>
      <c r="W19" s="233"/>
      <c r="X19" s="233"/>
      <c r="Y19" s="233"/>
      <c r="Z19" s="233"/>
      <c r="AA19" s="233"/>
      <c r="AB19" s="233"/>
      <c r="AC19" s="233"/>
      <c r="AD19" s="233"/>
      <c r="AE19" s="233"/>
      <c r="AF19" s="233"/>
      <c r="AG19" s="233"/>
      <c r="AH19" s="355"/>
      <c r="AI19" s="313"/>
      <c r="AJ19" s="313"/>
      <c r="AK19" s="310" t="s">
        <v>84</v>
      </c>
      <c r="AL19" s="254"/>
      <c r="AM19" s="254"/>
      <c r="AN19" s="254"/>
      <c r="AO19" s="254"/>
      <c r="AP19" s="254"/>
      <c r="AQ19" s="254"/>
      <c r="AR19" s="254"/>
      <c r="AS19" s="254"/>
      <c r="AT19" s="254"/>
      <c r="AU19" s="254"/>
      <c r="AV19" s="254"/>
      <c r="AW19" s="267"/>
      <c r="AX19" s="266">
        <f t="shared" si="6"/>
        <v>0</v>
      </c>
      <c r="AY19" s="274">
        <f t="shared" si="0"/>
        <v>0</v>
      </c>
      <c r="AZ19" s="275">
        <f t="shared" si="1"/>
        <v>0</v>
      </c>
      <c r="BA19" s="359">
        <f t="shared" si="7"/>
        <v>0</v>
      </c>
      <c r="BB19" s="359">
        <f t="shared" si="8"/>
        <v>0</v>
      </c>
      <c r="BC19" s="360" t="str">
        <f>IF(AZ19-SUM(W19:AG19)&gt;0,AZ19-SUM(W19:AG19),"")</f>
        <v/>
      </c>
      <c r="BD19" s="323" t="str">
        <f>IF(AZ19-SUM(X19:AG19)&gt;0,AZ19-SUM(X19:AG19),"")</f>
        <v/>
      </c>
      <c r="BE19" s="323" t="str">
        <f>IF(AZ19-SUM(Y19:AG19)&gt;0,AZ19-SUM(Y19:AG19),"")</f>
        <v/>
      </c>
      <c r="BF19" s="323" t="str">
        <f>IF($AZ19-SUM(Z19:$AG19)&gt;0,$AZ19-SUM(Z19:$AG19),"")</f>
        <v/>
      </c>
      <c r="BG19" s="323" t="str">
        <f>IF($AZ19-SUM(AA19:$AG19)&gt;0,$AZ19-SUM(AA19:$AG19),"")</f>
        <v/>
      </c>
      <c r="BH19" s="323" t="str">
        <f>IF($AZ19-SUM(AB19:$AG19)&gt;0,$AZ19-SUM(AB19:$AG19),"")</f>
        <v/>
      </c>
      <c r="BI19" s="323" t="str">
        <f>IF($AZ19-SUM(AC19:$AG19)&gt;0,$AZ19-SUM(AC19:$AG19),"")</f>
        <v/>
      </c>
      <c r="BJ19" s="323" t="str">
        <f>IF($AZ19-SUM(AD19:$AG19)&gt;0,$AZ19-SUM(AD19:$AG19),"")</f>
        <v/>
      </c>
      <c r="BK19" s="323" t="str">
        <f>IF($AZ19-SUM(AE19:$AG19)&gt;0,$AZ19-SUM(AE19:$AG19),"")</f>
        <v/>
      </c>
      <c r="BL19" s="323" t="str">
        <f>IF($AZ19-SUM(AF19:$AG19)&gt;0,$AZ19-SUM(AF19:$AG19),"")</f>
        <v/>
      </c>
      <c r="BM19" s="280" t="s">
        <v>96</v>
      </c>
      <c r="BN19" s="279"/>
      <c r="BO19" s="91"/>
      <c r="BP19" s="101">
        <f>IFERROR(VLOOKUP(D19,Sheet2!D:O,12,FALSE),"")</f>
        <v>0</v>
      </c>
      <c r="BQ19" s="101">
        <f t="shared" si="9"/>
        <v>0</v>
      </c>
      <c r="BS19" s="10">
        <f>SUM(F19:N19)</f>
        <v>0</v>
      </c>
      <c r="BT19" s="10" t="e">
        <f>#REF!-BS19</f>
        <v>#REF!</v>
      </c>
      <c r="BV19" s="8"/>
      <c r="BW19" s="8"/>
    </row>
    <row r="20" s="10" customFormat="1" ht="24.05" customHeight="1" spans="2:75">
      <c r="B20" s="48" t="s">
        <v>81</v>
      </c>
      <c r="C20" s="319" t="s">
        <v>184</v>
      </c>
      <c r="D20" s="328" t="s">
        <v>185</v>
      </c>
      <c r="E20" s="326">
        <v>46458.82</v>
      </c>
      <c r="F20" s="233">
        <v>19074.4</v>
      </c>
      <c r="G20" s="233">
        <v>0</v>
      </c>
      <c r="H20" s="233">
        <v>22385.76</v>
      </c>
      <c r="I20" s="233">
        <v>0</v>
      </c>
      <c r="J20" s="233">
        <v>24048.66</v>
      </c>
      <c r="K20" s="233">
        <v>0</v>
      </c>
      <c r="L20" s="233">
        <v>0</v>
      </c>
      <c r="M20" s="233">
        <v>0</v>
      </c>
      <c r="N20" s="233">
        <f>IFERROR(VLOOKUP($D20,'2022年'!$D:AF,COLUMN(R14),FALSE),"")</f>
        <v>0</v>
      </c>
      <c r="O20" s="332">
        <v>56601.7</v>
      </c>
      <c r="P20" s="333">
        <v>6611.86</v>
      </c>
      <c r="Q20" s="345">
        <v>27360.46</v>
      </c>
      <c r="R20" s="332"/>
      <c r="S20" s="333"/>
      <c r="T20" s="333"/>
      <c r="U20" s="343">
        <f t="shared" si="5"/>
        <v>46458.82</v>
      </c>
      <c r="V20" s="232">
        <v>7090.75</v>
      </c>
      <c r="W20" s="233"/>
      <c r="X20" s="233">
        <v>31099.86</v>
      </c>
      <c r="Y20" s="233">
        <f>37148.64+8249+47054.1</f>
        <v>92451.74</v>
      </c>
      <c r="Z20" s="233">
        <v>6780</v>
      </c>
      <c r="AA20" s="233">
        <v>38855.05</v>
      </c>
      <c r="AB20" s="233">
        <v>8658.63</v>
      </c>
      <c r="AC20" s="233"/>
      <c r="AD20" s="233"/>
      <c r="AE20" s="233"/>
      <c r="AF20" s="233"/>
      <c r="AG20" s="233"/>
      <c r="AH20" s="355"/>
      <c r="AI20" s="313"/>
      <c r="AJ20" s="313"/>
      <c r="AK20" s="310" t="s">
        <v>84</v>
      </c>
      <c r="AL20" s="254">
        <v>12486.5</v>
      </c>
      <c r="AM20" s="254"/>
      <c r="AN20" s="254">
        <v>6611.86</v>
      </c>
      <c r="AO20" s="254">
        <v>27360.46</v>
      </c>
      <c r="AP20" s="254">
        <v>38190.61</v>
      </c>
      <c r="AQ20" s="254"/>
      <c r="AR20" s="254">
        <v>92451.74</v>
      </c>
      <c r="AS20" s="254">
        <v>6780</v>
      </c>
      <c r="AT20" s="254">
        <v>38855.05</v>
      </c>
      <c r="AU20" s="254">
        <v>8658.63</v>
      </c>
      <c r="AV20" s="254"/>
      <c r="AW20" s="267"/>
      <c r="AX20" s="266">
        <f t="shared" si="6"/>
        <v>231394.85</v>
      </c>
      <c r="AY20" s="274">
        <f t="shared" si="0"/>
        <v>231394.85</v>
      </c>
      <c r="AZ20" s="275">
        <f t="shared" si="1"/>
        <v>0</v>
      </c>
      <c r="BA20" s="359">
        <f t="shared" ref="BA20:BA26" si="12">IF(AZ20-V20-T20-Q20-P20-S20&gt;0,AZ20-V20-T20-Q20-P20-S20,0)</f>
        <v>0</v>
      </c>
      <c r="BB20" s="359">
        <f>IF(AZ20-W20-V20-T20-Q20&gt;0,AZ20-W20-V20,0)</f>
        <v>0</v>
      </c>
      <c r="BC20" s="360" t="str">
        <f>IF(AZ20-SUM(W20:AG20)&gt;0,AZ20-SUM(W20:AG20),"")</f>
        <v/>
      </c>
      <c r="BD20" s="323" t="str">
        <f>IF(AZ20-SUM(X20:AG20)&gt;0,AZ20-SUM(X20:AG20),"")</f>
        <v/>
      </c>
      <c r="BE20" s="323" t="str">
        <f>IF(AZ20-SUM(Y20:AG20)&gt;0,AZ20-SUM(Y20:AG20),"")</f>
        <v/>
      </c>
      <c r="BF20" s="323" t="str">
        <f>IF($AZ20-SUM(Z20:$AG20)&gt;0,$AZ20-SUM(Z20:$AG20),"")</f>
        <v/>
      </c>
      <c r="BG20" s="323" t="str">
        <f>IF($AZ20-SUM(AA20:$AG20)&gt;0,$AZ20-SUM(AA20:$AG20),"")</f>
        <v/>
      </c>
      <c r="BH20" s="323" t="str">
        <f>IF($AZ20-SUM(AB20:$AG20)&gt;0,$AZ20-SUM(AB20:$AG20),"")</f>
        <v/>
      </c>
      <c r="BI20" s="323" t="str">
        <f>IF($AZ20-SUM(AC20:$AG20)&gt;0,$AZ20-SUM(AC20:$AG20),"")</f>
        <v/>
      </c>
      <c r="BJ20" s="323" t="str">
        <f>IF($AZ20-SUM(AD20:$AG20)&gt;0,$AZ20-SUM(AD20:$AG20),"")</f>
        <v/>
      </c>
      <c r="BK20" s="323" t="str">
        <f>IF($AZ20-SUM(AE20:$AG20)&gt;0,$AZ20-SUM(AE20:$AG20),"")</f>
        <v/>
      </c>
      <c r="BL20" s="323" t="str">
        <f>IF($AZ20-SUM(AF20:$AG20)&gt;0,$AZ20-SUM(AF20:$AG20),"")</f>
        <v/>
      </c>
      <c r="BM20" s="278"/>
      <c r="BN20" s="279"/>
      <c r="BO20" s="91"/>
      <c r="BP20" s="101">
        <f>IFERROR(VLOOKUP(D20,Sheet2!D:O,12,FALSE),"")</f>
        <v>70884.45</v>
      </c>
      <c r="BQ20" s="101">
        <f t="shared" si="9"/>
        <v>-70884.45</v>
      </c>
      <c r="BS20" s="10">
        <f t="shared" ref="BS20:BS34" si="13">SUBTOTAL(9,W20:AB20)</f>
        <v>177845.28</v>
      </c>
      <c r="BT20" s="10">
        <f t="shared" ref="BT20:BT34" si="14">BS20/6</f>
        <v>29640.88</v>
      </c>
      <c r="BV20" s="5"/>
      <c r="BW20" s="5"/>
    </row>
    <row r="21" s="10" customFormat="1" ht="24.05" customHeight="1" spans="2:75">
      <c r="B21" s="48" t="s">
        <v>81</v>
      </c>
      <c r="C21" s="319" t="s">
        <v>212</v>
      </c>
      <c r="D21" s="328" t="s">
        <v>213</v>
      </c>
      <c r="E21" s="326">
        <v>334790.96</v>
      </c>
      <c r="F21" s="233">
        <v>167395.48</v>
      </c>
      <c r="G21" s="233">
        <v>334790.96</v>
      </c>
      <c r="H21" s="233">
        <v>334790.96</v>
      </c>
      <c r="I21" s="233">
        <v>0</v>
      </c>
      <c r="J21" s="233">
        <v>0</v>
      </c>
      <c r="K21" s="233">
        <v>0</v>
      </c>
      <c r="L21" s="233">
        <v>167395.48</v>
      </c>
      <c r="M21" s="233">
        <v>167395.48</v>
      </c>
      <c r="N21" s="233">
        <f>IFERROR(VLOOKUP($D21,'2022年'!$D:AF,COLUMN(R15),FALSE),"")</f>
        <v>167395.48</v>
      </c>
      <c r="O21" s="332">
        <v>167395.48</v>
      </c>
      <c r="P21" s="333">
        <v>167395.48</v>
      </c>
      <c r="Q21" s="345"/>
      <c r="R21" s="332"/>
      <c r="S21" s="333"/>
      <c r="T21" s="333"/>
      <c r="U21" s="343">
        <f t="shared" si="5"/>
        <v>334790.96</v>
      </c>
      <c r="V21" s="232"/>
      <c r="W21" s="233"/>
      <c r="X21" s="233">
        <v>168832.84</v>
      </c>
      <c r="Y21" s="233">
        <v>168832.84</v>
      </c>
      <c r="Z21" s="233"/>
      <c r="AA21" s="233">
        <v>167395.48</v>
      </c>
      <c r="AB21" s="233"/>
      <c r="AC21" s="233">
        <v>168832.84</v>
      </c>
      <c r="AD21" s="233">
        <v>167395.48</v>
      </c>
      <c r="AE21" s="233">
        <v>167395.48</v>
      </c>
      <c r="AF21" s="233"/>
      <c r="AG21" s="233"/>
      <c r="AH21" s="355"/>
      <c r="AI21" s="313"/>
      <c r="AJ21" s="313"/>
      <c r="AK21" s="310" t="s">
        <v>84</v>
      </c>
      <c r="AL21" s="254"/>
      <c r="AM21" s="254"/>
      <c r="AN21" s="254">
        <v>120000</v>
      </c>
      <c r="AO21" s="254">
        <v>214790.96</v>
      </c>
      <c r="AP21" s="254"/>
      <c r="AQ21" s="254"/>
      <c r="AR21" s="254">
        <v>168832.84</v>
      </c>
      <c r="AS21" s="254">
        <v>168832.84</v>
      </c>
      <c r="AT21" s="254">
        <v>167395.48</v>
      </c>
      <c r="AU21" s="254"/>
      <c r="AV21" s="254">
        <v>100000</v>
      </c>
      <c r="AW21" s="267"/>
      <c r="AX21" s="266">
        <f t="shared" si="6"/>
        <v>1343475.92</v>
      </c>
      <c r="AY21" s="274">
        <f t="shared" si="0"/>
        <v>939852.12</v>
      </c>
      <c r="AZ21" s="275">
        <f t="shared" si="1"/>
        <v>403623.8</v>
      </c>
      <c r="BA21" s="359">
        <f>IF(AZ21-V21&gt;0,AZ21-V21,0)</f>
        <v>403623.8</v>
      </c>
      <c r="BB21" s="359">
        <f>IF(AZ21-W21&gt;0,AZ21-W21,0)</f>
        <v>403623.8</v>
      </c>
      <c r="BC21" s="360" t="str">
        <f>IF(AZ21-SUM(W21:AG21)&gt;0,AZ21-SUM(W21:AG21),"")</f>
        <v/>
      </c>
      <c r="BD21" s="323" t="str">
        <f>IF(AZ21-SUM(Y21:AG21)&gt;0,AZ21-SUM(Y21:AG21),"")</f>
        <v/>
      </c>
      <c r="BE21" s="323">
        <f t="shared" ref="BE21:BG21" si="15">IF($AZ21-SUM(Z21)&gt;0,$AZ21-SUM(Z21),"")</f>
        <v>403623.8</v>
      </c>
      <c r="BF21" s="323">
        <f t="shared" si="15"/>
        <v>236228.32</v>
      </c>
      <c r="BG21" s="323">
        <f t="shared" si="15"/>
        <v>403623.8</v>
      </c>
      <c r="BH21" s="323">
        <f>IF($AZ21-SUM(AD21)&gt;0,$AZ21-SUM(AD21),"")</f>
        <v>236228.32</v>
      </c>
      <c r="BI21" s="323">
        <f t="shared" ref="BI21:BL21" si="16">IF($AZ21-SUM(AD21)&gt;0,$AZ21-SUM(AD21),"")</f>
        <v>236228.32</v>
      </c>
      <c r="BJ21" s="323">
        <f t="shared" si="16"/>
        <v>236228.32</v>
      </c>
      <c r="BK21" s="323">
        <f t="shared" si="16"/>
        <v>403623.8</v>
      </c>
      <c r="BL21" s="323">
        <f t="shared" si="16"/>
        <v>403623.8</v>
      </c>
      <c r="BM21" s="278" t="s">
        <v>101</v>
      </c>
      <c r="BN21" s="279"/>
      <c r="BO21" s="91"/>
      <c r="BP21" s="101">
        <f>IFERROR(VLOOKUP(D21,Sheet2!D:O,12,FALSE),"")</f>
        <v>303623.8</v>
      </c>
      <c r="BQ21" s="101">
        <f t="shared" si="9"/>
        <v>100000</v>
      </c>
      <c r="BS21" s="10">
        <f t="shared" si="13"/>
        <v>505061.16</v>
      </c>
      <c r="BT21" s="10">
        <f t="shared" si="14"/>
        <v>84176.86</v>
      </c>
      <c r="BV21" s="8"/>
      <c r="BW21" s="8"/>
    </row>
    <row r="22" s="10" customFormat="1" ht="24.05" customHeight="1" spans="2:75">
      <c r="B22" s="48" t="s">
        <v>81</v>
      </c>
      <c r="C22" s="319" t="s">
        <v>215</v>
      </c>
      <c r="D22" s="329" t="s">
        <v>216</v>
      </c>
      <c r="E22" s="330">
        <v>77290.31</v>
      </c>
      <c r="F22" s="233">
        <v>0</v>
      </c>
      <c r="G22" s="233">
        <v>0</v>
      </c>
      <c r="H22" s="233">
        <v>45154.8</v>
      </c>
      <c r="I22" s="233">
        <v>17494.1</v>
      </c>
      <c r="J22" s="233">
        <v>0</v>
      </c>
      <c r="K22" s="233">
        <v>35554.32</v>
      </c>
      <c r="L22" s="233">
        <v>12204</v>
      </c>
      <c r="M22" s="233">
        <v>0</v>
      </c>
      <c r="N22" s="233">
        <f>IFERROR(VLOOKUP($D22,'2022年'!$D:AF,COLUMN(R16),FALSE),"")</f>
        <v>0</v>
      </c>
      <c r="O22" s="334">
        <v>42307.2</v>
      </c>
      <c r="P22" s="335"/>
      <c r="Q22" s="346">
        <v>34983.11</v>
      </c>
      <c r="R22" s="334"/>
      <c r="S22" s="335"/>
      <c r="T22" s="335"/>
      <c r="U22" s="343">
        <f t="shared" si="5"/>
        <v>77290.31</v>
      </c>
      <c r="V22" s="235"/>
      <c r="W22" s="236"/>
      <c r="X22" s="236">
        <v>19628.1</v>
      </c>
      <c r="Y22" s="236"/>
      <c r="Z22" s="236">
        <v>36679.8</v>
      </c>
      <c r="AA22" s="236"/>
      <c r="AB22" s="236">
        <v>71506.4</v>
      </c>
      <c r="AC22" s="236"/>
      <c r="AD22" s="236">
        <v>3036.27</v>
      </c>
      <c r="AE22" s="236"/>
      <c r="AF22" s="236">
        <v>21431.58</v>
      </c>
      <c r="AG22" s="236"/>
      <c r="AH22" s="355"/>
      <c r="AI22" s="313"/>
      <c r="AJ22" s="313"/>
      <c r="AK22" s="310" t="s">
        <v>84</v>
      </c>
      <c r="AL22" s="254"/>
      <c r="AM22" s="254"/>
      <c r="AN22" s="254"/>
      <c r="AO22" s="254">
        <v>20000</v>
      </c>
      <c r="AP22" s="254">
        <v>20000</v>
      </c>
      <c r="AQ22" s="254"/>
      <c r="AR22" s="254">
        <v>10000</v>
      </c>
      <c r="AS22" s="254">
        <v>7500</v>
      </c>
      <c r="AT22" s="254"/>
      <c r="AU22" s="254">
        <v>10000</v>
      </c>
      <c r="AV22" s="254"/>
      <c r="AW22" s="267"/>
      <c r="AX22" s="266">
        <f t="shared" si="6"/>
        <v>229572.46</v>
      </c>
      <c r="AY22" s="274">
        <f t="shared" si="0"/>
        <v>67500</v>
      </c>
      <c r="AZ22" s="275">
        <f t="shared" si="1"/>
        <v>162072.46</v>
      </c>
      <c r="BA22" s="359">
        <f t="shared" si="12"/>
        <v>127089.35</v>
      </c>
      <c r="BB22" s="359">
        <f>IF(AZ22-W22-V22-T22-Q22&gt;0,AZ22-W22-V22,0)</f>
        <v>162072.46</v>
      </c>
      <c r="BC22" s="360">
        <f>IF(AZ22-SUM(V22:AG22)&gt;0,AZ22-SUM(V22:AG22),"")</f>
        <v>9790.31000000003</v>
      </c>
      <c r="BD22" s="323">
        <f>IF(AZ22-SUM(W22:AG22)&gt;0,AZ22-SUM(W22:AG22),"")</f>
        <v>9790.31000000003</v>
      </c>
      <c r="BE22" s="323">
        <f>IF(AZ22-SUM(X22:AG22)&gt;0,AZ22-SUM(X22:AG22),"")</f>
        <v>9790.31000000003</v>
      </c>
      <c r="BF22" s="323">
        <f>IF($AZ22-SUM(Y22:$AG22)&gt;0,$AZ22-SUM(Y22:$AG22),"")</f>
        <v>29418.41</v>
      </c>
      <c r="BG22" s="323">
        <f>IF($AZ22-SUM(Z22:$AG22)&gt;0,$AZ22-SUM(Z22:$AG22),"")</f>
        <v>29418.41</v>
      </c>
      <c r="BH22" s="323">
        <f>IF($AZ22-SUM(AA22:$AG22)&gt;0,$AZ22-SUM(AA22:$AG22),"")</f>
        <v>66098.21</v>
      </c>
      <c r="BI22" s="323">
        <f>IF($AZ22-SUM(AB22:$AG22)&gt;0,$AZ22-SUM(AB22:$AG22),"")</f>
        <v>66098.21</v>
      </c>
      <c r="BJ22" s="323">
        <f>IF($AZ22-SUM(AC22:$AG22)&gt;0,$AZ22-SUM(AC22:$AG22),"")</f>
        <v>137604.61</v>
      </c>
      <c r="BK22" s="323">
        <f>IF($AZ22-SUM(AD22:$AG22)&gt;0,$AZ22-SUM(AD22:$AG22),"")</f>
        <v>137604.61</v>
      </c>
      <c r="BL22" s="323">
        <f>IF($AZ22-SUM(AE22:$AG22)&gt;0,$AZ22-SUM(AE22:$AG22),"")</f>
        <v>140640.88</v>
      </c>
      <c r="BM22" s="281" t="s">
        <v>222</v>
      </c>
      <c r="BN22" s="279"/>
      <c r="BO22" s="91"/>
      <c r="BP22" s="101">
        <f>IFERROR(VLOOKUP(D22,Sheet2!D:O,12,FALSE),"")</f>
        <v>160412.36</v>
      </c>
      <c r="BQ22" s="101">
        <f t="shared" si="9"/>
        <v>1660.10000000001</v>
      </c>
      <c r="BS22" s="10">
        <f t="shared" si="13"/>
        <v>127814.3</v>
      </c>
      <c r="BT22" s="10">
        <f t="shared" si="14"/>
        <v>21302.3833333333</v>
      </c>
      <c r="BV22" s="5"/>
      <c r="BW22" s="5"/>
    </row>
    <row r="23" s="10" customFormat="1" ht="24.05" customHeight="1" spans="2:75">
      <c r="B23" s="48" t="s">
        <v>81</v>
      </c>
      <c r="C23" s="319" t="s">
        <v>217</v>
      </c>
      <c r="D23" s="329" t="s">
        <v>223</v>
      </c>
      <c r="E23" s="330">
        <v>25391.1</v>
      </c>
      <c r="F23" s="233">
        <v>2600.8</v>
      </c>
      <c r="G23" s="233">
        <v>17351.38</v>
      </c>
      <c r="H23" s="233">
        <v>14233.25</v>
      </c>
      <c r="I23" s="233">
        <v>12814.2</v>
      </c>
      <c r="J23" s="233">
        <v>10441.2</v>
      </c>
      <c r="K23" s="233">
        <v>0</v>
      </c>
      <c r="L23" s="233">
        <v>5695.2</v>
      </c>
      <c r="M23" s="233">
        <v>9492</v>
      </c>
      <c r="N23" s="233">
        <f>IFERROR(VLOOKUP($D23,'2022年'!$D:AF,COLUMN(R17),FALSE),"")</f>
        <v>6644.4</v>
      </c>
      <c r="O23" s="334">
        <v>14475.3</v>
      </c>
      <c r="P23" s="335">
        <v>10915.8</v>
      </c>
      <c r="Q23" s="346"/>
      <c r="R23" s="334"/>
      <c r="S23" s="335"/>
      <c r="T23" s="335"/>
      <c r="U23" s="343">
        <f t="shared" si="5"/>
        <v>25391.1</v>
      </c>
      <c r="V23" s="235">
        <v>4746</v>
      </c>
      <c r="W23" s="236"/>
      <c r="X23" s="236">
        <v>9966.6</v>
      </c>
      <c r="Y23" s="236">
        <v>6644.4</v>
      </c>
      <c r="Z23" s="236">
        <v>11390.4</v>
      </c>
      <c r="AA23" s="236"/>
      <c r="AB23" s="236">
        <v>6644.4</v>
      </c>
      <c r="AC23" s="236">
        <v>4746</v>
      </c>
      <c r="AD23" s="236">
        <v>4746</v>
      </c>
      <c r="AE23" s="236">
        <v>9492</v>
      </c>
      <c r="AF23" s="236">
        <v>4746</v>
      </c>
      <c r="AG23" s="236">
        <v>4746</v>
      </c>
      <c r="AH23" s="355"/>
      <c r="AI23" s="313"/>
      <c r="AJ23" s="313"/>
      <c r="AK23" s="310" t="s">
        <v>84</v>
      </c>
      <c r="AL23" s="254"/>
      <c r="AM23" s="255"/>
      <c r="AN23" s="254"/>
      <c r="AO23" s="254"/>
      <c r="AP23" s="254">
        <v>25391</v>
      </c>
      <c r="AQ23" s="254"/>
      <c r="AR23" s="254">
        <v>10000</v>
      </c>
      <c r="AS23" s="254">
        <v>3000</v>
      </c>
      <c r="AT23" s="254"/>
      <c r="AU23" s="254">
        <v>10000</v>
      </c>
      <c r="AV23" s="254"/>
      <c r="AW23" s="267"/>
      <c r="AX23" s="266">
        <f t="shared" si="6"/>
        <v>93258.9</v>
      </c>
      <c r="AY23" s="274">
        <f t="shared" si="0"/>
        <v>48391</v>
      </c>
      <c r="AZ23" s="275">
        <f t="shared" si="1"/>
        <v>44867.9</v>
      </c>
      <c r="BA23" s="359">
        <f>IF(AZ23-V23&gt;0,AZ23-V23,0)</f>
        <v>40121.9</v>
      </c>
      <c r="BB23" s="359">
        <f>IF(AZ23-W23&gt;0,AZ23-W23,0)</f>
        <v>44867.9</v>
      </c>
      <c r="BC23" s="360" t="str">
        <f t="shared" ref="BC23:BC25" si="17">IF(AZ23-SUM(W23:AG23)&gt;0,AZ23-SUM(W23:AG23),"")</f>
        <v/>
      </c>
      <c r="BD23" s="323" t="str">
        <f>IF(AZ23-SUM(Y23:AG23)&gt;0,AZ23-SUM(Y23:AG23),"")</f>
        <v/>
      </c>
      <c r="BE23" s="323" t="str">
        <f>IF(AZ23-SUM(Z23:AG23)&gt;0,AZ23-SUM(Z23:AG23),"")</f>
        <v/>
      </c>
      <c r="BF23" s="323">
        <f>IF(AZ23-SUM(AH23)&gt;0,AZ23-SUM(AH23),"")</f>
        <v>44867.9</v>
      </c>
      <c r="BG23" s="323">
        <f t="shared" ref="BG23:BL23" si="18">IF($AZ23-SUM(AB23)&gt;0,$AZ23-SUM(AB23),"")</f>
        <v>38223.5</v>
      </c>
      <c r="BH23" s="323">
        <f t="shared" si="18"/>
        <v>40121.9</v>
      </c>
      <c r="BI23" s="323">
        <f t="shared" si="18"/>
        <v>40121.9</v>
      </c>
      <c r="BJ23" s="323">
        <f t="shared" si="18"/>
        <v>35375.9</v>
      </c>
      <c r="BK23" s="323">
        <f t="shared" si="18"/>
        <v>40121.9</v>
      </c>
      <c r="BL23" s="323">
        <f t="shared" si="18"/>
        <v>40121.9</v>
      </c>
      <c r="BM23" s="281" t="s">
        <v>101</v>
      </c>
      <c r="BN23" s="279"/>
      <c r="BO23" s="91"/>
      <c r="BP23" s="101">
        <f>IFERROR(VLOOKUP(D23,Sheet2!D:O,12,FALSE),"")</f>
        <v>29867.9</v>
      </c>
      <c r="BQ23" s="101">
        <f t="shared" si="9"/>
        <v>15000</v>
      </c>
      <c r="BS23" s="10">
        <f t="shared" si="13"/>
        <v>34645.8</v>
      </c>
      <c r="BT23" s="10">
        <f t="shared" si="14"/>
        <v>5774.3</v>
      </c>
      <c r="BV23" s="8"/>
      <c r="BW23" s="8"/>
    </row>
    <row r="24" s="10" customFormat="1" ht="24.05" customHeight="1" spans="2:75">
      <c r="B24" s="48" t="s">
        <v>81</v>
      </c>
      <c r="C24" s="319" t="s">
        <v>228</v>
      </c>
      <c r="D24" s="329" t="s">
        <v>229</v>
      </c>
      <c r="E24" s="330">
        <v>2518.39</v>
      </c>
      <c r="F24" s="233">
        <v>0</v>
      </c>
      <c r="G24" s="233">
        <v>0</v>
      </c>
      <c r="H24" s="233">
        <v>0</v>
      </c>
      <c r="I24" s="233">
        <v>0</v>
      </c>
      <c r="J24" s="233">
        <v>0</v>
      </c>
      <c r="K24" s="233">
        <v>0</v>
      </c>
      <c r="L24" s="233">
        <v>0</v>
      </c>
      <c r="M24" s="233">
        <v>0</v>
      </c>
      <c r="N24" s="233">
        <f>IFERROR(VLOOKUP($D24,'2022年'!$D:AF,COLUMN(R18),FALSE),"")</f>
        <v>0</v>
      </c>
      <c r="O24" s="334"/>
      <c r="P24" s="335"/>
      <c r="Q24" s="346"/>
      <c r="R24" s="334"/>
      <c r="S24" s="335"/>
      <c r="T24" s="346"/>
      <c r="U24" s="343">
        <f t="shared" si="5"/>
        <v>2518.39</v>
      </c>
      <c r="V24" s="235"/>
      <c r="W24" s="236"/>
      <c r="X24" s="236"/>
      <c r="Y24" s="236"/>
      <c r="Z24" s="236"/>
      <c r="AA24" s="236"/>
      <c r="AB24" s="236">
        <v>18387.36</v>
      </c>
      <c r="AC24" s="242"/>
      <c r="AD24" s="236"/>
      <c r="AE24" s="236">
        <v>9919.14</v>
      </c>
      <c r="AF24" s="236"/>
      <c r="AG24" s="236"/>
      <c r="AH24" s="355"/>
      <c r="AI24" s="313"/>
      <c r="AJ24" s="313"/>
      <c r="AK24" s="310" t="s">
        <v>84</v>
      </c>
      <c r="AL24" s="254"/>
      <c r="AM24" s="254"/>
      <c r="AN24" s="256"/>
      <c r="AO24" s="254"/>
      <c r="AP24" s="254"/>
      <c r="AQ24" s="254"/>
      <c r="AR24" s="254"/>
      <c r="AS24" s="254"/>
      <c r="AT24" s="254"/>
      <c r="AU24" s="254">
        <v>20905.75</v>
      </c>
      <c r="AV24" s="254"/>
      <c r="AW24" s="267"/>
      <c r="AX24" s="266">
        <f t="shared" si="6"/>
        <v>30824.89</v>
      </c>
      <c r="AY24" s="274">
        <f t="shared" si="0"/>
        <v>20905.75</v>
      </c>
      <c r="AZ24" s="275">
        <f t="shared" si="1"/>
        <v>9919.14</v>
      </c>
      <c r="BA24" s="359">
        <f t="shared" si="7"/>
        <v>9919.14</v>
      </c>
      <c r="BB24" s="359">
        <f t="shared" si="8"/>
        <v>9919.14</v>
      </c>
      <c r="BC24" s="360" t="str">
        <f t="shared" si="17"/>
        <v/>
      </c>
      <c r="BD24" s="323">
        <f>AZ24-Y24-X24</f>
        <v>9919.14</v>
      </c>
      <c r="BE24" s="323" t="str">
        <f t="shared" ref="BE24:BE28" si="19">IF(AZ24-SUM(Y24:AG24)&gt;0,AZ24-SUM(Y24:AG24),"")</f>
        <v/>
      </c>
      <c r="BF24" s="323" t="str">
        <f>IF($AZ24-SUM(Z24:$AG24)&gt;0,$AZ24-SUM(Z24:$AG24),"")</f>
        <v/>
      </c>
      <c r="BG24" s="323" t="str">
        <f>IF($AZ24-SUM(AA24:$AG24)&gt;0,$AZ24-SUM(AA24:$AG24),"")</f>
        <v/>
      </c>
      <c r="BH24" s="323" t="str">
        <f>IF($AZ24-SUM(AB24:$AG24)&gt;0,$AZ24-SUM(AB24:$AG24),"")</f>
        <v/>
      </c>
      <c r="BI24" s="323" t="str">
        <f>IF($AZ24-SUM(AC24:$AG24)&gt;0,$AZ24-SUM(AC24:$AG24),"")</f>
        <v/>
      </c>
      <c r="BJ24" s="323" t="str">
        <f>IF($AZ24-SUM(AD24:$AG24)&gt;0,$AZ24-SUM(AD24:$AG24),"")</f>
        <v/>
      </c>
      <c r="BK24" s="323" t="str">
        <f>IF($AZ24-SUM(AE24:$AG24)&gt;0,$AZ24-SUM(AE24:$AG24),"")</f>
        <v/>
      </c>
      <c r="BL24" s="323">
        <f>IF($AZ24-SUM(AF24:$AG24)&gt;0,$AZ24-SUM(AF24:$AG24),"")</f>
        <v>9919.14</v>
      </c>
      <c r="BM24" s="281" t="s">
        <v>85</v>
      </c>
      <c r="BN24" s="279" t="s">
        <v>270</v>
      </c>
      <c r="BO24" s="91"/>
      <c r="BP24" s="101">
        <f>IFERROR(VLOOKUP(D24,Sheet2!D:O,12,FALSE),"")</f>
        <v>22286.9</v>
      </c>
      <c r="BQ24" s="101">
        <f t="shared" si="9"/>
        <v>-12367.76</v>
      </c>
      <c r="BS24" s="10">
        <f t="shared" si="13"/>
        <v>18387.36</v>
      </c>
      <c r="BT24" s="10">
        <f t="shared" si="14"/>
        <v>3064.56</v>
      </c>
      <c r="BV24" s="5"/>
      <c r="BW24" s="5"/>
    </row>
    <row r="25" s="10" customFormat="1" ht="24.05" customHeight="1" spans="2:75">
      <c r="B25" s="48" t="s">
        <v>81</v>
      </c>
      <c r="C25" s="325" t="s">
        <v>230</v>
      </c>
      <c r="D25" s="40" t="s">
        <v>231</v>
      </c>
      <c r="E25" s="326">
        <v>1180377.44</v>
      </c>
      <c r="F25" s="233">
        <v>289497.18</v>
      </c>
      <c r="G25" s="233">
        <v>0</v>
      </c>
      <c r="H25" s="233">
        <v>0</v>
      </c>
      <c r="I25" s="233">
        <v>0</v>
      </c>
      <c r="J25" s="233">
        <v>259295.33</v>
      </c>
      <c r="K25" s="233">
        <v>216378.96</v>
      </c>
      <c r="L25" s="233">
        <v>475094.62</v>
      </c>
      <c r="M25" s="233">
        <v>173037.47</v>
      </c>
      <c r="N25" s="233">
        <f>IFERROR(VLOOKUP($D25,'2022年'!$D:AF,COLUMN(R19),FALSE),"")</f>
        <v>129734.62</v>
      </c>
      <c r="O25" s="332"/>
      <c r="P25" s="333">
        <v>396836.44</v>
      </c>
      <c r="Q25" s="333"/>
      <c r="R25" s="332"/>
      <c r="S25" s="333"/>
      <c r="T25" s="333"/>
      <c r="U25" s="343">
        <f t="shared" si="5"/>
        <v>1180377.44</v>
      </c>
      <c r="V25" s="232"/>
      <c r="W25" s="233"/>
      <c r="X25" s="233">
        <f>97349.27*2+97387.92+97368.6</f>
        <v>389455.06</v>
      </c>
      <c r="Y25" s="233">
        <f>86567.04+86567.04</f>
        <v>173134.08</v>
      </c>
      <c r="Z25" s="233"/>
      <c r="AA25" s="233">
        <f>101155.9+112942.94*6</f>
        <v>778813.54</v>
      </c>
      <c r="AB25" s="233">
        <f>112942.94*2+54297.63</f>
        <v>280183.51</v>
      </c>
      <c r="AC25" s="233"/>
      <c r="AD25" s="233"/>
      <c r="AE25" s="233"/>
      <c r="AF25" s="233"/>
      <c r="AG25" s="233">
        <v>235895.18</v>
      </c>
      <c r="AH25" s="354"/>
      <c r="AI25" s="310"/>
      <c r="AJ25" s="310"/>
      <c r="AK25" s="310" t="s">
        <v>84</v>
      </c>
      <c r="AL25" s="250">
        <v>110000</v>
      </c>
      <c r="AM25" s="250"/>
      <c r="AN25" s="250">
        <v>1000000</v>
      </c>
      <c r="AO25" s="250">
        <v>70377.44</v>
      </c>
      <c r="AP25" s="250"/>
      <c r="AQ25" s="250"/>
      <c r="AR25" s="250">
        <f>100000</f>
        <v>100000</v>
      </c>
      <c r="AS25" s="251">
        <v>150000</v>
      </c>
      <c r="AT25" s="250"/>
      <c r="AU25" s="250"/>
      <c r="AV25" s="250">
        <v>400000</v>
      </c>
      <c r="AW25" s="265"/>
      <c r="AX25" s="266">
        <f t="shared" si="6"/>
        <v>3037858.81</v>
      </c>
      <c r="AY25" s="274">
        <f t="shared" si="0"/>
        <v>1830377.44</v>
      </c>
      <c r="AZ25" s="275">
        <f t="shared" si="1"/>
        <v>1207481.37</v>
      </c>
      <c r="BA25" s="359">
        <f t="shared" si="12"/>
        <v>810644.93</v>
      </c>
      <c r="BB25" s="359">
        <f>IF(AZ25-W25-V25-T25-Q25&gt;0,AZ25-W25-V25,0)</f>
        <v>1207481.37</v>
      </c>
      <c r="BC25" s="360" t="str">
        <f t="shared" si="17"/>
        <v/>
      </c>
      <c r="BD25" s="323">
        <f>AZ25-Y25-X25-W25</f>
        <v>644892.23</v>
      </c>
      <c r="BE25" s="323" t="str">
        <f>IF(AZ25-SUM(X25:AG25)&gt;0,AZ25-SUM(X25:AG25),"")</f>
        <v/>
      </c>
      <c r="BF25" s="323" t="str">
        <f>IF($AZ25-SUM(Y25:$AG25)&gt;0,$AZ25-SUM(Y25:$AG25),"")</f>
        <v/>
      </c>
      <c r="BG25" s="323" t="str">
        <f>IF($AZ25-SUM(Z25:$AG25)&gt;0,$AZ25-SUM(Z25:$AG25),"")</f>
        <v/>
      </c>
      <c r="BH25" s="323" t="str">
        <f>IF($AZ25-SUM(AA25:$AG25)&gt;0,$AZ25-SUM(AA25:$AG25),"")</f>
        <v/>
      </c>
      <c r="BI25" s="323">
        <f>IF($AZ25-SUM(AB25:$AG25)&gt;0,$AZ25-SUM(AB25:$AG25),"")</f>
        <v>691402.68</v>
      </c>
      <c r="BJ25" s="323">
        <f>IF($AZ25-SUM(AC25:$AG25)&gt;0,$AZ25-SUM(AC25:$AG25),"")</f>
        <v>971586.19</v>
      </c>
      <c r="BK25" s="323">
        <f>IF($AZ25-SUM(AD25:$AG25)&gt;0,$AZ25-SUM(AD25:$AG25),"")</f>
        <v>971586.19</v>
      </c>
      <c r="BL25" s="323">
        <f>IF($AZ25-SUM(AE25:$AG25)&gt;0,$AZ25-SUM(AE25:$AG25),"")</f>
        <v>971586.19</v>
      </c>
      <c r="BM25" s="276" t="s">
        <v>241</v>
      </c>
      <c r="BN25" s="277"/>
      <c r="BO25" s="91"/>
      <c r="BP25" s="101">
        <f>IFERROR(VLOOKUP(D25,Sheet2!D:O,12,FALSE),"")</f>
        <v>651666.1</v>
      </c>
      <c r="BQ25" s="101">
        <f t="shared" si="9"/>
        <v>555815.27</v>
      </c>
      <c r="BS25" s="10">
        <f t="shared" si="13"/>
        <v>1621586.19</v>
      </c>
      <c r="BT25" s="10">
        <f t="shared" si="14"/>
        <v>270264.365</v>
      </c>
      <c r="BV25" s="8"/>
      <c r="BW25" s="8"/>
    </row>
    <row r="26" s="10" customFormat="1" ht="24.05" customHeight="1" spans="2:75">
      <c r="B26" s="48" t="s">
        <v>81</v>
      </c>
      <c r="C26" s="320" t="s">
        <v>271</v>
      </c>
      <c r="D26" s="329" t="s">
        <v>272</v>
      </c>
      <c r="E26" s="326">
        <v>30758.4</v>
      </c>
      <c r="F26" s="233">
        <v>4214.9</v>
      </c>
      <c r="G26" s="233">
        <v>18419</v>
      </c>
      <c r="H26" s="233">
        <v>0</v>
      </c>
      <c r="I26" s="233">
        <v>0</v>
      </c>
      <c r="J26" s="233">
        <v>9957.56</v>
      </c>
      <c r="K26" s="233">
        <v>0</v>
      </c>
      <c r="L26" s="233">
        <v>17325.16</v>
      </c>
      <c r="M26" s="233">
        <v>0</v>
      </c>
      <c r="N26" s="233">
        <f>IFERROR(VLOOKUP($D26,'2022年'!$D:AF,COLUMN(R20),FALSE),"")</f>
        <v>14735.2</v>
      </c>
      <c r="O26" s="332">
        <v>9202.52</v>
      </c>
      <c r="P26" s="333">
        <v>6820.68</v>
      </c>
      <c r="Q26" s="333"/>
      <c r="R26" s="332"/>
      <c r="S26" s="333"/>
      <c r="T26" s="333"/>
      <c r="U26" s="343">
        <f t="shared" si="5"/>
        <v>30758.4</v>
      </c>
      <c r="V26" s="232">
        <v>7641.06</v>
      </c>
      <c r="W26" s="233"/>
      <c r="X26" s="233"/>
      <c r="Y26" s="233">
        <f>5654.52+6691.86</f>
        <v>12346.38</v>
      </c>
      <c r="Z26" s="233">
        <v>5525.7</v>
      </c>
      <c r="AA26" s="233">
        <v>2589.96</v>
      </c>
      <c r="AB26" s="233"/>
      <c r="AC26" s="233">
        <v>13760.01</v>
      </c>
      <c r="AD26" s="233"/>
      <c r="AE26" s="233">
        <v>10359.84</v>
      </c>
      <c r="AF26" s="233"/>
      <c r="AG26" s="233"/>
      <c r="AH26" s="355"/>
      <c r="AI26" s="313"/>
      <c r="AJ26" s="310"/>
      <c r="AK26" s="310" t="s">
        <v>84</v>
      </c>
      <c r="AL26" s="254"/>
      <c r="AM26" s="254"/>
      <c r="AN26" s="254">
        <v>23000</v>
      </c>
      <c r="AO26" s="254"/>
      <c r="AP26" s="254">
        <v>15399.46</v>
      </c>
      <c r="AQ26" s="254"/>
      <c r="AR26" s="254"/>
      <c r="AS26" s="254">
        <v>10000</v>
      </c>
      <c r="AT26" s="254"/>
      <c r="AU26" s="254">
        <v>8000</v>
      </c>
      <c r="AV26" s="254"/>
      <c r="AW26" s="267"/>
      <c r="AX26" s="266">
        <f t="shared" si="6"/>
        <v>82981.35</v>
      </c>
      <c r="AY26" s="274">
        <f t="shared" si="0"/>
        <v>56399.46</v>
      </c>
      <c r="AZ26" s="275">
        <f t="shared" si="1"/>
        <v>26581.89</v>
      </c>
      <c r="BA26" s="359">
        <f t="shared" si="12"/>
        <v>12120.15</v>
      </c>
      <c r="BB26" s="359">
        <f>IF(AZ26-W26-V26-T26-Q26&gt;0,AZ26-W26-V26,0)</f>
        <v>18940.83</v>
      </c>
      <c r="BC26" s="360" t="str">
        <f>IF(AZ26-SUM(V26:AG26)&gt;0,AZ26-SUM(V26:AG26),"")</f>
        <v/>
      </c>
      <c r="BD26" s="323" t="str">
        <f>IF(AZ26-SUM(W26:AG26)&gt;0,AZ26-SUM(W26:AG26),"")</f>
        <v/>
      </c>
      <c r="BE26" s="323" t="str">
        <f t="shared" si="19"/>
        <v/>
      </c>
      <c r="BF26" s="323" t="str">
        <f>IF(AZ26-SUM(Z26:AH26)&gt;0,AZ26-SUM(Z26:AH26),"")</f>
        <v/>
      </c>
      <c r="BG26" s="322"/>
      <c r="BH26" s="322"/>
      <c r="BI26" s="323">
        <f>IF($AZ26-SUM(AB26:$AG26)&gt;0,$AZ26-SUM(AB26:$AG26),"")</f>
        <v>2462.03999999999</v>
      </c>
      <c r="BJ26" s="323">
        <f>IF($AZ26-SUM(AC26:$AG26)&gt;0,$AZ26-SUM(AC26:$AG26),"")</f>
        <v>2462.03999999999</v>
      </c>
      <c r="BK26" s="323">
        <f>IF($AZ26-SUM(AD26:$AG26)&gt;0,$AZ26-SUM(AD26:$AG26),"")</f>
        <v>16222.05</v>
      </c>
      <c r="BL26" s="323">
        <f>IF($AZ26-SUM(AE26:$AG26)&gt;0,$AZ26-SUM(AE26:$AG26),"")</f>
        <v>16222.05</v>
      </c>
      <c r="BM26" s="281" t="s">
        <v>222</v>
      </c>
      <c r="BN26" s="279"/>
      <c r="BO26" s="91"/>
      <c r="BP26" s="101">
        <f>IFERROR(VLOOKUP(D26,Sheet2!D:O,12,FALSE),"")</f>
        <v>16581.89</v>
      </c>
      <c r="BQ26" s="101">
        <f t="shared" si="9"/>
        <v>10000</v>
      </c>
      <c r="BS26" s="10">
        <f t="shared" si="13"/>
        <v>20462.04</v>
      </c>
      <c r="BT26" s="10">
        <f t="shared" si="14"/>
        <v>3410.34</v>
      </c>
      <c r="BV26" s="5"/>
      <c r="BW26" s="5"/>
    </row>
    <row r="27" s="10" customFormat="1" ht="24.05" customHeight="1" spans="2:75">
      <c r="B27" s="48" t="s">
        <v>81</v>
      </c>
      <c r="C27" s="320" t="s">
        <v>274</v>
      </c>
      <c r="D27" s="329" t="s">
        <v>275</v>
      </c>
      <c r="E27" s="326">
        <v>270324.84</v>
      </c>
      <c r="F27" s="233">
        <v>0</v>
      </c>
      <c r="G27" s="233">
        <v>0</v>
      </c>
      <c r="H27" s="233">
        <v>0</v>
      </c>
      <c r="I27" s="233">
        <v>0</v>
      </c>
      <c r="J27" s="233">
        <v>0</v>
      </c>
      <c r="K27" s="233">
        <v>37916.02</v>
      </c>
      <c r="L27" s="233">
        <v>0</v>
      </c>
      <c r="M27" s="233">
        <v>62498.04</v>
      </c>
      <c r="N27" s="233">
        <f>IFERROR(VLOOKUP($D27,'2022年'!$D:AF,COLUMN(R21),FALSE),"")</f>
        <v>62498.04</v>
      </c>
      <c r="O27" s="332">
        <v>104163.4</v>
      </c>
      <c r="P27" s="333">
        <v>104163.4</v>
      </c>
      <c r="Q27" s="333"/>
      <c r="R27" s="332"/>
      <c r="S27" s="333">
        <v>24408</v>
      </c>
      <c r="T27" s="333"/>
      <c r="U27" s="343">
        <f t="shared" si="5"/>
        <v>294732.84</v>
      </c>
      <c r="V27" s="232"/>
      <c r="W27" s="233"/>
      <c r="X27" s="233"/>
      <c r="Y27" s="233">
        <v>56104.5</v>
      </c>
      <c r="Z27" s="233"/>
      <c r="AA27" s="233">
        <v>163703.1</v>
      </c>
      <c r="AB27" s="233">
        <v>254601.23</v>
      </c>
      <c r="AC27" s="233">
        <v>102498.21</v>
      </c>
      <c r="AD27" s="233">
        <v>161669.1</v>
      </c>
      <c r="AE27" s="233">
        <v>161507.43</v>
      </c>
      <c r="AF27" s="233"/>
      <c r="AG27" s="233">
        <v>168098.8</v>
      </c>
      <c r="AH27" s="355"/>
      <c r="AI27" s="313"/>
      <c r="AJ27" s="310"/>
      <c r="AK27" s="310" t="s">
        <v>84</v>
      </c>
      <c r="AL27" s="254">
        <v>270324.84</v>
      </c>
      <c r="AM27" s="254"/>
      <c r="AN27" s="254"/>
      <c r="AO27" s="254">
        <v>24408</v>
      </c>
      <c r="AP27" s="254"/>
      <c r="AQ27" s="254">
        <v>56104.5</v>
      </c>
      <c r="AR27" s="254"/>
      <c r="AS27" s="254">
        <f>103703.1+60000</f>
        <v>163703.1</v>
      </c>
      <c r="AT27" s="254">
        <f>50000+204601.23</f>
        <v>254601.23</v>
      </c>
      <c r="AU27" s="254">
        <v>102498.21</v>
      </c>
      <c r="AV27" s="254"/>
      <c r="AW27" s="267">
        <v>323176.53</v>
      </c>
      <c r="AX27" s="266">
        <f t="shared" si="6"/>
        <v>1362915.21</v>
      </c>
      <c r="AY27" s="274">
        <f t="shared" si="0"/>
        <v>1194816.41</v>
      </c>
      <c r="AZ27" s="275">
        <f t="shared" si="1"/>
        <v>168098.8</v>
      </c>
      <c r="BA27" s="359">
        <f>IF(AZ27-V27&gt;0,AZ27-V27,0)</f>
        <v>168098.8</v>
      </c>
      <c r="BB27" s="359">
        <f>IF(AZ27-W27&gt;0,AZ27-W27,0)</f>
        <v>168098.8</v>
      </c>
      <c r="BC27" s="360"/>
      <c r="BD27" s="323"/>
      <c r="BE27" s="323"/>
      <c r="BF27" s="323"/>
      <c r="BG27" s="323"/>
      <c r="BH27" s="323"/>
      <c r="BI27" s="323" t="str">
        <f>IF($AZ27-SUM(AB27:$AG27)&gt;0,$AZ27-SUM(AB27:$AG27),"")</f>
        <v/>
      </c>
      <c r="BJ27" s="323">
        <f t="shared" ref="BJ27:BL27" si="20">IF($AZ27-SUM(AE27)&gt;0,$AZ27-SUM(AE27),"")</f>
        <v>6591.36999999982</v>
      </c>
      <c r="BK27" s="323">
        <f t="shared" si="20"/>
        <v>168098.8</v>
      </c>
      <c r="BL27" s="323" t="str">
        <f t="shared" si="20"/>
        <v/>
      </c>
      <c r="BM27" s="276" t="s">
        <v>101</v>
      </c>
      <c r="BN27" s="279"/>
      <c r="BO27" s="91"/>
      <c r="BP27" s="101">
        <f>IFERROR(VLOOKUP(D27,Sheet2!D:O,12,FALSE),"")</f>
        <v>384215.06</v>
      </c>
      <c r="BQ27" s="101">
        <f t="shared" si="9"/>
        <v>-216116.26</v>
      </c>
      <c r="BS27" s="10">
        <f t="shared" si="13"/>
        <v>474408.83</v>
      </c>
      <c r="BT27" s="10">
        <f t="shared" si="14"/>
        <v>79068.1383333333</v>
      </c>
      <c r="BV27" s="8"/>
      <c r="BW27" s="8"/>
    </row>
    <row r="28" s="10" customFormat="1" ht="24.05" customHeight="1" spans="2:75">
      <c r="B28" s="45" t="s">
        <v>81</v>
      </c>
      <c r="C28" s="325" t="s">
        <v>114</v>
      </c>
      <c r="D28" s="46" t="s">
        <v>115</v>
      </c>
      <c r="E28" s="326"/>
      <c r="F28" s="233">
        <v>0</v>
      </c>
      <c r="G28" s="233">
        <v>0</v>
      </c>
      <c r="H28" s="233">
        <v>0</v>
      </c>
      <c r="I28" s="233">
        <v>0</v>
      </c>
      <c r="J28" s="233">
        <v>0</v>
      </c>
      <c r="K28" s="233">
        <v>0</v>
      </c>
      <c r="L28" s="233">
        <v>0</v>
      </c>
      <c r="M28" s="233">
        <v>0</v>
      </c>
      <c r="N28" s="233">
        <f>IFERROR(VLOOKUP($D28,'2022年'!$D:AF,COLUMN(R22),FALSE),"")</f>
        <v>0</v>
      </c>
      <c r="O28" s="332"/>
      <c r="P28" s="333"/>
      <c r="Q28" s="333"/>
      <c r="R28" s="332"/>
      <c r="S28" s="333"/>
      <c r="T28" s="333"/>
      <c r="U28" s="343">
        <f t="shared" si="5"/>
        <v>0</v>
      </c>
      <c r="V28" s="232"/>
      <c r="W28" s="233">
        <v>38483.28</v>
      </c>
      <c r="X28" s="233">
        <v>54242.04</v>
      </c>
      <c r="Y28" s="233">
        <v>24883.28</v>
      </c>
      <c r="Z28" s="233">
        <v>75926.51</v>
      </c>
      <c r="AA28" s="233">
        <f>78318.49+44783.26</f>
        <v>123101.75</v>
      </c>
      <c r="AB28" s="233">
        <v>90458.76</v>
      </c>
      <c r="AC28" s="233">
        <v>28309.89</v>
      </c>
      <c r="AD28" s="233">
        <v>34550.88</v>
      </c>
      <c r="AE28" s="233">
        <v>63985.57</v>
      </c>
      <c r="AF28" s="233">
        <v>48271.56</v>
      </c>
      <c r="AG28" s="233"/>
      <c r="AH28" s="354"/>
      <c r="AI28" s="310"/>
      <c r="AJ28" s="310"/>
      <c r="AK28" s="310" t="s">
        <v>84</v>
      </c>
      <c r="AL28" s="250"/>
      <c r="AM28" s="250"/>
      <c r="AN28" s="250"/>
      <c r="AO28" s="250"/>
      <c r="AP28" s="250"/>
      <c r="AQ28" s="250"/>
      <c r="AR28" s="250">
        <v>50000</v>
      </c>
      <c r="AS28" s="250">
        <v>50000</v>
      </c>
      <c r="AT28" s="250">
        <v>50000</v>
      </c>
      <c r="AU28" s="250">
        <v>40000</v>
      </c>
      <c r="AV28" s="250">
        <v>50000</v>
      </c>
      <c r="AW28" s="265">
        <v>50000</v>
      </c>
      <c r="AX28" s="266">
        <f t="shared" si="6"/>
        <v>582213.52</v>
      </c>
      <c r="AY28" s="274">
        <f t="shared" si="0"/>
        <v>290000</v>
      </c>
      <c r="AZ28" s="275">
        <f t="shared" si="1"/>
        <v>292213.52</v>
      </c>
      <c r="BA28" s="359">
        <f>IF(AZ28-V28-T28-Q28-W28&gt;0,AZ28-V28-T28-Q28-W28,0)</f>
        <v>253730.24</v>
      </c>
      <c r="BB28" s="359">
        <f>IF(AZ28-W28-V28&gt;0,AZ28-W28-V28,0)</f>
        <v>253730.24</v>
      </c>
      <c r="BC28" s="360" t="str">
        <f>IF(AZ28-SUM(W28:AG28)&gt;0,AZ28-SUM(W28:AG28),"")</f>
        <v/>
      </c>
      <c r="BD28" s="323" t="str">
        <f>IF(AZ28-SUM(X28:AG28)&gt;0,AZ28-SUM(X28:AG28),"")</f>
        <v/>
      </c>
      <c r="BE28" s="323" t="str">
        <f t="shared" si="19"/>
        <v/>
      </c>
      <c r="BF28" s="323" t="str">
        <f>IF(AZ28-SUM(Z28:AH28)&gt;0,AZ28-SUM(Z28:AH28),"")</f>
        <v/>
      </c>
      <c r="BG28" s="323"/>
      <c r="BH28" s="323"/>
      <c r="BI28" s="323"/>
      <c r="BJ28" s="323"/>
      <c r="BK28" s="323"/>
      <c r="BL28" s="323"/>
      <c r="BM28" s="276" t="s">
        <v>85</v>
      </c>
      <c r="BN28" s="277"/>
      <c r="BO28" s="91"/>
      <c r="BP28" s="101">
        <f>IFERROR(VLOOKUP(D28,Sheet2!D:O,12,FALSE),"")</f>
        <v>524211.34</v>
      </c>
      <c r="BQ28" s="101">
        <f t="shared" si="9"/>
        <v>-231997.82</v>
      </c>
      <c r="BS28" s="10">
        <f t="shared" si="13"/>
        <v>407095.62</v>
      </c>
      <c r="BT28" s="10">
        <f t="shared" si="14"/>
        <v>67849.27</v>
      </c>
      <c r="BV28" s="5"/>
      <c r="BW28" s="5"/>
    </row>
    <row r="29" s="10" customFormat="1" ht="24.05" customHeight="1" spans="2:75">
      <c r="B29" s="45" t="s">
        <v>81</v>
      </c>
      <c r="C29" s="320" t="s">
        <v>287</v>
      </c>
      <c r="D29" s="329" t="s">
        <v>288</v>
      </c>
      <c r="E29" s="326"/>
      <c r="F29" s="233" t="s">
        <v>286</v>
      </c>
      <c r="G29" s="233" t="s">
        <v>286</v>
      </c>
      <c r="H29" s="233" t="s">
        <v>286</v>
      </c>
      <c r="I29" s="233" t="s">
        <v>286</v>
      </c>
      <c r="J29" s="233" t="s">
        <v>286</v>
      </c>
      <c r="K29" s="233" t="s">
        <v>286</v>
      </c>
      <c r="L29" s="233" t="s">
        <v>286</v>
      </c>
      <c r="M29" s="233" t="s">
        <v>286</v>
      </c>
      <c r="N29" s="233" t="str">
        <f>IFERROR(VLOOKUP($D29,'2022年'!$D:AF,COLUMN(R23),FALSE),"")</f>
        <v/>
      </c>
      <c r="O29" s="332"/>
      <c r="P29" s="333"/>
      <c r="Q29" s="333"/>
      <c r="R29" s="332"/>
      <c r="S29" s="333">
        <v>19790.82</v>
      </c>
      <c r="T29" s="333">
        <v>32006.12</v>
      </c>
      <c r="U29" s="343">
        <f t="shared" si="5"/>
        <v>51796.94</v>
      </c>
      <c r="V29" s="232"/>
      <c r="W29" s="233"/>
      <c r="X29" s="233">
        <f>85684.51+13874.14+65263.15</f>
        <v>164821.8</v>
      </c>
      <c r="Y29" s="233">
        <f>64206.6+69817.05</f>
        <v>134023.65</v>
      </c>
      <c r="Z29" s="233"/>
      <c r="AA29" s="233"/>
      <c r="AB29" s="233">
        <v>15820</v>
      </c>
      <c r="AC29" s="233"/>
      <c r="AD29" s="233"/>
      <c r="AE29" s="233">
        <f>8872.2+65334.34</f>
        <v>74206.54</v>
      </c>
      <c r="AF29" s="233"/>
      <c r="AG29" s="233"/>
      <c r="AH29" s="355"/>
      <c r="AI29" s="313"/>
      <c r="AJ29" s="310"/>
      <c r="AK29" s="310" t="s">
        <v>84</v>
      </c>
      <c r="AL29" s="254"/>
      <c r="AM29" s="254">
        <v>19790.82</v>
      </c>
      <c r="AN29" s="254"/>
      <c r="AO29" s="254"/>
      <c r="AP29" s="254">
        <v>20000</v>
      </c>
      <c r="AQ29" s="254">
        <v>12006.12</v>
      </c>
      <c r="AR29" s="254">
        <v>40000</v>
      </c>
      <c r="AS29" s="254">
        <v>40000</v>
      </c>
      <c r="AT29" s="254">
        <v>30000</v>
      </c>
      <c r="AU29" s="254">
        <v>50000</v>
      </c>
      <c r="AV29" s="254">
        <f>20000+50000</f>
        <v>70000</v>
      </c>
      <c r="AW29" s="267">
        <v>80000</v>
      </c>
      <c r="AX29" s="266">
        <f t="shared" si="6"/>
        <v>440668.93</v>
      </c>
      <c r="AY29" s="274">
        <f t="shared" si="0"/>
        <v>361796.94</v>
      </c>
      <c r="AZ29" s="275">
        <f t="shared" si="1"/>
        <v>78871.99</v>
      </c>
      <c r="BA29" s="359"/>
      <c r="BB29" s="359"/>
      <c r="BC29" s="360"/>
      <c r="BD29" s="323"/>
      <c r="BE29" s="323"/>
      <c r="BF29" s="323"/>
      <c r="BG29" s="323"/>
      <c r="BH29" s="323"/>
      <c r="BI29" s="323"/>
      <c r="BJ29" s="323"/>
      <c r="BK29" s="323"/>
      <c r="BL29" s="323"/>
      <c r="BM29" s="276"/>
      <c r="BN29" s="279"/>
      <c r="BO29" s="91"/>
      <c r="BP29" s="101">
        <f>IFERROR(VLOOKUP(D29,Sheet2!D:O,12,FALSE),"")</f>
        <v>260065.98</v>
      </c>
      <c r="BQ29" s="101">
        <f t="shared" si="9"/>
        <v>-181193.99</v>
      </c>
      <c r="BS29" s="10">
        <f t="shared" si="13"/>
        <v>314665.45</v>
      </c>
      <c r="BT29" s="10">
        <f t="shared" si="14"/>
        <v>52444.2416666667</v>
      </c>
      <c r="BV29" s="8"/>
      <c r="BW29" s="8"/>
    </row>
    <row r="30" s="10" customFormat="1" ht="24.05" customHeight="1" spans="2:75">
      <c r="B30" s="45" t="s">
        <v>81</v>
      </c>
      <c r="C30" s="320" t="s">
        <v>289</v>
      </c>
      <c r="D30" s="329" t="s">
        <v>290</v>
      </c>
      <c r="E30" s="326"/>
      <c r="F30" s="233" t="s">
        <v>286</v>
      </c>
      <c r="G30" s="233" t="s">
        <v>286</v>
      </c>
      <c r="H30" s="233" t="s">
        <v>286</v>
      </c>
      <c r="I30" s="233" t="s">
        <v>286</v>
      </c>
      <c r="J30" s="233" t="s">
        <v>286</v>
      </c>
      <c r="K30" s="233" t="s">
        <v>286</v>
      </c>
      <c r="L30" s="233" t="s">
        <v>286</v>
      </c>
      <c r="M30" s="233" t="s">
        <v>286</v>
      </c>
      <c r="N30" s="233" t="str">
        <f>IFERROR(VLOOKUP($D30,'2022年'!$D:AF,COLUMN(R24),FALSE),"")</f>
        <v/>
      </c>
      <c r="O30" s="332"/>
      <c r="P30" s="333"/>
      <c r="Q30" s="333"/>
      <c r="R30" s="332">
        <v>1531.82</v>
      </c>
      <c r="S30" s="333"/>
      <c r="T30" s="333">
        <v>1489.62</v>
      </c>
      <c r="U30" s="343">
        <f t="shared" si="5"/>
        <v>3021.44</v>
      </c>
      <c r="V30" s="232">
        <f>62489.03+45000.89+39869+32615.51</f>
        <v>179974.43</v>
      </c>
      <c r="W30" s="233">
        <v>4554.35</v>
      </c>
      <c r="X30" s="233">
        <v>158546.96</v>
      </c>
      <c r="Y30" s="233">
        <v>40061.43</v>
      </c>
      <c r="Z30" s="233">
        <v>24892.05</v>
      </c>
      <c r="AA30" s="233">
        <v>12725.95</v>
      </c>
      <c r="AB30" s="233">
        <v>95100.09</v>
      </c>
      <c r="AC30" s="233"/>
      <c r="AD30" s="233">
        <v>70.75</v>
      </c>
      <c r="AE30" s="233">
        <v>120886.07</v>
      </c>
      <c r="AF30" s="233">
        <v>66283.25</v>
      </c>
      <c r="AG30" s="233">
        <v>-55149.65</v>
      </c>
      <c r="AH30" s="355"/>
      <c r="AI30" s="313"/>
      <c r="AJ30" s="310"/>
      <c r="AK30" s="310" t="s">
        <v>84</v>
      </c>
      <c r="AL30" s="254"/>
      <c r="AM30" s="254">
        <f>16873.13+143126.87</f>
        <v>160000</v>
      </c>
      <c r="AN30" s="254">
        <v>9200</v>
      </c>
      <c r="AO30" s="254"/>
      <c r="AP30" s="254"/>
      <c r="AQ30" s="254"/>
      <c r="AR30" s="254">
        <v>50000</v>
      </c>
      <c r="AS30" s="254"/>
      <c r="AT30" s="254"/>
      <c r="AU30" s="254"/>
      <c r="AV30" s="254"/>
      <c r="AW30" s="267">
        <v>-30000</v>
      </c>
      <c r="AX30" s="266">
        <f t="shared" si="6"/>
        <v>650967.12</v>
      </c>
      <c r="AY30" s="274">
        <f t="shared" si="0"/>
        <v>189200</v>
      </c>
      <c r="AZ30" s="275">
        <f t="shared" si="1"/>
        <v>461767.12</v>
      </c>
      <c r="BA30" s="359">
        <f>IF(AZ30-V30-T30-Q30&gt;0,AZ30-V30-T30-Q30,0)</f>
        <v>280303.07</v>
      </c>
      <c r="BB30" s="359">
        <f>IF(AZ30-W30-V30&gt;0,AZ30-W30-V30,0)</f>
        <v>277238.34</v>
      </c>
      <c r="BC30" s="360"/>
      <c r="BD30" s="323"/>
      <c r="BE30" s="323"/>
      <c r="BF30" s="323"/>
      <c r="BG30" s="323"/>
      <c r="BH30" s="323"/>
      <c r="BI30" s="323"/>
      <c r="BJ30" s="323"/>
      <c r="BK30" s="323"/>
      <c r="BL30" s="323"/>
      <c r="BM30" s="276"/>
      <c r="BN30" s="279"/>
      <c r="BO30" s="91"/>
      <c r="BP30" s="101">
        <f>IFERROR(VLOOKUP(D30,Sheet2!D:O,12,FALSE),"")</f>
        <v>543515.92</v>
      </c>
      <c r="BQ30" s="101">
        <f t="shared" si="9"/>
        <v>-81748.8</v>
      </c>
      <c r="BV30" s="5"/>
      <c r="BW30" s="5"/>
    </row>
    <row r="31" s="10" customFormat="1" ht="24.05" customHeight="1" spans="2:75">
      <c r="B31" s="45" t="s">
        <v>81</v>
      </c>
      <c r="C31" s="320" t="s">
        <v>291</v>
      </c>
      <c r="D31" s="329" t="s">
        <v>292</v>
      </c>
      <c r="E31" s="326"/>
      <c r="F31" s="233" t="s">
        <v>286</v>
      </c>
      <c r="G31" s="233" t="s">
        <v>286</v>
      </c>
      <c r="H31" s="233" t="s">
        <v>286</v>
      </c>
      <c r="I31" s="233" t="s">
        <v>286</v>
      </c>
      <c r="J31" s="233" t="s">
        <v>286</v>
      </c>
      <c r="K31" s="233" t="s">
        <v>286</v>
      </c>
      <c r="L31" s="233" t="s">
        <v>286</v>
      </c>
      <c r="M31" s="233" t="s">
        <v>286</v>
      </c>
      <c r="N31" s="233" t="str">
        <f>IFERROR(VLOOKUP($D31,'2022年'!$D:AF,COLUMN(R25),FALSE),"")</f>
        <v/>
      </c>
      <c r="O31" s="332"/>
      <c r="P31" s="333"/>
      <c r="Q31" s="333"/>
      <c r="R31" s="332"/>
      <c r="S31" s="333"/>
      <c r="T31" s="333"/>
      <c r="U31" s="343">
        <f t="shared" si="5"/>
        <v>0</v>
      </c>
      <c r="V31" s="232"/>
      <c r="W31" s="233"/>
      <c r="X31" s="233"/>
      <c r="Y31" s="233">
        <v>9155.89</v>
      </c>
      <c r="Z31" s="233">
        <f>16527.4</f>
        <v>16527.4</v>
      </c>
      <c r="AA31" s="233">
        <v>13163.39</v>
      </c>
      <c r="AB31" s="233"/>
      <c r="AC31" s="233">
        <v>7046.96</v>
      </c>
      <c r="AD31" s="233"/>
      <c r="AE31" s="233">
        <v>2195.92</v>
      </c>
      <c r="AF31" s="233"/>
      <c r="AG31" s="233"/>
      <c r="AH31" s="355"/>
      <c r="AI31" s="313"/>
      <c r="AJ31" s="310"/>
      <c r="AK31" s="310"/>
      <c r="AL31" s="254"/>
      <c r="AM31" s="254"/>
      <c r="AN31" s="254"/>
      <c r="AO31" s="254"/>
      <c r="AP31" s="254">
        <v>13163.38</v>
      </c>
      <c r="AQ31" s="254"/>
      <c r="AR31" s="254"/>
      <c r="AS31" s="254"/>
      <c r="AT31" s="254"/>
      <c r="AU31" s="254">
        <v>32730.26</v>
      </c>
      <c r="AV31" s="254"/>
      <c r="AW31" s="267">
        <v>2195.92</v>
      </c>
      <c r="AX31" s="266">
        <f t="shared" si="6"/>
        <v>48089.56</v>
      </c>
      <c r="AY31" s="274">
        <f t="shared" si="0"/>
        <v>48089.56</v>
      </c>
      <c r="AZ31" s="275">
        <f t="shared" si="1"/>
        <v>0</v>
      </c>
      <c r="BA31" s="359">
        <f>IF(AZ31-V31-T31-Q31&gt;0,AZ31-V31-T31-Q31,0)</f>
        <v>0</v>
      </c>
      <c r="BB31" s="359">
        <f>IF(AZ31-W31-V31&gt;0,AZ31-W31-V31,0)</f>
        <v>0</v>
      </c>
      <c r="BC31" s="360"/>
      <c r="BD31" s="323"/>
      <c r="BE31" s="323"/>
      <c r="BF31" s="323"/>
      <c r="BG31" s="323"/>
      <c r="BH31" s="323"/>
      <c r="BI31" s="323"/>
      <c r="BJ31" s="323"/>
      <c r="BK31" s="323"/>
      <c r="BL31" s="323"/>
      <c r="BM31" s="276"/>
      <c r="BN31" s="279"/>
      <c r="BO31" s="91"/>
      <c r="BP31" s="101">
        <f>IFERROR(VLOOKUP(D31,Sheet2!D:O,12,FALSE),"")</f>
        <v>0</v>
      </c>
      <c r="BQ31" s="101">
        <f t="shared" si="9"/>
        <v>0</v>
      </c>
      <c r="BS31" s="10">
        <f t="shared" si="13"/>
        <v>38846.68</v>
      </c>
      <c r="BT31" s="10">
        <f t="shared" si="14"/>
        <v>6474.44666666667</v>
      </c>
      <c r="BV31" s="8"/>
      <c r="BW31" s="8"/>
    </row>
    <row r="32" s="10" customFormat="1" ht="24.05" customHeight="1" spans="2:75">
      <c r="B32" s="45" t="s">
        <v>81</v>
      </c>
      <c r="C32" s="319" t="s">
        <v>224</v>
      </c>
      <c r="D32" s="329" t="s">
        <v>225</v>
      </c>
      <c r="E32" s="326"/>
      <c r="F32" s="233">
        <v>45981.51</v>
      </c>
      <c r="G32" s="233">
        <v>0</v>
      </c>
      <c r="H32" s="233">
        <v>49586.66</v>
      </c>
      <c r="I32" s="233">
        <v>25069.28</v>
      </c>
      <c r="J32" s="233">
        <v>0</v>
      </c>
      <c r="K32" s="233">
        <v>0</v>
      </c>
      <c r="L32" s="233">
        <v>0</v>
      </c>
      <c r="M32" s="233">
        <v>0</v>
      </c>
      <c r="N32" s="233">
        <f>IFERROR(VLOOKUP($D32,'2022年'!$D:AF,COLUMN(R26),FALSE),"")</f>
        <v>0</v>
      </c>
      <c r="O32" s="332"/>
      <c r="P32" s="333"/>
      <c r="Q32" s="333"/>
      <c r="R32" s="332"/>
      <c r="S32" s="333"/>
      <c r="T32" s="333"/>
      <c r="U32" s="343">
        <f t="shared" si="5"/>
        <v>0</v>
      </c>
      <c r="V32" s="232"/>
      <c r="W32" s="233">
        <v>182408.67</v>
      </c>
      <c r="X32" s="233"/>
      <c r="Y32" s="233"/>
      <c r="Z32" s="233"/>
      <c r="AA32" s="233"/>
      <c r="AB32" s="233">
        <v>251804.91</v>
      </c>
      <c r="AC32" s="233"/>
      <c r="AD32" s="233"/>
      <c r="AE32" s="233"/>
      <c r="AF32" s="233"/>
      <c r="AG32" s="233">
        <v>121014.86</v>
      </c>
      <c r="AH32" s="355"/>
      <c r="AI32" s="313"/>
      <c r="AJ32" s="310"/>
      <c r="AK32" s="310"/>
      <c r="AL32" s="254"/>
      <c r="AM32" s="254"/>
      <c r="AN32" s="254"/>
      <c r="AO32" s="254"/>
      <c r="AP32" s="254"/>
      <c r="AQ32" s="254"/>
      <c r="AR32" s="254"/>
      <c r="AS32" s="255">
        <v>57000</v>
      </c>
      <c r="AT32" s="254"/>
      <c r="AU32" s="254"/>
      <c r="AV32" s="254"/>
      <c r="AW32" s="267"/>
      <c r="AX32" s="266">
        <f t="shared" si="6"/>
        <v>555228.44</v>
      </c>
      <c r="AY32" s="274">
        <f t="shared" si="0"/>
        <v>57000</v>
      </c>
      <c r="AZ32" s="275">
        <f t="shared" si="1"/>
        <v>498228.44</v>
      </c>
      <c r="BA32" s="359">
        <f>IF(AZ32-V32-T32-Q32&gt;0,AZ32-V32-T32-Q32,0)</f>
        <v>498228.44</v>
      </c>
      <c r="BB32" s="359">
        <f>IF(AZ32-W32-V32&gt;0,AZ32-W32-V32,0)</f>
        <v>315819.77</v>
      </c>
      <c r="BC32" s="360"/>
      <c r="BD32" s="323"/>
      <c r="BE32" s="323"/>
      <c r="BF32" s="323"/>
      <c r="BG32" s="323"/>
      <c r="BH32" s="323"/>
      <c r="BI32" s="323"/>
      <c r="BJ32" s="323"/>
      <c r="BK32" s="323"/>
      <c r="BL32" s="323"/>
      <c r="BM32" s="276"/>
      <c r="BN32" s="279"/>
      <c r="BO32" s="91"/>
      <c r="BP32" s="101">
        <f>IFERROR(VLOOKUP(D32,Sheet2!D:O,12,FALSE),"")</f>
        <v>408228.44</v>
      </c>
      <c r="BQ32" s="101">
        <f t="shared" si="9"/>
        <v>90000</v>
      </c>
      <c r="BS32" s="10">
        <f t="shared" si="13"/>
        <v>434213.58</v>
      </c>
      <c r="BT32" s="10">
        <f t="shared" si="14"/>
        <v>72368.93</v>
      </c>
      <c r="BV32" s="5"/>
      <c r="BW32" s="5"/>
    </row>
    <row r="33" s="10" customFormat="1" ht="24.05" customHeight="1" spans="2:75">
      <c r="B33" s="57" t="s">
        <v>81</v>
      </c>
      <c r="C33" s="319" t="s">
        <v>186</v>
      </c>
      <c r="D33" s="328" t="s">
        <v>187</v>
      </c>
      <c r="E33" s="326">
        <v>-529156.53</v>
      </c>
      <c r="F33" s="233">
        <v>-2470056.46</v>
      </c>
      <c r="G33" s="233">
        <v>618379.18</v>
      </c>
      <c r="H33" s="233">
        <v>887948.4</v>
      </c>
      <c r="I33" s="233">
        <v>786347.46</v>
      </c>
      <c r="J33" s="233">
        <v>595184.04</v>
      </c>
      <c r="K33" s="233">
        <v>620126.64</v>
      </c>
      <c r="L33" s="233">
        <v>460665.15</v>
      </c>
      <c r="M33" s="233">
        <v>1219081.13</v>
      </c>
      <c r="N33" s="233">
        <f>IFERROR(VLOOKUP($D33,'2022年'!$D:AF,COLUMN(R27),FALSE),"")</f>
        <v>759894.65</v>
      </c>
      <c r="O33" s="332">
        <v>-701702.24</v>
      </c>
      <c r="P33" s="333"/>
      <c r="Q33" s="333">
        <v>790018.83</v>
      </c>
      <c r="R33" s="332"/>
      <c r="S33" s="333"/>
      <c r="T33" s="345">
        <v>373399.17</v>
      </c>
      <c r="U33" s="343">
        <f t="shared" si="5"/>
        <v>-155757.36</v>
      </c>
      <c r="V33" s="232">
        <v>300741.83</v>
      </c>
      <c r="W33" s="233">
        <f>461044.69-144754.7</f>
        <v>316289.99</v>
      </c>
      <c r="X33" s="233"/>
      <c r="Y33" s="233">
        <f>819082.18-1355243.22+1226746.88</f>
        <v>690585.84</v>
      </c>
      <c r="Z33" s="233">
        <f>111.19-633453.5+290050.61+216120.55</f>
        <v>-127171.15</v>
      </c>
      <c r="AA33" s="233">
        <v>-1147525.78</v>
      </c>
      <c r="AB33" s="233">
        <f>638742.79-734648.5</f>
        <v>-95905.71</v>
      </c>
      <c r="AC33" s="233">
        <f>553695.54-226714.48-556422.58</f>
        <v>-229441.52</v>
      </c>
      <c r="AD33" s="233"/>
      <c r="AE33" s="233"/>
      <c r="AF33" s="233">
        <f>244825.9+5132.49+200769.04</f>
        <v>450727.43</v>
      </c>
      <c r="AG33" s="233">
        <f>516841.03-423369.06</f>
        <v>93471.97</v>
      </c>
      <c r="AH33" s="355"/>
      <c r="AI33" s="313"/>
      <c r="AJ33" s="310" t="s">
        <v>84</v>
      </c>
      <c r="AK33" s="310" t="s">
        <v>84</v>
      </c>
      <c r="AL33" s="254">
        <f>-150000-605026.79</f>
        <v>-755026.79</v>
      </c>
      <c r="AM33" s="254">
        <f>651000-340000</f>
        <v>311000</v>
      </c>
      <c r="AN33" s="254">
        <f>-455000+80000</f>
        <v>-375000</v>
      </c>
      <c r="AO33" s="254">
        <f>130000+50000</f>
        <v>180000</v>
      </c>
      <c r="AP33" s="254">
        <f>140000-704038.52+707049.37+910139.83</f>
        <v>1053150.68</v>
      </c>
      <c r="AQ33" s="254"/>
      <c r="AR33" s="254">
        <v>30000</v>
      </c>
      <c r="AS33" s="254">
        <v>-757000</v>
      </c>
      <c r="AT33" s="254"/>
      <c r="AU33" s="254"/>
      <c r="AV33" s="254">
        <v>313584.93</v>
      </c>
      <c r="AW33" s="267">
        <v>50000</v>
      </c>
      <c r="AX33" s="266">
        <f t="shared" si="6"/>
        <v>96015.54</v>
      </c>
      <c r="AY33" s="274">
        <f t="shared" si="0"/>
        <v>50708.8199999999</v>
      </c>
      <c r="AZ33" s="275">
        <f t="shared" si="1"/>
        <v>45306.7200000001</v>
      </c>
      <c r="BA33" s="359">
        <f>IF(AZ33-V33-T33-Q33&gt;0,AZ33-V33-T33-Q33,0)</f>
        <v>0</v>
      </c>
      <c r="BB33" s="359">
        <f>IF(AZ33-W33-V33&gt;0,AZ33-W33-V33,0)</f>
        <v>0</v>
      </c>
      <c r="BC33" s="360">
        <f t="shared" ref="BC33:BC56" si="21">IF(AZ33-SUM(W33:AG33)&gt;0,AZ33-SUM(W33:AG33),"")</f>
        <v>94275.6500000002</v>
      </c>
      <c r="BD33" s="323">
        <f>AZ33-Y33-X33</f>
        <v>-645279.12</v>
      </c>
      <c r="BE33" s="323">
        <f t="shared" ref="BE33:BE56" si="22">IF(AZ33-SUM(Y33:AG33)&gt;0,AZ33-SUM(Y33:AG33),"")</f>
        <v>410565.64</v>
      </c>
      <c r="BF33" s="323">
        <f>IF($AZ33-SUM(Z33:$AG33)&gt;0,$AZ33-SUM(Z33:$AG33),"")</f>
        <v>1101151.48</v>
      </c>
      <c r="BG33" s="323">
        <f>IF($AZ33-SUM(AA33:$AG33)&gt;0,$AZ33-SUM(AA33:$AG33),"")</f>
        <v>973980.33</v>
      </c>
      <c r="BH33" s="323" t="str">
        <f>IF($AZ33-SUM(AB33:$AG33)&gt;0,$AZ33-SUM(AB33:$AG33),"")</f>
        <v/>
      </c>
      <c r="BI33" s="323" t="str">
        <f>IF($AZ33-SUM(AC33:$AG33)&gt;0,$AZ33-SUM(AC33:$AG33),"")</f>
        <v/>
      </c>
      <c r="BJ33" s="323" t="str">
        <f>IF($AZ33-SUM(AD33:$AG33)&gt;0,$AZ33-SUM(AD33:$AG33),"")</f>
        <v/>
      </c>
      <c r="BK33" s="323" t="str">
        <f>IF($AZ33-SUM(AE33:$AG33)&gt;0,$AZ33-SUM(AE33:$AG33),"")</f>
        <v/>
      </c>
      <c r="BL33" s="323" t="str">
        <f>IF($AZ33-SUM(AF33:$AG33)&gt;0,$AZ33-SUM(AF33:$AG33),"")</f>
        <v/>
      </c>
      <c r="BM33" s="278" t="s">
        <v>85</v>
      </c>
      <c r="BN33" s="279"/>
      <c r="BO33" s="91"/>
      <c r="BP33" s="101">
        <f>IFERROR(VLOOKUP(D33,Sheet2!D:O,12,FALSE),"")</f>
        <v>0</v>
      </c>
      <c r="BQ33" s="101">
        <f t="shared" si="9"/>
        <v>45306.7200000001</v>
      </c>
      <c r="BV33" s="8"/>
      <c r="BW33" s="8"/>
    </row>
    <row r="34" s="10" customFormat="1" ht="24.05" customHeight="1" spans="2:75">
      <c r="B34" s="57" t="s">
        <v>81</v>
      </c>
      <c r="C34" s="319" t="s">
        <v>293</v>
      </c>
      <c r="D34" s="328" t="s">
        <v>294</v>
      </c>
      <c r="E34" s="326"/>
      <c r="F34" s="234"/>
      <c r="G34" s="233"/>
      <c r="H34" s="233"/>
      <c r="I34" s="233"/>
      <c r="J34" s="233"/>
      <c r="K34" s="233"/>
      <c r="L34" s="233"/>
      <c r="M34" s="233"/>
      <c r="N34" s="233"/>
      <c r="O34" s="332"/>
      <c r="P34" s="333"/>
      <c r="Q34" s="333"/>
      <c r="R34" s="332"/>
      <c r="S34" s="333"/>
      <c r="T34" s="345"/>
      <c r="U34" s="343">
        <f t="shared" si="5"/>
        <v>0</v>
      </c>
      <c r="V34" s="232"/>
      <c r="W34" s="233"/>
      <c r="X34" s="233">
        <f>53082.88+102416.42</f>
        <v>155499.3</v>
      </c>
      <c r="Y34" s="233">
        <f>49537.22+82720.44</f>
        <v>132257.66</v>
      </c>
      <c r="Z34" s="233"/>
      <c r="AA34" s="233">
        <f>86971.53</f>
        <v>86971.53</v>
      </c>
      <c r="AB34" s="233"/>
      <c r="AC34" s="233">
        <v>79529.04</v>
      </c>
      <c r="AD34" s="233">
        <v>60916.5</v>
      </c>
      <c r="AE34" s="233"/>
      <c r="AF34" s="233">
        <v>72024.12</v>
      </c>
      <c r="AG34" s="233">
        <f>16804.39+119947.77</f>
        <v>136752.16</v>
      </c>
      <c r="AH34" s="355"/>
      <c r="AI34" s="313"/>
      <c r="AJ34" s="310"/>
      <c r="AK34" s="310"/>
      <c r="AL34" s="254">
        <v>175000</v>
      </c>
      <c r="AM34" s="254"/>
      <c r="AN34" s="254"/>
      <c r="AO34" s="254"/>
      <c r="AP34" s="254"/>
      <c r="AQ34" s="254"/>
      <c r="AR34" s="254"/>
      <c r="AS34" s="254">
        <f>30000+30000</f>
        <v>60000</v>
      </c>
      <c r="AT34" s="254">
        <v>30000</v>
      </c>
      <c r="AU34" s="254">
        <v>30000</v>
      </c>
      <c r="AV34" s="254"/>
      <c r="AW34" s="267">
        <v>30000</v>
      </c>
      <c r="AX34" s="266">
        <f t="shared" ref="AX34:AX60" si="23">SUM(U34:AG34)</f>
        <v>723950.31</v>
      </c>
      <c r="AY34" s="274">
        <f t="shared" ref="AY34:AY60" si="24">SUM(AL34:AW34)</f>
        <v>325000</v>
      </c>
      <c r="AZ34" s="275">
        <f t="shared" ref="AZ34:AZ60" si="25">AX34-AY34</f>
        <v>398950.31</v>
      </c>
      <c r="BA34" s="359"/>
      <c r="BB34" s="359"/>
      <c r="BC34" s="360"/>
      <c r="BD34" s="323"/>
      <c r="BE34" s="323"/>
      <c r="BF34" s="323"/>
      <c r="BG34" s="323"/>
      <c r="BH34" s="323"/>
      <c r="BI34" s="323"/>
      <c r="BJ34" s="323"/>
      <c r="BK34" s="323"/>
      <c r="BL34" s="323"/>
      <c r="BM34" s="278"/>
      <c r="BN34" s="279"/>
      <c r="BO34" s="91"/>
      <c r="BP34" s="101">
        <f>IFERROR(VLOOKUP(D34,Sheet2!D:O,12,FALSE),"")</f>
        <v>552860.88</v>
      </c>
      <c r="BQ34" s="101">
        <f t="shared" si="9"/>
        <v>-153910.57</v>
      </c>
      <c r="BS34" s="10">
        <f t="shared" si="13"/>
        <v>374728.49</v>
      </c>
      <c r="BT34" s="10">
        <f t="shared" si="14"/>
        <v>62454.7483333333</v>
      </c>
      <c r="BV34" s="5"/>
      <c r="BW34" s="5"/>
    </row>
    <row r="35" s="10" customFormat="1" ht="24.05" customHeight="1" spans="2:75">
      <c r="B35" s="57" t="s">
        <v>81</v>
      </c>
      <c r="C35" s="319" t="s">
        <v>295</v>
      </c>
      <c r="D35" s="328" t="s">
        <v>296</v>
      </c>
      <c r="E35" s="326"/>
      <c r="F35" s="234"/>
      <c r="G35" s="233"/>
      <c r="H35" s="233"/>
      <c r="I35" s="233"/>
      <c r="J35" s="233"/>
      <c r="K35" s="233"/>
      <c r="L35" s="233"/>
      <c r="M35" s="233"/>
      <c r="N35" s="233"/>
      <c r="O35" s="332"/>
      <c r="P35" s="333"/>
      <c r="Q35" s="333"/>
      <c r="R35" s="332"/>
      <c r="S35" s="333"/>
      <c r="T35" s="345"/>
      <c r="U35" s="343"/>
      <c r="V35" s="232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355"/>
      <c r="AI35" s="313"/>
      <c r="AJ35" s="310"/>
      <c r="AK35" s="310"/>
      <c r="AL35" s="254"/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67"/>
      <c r="AX35" s="266">
        <f t="shared" si="23"/>
        <v>0</v>
      </c>
      <c r="AY35" s="274">
        <f t="shared" si="24"/>
        <v>0</v>
      </c>
      <c r="AZ35" s="275">
        <f t="shared" si="25"/>
        <v>0</v>
      </c>
      <c r="BA35" s="359"/>
      <c r="BB35" s="359"/>
      <c r="BC35" s="360"/>
      <c r="BD35" s="323"/>
      <c r="BE35" s="323"/>
      <c r="BF35" s="323"/>
      <c r="BG35" s="323"/>
      <c r="BH35" s="323"/>
      <c r="BI35" s="323"/>
      <c r="BJ35" s="323"/>
      <c r="BK35" s="323"/>
      <c r="BL35" s="323"/>
      <c r="BM35" s="278"/>
      <c r="BN35" s="279"/>
      <c r="BO35" s="91"/>
      <c r="BP35" s="101" t="str">
        <f>IFERROR(VLOOKUP(D35,Sheet2!D:O,12,FALSE),"")</f>
        <v/>
      </c>
      <c r="BQ35" s="101" t="str">
        <f t="shared" si="9"/>
        <v/>
      </c>
      <c r="BV35" s="8"/>
      <c r="BW35" s="8"/>
    </row>
    <row r="36" s="10" customFormat="1" ht="24.05" customHeight="1" spans="2:75">
      <c r="B36" s="57" t="s">
        <v>81</v>
      </c>
      <c r="C36" s="319" t="s">
        <v>297</v>
      </c>
      <c r="D36" s="328" t="s">
        <v>298</v>
      </c>
      <c r="E36" s="326"/>
      <c r="F36" s="234"/>
      <c r="G36" s="233"/>
      <c r="H36" s="233"/>
      <c r="I36" s="233"/>
      <c r="J36" s="233"/>
      <c r="K36" s="233"/>
      <c r="L36" s="233"/>
      <c r="M36" s="233"/>
      <c r="N36" s="233"/>
      <c r="O36" s="332"/>
      <c r="P36" s="333"/>
      <c r="Q36" s="333"/>
      <c r="R36" s="332"/>
      <c r="S36" s="333"/>
      <c r="T36" s="345"/>
      <c r="U36" s="343"/>
      <c r="V36" s="232"/>
      <c r="W36" s="233"/>
      <c r="X36" s="233"/>
      <c r="Y36" s="233"/>
      <c r="Z36" s="233"/>
      <c r="AA36" s="233"/>
      <c r="AB36" s="233"/>
      <c r="AC36" s="233">
        <f>9654.72+8362</f>
        <v>18016.72</v>
      </c>
      <c r="AD36" s="233"/>
      <c r="AE36" s="233"/>
      <c r="AF36" s="233"/>
      <c r="AG36" s="233"/>
      <c r="AH36" s="355"/>
      <c r="AI36" s="313"/>
      <c r="AJ36" s="310"/>
      <c r="AK36" s="310"/>
      <c r="AL36" s="254"/>
      <c r="AM36" s="254"/>
      <c r="AN36" s="254">
        <v>18016.72</v>
      </c>
      <c r="AO36" s="254"/>
      <c r="AP36" s="254"/>
      <c r="AQ36" s="254"/>
      <c r="AR36" s="254"/>
      <c r="AS36" s="254"/>
      <c r="AT36" s="254"/>
      <c r="AU36" s="254"/>
      <c r="AV36" s="254"/>
      <c r="AW36" s="267"/>
      <c r="AX36" s="266">
        <f t="shared" si="23"/>
        <v>18016.72</v>
      </c>
      <c r="AY36" s="274">
        <f t="shared" si="24"/>
        <v>18016.72</v>
      </c>
      <c r="AZ36" s="275">
        <f t="shared" si="25"/>
        <v>0</v>
      </c>
      <c r="BA36" s="359"/>
      <c r="BB36" s="359"/>
      <c r="BC36" s="360"/>
      <c r="BD36" s="323"/>
      <c r="BE36" s="323"/>
      <c r="BF36" s="323"/>
      <c r="BG36" s="323"/>
      <c r="BH36" s="323"/>
      <c r="BI36" s="323"/>
      <c r="BJ36" s="323"/>
      <c r="BK36" s="323"/>
      <c r="BL36" s="323"/>
      <c r="BM36" s="278"/>
      <c r="BN36" s="279"/>
      <c r="BO36" s="91"/>
      <c r="BP36" s="101">
        <f>IFERROR(VLOOKUP(D36,Sheet2!D:O,12,FALSE),"")</f>
        <v>0</v>
      </c>
      <c r="BQ36" s="101">
        <f t="shared" si="9"/>
        <v>0</v>
      </c>
      <c r="BV36" s="5"/>
      <c r="BW36" s="5"/>
    </row>
    <row r="37" s="10" customFormat="1" ht="24.05" customHeight="1" spans="2:75">
      <c r="B37" s="57" t="s">
        <v>81</v>
      </c>
      <c r="C37" s="319" t="s">
        <v>299</v>
      </c>
      <c r="D37" s="328" t="s">
        <v>300</v>
      </c>
      <c r="E37" s="326"/>
      <c r="F37" s="234"/>
      <c r="G37" s="233"/>
      <c r="H37" s="233"/>
      <c r="I37" s="233"/>
      <c r="J37" s="233"/>
      <c r="K37" s="233"/>
      <c r="L37" s="233"/>
      <c r="M37" s="233"/>
      <c r="N37" s="233"/>
      <c r="O37" s="332"/>
      <c r="P37" s="333"/>
      <c r="Q37" s="333"/>
      <c r="R37" s="332"/>
      <c r="S37" s="333"/>
      <c r="T37" s="345"/>
      <c r="U37" s="343"/>
      <c r="V37" s="232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  <c r="AG37" s="233"/>
      <c r="AH37" s="355"/>
      <c r="AI37" s="313"/>
      <c r="AJ37" s="310"/>
      <c r="AK37" s="310"/>
      <c r="AL37" s="254"/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67"/>
      <c r="AX37" s="266">
        <f t="shared" si="23"/>
        <v>0</v>
      </c>
      <c r="AY37" s="274">
        <f t="shared" si="24"/>
        <v>0</v>
      </c>
      <c r="AZ37" s="275">
        <f t="shared" si="25"/>
        <v>0</v>
      </c>
      <c r="BA37" s="359"/>
      <c r="BB37" s="359"/>
      <c r="BC37" s="360"/>
      <c r="BD37" s="323"/>
      <c r="BE37" s="323"/>
      <c r="BF37" s="323"/>
      <c r="BG37" s="323"/>
      <c r="BH37" s="323"/>
      <c r="BI37" s="323"/>
      <c r="BJ37" s="323"/>
      <c r="BK37" s="323"/>
      <c r="BL37" s="323"/>
      <c r="BM37" s="278"/>
      <c r="BN37" s="279"/>
      <c r="BO37" s="91"/>
      <c r="BP37" s="101" t="str">
        <f>IFERROR(VLOOKUP(D37,Sheet2!D:O,12,FALSE),"")</f>
        <v/>
      </c>
      <c r="BQ37" s="101" t="str">
        <f t="shared" si="9"/>
        <v/>
      </c>
      <c r="BV37" s="8"/>
      <c r="BW37" s="8"/>
    </row>
    <row r="38" s="10" customFormat="1" ht="24.05" customHeight="1" spans="2:75">
      <c r="B38" s="57" t="s">
        <v>81</v>
      </c>
      <c r="C38" s="319" t="s">
        <v>301</v>
      </c>
      <c r="D38" s="328" t="s">
        <v>302</v>
      </c>
      <c r="E38" s="326"/>
      <c r="F38" s="234"/>
      <c r="G38" s="233"/>
      <c r="H38" s="233"/>
      <c r="I38" s="233"/>
      <c r="J38" s="233"/>
      <c r="K38" s="233"/>
      <c r="L38" s="233"/>
      <c r="M38" s="233"/>
      <c r="N38" s="233"/>
      <c r="O38" s="332"/>
      <c r="P38" s="333"/>
      <c r="Q38" s="333"/>
      <c r="R38" s="332"/>
      <c r="S38" s="333"/>
      <c r="T38" s="345"/>
      <c r="U38" s="343"/>
      <c r="V38" s="232"/>
      <c r="W38" s="233"/>
      <c r="X38" s="233">
        <v>2948.62</v>
      </c>
      <c r="Y38" s="233"/>
      <c r="Z38" s="233"/>
      <c r="AA38" s="233"/>
      <c r="AB38" s="233">
        <v>8364.26</v>
      </c>
      <c r="AC38" s="233"/>
      <c r="AD38" s="233"/>
      <c r="AE38" s="233"/>
      <c r="AF38" s="233">
        <v>6273.2</v>
      </c>
      <c r="AG38" s="233"/>
      <c r="AH38" s="355"/>
      <c r="AI38" s="313"/>
      <c r="AJ38" s="310"/>
      <c r="AK38" s="310"/>
      <c r="AL38" s="254"/>
      <c r="AM38" s="254">
        <v>2948.62</v>
      </c>
      <c r="AN38" s="254"/>
      <c r="AO38" s="254"/>
      <c r="AP38" s="254"/>
      <c r="AQ38" s="254"/>
      <c r="AR38" s="254">
        <v>8364.26</v>
      </c>
      <c r="AS38" s="254"/>
      <c r="AT38" s="254"/>
      <c r="AU38" s="254">
        <v>6273.2</v>
      </c>
      <c r="AV38" s="254"/>
      <c r="AW38" s="267"/>
      <c r="AX38" s="266">
        <f t="shared" si="23"/>
        <v>17586.08</v>
      </c>
      <c r="AY38" s="274">
        <f t="shared" si="24"/>
        <v>17586.08</v>
      </c>
      <c r="AZ38" s="275">
        <f t="shared" si="25"/>
        <v>0</v>
      </c>
      <c r="BA38" s="359"/>
      <c r="BB38" s="359"/>
      <c r="BC38" s="360"/>
      <c r="BD38" s="323"/>
      <c r="BE38" s="323"/>
      <c r="BF38" s="323"/>
      <c r="BG38" s="323"/>
      <c r="BH38" s="323"/>
      <c r="BI38" s="323"/>
      <c r="BJ38" s="323"/>
      <c r="BK38" s="323"/>
      <c r="BL38" s="323"/>
      <c r="BM38" s="278"/>
      <c r="BN38" s="279"/>
      <c r="BO38" s="91"/>
      <c r="BP38" s="101">
        <f>IFERROR(VLOOKUP(D38,Sheet2!D:O,12,FALSE),"")</f>
        <v>0</v>
      </c>
      <c r="BQ38" s="101">
        <f t="shared" ref="BQ38:BQ59" si="26">IFERROR(AZ38-BP38,"")</f>
        <v>0</v>
      </c>
      <c r="BV38" s="5"/>
      <c r="BW38" s="5"/>
    </row>
    <row r="39" s="10" customFormat="1" ht="24.05" customHeight="1" spans="2:75">
      <c r="B39" s="57" t="s">
        <v>81</v>
      </c>
      <c r="C39" s="319" t="s">
        <v>303</v>
      </c>
      <c r="D39" s="328" t="s">
        <v>304</v>
      </c>
      <c r="E39" s="326"/>
      <c r="F39" s="234"/>
      <c r="G39" s="233"/>
      <c r="H39" s="233"/>
      <c r="I39" s="233"/>
      <c r="J39" s="233"/>
      <c r="K39" s="233"/>
      <c r="L39" s="233"/>
      <c r="M39" s="233"/>
      <c r="N39" s="233"/>
      <c r="O39" s="332"/>
      <c r="P39" s="333"/>
      <c r="Q39" s="333"/>
      <c r="R39" s="332"/>
      <c r="S39" s="333"/>
      <c r="T39" s="345"/>
      <c r="U39" s="343"/>
      <c r="V39" s="232"/>
      <c r="W39" s="233"/>
      <c r="X39" s="233">
        <v>37229.28</v>
      </c>
      <c r="Y39" s="233"/>
      <c r="Z39" s="233">
        <f>39229.2+76920+38844.6</f>
        <v>154993.8</v>
      </c>
      <c r="AA39" s="233"/>
      <c r="AB39" s="233"/>
      <c r="AC39" s="233"/>
      <c r="AD39" s="233">
        <v>45767.4</v>
      </c>
      <c r="AE39" s="233"/>
      <c r="AF39" s="233"/>
      <c r="AG39" s="233"/>
      <c r="AH39" s="355"/>
      <c r="AI39" s="313"/>
      <c r="AJ39" s="310"/>
      <c r="AK39" s="310"/>
      <c r="AL39" s="254"/>
      <c r="AM39" s="254"/>
      <c r="AN39" s="254"/>
      <c r="AO39" s="254"/>
      <c r="AP39" s="254"/>
      <c r="AQ39" s="254"/>
      <c r="AR39" s="254"/>
      <c r="AS39" s="254">
        <v>30000</v>
      </c>
      <c r="AT39" s="254">
        <v>20000</v>
      </c>
      <c r="AU39" s="254">
        <v>20000</v>
      </c>
      <c r="AV39" s="254"/>
      <c r="AW39" s="267">
        <v>20000</v>
      </c>
      <c r="AX39" s="266">
        <f t="shared" si="23"/>
        <v>237990.48</v>
      </c>
      <c r="AY39" s="274">
        <f t="shared" si="24"/>
        <v>90000</v>
      </c>
      <c r="AZ39" s="275">
        <f t="shared" si="25"/>
        <v>147990.48</v>
      </c>
      <c r="BA39" s="359"/>
      <c r="BB39" s="359"/>
      <c r="BC39" s="360"/>
      <c r="BD39" s="323"/>
      <c r="BE39" s="323"/>
      <c r="BF39" s="323"/>
      <c r="BG39" s="323"/>
      <c r="BH39" s="323"/>
      <c r="BI39" s="323"/>
      <c r="BJ39" s="323"/>
      <c r="BK39" s="323"/>
      <c r="BL39" s="323"/>
      <c r="BM39" s="278"/>
      <c r="BN39" s="279"/>
      <c r="BO39" s="91"/>
      <c r="BP39" s="101">
        <f>IFERROR(VLOOKUP(D39,Sheet2!D:O,12,FALSE),"")</f>
        <v>287770.8</v>
      </c>
      <c r="BQ39" s="101">
        <f t="shared" si="26"/>
        <v>-139780.32</v>
      </c>
      <c r="BS39" s="10">
        <f>SUBTOTAL(9,W39:AB39)</f>
        <v>192223.08</v>
      </c>
      <c r="BT39" s="10">
        <f>BS39/6</f>
        <v>32037.18</v>
      </c>
      <c r="BV39" s="8"/>
      <c r="BW39" s="8"/>
    </row>
    <row r="40" s="10" customFormat="1" ht="24.05" customHeight="1" spans="2:75">
      <c r="B40" s="57" t="s">
        <v>81</v>
      </c>
      <c r="C40" s="319" t="e">
        <v>#N/A</v>
      </c>
      <c r="D40" s="328" t="s">
        <v>305</v>
      </c>
      <c r="E40" s="326"/>
      <c r="F40" s="234"/>
      <c r="G40" s="233"/>
      <c r="H40" s="233"/>
      <c r="I40" s="233"/>
      <c r="J40" s="233"/>
      <c r="K40" s="233"/>
      <c r="L40" s="233"/>
      <c r="M40" s="233"/>
      <c r="N40" s="233"/>
      <c r="O40" s="332"/>
      <c r="P40" s="333"/>
      <c r="Q40" s="333"/>
      <c r="R40" s="332"/>
      <c r="S40" s="333"/>
      <c r="T40" s="345"/>
      <c r="U40" s="343"/>
      <c r="V40" s="232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355"/>
      <c r="AI40" s="313"/>
      <c r="AJ40" s="310"/>
      <c r="AK40" s="310"/>
      <c r="AL40" s="254"/>
      <c r="AM40" s="254"/>
      <c r="AN40" s="254"/>
      <c r="AO40" s="254"/>
      <c r="AP40" s="254"/>
      <c r="AQ40" s="254"/>
      <c r="AR40" s="254"/>
      <c r="AS40" s="254"/>
      <c r="AT40" s="254"/>
      <c r="AU40" s="254"/>
      <c r="AV40" s="254"/>
      <c r="AW40" s="267"/>
      <c r="AX40" s="266">
        <f t="shared" si="23"/>
        <v>0</v>
      </c>
      <c r="AY40" s="274">
        <f t="shared" si="24"/>
        <v>0</v>
      </c>
      <c r="AZ40" s="275">
        <f t="shared" si="25"/>
        <v>0</v>
      </c>
      <c r="BA40" s="359"/>
      <c r="BB40" s="359"/>
      <c r="BC40" s="360"/>
      <c r="BD40" s="323"/>
      <c r="BE40" s="323"/>
      <c r="BF40" s="323"/>
      <c r="BG40" s="323"/>
      <c r="BH40" s="323"/>
      <c r="BI40" s="323"/>
      <c r="BJ40" s="323"/>
      <c r="BK40" s="323"/>
      <c r="BL40" s="323"/>
      <c r="BM40" s="278"/>
      <c r="BN40" s="279"/>
      <c r="BO40" s="91"/>
      <c r="BP40" s="101" t="str">
        <f>IFERROR(VLOOKUP(D40,Sheet2!D:O,12,FALSE),"")</f>
        <v/>
      </c>
      <c r="BQ40" s="101" t="str">
        <f t="shared" si="26"/>
        <v/>
      </c>
      <c r="BV40" s="5"/>
      <c r="BW40" s="5"/>
    </row>
    <row r="41" s="10" customFormat="1" ht="24.05" customHeight="1" spans="2:75">
      <c r="B41" s="57" t="s">
        <v>81</v>
      </c>
      <c r="C41" s="319" t="s">
        <v>306</v>
      </c>
      <c r="D41" s="328" t="s">
        <v>307</v>
      </c>
      <c r="E41" s="326"/>
      <c r="F41" s="234"/>
      <c r="G41" s="233"/>
      <c r="H41" s="233"/>
      <c r="I41" s="233"/>
      <c r="J41" s="233"/>
      <c r="K41" s="233"/>
      <c r="L41" s="233"/>
      <c r="M41" s="233"/>
      <c r="N41" s="233"/>
      <c r="O41" s="332"/>
      <c r="P41" s="333"/>
      <c r="Q41" s="333"/>
      <c r="R41" s="332"/>
      <c r="S41" s="333"/>
      <c r="T41" s="345"/>
      <c r="U41" s="343"/>
      <c r="V41" s="232"/>
      <c r="W41" s="233"/>
      <c r="X41" s="233"/>
      <c r="Y41" s="233"/>
      <c r="Z41" s="233"/>
      <c r="AA41" s="233">
        <v>27503.96</v>
      </c>
      <c r="AB41" s="233"/>
      <c r="AC41" s="233"/>
      <c r="AD41" s="233"/>
      <c r="AE41" s="233">
        <v>11224.29</v>
      </c>
      <c r="AF41" s="233"/>
      <c r="AG41" s="233"/>
      <c r="AH41" s="355"/>
      <c r="AI41" s="313"/>
      <c r="AJ41" s="310"/>
      <c r="AK41" s="310"/>
      <c r="AL41" s="254"/>
      <c r="AM41" s="254"/>
      <c r="AN41" s="254"/>
      <c r="AO41" s="254"/>
      <c r="AP41" s="254"/>
      <c r="AQ41" s="254"/>
      <c r="AR41" s="254"/>
      <c r="AS41" s="254"/>
      <c r="AT41" s="254"/>
      <c r="AU41" s="254"/>
      <c r="AV41" s="254"/>
      <c r="AW41" s="267">
        <v>10000</v>
      </c>
      <c r="AX41" s="266">
        <f t="shared" si="23"/>
        <v>38728.25</v>
      </c>
      <c r="AY41" s="274">
        <f t="shared" si="24"/>
        <v>10000</v>
      </c>
      <c r="AZ41" s="275">
        <f t="shared" si="25"/>
        <v>28728.25</v>
      </c>
      <c r="BA41" s="359"/>
      <c r="BB41" s="359"/>
      <c r="BC41" s="360"/>
      <c r="BD41" s="323"/>
      <c r="BE41" s="323"/>
      <c r="BF41" s="323"/>
      <c r="BG41" s="323"/>
      <c r="BH41" s="323"/>
      <c r="BI41" s="323"/>
      <c r="BJ41" s="323"/>
      <c r="BK41" s="323"/>
      <c r="BL41" s="323"/>
      <c r="BM41" s="278"/>
      <c r="BN41" s="279"/>
      <c r="BO41" s="91"/>
      <c r="BP41" s="101">
        <f>IFERROR(VLOOKUP(D41,Sheet2!D:O,12,FALSE),"")</f>
        <v>23004.17</v>
      </c>
      <c r="BQ41" s="101">
        <f t="shared" si="26"/>
        <v>5724.08</v>
      </c>
      <c r="BV41" s="8"/>
      <c r="BW41" s="8"/>
    </row>
    <row r="42" s="10" customFormat="1" ht="24.05" customHeight="1" spans="2:75">
      <c r="B42" s="57" t="s">
        <v>81</v>
      </c>
      <c r="C42" s="319" t="s">
        <v>308</v>
      </c>
      <c r="D42" s="328" t="s">
        <v>309</v>
      </c>
      <c r="E42" s="326"/>
      <c r="F42" s="234"/>
      <c r="G42" s="233"/>
      <c r="H42" s="233"/>
      <c r="I42" s="233"/>
      <c r="J42" s="233"/>
      <c r="K42" s="233"/>
      <c r="L42" s="233"/>
      <c r="M42" s="233"/>
      <c r="N42" s="233"/>
      <c r="O42" s="332"/>
      <c r="P42" s="333"/>
      <c r="Q42" s="333"/>
      <c r="R42" s="332"/>
      <c r="S42" s="333"/>
      <c r="T42" s="345"/>
      <c r="U42" s="343"/>
      <c r="V42" s="232"/>
      <c r="W42" s="233"/>
      <c r="X42" s="233"/>
      <c r="Y42" s="233"/>
      <c r="Z42" s="233"/>
      <c r="AA42" s="233">
        <f>5932.5+5932.5</f>
        <v>11865</v>
      </c>
      <c r="AB42" s="233"/>
      <c r="AC42" s="233"/>
      <c r="AD42" s="233"/>
      <c r="AE42" s="233"/>
      <c r="AF42" s="233"/>
      <c r="AG42" s="233"/>
      <c r="AH42" s="355"/>
      <c r="AI42" s="313"/>
      <c r="AJ42" s="310"/>
      <c r="AK42" s="310"/>
      <c r="AL42" s="254"/>
      <c r="AM42" s="254"/>
      <c r="AN42" s="254"/>
      <c r="AO42" s="254"/>
      <c r="AP42" s="254"/>
      <c r="AQ42" s="254"/>
      <c r="AR42" s="254"/>
      <c r="AS42" s="254"/>
      <c r="AT42" s="254"/>
      <c r="AU42" s="254"/>
      <c r="AV42" s="254"/>
      <c r="AW42" s="267"/>
      <c r="AX42" s="266">
        <f t="shared" si="23"/>
        <v>11865</v>
      </c>
      <c r="AY42" s="274">
        <f t="shared" si="24"/>
        <v>0</v>
      </c>
      <c r="AZ42" s="275">
        <f t="shared" si="25"/>
        <v>11865</v>
      </c>
      <c r="BA42" s="359"/>
      <c r="BB42" s="359"/>
      <c r="BC42" s="360"/>
      <c r="BD42" s="323"/>
      <c r="BE42" s="323"/>
      <c r="BF42" s="323"/>
      <c r="BG42" s="323"/>
      <c r="BH42" s="323"/>
      <c r="BI42" s="323"/>
      <c r="BJ42" s="323"/>
      <c r="BK42" s="323"/>
      <c r="BL42" s="323"/>
      <c r="BM42" s="278"/>
      <c r="BN42" s="279"/>
      <c r="BO42" s="91"/>
      <c r="BP42" s="101">
        <f>IFERROR(VLOOKUP(D42,Sheet2!D:O,12,FALSE),"")</f>
        <v>19755.16</v>
      </c>
      <c r="BQ42" s="101">
        <f t="shared" si="26"/>
        <v>-7890.16</v>
      </c>
      <c r="BV42" s="5"/>
      <c r="BW42" s="5"/>
    </row>
    <row r="43" s="10" customFormat="1" ht="24.05" customHeight="1" spans="2:75">
      <c r="B43" s="57" t="s">
        <v>81</v>
      </c>
      <c r="C43" s="319" t="s">
        <v>310</v>
      </c>
      <c r="D43" s="328" t="s">
        <v>311</v>
      </c>
      <c r="E43" s="326"/>
      <c r="F43" s="234"/>
      <c r="G43" s="233"/>
      <c r="H43" s="233"/>
      <c r="I43" s="233"/>
      <c r="J43" s="233"/>
      <c r="K43" s="233"/>
      <c r="L43" s="233"/>
      <c r="M43" s="233"/>
      <c r="N43" s="233"/>
      <c r="O43" s="332"/>
      <c r="P43" s="333"/>
      <c r="Q43" s="333"/>
      <c r="R43" s="332"/>
      <c r="S43" s="333"/>
      <c r="T43" s="345"/>
      <c r="U43" s="343"/>
      <c r="V43" s="232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355"/>
      <c r="AI43" s="313"/>
      <c r="AJ43" s="310"/>
      <c r="AK43" s="310"/>
      <c r="AL43" s="254"/>
      <c r="AM43" s="254"/>
      <c r="AN43" s="254"/>
      <c r="AO43" s="254"/>
      <c r="AP43" s="254"/>
      <c r="AQ43" s="254"/>
      <c r="AR43" s="254"/>
      <c r="AS43" s="254"/>
      <c r="AT43" s="254"/>
      <c r="AU43" s="254"/>
      <c r="AV43" s="254"/>
      <c r="AW43" s="267"/>
      <c r="AX43" s="266">
        <f t="shared" si="23"/>
        <v>0</v>
      </c>
      <c r="AY43" s="274">
        <f t="shared" si="24"/>
        <v>0</v>
      </c>
      <c r="AZ43" s="275">
        <f t="shared" si="25"/>
        <v>0</v>
      </c>
      <c r="BA43" s="359"/>
      <c r="BB43" s="359"/>
      <c r="BC43" s="360"/>
      <c r="BD43" s="323"/>
      <c r="BE43" s="323"/>
      <c r="BF43" s="323"/>
      <c r="BG43" s="323"/>
      <c r="BH43" s="323"/>
      <c r="BI43" s="323"/>
      <c r="BJ43" s="323"/>
      <c r="BK43" s="323"/>
      <c r="BL43" s="323"/>
      <c r="BM43" s="278"/>
      <c r="BN43" s="279"/>
      <c r="BO43" s="91"/>
      <c r="BP43" s="101" t="str">
        <f>IFERROR(VLOOKUP(D43,Sheet2!D:O,12,FALSE),"")</f>
        <v/>
      </c>
      <c r="BQ43" s="101" t="str">
        <f t="shared" si="26"/>
        <v/>
      </c>
      <c r="BV43" s="8"/>
      <c r="BW43" s="8"/>
    </row>
    <row r="44" s="10" customFormat="1" ht="24.05" customHeight="1" spans="2:75">
      <c r="B44" s="57" t="s">
        <v>81</v>
      </c>
      <c r="C44" s="319" t="s">
        <v>312</v>
      </c>
      <c r="D44" s="328" t="s">
        <v>313</v>
      </c>
      <c r="E44" s="326"/>
      <c r="F44" s="234"/>
      <c r="G44" s="233"/>
      <c r="H44" s="233"/>
      <c r="I44" s="233"/>
      <c r="J44" s="233"/>
      <c r="K44" s="233"/>
      <c r="L44" s="233"/>
      <c r="M44" s="233"/>
      <c r="N44" s="233"/>
      <c r="O44" s="332"/>
      <c r="P44" s="333"/>
      <c r="Q44" s="333"/>
      <c r="R44" s="332"/>
      <c r="S44" s="333"/>
      <c r="T44" s="345"/>
      <c r="U44" s="343"/>
      <c r="V44" s="232"/>
      <c r="W44" s="233"/>
      <c r="X44" s="233"/>
      <c r="Y44" s="233">
        <v>68907.04</v>
      </c>
      <c r="Z44" s="233">
        <v>45297.08</v>
      </c>
      <c r="AA44" s="233">
        <v>46472.83</v>
      </c>
      <c r="AB44" s="233"/>
      <c r="AC44" s="233"/>
      <c r="AD44" s="233"/>
      <c r="AE44" s="233"/>
      <c r="AF44" s="233">
        <v>66198.29</v>
      </c>
      <c r="AG44" s="233">
        <v>51275.45</v>
      </c>
      <c r="AH44" s="355"/>
      <c r="AI44" s="313"/>
      <c r="AJ44" s="310"/>
      <c r="AK44" s="310"/>
      <c r="AL44" s="254"/>
      <c r="AM44" s="254"/>
      <c r="AN44" s="254"/>
      <c r="AO44" s="254"/>
      <c r="AP44" s="254"/>
      <c r="AQ44" s="254"/>
      <c r="AR44" s="254"/>
      <c r="AS44" s="255">
        <v>20000</v>
      </c>
      <c r="AT44" s="254"/>
      <c r="AU44" s="254"/>
      <c r="AV44" s="254"/>
      <c r="AW44" s="267">
        <v>20000</v>
      </c>
      <c r="AX44" s="266">
        <f t="shared" si="23"/>
        <v>278150.69</v>
      </c>
      <c r="AY44" s="274">
        <f t="shared" si="24"/>
        <v>40000</v>
      </c>
      <c r="AZ44" s="275">
        <f t="shared" si="25"/>
        <v>238150.69</v>
      </c>
      <c r="BA44" s="359"/>
      <c r="BB44" s="359"/>
      <c r="BC44" s="360"/>
      <c r="BD44" s="323"/>
      <c r="BE44" s="323"/>
      <c r="BF44" s="323"/>
      <c r="BG44" s="323"/>
      <c r="BH44" s="323"/>
      <c r="BI44" s="323"/>
      <c r="BJ44" s="323"/>
      <c r="BK44" s="323"/>
      <c r="BL44" s="323"/>
      <c r="BM44" s="278"/>
      <c r="BN44" s="279"/>
      <c r="BO44" s="91"/>
      <c r="BP44" s="101">
        <f>IFERROR(VLOOKUP(D44,Sheet2!D:O,12,FALSE),"")</f>
        <v>309807.28</v>
      </c>
      <c r="BQ44" s="101">
        <f t="shared" si="26"/>
        <v>-71656.59</v>
      </c>
      <c r="BS44" s="10">
        <f>SUBTOTAL(9,W44:AB44)</f>
        <v>160676.95</v>
      </c>
      <c r="BT44" s="10">
        <f>BS44/6</f>
        <v>26779.4916666667</v>
      </c>
      <c r="BV44" s="5"/>
      <c r="BW44" s="5"/>
    </row>
    <row r="45" s="10" customFormat="1" ht="24.05" customHeight="1" spans="2:75">
      <c r="B45" s="57" t="s">
        <v>81</v>
      </c>
      <c r="C45" s="319" t="s">
        <v>314</v>
      </c>
      <c r="D45" s="328" t="s">
        <v>315</v>
      </c>
      <c r="E45" s="326"/>
      <c r="F45" s="234"/>
      <c r="G45" s="233"/>
      <c r="H45" s="233"/>
      <c r="I45" s="233"/>
      <c r="J45" s="233"/>
      <c r="K45" s="233"/>
      <c r="L45" s="233"/>
      <c r="M45" s="233"/>
      <c r="N45" s="233"/>
      <c r="O45" s="332"/>
      <c r="P45" s="333"/>
      <c r="Q45" s="333"/>
      <c r="R45" s="332"/>
      <c r="S45" s="333"/>
      <c r="T45" s="345"/>
      <c r="U45" s="343"/>
      <c r="V45" s="232"/>
      <c r="W45" s="233"/>
      <c r="X45" s="233"/>
      <c r="Y45" s="233">
        <f>62773.76</f>
        <v>62773.76</v>
      </c>
      <c r="Z45" s="233">
        <f>33664.96+78846.88</f>
        <v>112511.84</v>
      </c>
      <c r="AA45" s="233">
        <v>65558.08</v>
      </c>
      <c r="AB45" s="233"/>
      <c r="AC45" s="233"/>
      <c r="AD45" s="233"/>
      <c r="AE45" s="233">
        <v>15905.88</v>
      </c>
      <c r="AF45" s="233"/>
      <c r="AG45" s="233">
        <v>86779.48</v>
      </c>
      <c r="AH45" s="355"/>
      <c r="AI45" s="313"/>
      <c r="AJ45" s="310"/>
      <c r="AK45" s="310"/>
      <c r="AL45" s="254"/>
      <c r="AM45" s="254"/>
      <c r="AN45" s="254"/>
      <c r="AO45" s="254"/>
      <c r="AP45" s="254"/>
      <c r="AQ45" s="254"/>
      <c r="AR45" s="254"/>
      <c r="AS45" s="255">
        <v>30000</v>
      </c>
      <c r="AT45" s="254">
        <v>30000</v>
      </c>
      <c r="AU45" s="254">
        <v>30000</v>
      </c>
      <c r="AV45" s="254"/>
      <c r="AW45" s="267">
        <v>20000</v>
      </c>
      <c r="AX45" s="266">
        <f t="shared" si="23"/>
        <v>343529.04</v>
      </c>
      <c r="AY45" s="274">
        <f t="shared" si="24"/>
        <v>110000</v>
      </c>
      <c r="AZ45" s="275">
        <f t="shared" si="25"/>
        <v>233529.04</v>
      </c>
      <c r="BA45" s="359"/>
      <c r="BB45" s="359"/>
      <c r="BC45" s="360"/>
      <c r="BD45" s="323"/>
      <c r="BE45" s="323"/>
      <c r="BF45" s="323"/>
      <c r="BG45" s="323"/>
      <c r="BH45" s="323"/>
      <c r="BI45" s="323"/>
      <c r="BJ45" s="323"/>
      <c r="BK45" s="323"/>
      <c r="BL45" s="323"/>
      <c r="BM45" s="278"/>
      <c r="BN45" s="279"/>
      <c r="BO45" s="91"/>
      <c r="BP45" s="101">
        <f>IFERROR(VLOOKUP(D45,Sheet2!D:O,12,FALSE),"")</f>
        <v>286684.24</v>
      </c>
      <c r="BQ45" s="101">
        <f t="shared" si="26"/>
        <v>-53155.2</v>
      </c>
      <c r="BS45" s="10">
        <f>SUBTOTAL(9,W45:AB45)</f>
        <v>240843.68</v>
      </c>
      <c r="BT45" s="10">
        <f>BS45/6</f>
        <v>40140.6133333333</v>
      </c>
      <c r="BV45" s="8"/>
      <c r="BW45" s="8"/>
    </row>
    <row r="46" s="10" customFormat="1" ht="24.05" customHeight="1" spans="2:75">
      <c r="B46" s="57" t="s">
        <v>81</v>
      </c>
      <c r="C46" s="319" t="s">
        <v>316</v>
      </c>
      <c r="D46" s="328" t="s">
        <v>317</v>
      </c>
      <c r="E46" s="326"/>
      <c r="F46" s="234"/>
      <c r="G46" s="233"/>
      <c r="H46" s="233"/>
      <c r="I46" s="233"/>
      <c r="J46" s="233"/>
      <c r="K46" s="233"/>
      <c r="L46" s="233"/>
      <c r="M46" s="233"/>
      <c r="N46" s="233"/>
      <c r="O46" s="332"/>
      <c r="P46" s="333"/>
      <c r="Q46" s="333"/>
      <c r="R46" s="332"/>
      <c r="S46" s="333"/>
      <c r="T46" s="345"/>
      <c r="U46" s="343"/>
      <c r="V46" s="232"/>
      <c r="W46" s="233"/>
      <c r="X46" s="233"/>
      <c r="Y46" s="233">
        <v>8323.3</v>
      </c>
      <c r="Z46" s="233"/>
      <c r="AA46" s="233"/>
      <c r="AB46" s="233"/>
      <c r="AC46" s="233"/>
      <c r="AD46" s="233"/>
      <c r="AE46" s="233"/>
      <c r="AF46" s="233"/>
      <c r="AG46" s="233"/>
      <c r="AH46" s="355"/>
      <c r="AI46" s="313"/>
      <c r="AJ46" s="310"/>
      <c r="AK46" s="310"/>
      <c r="AL46" s="254"/>
      <c r="AM46" s="254"/>
      <c r="AN46" s="254"/>
      <c r="AO46" s="254"/>
      <c r="AP46" s="254"/>
      <c r="AQ46" s="254"/>
      <c r="AR46" s="254"/>
      <c r="AS46" s="254"/>
      <c r="AT46" s="254"/>
      <c r="AU46" s="254">
        <v>8323.3</v>
      </c>
      <c r="AV46" s="254"/>
      <c r="AW46" s="267"/>
      <c r="AX46" s="266">
        <f t="shared" si="23"/>
        <v>8323.3</v>
      </c>
      <c r="AY46" s="274">
        <f t="shared" si="24"/>
        <v>8323.3</v>
      </c>
      <c r="AZ46" s="275">
        <f t="shared" si="25"/>
        <v>0</v>
      </c>
      <c r="BA46" s="359"/>
      <c r="BB46" s="359"/>
      <c r="BC46" s="360"/>
      <c r="BD46" s="323"/>
      <c r="BE46" s="323"/>
      <c r="BF46" s="323"/>
      <c r="BG46" s="323"/>
      <c r="BH46" s="323"/>
      <c r="BI46" s="323"/>
      <c r="BJ46" s="323"/>
      <c r="BK46" s="323"/>
      <c r="BL46" s="323"/>
      <c r="BM46" s="278"/>
      <c r="BN46" s="279"/>
      <c r="BO46" s="91"/>
      <c r="BP46" s="101">
        <f>IFERROR(VLOOKUP(D46,Sheet2!D:O,12,FALSE),"")</f>
        <v>2815.34</v>
      </c>
      <c r="BQ46" s="101">
        <f t="shared" si="26"/>
        <v>-2815.34</v>
      </c>
      <c r="BS46" s="10">
        <f>SUBTOTAL(9,W46:AB46)</f>
        <v>8323.3</v>
      </c>
      <c r="BT46" s="10">
        <f>BS46/6</f>
        <v>1387.21666666667</v>
      </c>
      <c r="BV46" s="5"/>
      <c r="BW46" s="5"/>
    </row>
    <row r="47" s="10" customFormat="1" ht="24.05" customHeight="1" spans="2:75">
      <c r="B47" s="57" t="s">
        <v>81</v>
      </c>
      <c r="C47" s="319" t="s">
        <v>318</v>
      </c>
      <c r="D47" s="328" t="s">
        <v>319</v>
      </c>
      <c r="E47" s="326"/>
      <c r="F47" s="234"/>
      <c r="G47" s="233"/>
      <c r="H47" s="233"/>
      <c r="I47" s="233"/>
      <c r="J47" s="233"/>
      <c r="K47" s="233"/>
      <c r="L47" s="233"/>
      <c r="M47" s="233"/>
      <c r="N47" s="233"/>
      <c r="O47" s="332"/>
      <c r="P47" s="333"/>
      <c r="Q47" s="333"/>
      <c r="R47" s="332"/>
      <c r="S47" s="333"/>
      <c r="T47" s="345"/>
      <c r="U47" s="343"/>
      <c r="V47" s="232"/>
      <c r="W47" s="233"/>
      <c r="X47" s="233">
        <v>375.16</v>
      </c>
      <c r="Y47" s="233">
        <v>1283.68</v>
      </c>
      <c r="Z47" s="233"/>
      <c r="AA47" s="233"/>
      <c r="AB47" s="233">
        <v>169.5</v>
      </c>
      <c r="AC47" s="233"/>
      <c r="AD47" s="233"/>
      <c r="AE47" s="233">
        <v>1582</v>
      </c>
      <c r="AF47" s="233"/>
      <c r="AG47" s="233"/>
      <c r="AH47" s="355"/>
      <c r="AI47" s="313"/>
      <c r="AJ47" s="310"/>
      <c r="AK47" s="310"/>
      <c r="AL47" s="254"/>
      <c r="AM47" s="254"/>
      <c r="AN47" s="254"/>
      <c r="AO47" s="254"/>
      <c r="AP47" s="254"/>
      <c r="AQ47" s="254">
        <v>1658.84</v>
      </c>
      <c r="AR47" s="254"/>
      <c r="AS47" s="254"/>
      <c r="AT47" s="254"/>
      <c r="AU47" s="254"/>
      <c r="AV47" s="254"/>
      <c r="AW47" s="267">
        <v>1751.5</v>
      </c>
      <c r="AX47" s="266">
        <f t="shared" si="23"/>
        <v>3410.34</v>
      </c>
      <c r="AY47" s="274">
        <f t="shared" si="24"/>
        <v>3410.34</v>
      </c>
      <c r="AZ47" s="275">
        <f t="shared" si="25"/>
        <v>0</v>
      </c>
      <c r="BA47" s="359"/>
      <c r="BB47" s="359"/>
      <c r="BC47" s="360"/>
      <c r="BD47" s="323"/>
      <c r="BE47" s="323"/>
      <c r="BF47" s="323"/>
      <c r="BG47" s="323"/>
      <c r="BH47" s="323"/>
      <c r="BI47" s="323"/>
      <c r="BJ47" s="323"/>
      <c r="BK47" s="323"/>
      <c r="BL47" s="323"/>
      <c r="BM47" s="278"/>
      <c r="BN47" s="279"/>
      <c r="BO47" s="91"/>
      <c r="BP47" s="101">
        <f>IFERROR(VLOOKUP(D47,Sheet2!D:O,12,FALSE),"")</f>
        <v>0</v>
      </c>
      <c r="BQ47" s="101">
        <f t="shared" si="26"/>
        <v>0</v>
      </c>
      <c r="BS47" s="10">
        <f>SUBTOTAL(9,W47:AB47)</f>
        <v>1828.34</v>
      </c>
      <c r="BT47" s="10">
        <f>BS47/6</f>
        <v>304.723333333333</v>
      </c>
      <c r="BV47" s="8"/>
      <c r="BW47" s="8"/>
    </row>
    <row r="48" s="10" customFormat="1" ht="24.05" customHeight="1" spans="2:75">
      <c r="B48" s="57" t="s">
        <v>81</v>
      </c>
      <c r="C48" s="319" t="s">
        <v>320</v>
      </c>
      <c r="D48" s="328" t="s">
        <v>321</v>
      </c>
      <c r="E48" s="326"/>
      <c r="F48" s="234"/>
      <c r="G48" s="233"/>
      <c r="H48" s="233"/>
      <c r="I48" s="233"/>
      <c r="J48" s="233"/>
      <c r="K48" s="233"/>
      <c r="L48" s="233"/>
      <c r="M48" s="233"/>
      <c r="N48" s="233"/>
      <c r="O48" s="332"/>
      <c r="P48" s="333"/>
      <c r="Q48" s="333"/>
      <c r="R48" s="332"/>
      <c r="S48" s="333"/>
      <c r="T48" s="345"/>
      <c r="U48" s="343"/>
      <c r="V48" s="232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355"/>
      <c r="AI48" s="313"/>
      <c r="AJ48" s="310"/>
      <c r="AK48" s="310"/>
      <c r="AL48" s="254"/>
      <c r="AM48" s="254"/>
      <c r="AN48" s="254"/>
      <c r="AO48" s="254"/>
      <c r="AP48" s="254"/>
      <c r="AQ48" s="254"/>
      <c r="AR48" s="254"/>
      <c r="AS48" s="254"/>
      <c r="AT48" s="254"/>
      <c r="AU48" s="254"/>
      <c r="AV48" s="254"/>
      <c r="AW48" s="267"/>
      <c r="AX48" s="266">
        <f t="shared" si="23"/>
        <v>0</v>
      </c>
      <c r="AY48" s="274">
        <f t="shared" si="24"/>
        <v>0</v>
      </c>
      <c r="AZ48" s="275">
        <f t="shared" si="25"/>
        <v>0</v>
      </c>
      <c r="BA48" s="359"/>
      <c r="BB48" s="359"/>
      <c r="BC48" s="360"/>
      <c r="BD48" s="323"/>
      <c r="BE48" s="323"/>
      <c r="BF48" s="323"/>
      <c r="BG48" s="323"/>
      <c r="BH48" s="323"/>
      <c r="BI48" s="323"/>
      <c r="BJ48" s="323"/>
      <c r="BK48" s="323"/>
      <c r="BL48" s="323"/>
      <c r="BM48" s="278"/>
      <c r="BN48" s="279"/>
      <c r="BO48" s="91"/>
      <c r="BP48" s="101" t="str">
        <f>IFERROR(VLOOKUP(D48,Sheet2!D:O,12,FALSE),"")</f>
        <v/>
      </c>
      <c r="BQ48" s="101" t="str">
        <f t="shared" si="26"/>
        <v/>
      </c>
      <c r="BV48" s="5"/>
      <c r="BW48" s="5"/>
    </row>
    <row r="49" s="10" customFormat="1" ht="24.05" customHeight="1" spans="2:75">
      <c r="B49" s="57" t="s">
        <v>81</v>
      </c>
      <c r="C49" s="319" t="s">
        <v>322</v>
      </c>
      <c r="D49" s="328" t="s">
        <v>323</v>
      </c>
      <c r="E49" s="326"/>
      <c r="F49" s="234"/>
      <c r="G49" s="233"/>
      <c r="H49" s="233"/>
      <c r="I49" s="233"/>
      <c r="J49" s="233"/>
      <c r="K49" s="233"/>
      <c r="L49" s="233"/>
      <c r="M49" s="233"/>
      <c r="N49" s="233"/>
      <c r="O49" s="332"/>
      <c r="P49" s="333"/>
      <c r="Q49" s="333"/>
      <c r="R49" s="332"/>
      <c r="S49" s="333"/>
      <c r="T49" s="345"/>
      <c r="U49" s="343"/>
      <c r="V49" s="232"/>
      <c r="W49" s="233"/>
      <c r="X49" s="233"/>
      <c r="Y49" s="233">
        <v>322369.79</v>
      </c>
      <c r="Z49" s="233"/>
      <c r="AA49" s="233">
        <v>148115.88</v>
      </c>
      <c r="AB49" s="233"/>
      <c r="AC49" s="233"/>
      <c r="AD49" s="233"/>
      <c r="AE49" s="233"/>
      <c r="AF49" s="233"/>
      <c r="AG49" s="233">
        <v>193710.25</v>
      </c>
      <c r="AH49" s="355"/>
      <c r="AI49" s="313"/>
      <c r="AJ49" s="310"/>
      <c r="AK49" s="310"/>
      <c r="AL49" s="254"/>
      <c r="AM49" s="254"/>
      <c r="AN49" s="254"/>
      <c r="AO49" s="254"/>
      <c r="AP49" s="254"/>
      <c r="AQ49" s="254"/>
      <c r="AR49" s="254"/>
      <c r="AS49" s="255">
        <v>60000</v>
      </c>
      <c r="AT49" s="254">
        <v>50000</v>
      </c>
      <c r="AU49" s="254"/>
      <c r="AV49" s="254">
        <v>70000</v>
      </c>
      <c r="AW49" s="267">
        <v>40000</v>
      </c>
      <c r="AX49" s="266">
        <f t="shared" si="23"/>
        <v>664195.92</v>
      </c>
      <c r="AY49" s="274">
        <f t="shared" si="24"/>
        <v>220000</v>
      </c>
      <c r="AZ49" s="275">
        <f t="shared" si="25"/>
        <v>444195.92</v>
      </c>
      <c r="BA49" s="359"/>
      <c r="BB49" s="359"/>
      <c r="BC49" s="360"/>
      <c r="BD49" s="323"/>
      <c r="BE49" s="323"/>
      <c r="BF49" s="323"/>
      <c r="BG49" s="323"/>
      <c r="BH49" s="323"/>
      <c r="BI49" s="323"/>
      <c r="BJ49" s="323"/>
      <c r="BK49" s="323"/>
      <c r="BL49" s="323"/>
      <c r="BM49" s="278"/>
      <c r="BN49" s="279"/>
      <c r="BO49" s="91"/>
      <c r="BP49" s="101">
        <f>IFERROR(VLOOKUP(D49,Sheet2!D:O,12,FALSE),"")</f>
        <v>516575.06</v>
      </c>
      <c r="BQ49" s="101">
        <f t="shared" si="26"/>
        <v>-72379.14</v>
      </c>
      <c r="BS49" s="10">
        <f>SUBTOTAL(9,W49:AB49)</f>
        <v>470485.67</v>
      </c>
      <c r="BT49" s="10">
        <f>BS49/6</f>
        <v>78414.2783333333</v>
      </c>
      <c r="BV49" s="8"/>
      <c r="BW49" s="8"/>
    </row>
    <row r="50" s="10" customFormat="1" ht="24.05" customHeight="1" spans="2:75">
      <c r="B50" s="57" t="s">
        <v>81</v>
      </c>
      <c r="C50" s="319" t="s">
        <v>324</v>
      </c>
      <c r="D50" s="328" t="s">
        <v>325</v>
      </c>
      <c r="E50" s="326"/>
      <c r="F50" s="234"/>
      <c r="G50" s="233"/>
      <c r="H50" s="233"/>
      <c r="I50" s="233"/>
      <c r="J50" s="233"/>
      <c r="K50" s="233"/>
      <c r="L50" s="233"/>
      <c r="M50" s="233"/>
      <c r="N50" s="233"/>
      <c r="O50" s="332"/>
      <c r="P50" s="333"/>
      <c r="Q50" s="333"/>
      <c r="R50" s="332"/>
      <c r="S50" s="333"/>
      <c r="T50" s="345"/>
      <c r="U50" s="343"/>
      <c r="V50" s="232"/>
      <c r="W50" s="233"/>
      <c r="X50" s="233">
        <v>20566</v>
      </c>
      <c r="Y50" s="233"/>
      <c r="Z50" s="233"/>
      <c r="AA50" s="233"/>
      <c r="AB50" s="233">
        <v>16159</v>
      </c>
      <c r="AC50" s="233"/>
      <c r="AD50" s="233"/>
      <c r="AE50" s="233"/>
      <c r="AF50" s="233"/>
      <c r="AG50" s="233"/>
      <c r="AH50" s="355"/>
      <c r="AI50" s="313"/>
      <c r="AJ50" s="310"/>
      <c r="AK50" s="310"/>
      <c r="AL50" s="254"/>
      <c r="AM50" s="254"/>
      <c r="AN50" s="254"/>
      <c r="AO50" s="254"/>
      <c r="AP50" s="254"/>
      <c r="AQ50" s="254"/>
      <c r="AR50" s="254"/>
      <c r="AS50" s="254"/>
      <c r="AT50" s="254"/>
      <c r="AU50" s="254">
        <v>10000</v>
      </c>
      <c r="AV50" s="254"/>
      <c r="AW50" s="267">
        <v>10000</v>
      </c>
      <c r="AX50" s="266">
        <f t="shared" si="23"/>
        <v>36725</v>
      </c>
      <c r="AY50" s="274">
        <f t="shared" si="24"/>
        <v>20000</v>
      </c>
      <c r="AZ50" s="275">
        <f t="shared" si="25"/>
        <v>16725</v>
      </c>
      <c r="BA50" s="359"/>
      <c r="BB50" s="359"/>
      <c r="BC50" s="360"/>
      <c r="BD50" s="323"/>
      <c r="BE50" s="323"/>
      <c r="BF50" s="323"/>
      <c r="BG50" s="323"/>
      <c r="BH50" s="323"/>
      <c r="BI50" s="323"/>
      <c r="BJ50" s="323"/>
      <c r="BK50" s="323"/>
      <c r="BL50" s="323"/>
      <c r="BM50" s="278"/>
      <c r="BN50" s="279"/>
      <c r="BO50" s="91"/>
      <c r="BP50" s="101">
        <f>IFERROR(VLOOKUP(D50,Sheet2!D:O,12,FALSE),"")</f>
        <v>46105</v>
      </c>
      <c r="BQ50" s="101">
        <f t="shared" si="26"/>
        <v>-29380</v>
      </c>
      <c r="BS50" s="10">
        <f>SUBTOTAL(9,W50:AB50)</f>
        <v>36725</v>
      </c>
      <c r="BT50" s="10">
        <f>BS50/6</f>
        <v>6120.83333333333</v>
      </c>
      <c r="BV50" s="5"/>
      <c r="BW50" s="5"/>
    </row>
    <row r="51" s="10" customFormat="1" ht="24.05" customHeight="1" spans="2:75">
      <c r="B51" s="57" t="s">
        <v>81</v>
      </c>
      <c r="C51" s="325" t="s">
        <v>326</v>
      </c>
      <c r="D51" s="46" t="s">
        <v>327</v>
      </c>
      <c r="E51" s="326">
        <v>0</v>
      </c>
      <c r="F51" s="232"/>
      <c r="G51" s="233"/>
      <c r="H51" s="233"/>
      <c r="I51" s="233"/>
      <c r="J51" s="233"/>
      <c r="K51" s="233"/>
      <c r="L51" s="233"/>
      <c r="M51" s="233"/>
      <c r="N51" s="233"/>
      <c r="O51" s="332"/>
      <c r="P51" s="333"/>
      <c r="Q51" s="333"/>
      <c r="R51" s="332"/>
      <c r="S51" s="333"/>
      <c r="T51" s="333"/>
      <c r="U51" s="343">
        <f t="shared" ref="U51:U56" si="27">SUM(R51:T51)+E51</f>
        <v>0</v>
      </c>
      <c r="V51" s="232"/>
      <c r="W51" s="233"/>
      <c r="X51" s="233">
        <f>46371.58+6956.45+2186.12</f>
        <v>55514.15</v>
      </c>
      <c r="Y51" s="233"/>
      <c r="Z51" s="233"/>
      <c r="AA51" s="233"/>
      <c r="AB51" s="233"/>
      <c r="AC51" s="233">
        <v>11277.08</v>
      </c>
      <c r="AD51" s="233">
        <f>26140.98+13537.92</f>
        <v>39678.9</v>
      </c>
      <c r="AE51" s="233">
        <f>151.54+3245.59+563.53+12392.35</f>
        <v>16353.01</v>
      </c>
      <c r="AF51" s="233">
        <v>6402.02</v>
      </c>
      <c r="AG51" s="233">
        <v>7786.93</v>
      </c>
      <c r="AH51" s="354"/>
      <c r="AI51" s="356"/>
      <c r="AJ51" s="310"/>
      <c r="AK51" s="310" t="s">
        <v>84</v>
      </c>
      <c r="AL51" s="250"/>
      <c r="AM51" s="250"/>
      <c r="AN51" s="250"/>
      <c r="AO51" s="250"/>
      <c r="AP51" s="250"/>
      <c r="AQ51" s="250"/>
      <c r="AR51" s="250"/>
      <c r="AS51" s="250"/>
      <c r="AT51" s="250"/>
      <c r="AU51" s="250"/>
      <c r="AV51" s="250"/>
      <c r="AW51" s="265"/>
      <c r="AX51" s="266">
        <f t="shared" si="23"/>
        <v>137012.09</v>
      </c>
      <c r="AY51" s="274">
        <f t="shared" si="24"/>
        <v>0</v>
      </c>
      <c r="AZ51" s="275">
        <f t="shared" si="25"/>
        <v>137012.09</v>
      </c>
      <c r="BA51" s="359" t="str">
        <f t="shared" ref="BA51:BA56" si="28">IF(AZ51-SUM(V51:AG51)+T51&gt;0,AZ51-SUM(V51:AG51)+T51,"")</f>
        <v/>
      </c>
      <c r="BB51" s="359" t="str">
        <f t="shared" ref="BB51:BB56" si="29">IF(AZ51-SUM(V51:AG51)&gt;0,AZ51-SUM(V51:AG51),"")</f>
        <v/>
      </c>
      <c r="BC51" s="360" t="str">
        <f t="shared" si="21"/>
        <v/>
      </c>
      <c r="BD51" s="323" t="str">
        <f t="shared" ref="BD51:BD56" si="30">IF(AZ51-SUM(X51:AG51)&gt;0,AZ51-SUM(X51:AG51),"")</f>
        <v/>
      </c>
      <c r="BE51" s="323">
        <f t="shared" si="22"/>
        <v>55514.15</v>
      </c>
      <c r="BF51" s="323">
        <f t="shared" ref="BF51:BF56" si="31">IF(AZ51-SUM(Z51:AH51)&gt;0,AZ51-SUM(Z51:AH51),"")</f>
        <v>55514.15</v>
      </c>
      <c r="BG51" s="323"/>
      <c r="BH51" s="323"/>
      <c r="BI51" s="323"/>
      <c r="BJ51" s="323"/>
      <c r="BK51" s="323"/>
      <c r="BL51" s="323"/>
      <c r="BM51" s="276" t="s">
        <v>85</v>
      </c>
      <c r="BN51" s="277"/>
      <c r="BO51" s="91"/>
      <c r="BP51" s="101">
        <f>IFERROR(VLOOKUP(D51,Sheet2!D:O,12,FALSE),"")</f>
        <v>137012.09</v>
      </c>
      <c r="BQ51" s="101">
        <f t="shared" si="26"/>
        <v>0</v>
      </c>
      <c r="BS51" s="10">
        <f>SUBTOTAL(9,W51:AB51)</f>
        <v>55514.15</v>
      </c>
      <c r="BT51" s="10">
        <f>BS51/6</f>
        <v>9252.35833333333</v>
      </c>
      <c r="BV51" s="8"/>
      <c r="BW51" s="8"/>
    </row>
    <row r="52" s="10" customFormat="1" ht="24.05" customHeight="1" spans="1:75">
      <c r="A52" s="220"/>
      <c r="B52" s="57" t="s">
        <v>81</v>
      </c>
      <c r="C52" s="325" t="s">
        <v>86</v>
      </c>
      <c r="D52" s="46" t="s">
        <v>328</v>
      </c>
      <c r="E52" s="326">
        <v>0</v>
      </c>
      <c r="F52" s="232"/>
      <c r="G52" s="233"/>
      <c r="H52" s="233"/>
      <c r="I52" s="233"/>
      <c r="J52" s="233"/>
      <c r="K52" s="233"/>
      <c r="L52" s="233"/>
      <c r="M52" s="233"/>
      <c r="N52" s="233"/>
      <c r="O52" s="332"/>
      <c r="P52" s="333"/>
      <c r="Q52" s="333"/>
      <c r="R52" s="332"/>
      <c r="S52" s="333"/>
      <c r="T52" s="333"/>
      <c r="U52" s="343">
        <f t="shared" si="27"/>
        <v>0</v>
      </c>
      <c r="V52" s="232"/>
      <c r="W52" s="233"/>
      <c r="X52" s="233"/>
      <c r="Y52" s="233"/>
      <c r="Z52" s="233"/>
      <c r="AA52" s="233"/>
      <c r="AB52" s="238"/>
      <c r="AC52" s="238"/>
      <c r="AD52" s="233"/>
      <c r="AE52" s="233">
        <v>11797.2</v>
      </c>
      <c r="AF52" s="233"/>
      <c r="AG52" s="233">
        <v>11797.2</v>
      </c>
      <c r="AH52" s="354"/>
      <c r="AI52" s="310"/>
      <c r="AJ52" s="310"/>
      <c r="AK52" s="310" t="s">
        <v>84</v>
      </c>
      <c r="AL52" s="250"/>
      <c r="AM52" s="250"/>
      <c r="AN52" s="250"/>
      <c r="AO52" s="250"/>
      <c r="AP52" s="250"/>
      <c r="AQ52" s="250"/>
      <c r="AR52" s="250"/>
      <c r="AS52" s="250"/>
      <c r="AT52" s="250">
        <v>11797.2</v>
      </c>
      <c r="AU52" s="250"/>
      <c r="AV52" s="250"/>
      <c r="AW52" s="265"/>
      <c r="AX52" s="266">
        <f t="shared" si="23"/>
        <v>23594.4</v>
      </c>
      <c r="AY52" s="274">
        <f t="shared" si="24"/>
        <v>11797.2</v>
      </c>
      <c r="AZ52" s="275">
        <f t="shared" si="25"/>
        <v>11797.2</v>
      </c>
      <c r="BA52" s="359" t="str">
        <f t="shared" si="28"/>
        <v/>
      </c>
      <c r="BB52" s="359" t="str">
        <f t="shared" si="29"/>
        <v/>
      </c>
      <c r="BC52" s="360" t="str">
        <f t="shared" si="21"/>
        <v/>
      </c>
      <c r="BD52" s="323" t="str">
        <f t="shared" si="30"/>
        <v/>
      </c>
      <c r="BE52" s="323" t="str">
        <f t="shared" si="22"/>
        <v/>
      </c>
      <c r="BF52" s="323" t="str">
        <f t="shared" si="31"/>
        <v/>
      </c>
      <c r="BG52" s="323"/>
      <c r="BH52" s="323"/>
      <c r="BI52" s="323"/>
      <c r="BJ52" s="323"/>
      <c r="BK52" s="323"/>
      <c r="BL52" s="323"/>
      <c r="BM52" s="276" t="s">
        <v>85</v>
      </c>
      <c r="BN52" s="277"/>
      <c r="BO52" s="91"/>
      <c r="BP52" s="101" t="str">
        <f>IFERROR(VLOOKUP(D52,Sheet2!D:O,12,FALSE),"")</f>
        <v/>
      </c>
      <c r="BQ52" s="101" t="str">
        <f t="shared" si="26"/>
        <v/>
      </c>
      <c r="BV52" s="5"/>
      <c r="BW52" s="5"/>
    </row>
    <row r="53" s="10" customFormat="1" ht="24.05" customHeight="1" spans="2:75">
      <c r="B53" s="57" t="s">
        <v>81</v>
      </c>
      <c r="C53" s="325" t="s">
        <v>88</v>
      </c>
      <c r="D53" s="46" t="s">
        <v>329</v>
      </c>
      <c r="E53" s="326">
        <v>0</v>
      </c>
      <c r="F53" s="232"/>
      <c r="G53" s="233"/>
      <c r="H53" s="233"/>
      <c r="I53" s="233"/>
      <c r="J53" s="233"/>
      <c r="K53" s="233"/>
      <c r="L53" s="233"/>
      <c r="M53" s="233"/>
      <c r="N53" s="233"/>
      <c r="O53" s="332"/>
      <c r="P53" s="333"/>
      <c r="Q53" s="333"/>
      <c r="R53" s="332"/>
      <c r="S53" s="333"/>
      <c r="T53" s="333"/>
      <c r="U53" s="343">
        <f t="shared" si="27"/>
        <v>0</v>
      </c>
      <c r="V53" s="232"/>
      <c r="W53" s="233"/>
      <c r="X53" s="233"/>
      <c r="Y53" s="233"/>
      <c r="Z53" s="233"/>
      <c r="AA53" s="233"/>
      <c r="AB53" s="233"/>
      <c r="AC53" s="233"/>
      <c r="AD53" s="233">
        <v>3857.82</v>
      </c>
      <c r="AE53" s="233"/>
      <c r="AF53" s="233"/>
      <c r="AG53" s="233"/>
      <c r="AH53" s="354"/>
      <c r="AI53" s="310"/>
      <c r="AJ53" s="310"/>
      <c r="AK53" s="310" t="s">
        <v>84</v>
      </c>
      <c r="AL53" s="250"/>
      <c r="AM53" s="250"/>
      <c r="AN53" s="250"/>
      <c r="AO53" s="250"/>
      <c r="AP53" s="250"/>
      <c r="AQ53" s="250"/>
      <c r="AR53" s="250"/>
      <c r="AS53" s="250"/>
      <c r="AT53" s="250"/>
      <c r="AU53" s="250"/>
      <c r="AV53" s="250"/>
      <c r="AW53" s="265">
        <v>3857.82</v>
      </c>
      <c r="AX53" s="266">
        <f t="shared" si="23"/>
        <v>3857.82</v>
      </c>
      <c r="AY53" s="274">
        <f t="shared" si="24"/>
        <v>3857.82</v>
      </c>
      <c r="AZ53" s="275">
        <f t="shared" si="25"/>
        <v>0</v>
      </c>
      <c r="BA53" s="359" t="str">
        <f t="shared" si="28"/>
        <v/>
      </c>
      <c r="BB53" s="359" t="str">
        <f t="shared" si="29"/>
        <v/>
      </c>
      <c r="BC53" s="360" t="str">
        <f t="shared" si="21"/>
        <v/>
      </c>
      <c r="BD53" s="323" t="str">
        <f t="shared" si="30"/>
        <v/>
      </c>
      <c r="BE53" s="323" t="str">
        <f t="shared" si="22"/>
        <v/>
      </c>
      <c r="BF53" s="323" t="str">
        <f t="shared" si="31"/>
        <v/>
      </c>
      <c r="BG53" s="323"/>
      <c r="BH53" s="323"/>
      <c r="BI53" s="323"/>
      <c r="BJ53" s="323"/>
      <c r="BK53" s="323"/>
      <c r="BL53" s="323"/>
      <c r="BM53" s="276" t="s">
        <v>85</v>
      </c>
      <c r="BN53" s="277"/>
      <c r="BO53" s="91"/>
      <c r="BP53" s="101" t="str">
        <f>IFERROR(VLOOKUP(D53,Sheet2!D:O,12,FALSE),"")</f>
        <v/>
      </c>
      <c r="BQ53" s="101" t="str">
        <f t="shared" si="26"/>
        <v/>
      </c>
      <c r="BV53" s="8"/>
      <c r="BW53" s="8"/>
    </row>
    <row r="54" s="10" customFormat="1" ht="24.05" customHeight="1" spans="2:75">
      <c r="B54" s="57" t="s">
        <v>81</v>
      </c>
      <c r="C54" s="325" t="s">
        <v>330</v>
      </c>
      <c r="D54" s="46" t="s">
        <v>331</v>
      </c>
      <c r="E54" s="326">
        <v>0</v>
      </c>
      <c r="F54" s="232"/>
      <c r="G54" s="233"/>
      <c r="H54" s="233"/>
      <c r="I54" s="233"/>
      <c r="J54" s="233"/>
      <c r="K54" s="233"/>
      <c r="L54" s="233"/>
      <c r="M54" s="233"/>
      <c r="N54" s="233"/>
      <c r="O54" s="332"/>
      <c r="P54" s="333"/>
      <c r="Q54" s="333"/>
      <c r="R54" s="332"/>
      <c r="S54" s="333"/>
      <c r="T54" s="333"/>
      <c r="U54" s="343">
        <f t="shared" si="27"/>
        <v>0</v>
      </c>
      <c r="V54" s="232"/>
      <c r="W54" s="233"/>
      <c r="X54" s="233"/>
      <c r="Y54" s="233"/>
      <c r="Z54" s="233">
        <v>452</v>
      </c>
      <c r="AA54" s="233"/>
      <c r="AB54" s="233"/>
      <c r="AC54" s="233"/>
      <c r="AD54" s="233">
        <v>1500.64</v>
      </c>
      <c r="AE54" s="233"/>
      <c r="AF54" s="233"/>
      <c r="AG54" s="233"/>
      <c r="AH54" s="354"/>
      <c r="AI54" s="310"/>
      <c r="AJ54" s="310"/>
      <c r="AK54" s="310" t="s">
        <v>84</v>
      </c>
      <c r="AL54" s="250"/>
      <c r="AM54" s="250"/>
      <c r="AN54" s="250"/>
      <c r="AO54" s="250"/>
      <c r="AP54" s="250"/>
      <c r="AQ54" s="250"/>
      <c r="AR54" s="250"/>
      <c r="AS54" s="250"/>
      <c r="AT54" s="250"/>
      <c r="AU54" s="250">
        <v>452</v>
      </c>
      <c r="AV54" s="250"/>
      <c r="AW54" s="265"/>
      <c r="AX54" s="266">
        <f t="shared" si="23"/>
        <v>1952.64</v>
      </c>
      <c r="AY54" s="274">
        <f t="shared" si="24"/>
        <v>452</v>
      </c>
      <c r="AZ54" s="275">
        <f t="shared" si="25"/>
        <v>1500.64</v>
      </c>
      <c r="BA54" s="359" t="str">
        <f t="shared" si="28"/>
        <v/>
      </c>
      <c r="BB54" s="359" t="str">
        <f t="shared" si="29"/>
        <v/>
      </c>
      <c r="BC54" s="360" t="str">
        <f t="shared" si="21"/>
        <v/>
      </c>
      <c r="BD54" s="323" t="str">
        <f t="shared" si="30"/>
        <v/>
      </c>
      <c r="BE54" s="323" t="str">
        <f t="shared" si="22"/>
        <v/>
      </c>
      <c r="BF54" s="323" t="str">
        <f t="shared" si="31"/>
        <v/>
      </c>
      <c r="BG54" s="323"/>
      <c r="BH54" s="323"/>
      <c r="BI54" s="323"/>
      <c r="BJ54" s="323"/>
      <c r="BK54" s="323"/>
      <c r="BL54" s="323"/>
      <c r="BM54" s="276" t="s">
        <v>96</v>
      </c>
      <c r="BN54" s="277"/>
      <c r="BO54" s="91"/>
      <c r="BP54" s="101">
        <f>IFERROR(VLOOKUP(D54,Sheet2!D:O,12,FALSE),"")</f>
        <v>1500.64</v>
      </c>
      <c r="BQ54" s="101">
        <f t="shared" si="26"/>
        <v>0</v>
      </c>
      <c r="BV54" s="5"/>
      <c r="BW54" s="5"/>
    </row>
    <row r="55" s="10" customFormat="1" ht="24.05" customHeight="1" spans="2:75">
      <c r="B55" s="57" t="s">
        <v>81</v>
      </c>
      <c r="C55" s="325" t="s">
        <v>97</v>
      </c>
      <c r="D55" s="46" t="s">
        <v>98</v>
      </c>
      <c r="E55" s="326">
        <v>0</v>
      </c>
      <c r="F55" s="232"/>
      <c r="G55" s="233"/>
      <c r="H55" s="233"/>
      <c r="I55" s="233"/>
      <c r="J55" s="233"/>
      <c r="K55" s="233"/>
      <c r="L55" s="233"/>
      <c r="M55" s="233"/>
      <c r="N55" s="233"/>
      <c r="O55" s="332"/>
      <c r="P55" s="333"/>
      <c r="Q55" s="333"/>
      <c r="R55" s="332"/>
      <c r="S55" s="333"/>
      <c r="T55" s="333">
        <v>2260</v>
      </c>
      <c r="U55" s="343">
        <f t="shared" si="27"/>
        <v>2260</v>
      </c>
      <c r="V55" s="232"/>
      <c r="W55" s="233"/>
      <c r="X55" s="233"/>
      <c r="Y55" s="233">
        <v>2260</v>
      </c>
      <c r="Z55" s="233"/>
      <c r="AA55" s="233">
        <v>1627.2</v>
      </c>
      <c r="AB55" s="233">
        <v>1627.2</v>
      </c>
      <c r="AC55" s="233">
        <v>1627.2</v>
      </c>
      <c r="AD55" s="233"/>
      <c r="AE55" s="233">
        <v>5424</v>
      </c>
      <c r="AF55" s="233">
        <v>3796.8</v>
      </c>
      <c r="AG55" s="233"/>
      <c r="AH55" s="354"/>
      <c r="AI55" s="310"/>
      <c r="AJ55" s="310"/>
      <c r="AK55" s="310" t="s">
        <v>84</v>
      </c>
      <c r="AL55" s="250"/>
      <c r="AM55" s="250"/>
      <c r="AN55" s="250"/>
      <c r="AO55" s="250"/>
      <c r="AP55" s="250"/>
      <c r="AQ55" s="250"/>
      <c r="AR55" s="250">
        <v>4000</v>
      </c>
      <c r="AS55" s="250"/>
      <c r="AT55" s="250"/>
      <c r="AU55" s="250">
        <v>2147.2</v>
      </c>
      <c r="AV55" s="250"/>
      <c r="AW55" s="265"/>
      <c r="AX55" s="266">
        <f t="shared" si="23"/>
        <v>18622.4</v>
      </c>
      <c r="AY55" s="274">
        <f t="shared" si="24"/>
        <v>6147.2</v>
      </c>
      <c r="AZ55" s="275">
        <f t="shared" si="25"/>
        <v>12475.2</v>
      </c>
      <c r="BA55" s="359" t="str">
        <f t="shared" si="28"/>
        <v/>
      </c>
      <c r="BB55" s="359" t="str">
        <f t="shared" si="29"/>
        <v/>
      </c>
      <c r="BC55" s="360" t="str">
        <f t="shared" si="21"/>
        <v/>
      </c>
      <c r="BD55" s="323" t="str">
        <f t="shared" si="30"/>
        <v/>
      </c>
      <c r="BE55" s="323" t="str">
        <f t="shared" si="22"/>
        <v/>
      </c>
      <c r="BF55" s="323" t="str">
        <f t="shared" si="31"/>
        <v/>
      </c>
      <c r="BG55" s="323"/>
      <c r="BH55" s="323"/>
      <c r="BI55" s="323"/>
      <c r="BJ55" s="323"/>
      <c r="BK55" s="323"/>
      <c r="BL55" s="323"/>
      <c r="BM55" s="276" t="s">
        <v>85</v>
      </c>
      <c r="BN55" s="277"/>
      <c r="BO55" s="91"/>
      <c r="BP55" s="101">
        <f>IFERROR(VLOOKUP(D55,Sheet2!D:O,12,FALSE),"")</f>
        <v>18984</v>
      </c>
      <c r="BQ55" s="101">
        <f t="shared" si="26"/>
        <v>-6508.8</v>
      </c>
      <c r="BS55" s="10">
        <f>SUBTOTAL(9,W55:AB55)</f>
        <v>5514.4</v>
      </c>
      <c r="BT55" s="10">
        <f>BS55/6</f>
        <v>919.066666666667</v>
      </c>
      <c r="BV55" s="8"/>
      <c r="BW55" s="8"/>
    </row>
    <row r="56" s="10" customFormat="1" ht="24.05" customHeight="1" spans="2:75">
      <c r="B56" s="57" t="s">
        <v>81</v>
      </c>
      <c r="C56" s="325" t="s">
        <v>332</v>
      </c>
      <c r="D56" s="46" t="s">
        <v>333</v>
      </c>
      <c r="E56" s="326">
        <v>0</v>
      </c>
      <c r="F56" s="232"/>
      <c r="G56" s="233"/>
      <c r="H56" s="233"/>
      <c r="I56" s="233"/>
      <c r="J56" s="233"/>
      <c r="K56" s="233"/>
      <c r="L56" s="233"/>
      <c r="M56" s="233"/>
      <c r="N56" s="233"/>
      <c r="O56" s="332"/>
      <c r="P56" s="333"/>
      <c r="Q56" s="333"/>
      <c r="R56" s="332"/>
      <c r="S56" s="333"/>
      <c r="T56" s="333"/>
      <c r="U56" s="343">
        <f t="shared" si="27"/>
        <v>0</v>
      </c>
      <c r="V56" s="232"/>
      <c r="W56" s="233"/>
      <c r="X56" s="233">
        <v>198434</v>
      </c>
      <c r="Y56" s="233">
        <f>1695+280300.95</f>
        <v>281995.95</v>
      </c>
      <c r="Z56" s="233">
        <v>376162.84</v>
      </c>
      <c r="AA56" s="233">
        <v>542076.68</v>
      </c>
      <c r="AB56" s="233">
        <v>465779.89</v>
      </c>
      <c r="AC56" s="233">
        <f>92078.3+21866.07</f>
        <v>113944.37</v>
      </c>
      <c r="AD56" s="233">
        <v>26609.46</v>
      </c>
      <c r="AE56" s="233">
        <v>85482.64</v>
      </c>
      <c r="AF56" s="233">
        <v>126123.32</v>
      </c>
      <c r="AG56" s="233">
        <v>255456.09</v>
      </c>
      <c r="AH56" s="354"/>
      <c r="AI56" s="310"/>
      <c r="AJ56" s="310"/>
      <c r="AK56" s="310" t="s">
        <v>84</v>
      </c>
      <c r="AL56" s="250"/>
      <c r="AM56" s="250"/>
      <c r="AN56" s="250"/>
      <c r="AO56" s="250"/>
      <c r="AP56" s="250"/>
      <c r="AQ56" s="250"/>
      <c r="AR56" s="250">
        <v>198434</v>
      </c>
      <c r="AS56" s="251">
        <v>220000</v>
      </c>
      <c r="AT56" s="250">
        <v>180000</v>
      </c>
      <c r="AU56" s="250">
        <f>100000+172937.61</f>
        <v>272937.61</v>
      </c>
      <c r="AV56" s="250">
        <v>500000</v>
      </c>
      <c r="AW56" s="265">
        <v>400000</v>
      </c>
      <c r="AX56" s="266">
        <f t="shared" si="23"/>
        <v>2472065.24</v>
      </c>
      <c r="AY56" s="274">
        <f t="shared" si="24"/>
        <v>1771371.61</v>
      </c>
      <c r="AZ56" s="275">
        <f t="shared" si="25"/>
        <v>700693.63</v>
      </c>
      <c r="BA56" s="359" t="str">
        <f t="shared" si="28"/>
        <v/>
      </c>
      <c r="BB56" s="359" t="str">
        <f t="shared" si="29"/>
        <v/>
      </c>
      <c r="BC56" s="360" t="str">
        <f t="shared" si="21"/>
        <v/>
      </c>
      <c r="BD56" s="323" t="str">
        <f t="shared" si="30"/>
        <v/>
      </c>
      <c r="BE56" s="323" t="str">
        <f t="shared" si="22"/>
        <v/>
      </c>
      <c r="BF56" s="323" t="str">
        <f t="shared" si="31"/>
        <v/>
      </c>
      <c r="BG56" s="323"/>
      <c r="BH56" s="323"/>
      <c r="BI56" s="323"/>
      <c r="BJ56" s="323"/>
      <c r="BK56" s="323"/>
      <c r="BL56" s="323"/>
      <c r="BM56" s="276" t="s">
        <v>101</v>
      </c>
      <c r="BN56" s="277"/>
      <c r="BO56" s="91"/>
      <c r="BP56" s="101">
        <f>IFERROR(VLOOKUP(D56,Sheet2!D:O,12,FALSE),"")</f>
        <v>1220247.39</v>
      </c>
      <c r="BQ56" s="101">
        <f t="shared" si="26"/>
        <v>-519553.76</v>
      </c>
      <c r="BS56" s="10">
        <f>SUBTOTAL(9,W56:AB56)</f>
        <v>1864449.36</v>
      </c>
      <c r="BT56" s="10">
        <f>BS56/6</f>
        <v>310741.56</v>
      </c>
      <c r="BV56" s="5"/>
      <c r="BW56" s="5"/>
    </row>
    <row r="57" s="10" customFormat="1" ht="24.05" customHeight="1" spans="2:75">
      <c r="B57" s="57" t="s">
        <v>81</v>
      </c>
      <c r="C57" s="320"/>
      <c r="D57" s="58" t="s">
        <v>334</v>
      </c>
      <c r="E57" s="330"/>
      <c r="F57" s="232"/>
      <c r="G57" s="233"/>
      <c r="H57" s="233"/>
      <c r="I57" s="233"/>
      <c r="J57" s="233"/>
      <c r="K57" s="233"/>
      <c r="L57" s="233"/>
      <c r="M57" s="233"/>
      <c r="N57" s="233"/>
      <c r="O57" s="334"/>
      <c r="P57" s="335"/>
      <c r="Q57" s="335"/>
      <c r="R57" s="334"/>
      <c r="S57" s="335"/>
      <c r="T57" s="335"/>
      <c r="U57" s="347"/>
      <c r="V57" s="235"/>
      <c r="W57" s="236"/>
      <c r="X57" s="236"/>
      <c r="Y57" s="236"/>
      <c r="Z57" s="236"/>
      <c r="AA57" s="236"/>
      <c r="AB57" s="236"/>
      <c r="AC57" s="236"/>
      <c r="AD57" s="236">
        <v>28982.13</v>
      </c>
      <c r="AE57" s="236"/>
      <c r="AF57" s="236"/>
      <c r="AG57" s="236"/>
      <c r="AH57" s="355"/>
      <c r="AI57" s="313"/>
      <c r="AJ57" s="313"/>
      <c r="AK57" s="313"/>
      <c r="AL57" s="254"/>
      <c r="AM57" s="254"/>
      <c r="AN57" s="254"/>
      <c r="AO57" s="254"/>
      <c r="AP57" s="254"/>
      <c r="AQ57" s="254"/>
      <c r="AR57" s="254"/>
      <c r="AS57" s="255"/>
      <c r="AT57" s="254"/>
      <c r="AU57" s="254"/>
      <c r="AV57" s="254"/>
      <c r="AW57" s="260"/>
      <c r="AX57" s="266">
        <f t="shared" si="23"/>
        <v>28982.13</v>
      </c>
      <c r="AY57" s="274">
        <f t="shared" si="24"/>
        <v>0</v>
      </c>
      <c r="AZ57" s="275">
        <f t="shared" si="25"/>
        <v>28982.13</v>
      </c>
      <c r="BA57" s="361"/>
      <c r="BB57" s="361"/>
      <c r="BC57" s="362"/>
      <c r="BD57" s="322"/>
      <c r="BE57" s="322"/>
      <c r="BF57" s="322"/>
      <c r="BG57" s="322"/>
      <c r="BH57" s="322"/>
      <c r="BI57" s="322"/>
      <c r="BJ57" s="322"/>
      <c r="BK57" s="322"/>
      <c r="BL57" s="322"/>
      <c r="BM57" s="287"/>
      <c r="BN57" s="279"/>
      <c r="BO57" s="98"/>
      <c r="BP57" s="101">
        <f>IFERROR(VLOOKUP(D57,Sheet2!D:O,12,FALSE),"")</f>
        <v>28982.13</v>
      </c>
      <c r="BQ57" s="101">
        <f t="shared" si="26"/>
        <v>0</v>
      </c>
      <c r="BV57" s="5"/>
      <c r="BW57" s="5"/>
    </row>
    <row r="58" s="10" customFormat="1" ht="24.05" customHeight="1" spans="2:75">
      <c r="B58" s="57" t="s">
        <v>81</v>
      </c>
      <c r="C58" s="320"/>
      <c r="D58" s="58" t="s">
        <v>335</v>
      </c>
      <c r="E58" s="330"/>
      <c r="F58" s="232"/>
      <c r="G58" s="233"/>
      <c r="H58" s="233"/>
      <c r="I58" s="233"/>
      <c r="J58" s="233"/>
      <c r="K58" s="233"/>
      <c r="L58" s="233"/>
      <c r="M58" s="233"/>
      <c r="N58" s="233"/>
      <c r="O58" s="334"/>
      <c r="P58" s="335"/>
      <c r="Q58" s="335"/>
      <c r="R58" s="334"/>
      <c r="S58" s="335"/>
      <c r="T58" s="335"/>
      <c r="U58" s="347"/>
      <c r="V58" s="348"/>
      <c r="W58" s="236"/>
      <c r="X58" s="236"/>
      <c r="Y58" s="236"/>
      <c r="Z58" s="236"/>
      <c r="AA58" s="236"/>
      <c r="AB58" s="236"/>
      <c r="AC58" s="236"/>
      <c r="AD58" s="236"/>
      <c r="AE58" s="236"/>
      <c r="AF58" s="236">
        <v>60504.28</v>
      </c>
      <c r="AG58" s="236"/>
      <c r="AH58" s="355"/>
      <c r="AI58" s="313"/>
      <c r="AJ58" s="313"/>
      <c r="AK58" s="313"/>
      <c r="AL58" s="254"/>
      <c r="AM58" s="254"/>
      <c r="AN58" s="254"/>
      <c r="AO58" s="254"/>
      <c r="AP58" s="254"/>
      <c r="AQ58" s="254"/>
      <c r="AR58" s="254"/>
      <c r="AS58" s="255"/>
      <c r="AT58" s="254"/>
      <c r="AU58" s="254"/>
      <c r="AV58" s="254"/>
      <c r="AW58" s="260"/>
      <c r="AX58" s="266">
        <f t="shared" si="23"/>
        <v>60504.28</v>
      </c>
      <c r="AY58" s="274">
        <f t="shared" si="24"/>
        <v>0</v>
      </c>
      <c r="AZ58" s="275">
        <f t="shared" si="25"/>
        <v>60504.28</v>
      </c>
      <c r="BA58" s="361"/>
      <c r="BB58" s="361"/>
      <c r="BC58" s="362"/>
      <c r="BD58" s="322"/>
      <c r="BE58" s="322"/>
      <c r="BF58" s="322"/>
      <c r="BG58" s="322"/>
      <c r="BH58" s="322"/>
      <c r="BI58" s="322"/>
      <c r="BJ58" s="322"/>
      <c r="BK58" s="322"/>
      <c r="BL58" s="322"/>
      <c r="BM58" s="287"/>
      <c r="BN58" s="279"/>
      <c r="BO58" s="98"/>
      <c r="BP58" s="101">
        <f>IFERROR(VLOOKUP(D58,Sheet2!D:O,12,FALSE),"")</f>
        <v>81492.9</v>
      </c>
      <c r="BQ58" s="101">
        <f t="shared" si="26"/>
        <v>-20988.62</v>
      </c>
      <c r="BV58" s="5"/>
      <c r="BW58" s="5"/>
    </row>
    <row r="59" s="10" customFormat="1" ht="24.05" customHeight="1" spans="2:75">
      <c r="B59" s="57" t="s">
        <v>81</v>
      </c>
      <c r="C59" s="320"/>
      <c r="D59" s="58" t="s">
        <v>336</v>
      </c>
      <c r="E59" s="330"/>
      <c r="F59" s="232"/>
      <c r="G59" s="233"/>
      <c r="H59" s="233"/>
      <c r="I59" s="233"/>
      <c r="J59" s="233"/>
      <c r="K59" s="233"/>
      <c r="L59" s="233"/>
      <c r="M59" s="233"/>
      <c r="N59" s="233"/>
      <c r="O59" s="334"/>
      <c r="P59" s="335"/>
      <c r="Q59" s="335"/>
      <c r="R59" s="334"/>
      <c r="S59" s="335"/>
      <c r="T59" s="335"/>
      <c r="U59" s="347"/>
      <c r="V59" s="348"/>
      <c r="W59" s="236"/>
      <c r="X59" s="236"/>
      <c r="Y59" s="236"/>
      <c r="Z59" s="236"/>
      <c r="AA59" s="236"/>
      <c r="AB59" s="236"/>
      <c r="AC59" s="236"/>
      <c r="AD59" s="236"/>
      <c r="AE59" s="236"/>
      <c r="AF59" s="236">
        <v>5237.55</v>
      </c>
      <c r="AG59" s="236"/>
      <c r="AH59" s="355"/>
      <c r="AI59" s="313"/>
      <c r="AJ59" s="313"/>
      <c r="AK59" s="313"/>
      <c r="AL59" s="254"/>
      <c r="AM59" s="254"/>
      <c r="AN59" s="254"/>
      <c r="AO59" s="254"/>
      <c r="AP59" s="254"/>
      <c r="AQ59" s="254"/>
      <c r="AR59" s="254"/>
      <c r="AS59" s="255"/>
      <c r="AT59" s="254"/>
      <c r="AU59" s="254"/>
      <c r="AV59" s="254"/>
      <c r="AW59" s="260"/>
      <c r="AX59" s="266">
        <f t="shared" si="23"/>
        <v>5237.55</v>
      </c>
      <c r="AY59" s="274">
        <f t="shared" si="24"/>
        <v>0</v>
      </c>
      <c r="AZ59" s="275">
        <f t="shared" si="25"/>
        <v>5237.55</v>
      </c>
      <c r="BA59" s="361"/>
      <c r="BB59" s="361"/>
      <c r="BC59" s="362"/>
      <c r="BD59" s="322"/>
      <c r="BE59" s="322"/>
      <c r="BF59" s="322"/>
      <c r="BG59" s="322"/>
      <c r="BH59" s="322"/>
      <c r="BI59" s="322"/>
      <c r="BJ59" s="322"/>
      <c r="BK59" s="322"/>
      <c r="BL59" s="322"/>
      <c r="BM59" s="287"/>
      <c r="BN59" s="279"/>
      <c r="BO59" s="98"/>
      <c r="BP59" s="101">
        <f>IFERROR(VLOOKUP(D59,Sheet2!D:O,12,FALSE),"")</f>
        <v>5237.55</v>
      </c>
      <c r="BQ59" s="101">
        <f t="shared" si="26"/>
        <v>0</v>
      </c>
      <c r="BV59" s="5"/>
      <c r="BW59" s="5"/>
    </row>
    <row r="60" s="10" customFormat="1" ht="24.05" customHeight="1" spans="2:75">
      <c r="B60" s="57" t="s">
        <v>81</v>
      </c>
      <c r="C60" s="320"/>
      <c r="D60" s="58" t="s">
        <v>337</v>
      </c>
      <c r="E60" s="330"/>
      <c r="F60" s="232"/>
      <c r="G60" s="233"/>
      <c r="H60" s="233"/>
      <c r="I60" s="233"/>
      <c r="J60" s="233"/>
      <c r="K60" s="233"/>
      <c r="L60" s="233"/>
      <c r="M60" s="233"/>
      <c r="N60" s="233"/>
      <c r="O60" s="334"/>
      <c r="P60" s="335"/>
      <c r="Q60" s="335"/>
      <c r="R60" s="334"/>
      <c r="S60" s="335"/>
      <c r="T60" s="335"/>
      <c r="U60" s="347"/>
      <c r="V60" s="348"/>
      <c r="W60" s="236"/>
      <c r="X60" s="236"/>
      <c r="Y60" s="236"/>
      <c r="Z60" s="236"/>
      <c r="AA60" s="236"/>
      <c r="AB60" s="236"/>
      <c r="AC60" s="236"/>
      <c r="AD60" s="236"/>
      <c r="AE60" s="236"/>
      <c r="AF60" s="236">
        <v>41188.95</v>
      </c>
      <c r="AG60" s="236"/>
      <c r="AH60" s="355"/>
      <c r="AI60" s="313"/>
      <c r="AJ60" s="313"/>
      <c r="AK60" s="313"/>
      <c r="AL60" s="254"/>
      <c r="AM60" s="254"/>
      <c r="AN60" s="254"/>
      <c r="AO60" s="254"/>
      <c r="AP60" s="254"/>
      <c r="AQ60" s="254"/>
      <c r="AR60" s="254"/>
      <c r="AS60" s="255"/>
      <c r="AT60" s="254"/>
      <c r="AU60" s="254"/>
      <c r="AV60" s="254"/>
      <c r="AW60" s="260"/>
      <c r="AX60" s="266">
        <f t="shared" si="23"/>
        <v>41188.95</v>
      </c>
      <c r="AY60" s="274">
        <f t="shared" si="24"/>
        <v>0</v>
      </c>
      <c r="AZ60" s="275">
        <f t="shared" si="25"/>
        <v>41188.95</v>
      </c>
      <c r="BA60" s="361"/>
      <c r="BB60" s="361"/>
      <c r="BC60" s="362"/>
      <c r="BD60" s="322"/>
      <c r="BE60" s="322"/>
      <c r="BF60" s="322"/>
      <c r="BG60" s="322"/>
      <c r="BH60" s="322"/>
      <c r="BI60" s="322"/>
      <c r="BJ60" s="322"/>
      <c r="BK60" s="322"/>
      <c r="BL60" s="322"/>
      <c r="BM60" s="287"/>
      <c r="BN60" s="279"/>
      <c r="BO60" s="98"/>
      <c r="BP60" s="101"/>
      <c r="BQ60" s="101"/>
      <c r="BV60" s="5"/>
      <c r="BW60" s="5"/>
    </row>
    <row r="61" s="12" customFormat="1" ht="24.05" customHeight="1" spans="2:75">
      <c r="B61" s="60"/>
      <c r="C61" s="61"/>
      <c r="D61" s="62" t="s">
        <v>142</v>
      </c>
      <c r="E61" s="331">
        <f>SUM(E5:E33)</f>
        <v>4070339.72</v>
      </c>
      <c r="F61" s="232"/>
      <c r="G61" s="233"/>
      <c r="H61" s="233"/>
      <c r="I61" s="233"/>
      <c r="J61" s="233"/>
      <c r="K61" s="233"/>
      <c r="L61" s="233"/>
      <c r="M61" s="233"/>
      <c r="N61" s="233"/>
      <c r="O61" s="336"/>
      <c r="P61" s="337">
        <f>SUM(P5:P33)</f>
        <v>1376997.18</v>
      </c>
      <c r="Q61" s="337">
        <f>SUM(Q5:Q33)</f>
        <v>1318183.99</v>
      </c>
      <c r="R61" s="337">
        <f>SUM(R5:R33)</f>
        <v>1531.82</v>
      </c>
      <c r="S61" s="337">
        <f>SUM(S5:S33)</f>
        <v>46198.82</v>
      </c>
      <c r="T61" s="337">
        <f>SUM(T5:T33)</f>
        <v>428450.25</v>
      </c>
      <c r="U61" s="349">
        <f>SUM(U5:U56)</f>
        <v>4548780.61</v>
      </c>
      <c r="V61" s="350">
        <f t="shared" ref="V61:AD61" si="32">SUM(V5:V57)</f>
        <v>669125.46</v>
      </c>
      <c r="W61" s="350">
        <f t="shared" si="32"/>
        <v>880581.93</v>
      </c>
      <c r="X61" s="350">
        <f t="shared" si="32"/>
        <v>1644312.41</v>
      </c>
      <c r="Y61" s="350">
        <f t="shared" si="32"/>
        <v>2980455.72</v>
      </c>
      <c r="Z61" s="350">
        <f t="shared" si="32"/>
        <v>1526780.28</v>
      </c>
      <c r="AA61" s="350">
        <f t="shared" si="32"/>
        <v>2454483.42</v>
      </c>
      <c r="AB61" s="350">
        <f t="shared" si="32"/>
        <v>2677750.15</v>
      </c>
      <c r="AC61" s="350">
        <f t="shared" si="32"/>
        <v>722302.02</v>
      </c>
      <c r="AD61" s="350">
        <f t="shared" si="32"/>
        <v>1051755.12</v>
      </c>
      <c r="AE61" s="350">
        <f>SUM(AE5:AE58)</f>
        <v>1249929.7</v>
      </c>
      <c r="AF61" s="350">
        <f t="shared" ref="AF61:AT61" si="33">SUM(AF5:AF58)</f>
        <v>1681154.51</v>
      </c>
      <c r="AG61" s="350">
        <f t="shared" si="33"/>
        <v>2190517.11</v>
      </c>
      <c r="AH61" s="350">
        <f t="shared" si="33"/>
        <v>0</v>
      </c>
      <c r="AI61" s="350">
        <f t="shared" si="33"/>
        <v>0</v>
      </c>
      <c r="AJ61" s="350">
        <f t="shared" si="33"/>
        <v>0</v>
      </c>
      <c r="AK61" s="350">
        <f t="shared" si="33"/>
        <v>0</v>
      </c>
      <c r="AL61" s="350">
        <f t="shared" si="33"/>
        <v>365873.59</v>
      </c>
      <c r="AM61" s="350">
        <f t="shared" si="33"/>
        <v>1057585.55</v>
      </c>
      <c r="AN61" s="350">
        <f t="shared" si="33"/>
        <v>1490039.96</v>
      </c>
      <c r="AO61" s="350">
        <f t="shared" si="33"/>
        <v>777288.94</v>
      </c>
      <c r="AP61" s="350">
        <f t="shared" si="33"/>
        <v>1709407.16</v>
      </c>
      <c r="AQ61" s="350">
        <f t="shared" si="33"/>
        <v>245590.4</v>
      </c>
      <c r="AR61" s="350">
        <f t="shared" si="33"/>
        <v>1360480.93</v>
      </c>
      <c r="AS61" s="350">
        <f t="shared" si="33"/>
        <v>1010855.67</v>
      </c>
      <c r="AT61" s="350">
        <f t="shared" si="33"/>
        <v>1687420.89</v>
      </c>
      <c r="AU61" s="350">
        <f t="shared" ref="AU61:BB61" si="34">SUM(AU5:AU59)</f>
        <v>1310390.55</v>
      </c>
      <c r="AV61" s="350">
        <f t="shared" si="34"/>
        <v>2199555.27</v>
      </c>
      <c r="AW61" s="350">
        <f t="shared" si="34"/>
        <v>1850428.82</v>
      </c>
      <c r="AX61" s="350">
        <f t="shared" si="34"/>
        <v>24283165.99</v>
      </c>
      <c r="AY61" s="350">
        <f t="shared" si="34"/>
        <v>15064917.73</v>
      </c>
      <c r="AZ61" s="350">
        <f t="shared" si="34"/>
        <v>9218248.26</v>
      </c>
      <c r="BA61" s="350">
        <f t="shared" si="34"/>
        <v>5343416.01</v>
      </c>
      <c r="BB61" s="350">
        <f t="shared" si="34"/>
        <v>5694893.32</v>
      </c>
      <c r="BC61" s="63">
        <f t="shared" ref="BC61:BL61" si="35">SUM(BC5:BC33)</f>
        <v>365842.03</v>
      </c>
      <c r="BD61" s="63">
        <f t="shared" si="35"/>
        <v>436377.76</v>
      </c>
      <c r="BE61" s="63">
        <f t="shared" si="35"/>
        <v>1241051.67</v>
      </c>
      <c r="BF61" s="63">
        <f t="shared" si="35"/>
        <v>1898617.57</v>
      </c>
      <c r="BG61" s="63">
        <f t="shared" si="35"/>
        <v>2015942.31</v>
      </c>
      <c r="BH61" s="63">
        <f t="shared" si="35"/>
        <v>1092315.87</v>
      </c>
      <c r="BI61" s="63">
        <f t="shared" si="35"/>
        <v>2280435.14</v>
      </c>
      <c r="BJ61" s="63">
        <f t="shared" si="35"/>
        <v>2721269.67</v>
      </c>
      <c r="BK61" s="63">
        <f t="shared" si="35"/>
        <v>3409474.38</v>
      </c>
      <c r="BL61" s="63">
        <f t="shared" si="35"/>
        <v>3507719.4</v>
      </c>
      <c r="BM61" s="288"/>
      <c r="BN61" s="289"/>
      <c r="BO61" s="100">
        <f>SUM(BO5:BO33)</f>
        <v>0</v>
      </c>
      <c r="BP61" s="101" t="str">
        <f>IFERROR(VLOOKUP(D61,Sheet2!D:O,12,FALSE),"")</f>
        <v/>
      </c>
      <c r="BQ61" s="101" t="str">
        <f>IFERROR(AZ61-BP61,"")</f>
        <v/>
      </c>
      <c r="BV61" s="8"/>
      <c r="BW61" s="8"/>
    </row>
    <row r="62" ht="15.05" customHeight="1" spans="5:75">
      <c r="E62" s="65"/>
      <c r="O62" s="65"/>
      <c r="P62" s="65"/>
      <c r="Q62" s="65"/>
      <c r="R62" s="65">
        <f t="shared" ref="R62:AX62" si="36">SUM(R5:R23)</f>
        <v>0</v>
      </c>
      <c r="S62" s="65">
        <f t="shared" si="36"/>
        <v>2000</v>
      </c>
      <c r="T62" s="65">
        <f t="shared" si="36"/>
        <v>21555.34</v>
      </c>
      <c r="U62" s="65">
        <f t="shared" si="36"/>
        <v>3139072.52</v>
      </c>
      <c r="V62" s="65">
        <f t="shared" si="36"/>
        <v>180768.14</v>
      </c>
      <c r="W62" s="65">
        <f t="shared" si="36"/>
        <v>338845.64</v>
      </c>
      <c r="X62" s="65">
        <f t="shared" si="36"/>
        <v>406680.04</v>
      </c>
      <c r="Y62" s="65">
        <f t="shared" si="36"/>
        <v>959989.49</v>
      </c>
      <c r="Z62" s="65">
        <f t="shared" si="36"/>
        <v>841662.21</v>
      </c>
      <c r="AA62" s="65">
        <f t="shared" si="36"/>
        <v>1577720.35</v>
      </c>
      <c r="AB62" s="65">
        <f t="shared" si="36"/>
        <v>1275200.15</v>
      </c>
      <c r="AC62" s="65">
        <f t="shared" si="36"/>
        <v>575734.06</v>
      </c>
      <c r="AD62" s="65">
        <f t="shared" si="36"/>
        <v>648151.54</v>
      </c>
      <c r="AE62" s="65">
        <f t="shared" si="36"/>
        <v>659100.17</v>
      </c>
      <c r="AF62" s="65">
        <f t="shared" si="36"/>
        <v>774550.24</v>
      </c>
      <c r="AG62" s="65">
        <f t="shared" si="36"/>
        <v>883628.39</v>
      </c>
      <c r="AH62" s="65">
        <f t="shared" si="36"/>
        <v>0</v>
      </c>
      <c r="AI62" s="65">
        <f t="shared" si="36"/>
        <v>0</v>
      </c>
      <c r="AJ62" s="65">
        <f t="shared" si="36"/>
        <v>0</v>
      </c>
      <c r="AK62" s="65">
        <f t="shared" si="36"/>
        <v>0</v>
      </c>
      <c r="AL62" s="65">
        <f t="shared" si="36"/>
        <v>565575.54</v>
      </c>
      <c r="AM62" s="65">
        <f t="shared" si="36"/>
        <v>563846.11</v>
      </c>
      <c r="AN62" s="65">
        <f t="shared" si="36"/>
        <v>814823.24</v>
      </c>
      <c r="AO62" s="65">
        <f t="shared" si="36"/>
        <v>502503.5</v>
      </c>
      <c r="AP62" s="65">
        <f t="shared" si="36"/>
        <v>607693.64</v>
      </c>
      <c r="AQ62" s="65">
        <f t="shared" si="36"/>
        <v>175820.94</v>
      </c>
      <c r="AR62" s="65">
        <f t="shared" si="36"/>
        <v>879682.67</v>
      </c>
      <c r="AS62" s="65">
        <f t="shared" si="36"/>
        <v>877152.57</v>
      </c>
      <c r="AT62" s="65">
        <f t="shared" si="36"/>
        <v>1031022.46</v>
      </c>
      <c r="AU62" s="65">
        <f t="shared" si="36"/>
        <v>676123.02</v>
      </c>
      <c r="AV62" s="65">
        <f t="shared" si="36"/>
        <v>795970.34</v>
      </c>
      <c r="AW62" s="65">
        <f t="shared" si="36"/>
        <v>819447.05</v>
      </c>
      <c r="AX62" s="65">
        <f t="shared" si="36"/>
        <v>12261102.94</v>
      </c>
      <c r="AY62" s="65">
        <f>SUM(AY5:AY25)</f>
        <v>10160944.27</v>
      </c>
      <c r="AZ62" s="65">
        <f t="shared" ref="AZ62:BM62" si="37">SUM(AZ5:AZ26)</f>
        <v>5195424.26</v>
      </c>
      <c r="BA62" s="65">
        <f t="shared" si="37"/>
        <v>4143055.46</v>
      </c>
      <c r="BB62" s="65">
        <f t="shared" si="37"/>
        <v>4680006.17</v>
      </c>
      <c r="BC62" s="65">
        <f t="shared" si="37"/>
        <v>271566.38</v>
      </c>
      <c r="BD62" s="65">
        <f t="shared" si="37"/>
        <v>1081656.88</v>
      </c>
      <c r="BE62" s="65">
        <f t="shared" si="37"/>
        <v>830486.03</v>
      </c>
      <c r="BF62" s="65">
        <f t="shared" si="37"/>
        <v>797466.09</v>
      </c>
      <c r="BG62" s="65">
        <f t="shared" si="37"/>
        <v>1041961.98</v>
      </c>
      <c r="BH62" s="65">
        <f t="shared" si="37"/>
        <v>1092315.87</v>
      </c>
      <c r="BI62" s="65">
        <f t="shared" si="37"/>
        <v>2280435.14</v>
      </c>
      <c r="BJ62" s="65">
        <f t="shared" si="37"/>
        <v>2714678.3</v>
      </c>
      <c r="BK62" s="65">
        <f t="shared" si="37"/>
        <v>3241375.58</v>
      </c>
      <c r="BL62" s="65">
        <f t="shared" si="37"/>
        <v>3507719.4</v>
      </c>
      <c r="BM62" s="65">
        <f t="shared" si="37"/>
        <v>0</v>
      </c>
      <c r="BP62" s="101" t="str">
        <f>IFERROR(VLOOKUP(D62,Sheet2!D:O,12,FALSE),"")</f>
        <v/>
      </c>
      <c r="BQ62" s="101" t="str">
        <f>IFERROR(AZ62-BP62,"")</f>
        <v/>
      </c>
      <c r="BV62" s="5"/>
      <c r="BW62" s="5"/>
    </row>
    <row r="63" ht="15.05" customHeight="1" spans="5:75">
      <c r="E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BV63" s="8"/>
      <c r="BW63" s="8"/>
    </row>
    <row r="64" spans="4:75">
      <c r="D64" s="67" t="s">
        <v>143</v>
      </c>
      <c r="AL64" s="19">
        <f t="shared" ref="AL64:AQ64" si="38">AL61-AL15-AL17</f>
        <v>224291.46</v>
      </c>
      <c r="AM64" s="19">
        <f t="shared" si="38"/>
        <v>1044037.37</v>
      </c>
      <c r="AN64" s="19">
        <f t="shared" si="38"/>
        <v>1436383.85</v>
      </c>
      <c r="AO64" s="19">
        <f t="shared" si="38"/>
        <v>687496.02</v>
      </c>
      <c r="AP64" s="19">
        <f t="shared" si="38"/>
        <v>1621340.02</v>
      </c>
      <c r="AQ64" s="19">
        <f t="shared" si="38"/>
        <v>166518.24</v>
      </c>
      <c r="AR64" s="13"/>
      <c r="AS64" s="13"/>
      <c r="AT64" s="13"/>
      <c r="AU64" s="13"/>
      <c r="AV64" s="13"/>
      <c r="AW64" s="13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V64" s="5"/>
      <c r="BW64" s="5"/>
    </row>
    <row r="65" spans="38:75">
      <c r="AL65" s="216">
        <f t="shared" ref="AL65:AQ65" si="39">AL64/10000</f>
        <v>22.429146</v>
      </c>
      <c r="AM65" s="216">
        <f t="shared" si="39"/>
        <v>104.403737</v>
      </c>
      <c r="AN65" s="216">
        <f t="shared" si="39"/>
        <v>143.638385</v>
      </c>
      <c r="AO65" s="216">
        <f t="shared" si="39"/>
        <v>68.749602</v>
      </c>
      <c r="AP65" s="216">
        <f t="shared" si="39"/>
        <v>162.134002</v>
      </c>
      <c r="AQ65" s="216">
        <f t="shared" si="39"/>
        <v>16.651824</v>
      </c>
      <c r="BE65" s="105"/>
      <c r="BF65" s="105"/>
      <c r="BG65" s="105"/>
      <c r="BH65" s="105"/>
      <c r="BI65" s="105"/>
      <c r="BJ65" s="105"/>
      <c r="BK65" s="105"/>
      <c r="BL65" s="105"/>
      <c r="BV65" s="8"/>
      <c r="BW65" s="8"/>
    </row>
    <row r="66" spans="74:75">
      <c r="BV66" s="5"/>
      <c r="BW66" s="5"/>
    </row>
    <row r="67" spans="74:75">
      <c r="BV67" s="8"/>
      <c r="BW67" s="8"/>
    </row>
    <row r="68" spans="74:75">
      <c r="BV68" s="5"/>
      <c r="BW68" s="5"/>
    </row>
    <row r="69" spans="74:75">
      <c r="BV69" s="8"/>
      <c r="BW69" s="8"/>
    </row>
    <row r="70" spans="74:75">
      <c r="BV70" s="5"/>
      <c r="BW70" s="5"/>
    </row>
    <row r="71" spans="74:75">
      <c r="BV71" s="8"/>
      <c r="BW71" s="8"/>
    </row>
    <row r="72" spans="6:75">
      <c r="F72" s="13"/>
      <c r="G72" s="13"/>
      <c r="H72" s="13"/>
      <c r="I72" s="13"/>
      <c r="J72" s="13"/>
      <c r="K72" s="13"/>
      <c r="L72" s="13"/>
      <c r="M72" s="13"/>
      <c r="N72" s="13"/>
      <c r="BV72" s="5"/>
      <c r="BW72" s="5"/>
    </row>
    <row r="73" spans="74:75">
      <c r="BV73" s="8"/>
      <c r="BW73" s="8"/>
    </row>
    <row r="74" spans="74:75">
      <c r="BV74" s="5"/>
      <c r="BW74" s="5"/>
    </row>
    <row r="75" spans="2:75">
      <c r="B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V75" s="8"/>
      <c r="BW75" s="8"/>
    </row>
    <row r="76" spans="74:75">
      <c r="BV76" s="5"/>
      <c r="BW76" s="5"/>
    </row>
    <row r="77" spans="74:75">
      <c r="BV77" s="8"/>
      <c r="BW77" s="8"/>
    </row>
    <row r="78" spans="2:75">
      <c r="B78" s="13"/>
      <c r="D78" s="13"/>
      <c r="E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V78" s="5"/>
      <c r="BW78" s="5"/>
    </row>
    <row r="79" spans="74:75">
      <c r="BV79" s="8"/>
      <c r="BW79" s="8"/>
    </row>
    <row r="80" spans="74:75">
      <c r="BV80" s="5"/>
      <c r="BW80" s="5"/>
    </row>
    <row r="81" spans="74:75">
      <c r="BV81" s="8"/>
      <c r="BW81" s="8"/>
    </row>
    <row r="82" spans="74:75">
      <c r="BV82" s="5"/>
      <c r="BW82" s="5"/>
    </row>
    <row r="83" spans="74:75">
      <c r="BV83" s="8"/>
      <c r="BW83" s="8"/>
    </row>
    <row r="84" spans="74:75">
      <c r="BV84" s="5"/>
      <c r="BW84" s="5"/>
    </row>
    <row r="85" spans="74:75">
      <c r="BV85" s="8"/>
      <c r="BW85" s="8"/>
    </row>
    <row r="86" spans="74:75">
      <c r="BV86" s="5"/>
      <c r="BW86" s="5"/>
    </row>
    <row r="87" spans="74:75">
      <c r="BV87" s="8"/>
      <c r="BW87" s="8"/>
    </row>
    <row r="88" spans="74:75">
      <c r="BV88" s="5"/>
      <c r="BW88" s="5"/>
    </row>
    <row r="89" spans="74:75">
      <c r="BV89" s="8"/>
      <c r="BW89" s="8"/>
    </row>
    <row r="90" spans="74:75">
      <c r="BV90" s="5"/>
      <c r="BW90" s="5"/>
    </row>
    <row r="91" spans="74:75">
      <c r="BV91" s="8"/>
      <c r="BW91" s="8"/>
    </row>
    <row r="92" spans="74:75">
      <c r="BV92" s="5"/>
      <c r="BW92" s="5"/>
    </row>
    <row r="93" spans="74:75">
      <c r="BV93" s="8"/>
      <c r="BW93" s="8"/>
    </row>
    <row r="94" spans="74:75">
      <c r="BV94" s="5"/>
      <c r="BW94" s="5"/>
    </row>
    <row r="95" spans="74:75">
      <c r="BV95" s="8"/>
      <c r="BW95" s="8"/>
    </row>
    <row r="96" spans="74:75">
      <c r="BV96" s="5"/>
      <c r="BW96" s="5"/>
    </row>
    <row r="97" spans="74:75">
      <c r="BV97" s="8"/>
      <c r="BW97" s="8"/>
    </row>
    <row r="98" spans="74:75">
      <c r="BV98" s="5"/>
      <c r="BW98" s="5"/>
    </row>
    <row r="99" spans="74:75">
      <c r="BV99" s="8"/>
      <c r="BW99" s="8"/>
    </row>
    <row r="100" spans="74:75">
      <c r="BV100" s="5"/>
      <c r="BW100" s="5"/>
    </row>
    <row r="101" spans="74:75">
      <c r="BV101" s="8"/>
      <c r="BW101" s="8"/>
    </row>
    <row r="102" spans="74:75">
      <c r="BV102" s="5"/>
      <c r="BW102" s="5"/>
    </row>
    <row r="103" spans="74:75">
      <c r="BV103" s="8"/>
      <c r="BW103" s="8"/>
    </row>
    <row r="104" spans="74:75">
      <c r="BV104" s="5"/>
      <c r="BW104" s="5"/>
    </row>
    <row r="105" spans="74:75">
      <c r="BV105" s="8"/>
      <c r="BW105" s="8"/>
    </row>
    <row r="106" spans="74:75">
      <c r="BV106" s="5"/>
      <c r="BW106" s="5"/>
    </row>
    <row r="107" spans="74:75">
      <c r="BV107" s="8"/>
      <c r="BW107" s="8"/>
    </row>
    <row r="108" spans="74:75">
      <c r="BV108" s="5"/>
      <c r="BW108" s="5"/>
    </row>
    <row r="109" spans="74:75">
      <c r="BV109" s="8"/>
      <c r="BW109" s="8"/>
    </row>
    <row r="110" spans="74:75">
      <c r="BV110" s="5"/>
      <c r="BW110" s="5"/>
    </row>
    <row r="111" spans="74:75">
      <c r="BV111" s="8"/>
      <c r="BW111" s="8"/>
    </row>
    <row r="112" spans="74:75">
      <c r="BV112" s="5"/>
      <c r="BW112" s="5"/>
    </row>
    <row r="113" spans="74:75">
      <c r="BV113" s="8"/>
      <c r="BW113" s="8"/>
    </row>
    <row r="114" spans="74:75">
      <c r="BV114" s="5"/>
      <c r="BW114" s="5"/>
    </row>
    <row r="115" spans="74:75">
      <c r="BV115" s="8"/>
      <c r="BW115" s="8"/>
    </row>
    <row r="116" spans="74:75">
      <c r="BV116" s="5"/>
      <c r="BW116" s="5"/>
    </row>
    <row r="117" spans="74:75">
      <c r="BV117" s="8"/>
      <c r="BW117" s="8"/>
    </row>
    <row r="118" spans="74:75">
      <c r="BV118" s="5"/>
      <c r="BW118" s="5"/>
    </row>
    <row r="119" spans="74:75">
      <c r="BV119" s="8"/>
      <c r="BW119" s="8"/>
    </row>
    <row r="120" spans="74:75">
      <c r="BV120" s="5"/>
      <c r="BW120" s="5"/>
    </row>
    <row r="121" spans="74:75">
      <c r="BV121" s="8"/>
      <c r="BW121" s="8"/>
    </row>
    <row r="122" spans="74:75">
      <c r="BV122" s="5"/>
      <c r="BW122" s="5"/>
    </row>
    <row r="123" spans="74:75">
      <c r="BV123" s="8"/>
      <c r="BW123" s="8"/>
    </row>
    <row r="124" spans="74:75">
      <c r="BV124" s="5"/>
      <c r="BW124" s="5"/>
    </row>
    <row r="125" spans="74:75">
      <c r="BV125" s="8"/>
      <c r="BW125" s="8"/>
    </row>
    <row r="126" spans="74:75">
      <c r="BV126" s="5"/>
      <c r="BW126" s="5"/>
    </row>
    <row r="127" spans="74:75">
      <c r="BV127" s="8"/>
      <c r="BW127" s="8"/>
    </row>
    <row r="128" spans="74:75">
      <c r="BV128" s="5"/>
      <c r="BW128" s="5"/>
    </row>
    <row r="129" spans="74:75">
      <c r="BV129" s="8"/>
      <c r="BW129" s="8"/>
    </row>
    <row r="130" spans="74:75">
      <c r="BV130" s="5"/>
      <c r="BW130" s="5"/>
    </row>
    <row r="131" spans="74:75">
      <c r="BV131" s="8"/>
      <c r="BW131" s="8"/>
    </row>
    <row r="132" spans="74:75">
      <c r="BV132" s="5"/>
      <c r="BW132" s="5"/>
    </row>
    <row r="133" spans="74:75">
      <c r="BV133" s="8"/>
      <c r="BW133" s="8"/>
    </row>
    <row r="134" spans="74:75">
      <c r="BV134" s="5"/>
      <c r="BW134" s="5"/>
    </row>
    <row r="135" spans="74:75">
      <c r="BV135" s="8"/>
      <c r="BW135" s="8"/>
    </row>
    <row r="136" spans="74:75">
      <c r="BV136" s="5"/>
      <c r="BW136" s="5"/>
    </row>
    <row r="137" spans="74:75">
      <c r="BV137" s="8"/>
      <c r="BW137" s="8"/>
    </row>
    <row r="138" spans="74:75">
      <c r="BV138" s="5"/>
      <c r="BW138" s="5"/>
    </row>
    <row r="139" spans="74:75">
      <c r="BV139" s="8"/>
      <c r="BW139" s="8"/>
    </row>
    <row r="140" spans="74:75">
      <c r="BV140" s="5"/>
      <c r="BW140" s="5"/>
    </row>
    <row r="141" spans="74:75">
      <c r="BV141" s="8"/>
      <c r="BW141" s="8"/>
    </row>
    <row r="142" spans="74:75">
      <c r="BV142" s="5"/>
      <c r="BW142" s="5"/>
    </row>
    <row r="143" spans="74:75">
      <c r="BV143" s="8"/>
      <c r="BW143" s="8"/>
    </row>
    <row r="144" spans="74:75">
      <c r="BV144" s="5"/>
      <c r="BW144" s="5"/>
    </row>
    <row r="145" spans="74:75">
      <c r="BV145" s="8"/>
      <c r="BW145" s="8"/>
    </row>
    <row r="146" spans="74:75">
      <c r="BV146" s="5"/>
      <c r="BW146" s="5"/>
    </row>
    <row r="147" spans="74:75">
      <c r="BV147" s="8"/>
      <c r="BW147" s="8"/>
    </row>
    <row r="148" spans="74:75">
      <c r="BV148" s="5"/>
      <c r="BW148" s="5"/>
    </row>
    <row r="149" spans="74:75">
      <c r="BV149" s="8"/>
      <c r="BW149" s="8"/>
    </row>
    <row r="150" spans="74:75">
      <c r="BV150" s="5"/>
      <c r="BW150" s="5"/>
    </row>
    <row r="151" spans="74:75">
      <c r="BV151" s="8"/>
      <c r="BW151" s="8"/>
    </row>
    <row r="152" spans="74:75">
      <c r="BV152" s="5"/>
      <c r="BW152" s="5"/>
    </row>
    <row r="153" spans="74:75">
      <c r="BV153" s="8"/>
      <c r="BW153" s="8"/>
    </row>
    <row r="154" spans="74:75">
      <c r="BV154" s="5"/>
      <c r="BW154" s="5"/>
    </row>
    <row r="155" spans="74:75">
      <c r="BV155" s="8"/>
      <c r="BW155" s="8"/>
    </row>
    <row r="156" spans="74:75">
      <c r="BV156" s="5"/>
      <c r="BW156" s="5"/>
    </row>
    <row r="157" spans="74:75">
      <c r="BV157" s="8"/>
      <c r="BW157" s="8"/>
    </row>
    <row r="158" spans="74:75">
      <c r="BV158" s="5"/>
      <c r="BW158" s="5"/>
    </row>
    <row r="159" spans="74:75">
      <c r="BV159" s="8"/>
      <c r="BW159" s="8"/>
    </row>
    <row r="160" spans="74:75">
      <c r="BV160" s="5"/>
      <c r="BW160" s="5"/>
    </row>
    <row r="161" spans="74:75">
      <c r="BV161" s="8"/>
      <c r="BW161" s="8"/>
    </row>
    <row r="162" spans="74:75">
      <c r="BV162" s="5"/>
      <c r="BW162" s="5"/>
    </row>
    <row r="163" spans="74:75">
      <c r="BV163" s="8"/>
      <c r="BW163" s="8"/>
    </row>
    <row r="164" spans="74:75">
      <c r="BV164" s="5"/>
      <c r="BW164" s="5"/>
    </row>
    <row r="165" spans="74:75">
      <c r="BV165" s="8"/>
      <c r="BW165" s="8"/>
    </row>
    <row r="166" spans="74:75">
      <c r="BV166" s="5"/>
      <c r="BW166" s="5"/>
    </row>
    <row r="167" spans="74:75">
      <c r="BV167" s="8"/>
      <c r="BW167" s="8"/>
    </row>
    <row r="168" spans="74:75">
      <c r="BV168" s="5"/>
      <c r="BW168" s="5"/>
    </row>
    <row r="169" spans="74:75">
      <c r="BV169" s="8"/>
      <c r="BW169" s="8"/>
    </row>
    <row r="170" spans="74:75">
      <c r="BV170" s="5"/>
      <c r="BW170" s="5"/>
    </row>
    <row r="171" spans="74:75">
      <c r="BV171" s="8"/>
      <c r="BW171" s="8"/>
    </row>
    <row r="172" spans="74:75">
      <c r="BV172" s="5"/>
      <c r="BW172" s="5"/>
    </row>
    <row r="173" spans="74:75">
      <c r="BV173" s="8"/>
      <c r="BW173" s="8"/>
    </row>
    <row r="174" spans="74:75">
      <c r="BV174" s="5"/>
      <c r="BW174" s="5"/>
    </row>
    <row r="175" spans="74:75">
      <c r="BV175" s="8"/>
      <c r="BW175" s="8"/>
    </row>
    <row r="176" spans="74:75">
      <c r="BV176" s="5"/>
      <c r="BW176" s="5"/>
    </row>
    <row r="177" spans="74:75">
      <c r="BV177" s="8"/>
      <c r="BW177" s="8"/>
    </row>
    <row r="178" spans="74:75">
      <c r="BV178" s="5"/>
      <c r="BW178" s="5"/>
    </row>
    <row r="179" spans="74:75">
      <c r="BV179" s="8"/>
      <c r="BW179" s="8"/>
    </row>
    <row r="180" spans="74:75">
      <c r="BV180" s="5"/>
      <c r="BW180" s="5"/>
    </row>
    <row r="181" spans="74:75">
      <c r="BV181" s="8"/>
      <c r="BW181" s="8"/>
    </row>
    <row r="182" spans="74:75">
      <c r="BV182" s="5"/>
      <c r="BW182" s="5"/>
    </row>
    <row r="183" spans="74:75">
      <c r="BV183" s="8"/>
      <c r="BW183" s="8"/>
    </row>
    <row r="184" spans="74:75">
      <c r="BV184" s="5"/>
      <c r="BW184" s="5"/>
    </row>
    <row r="185" spans="74:75">
      <c r="BV185" s="8"/>
      <c r="BW185" s="8"/>
    </row>
    <row r="186" spans="74:75">
      <c r="BV186" s="5"/>
      <c r="BW186" s="5"/>
    </row>
    <row r="187" spans="74:75">
      <c r="BV187" s="8"/>
      <c r="BW187" s="8"/>
    </row>
    <row r="188" spans="74:75">
      <c r="BV188" s="5"/>
      <c r="BW188" s="5"/>
    </row>
    <row r="189" spans="74:75">
      <c r="BV189" s="8"/>
      <c r="BW189" s="8"/>
    </row>
    <row r="190" spans="74:75">
      <c r="BV190" s="5"/>
      <c r="BW190" s="5"/>
    </row>
    <row r="191" spans="74:75">
      <c r="BV191" s="8"/>
      <c r="BW191" s="8"/>
    </row>
    <row r="192" spans="74:75">
      <c r="BV192" s="5"/>
      <c r="BW192" s="5"/>
    </row>
    <row r="193" spans="74:75">
      <c r="BV193" s="8"/>
      <c r="BW193" s="8"/>
    </row>
    <row r="194" spans="74:75">
      <c r="BV194" s="5"/>
      <c r="BW194" s="5"/>
    </row>
    <row r="195" spans="74:75">
      <c r="BV195" s="8"/>
      <c r="BW195" s="8"/>
    </row>
    <row r="196" spans="74:75">
      <c r="BV196" s="5"/>
      <c r="BW196" s="5"/>
    </row>
    <row r="197" spans="74:75">
      <c r="BV197" s="8"/>
      <c r="BW197" s="8"/>
    </row>
    <row r="198" spans="74:75">
      <c r="BV198" s="5"/>
      <c r="BW198" s="5"/>
    </row>
    <row r="199" spans="74:75">
      <c r="BV199" s="8"/>
      <c r="BW199" s="8"/>
    </row>
    <row r="200" spans="74:75">
      <c r="BV200" s="5"/>
      <c r="BW200" s="5"/>
    </row>
    <row r="201" spans="74:75">
      <c r="BV201" s="8"/>
      <c r="BW201" s="8"/>
    </row>
    <row r="202" spans="74:75">
      <c r="BV202" s="5"/>
      <c r="BW202" s="5"/>
    </row>
    <row r="203" spans="74:75">
      <c r="BV203" s="8"/>
      <c r="BW203" s="8"/>
    </row>
    <row r="204" spans="74:75">
      <c r="BV204" s="5"/>
      <c r="BW204" s="5"/>
    </row>
    <row r="205" spans="74:75">
      <c r="BV205" s="8"/>
      <c r="BW205" s="8"/>
    </row>
    <row r="206" spans="74:75">
      <c r="BV206" s="5"/>
      <c r="BW206" s="5"/>
    </row>
    <row r="207" spans="74:75">
      <c r="BV207" s="8"/>
      <c r="BW207" s="8"/>
    </row>
    <row r="208" spans="74:75">
      <c r="BV208" s="5"/>
      <c r="BW208" s="5"/>
    </row>
    <row r="209" spans="74:75">
      <c r="BV209" s="8"/>
      <c r="BW209" s="8"/>
    </row>
    <row r="210" spans="74:75">
      <c r="BV210" s="5"/>
      <c r="BW210" s="5"/>
    </row>
    <row r="211" spans="74:75">
      <c r="BV211" s="8"/>
      <c r="BW211" s="8"/>
    </row>
    <row r="212" spans="74:75">
      <c r="BV212" s="5"/>
      <c r="BW212" s="5"/>
    </row>
    <row r="213" spans="74:75">
      <c r="BV213" s="8"/>
      <c r="BW213" s="8"/>
    </row>
    <row r="214" spans="74:75">
      <c r="BV214" s="5"/>
      <c r="BW214" s="5"/>
    </row>
    <row r="215" spans="74:75">
      <c r="BV215" s="8"/>
      <c r="BW215" s="8"/>
    </row>
    <row r="216" spans="74:75">
      <c r="BV216" s="5"/>
      <c r="BW216" s="5"/>
    </row>
    <row r="217" spans="74:75">
      <c r="BV217" s="8"/>
      <c r="BW217" s="8"/>
    </row>
    <row r="218" spans="74:75">
      <c r="BV218" s="5"/>
      <c r="BW218" s="5"/>
    </row>
    <row r="219" spans="74:75">
      <c r="BV219" s="8"/>
      <c r="BW219" s="8"/>
    </row>
    <row r="220" spans="74:75">
      <c r="BV220" s="5"/>
      <c r="BW220" s="5"/>
    </row>
    <row r="221" spans="74:75">
      <c r="BV221" s="8"/>
      <c r="BW221" s="8"/>
    </row>
    <row r="222" spans="74:75">
      <c r="BV222" s="5"/>
      <c r="BW222" s="5"/>
    </row>
    <row r="223" spans="74:75">
      <c r="BV223" s="8"/>
      <c r="BW223" s="8"/>
    </row>
    <row r="224" spans="74:75">
      <c r="BV224" s="5"/>
      <c r="BW224" s="5"/>
    </row>
    <row r="225" spans="74:75">
      <c r="BV225" s="8"/>
      <c r="BW225" s="8"/>
    </row>
    <row r="226" spans="74:75">
      <c r="BV226" s="5"/>
      <c r="BW226" s="5"/>
    </row>
    <row r="227" spans="74:75">
      <c r="BV227" s="8"/>
      <c r="BW227" s="8"/>
    </row>
    <row r="228" spans="74:75">
      <c r="BV228" s="5"/>
      <c r="BW228" s="5"/>
    </row>
    <row r="229" spans="74:75">
      <c r="BV229" s="8"/>
      <c r="BW229" s="8"/>
    </row>
    <row r="230" spans="74:75">
      <c r="BV230" s="5"/>
      <c r="BW230" s="5"/>
    </row>
    <row r="231" spans="74:75">
      <c r="BV231" s="8"/>
      <c r="BW231" s="8"/>
    </row>
    <row r="232" spans="74:75">
      <c r="BV232" s="5"/>
      <c r="BW232" s="5"/>
    </row>
    <row r="233" spans="74:75">
      <c r="BV233" s="8"/>
      <c r="BW233" s="8"/>
    </row>
    <row r="234" spans="74:75">
      <c r="BV234" s="5"/>
      <c r="BW234" s="5"/>
    </row>
    <row r="235" spans="74:75">
      <c r="BV235" s="8"/>
      <c r="BW235" s="8"/>
    </row>
    <row r="236" spans="74:75">
      <c r="BV236" s="5"/>
      <c r="BW236" s="5"/>
    </row>
    <row r="237" spans="74:75">
      <c r="BV237" s="8"/>
      <c r="BW237" s="8"/>
    </row>
    <row r="238" spans="74:75">
      <c r="BV238" s="5"/>
      <c r="BW238" s="5"/>
    </row>
    <row r="239" spans="74:75">
      <c r="BV239" s="8"/>
      <c r="BW239" s="8"/>
    </row>
    <row r="240" spans="74:75">
      <c r="BV240" s="5"/>
      <c r="BW240" s="5"/>
    </row>
    <row r="241" spans="74:75">
      <c r="BV241" s="8"/>
      <c r="BW241" s="8"/>
    </row>
    <row r="242" spans="74:75">
      <c r="BV242" s="5"/>
      <c r="BW242" s="5"/>
    </row>
    <row r="243" spans="74:75">
      <c r="BV243" s="8"/>
      <c r="BW243" s="8"/>
    </row>
    <row r="244" spans="74:75">
      <c r="BV244" s="5"/>
      <c r="BW244" s="5"/>
    </row>
    <row r="245" spans="74:75">
      <c r="BV245" s="8"/>
      <c r="BW245" s="8"/>
    </row>
    <row r="246" spans="74:75">
      <c r="BV246" s="5"/>
      <c r="BW246" s="5"/>
    </row>
    <row r="247" spans="74:75">
      <c r="BV247" s="8"/>
      <c r="BW247" s="8"/>
    </row>
    <row r="248" spans="74:75">
      <c r="BV248" s="5"/>
      <c r="BW248" s="5"/>
    </row>
    <row r="249" spans="74:75">
      <c r="BV249" s="8"/>
      <c r="BW249" s="8"/>
    </row>
    <row r="250" spans="74:75">
      <c r="BV250" s="5"/>
      <c r="BW250" s="5"/>
    </row>
    <row r="251" spans="74:75">
      <c r="BV251" s="8"/>
      <c r="BW251" s="8"/>
    </row>
    <row r="252" spans="74:75">
      <c r="BV252" s="5"/>
      <c r="BW252" s="5"/>
    </row>
    <row r="253" spans="74:75">
      <c r="BV253" s="8"/>
      <c r="BW253" s="8"/>
    </row>
    <row r="254" spans="74:75">
      <c r="BV254" s="5"/>
      <c r="BW254" s="5"/>
    </row>
    <row r="255" spans="74:75">
      <c r="BV255" s="8"/>
      <c r="BW255" s="8"/>
    </row>
    <row r="256" spans="74:75">
      <c r="BV256" s="5"/>
      <c r="BW256" s="5"/>
    </row>
    <row r="257" spans="74:75">
      <c r="BV257" s="8"/>
      <c r="BW257" s="8"/>
    </row>
    <row r="258" spans="74:75">
      <c r="BV258" s="5"/>
      <c r="BW258" s="5"/>
    </row>
    <row r="259" spans="74:75">
      <c r="BV259" s="8"/>
      <c r="BW259" s="8"/>
    </row>
    <row r="260" spans="74:75">
      <c r="BV260" s="5"/>
      <c r="BW260" s="5"/>
    </row>
    <row r="261" spans="74:75">
      <c r="BV261" s="8"/>
      <c r="BW261" s="8"/>
    </row>
    <row r="262" spans="74:75">
      <c r="BV262" s="5"/>
      <c r="BW262" s="5"/>
    </row>
    <row r="263" spans="74:75">
      <c r="BV263" s="8"/>
      <c r="BW263" s="8"/>
    </row>
    <row r="264" spans="74:75">
      <c r="BV264" s="5"/>
      <c r="BW264" s="5"/>
    </row>
    <row r="265" spans="74:75">
      <c r="BV265" s="8"/>
      <c r="BW265" s="8"/>
    </row>
    <row r="266" spans="74:75">
      <c r="BV266" s="5"/>
      <c r="BW266" s="5"/>
    </row>
    <row r="267" spans="74:75">
      <c r="BV267" s="8"/>
      <c r="BW267" s="8"/>
    </row>
    <row r="268" spans="74:75">
      <c r="BV268" s="5"/>
      <c r="BW268" s="5"/>
    </row>
    <row r="269" spans="74:75">
      <c r="BV269" s="8"/>
      <c r="BW269" s="8"/>
    </row>
    <row r="270" spans="74:75">
      <c r="BV270" s="5"/>
      <c r="BW270" s="5"/>
    </row>
    <row r="271" spans="74:75">
      <c r="BV271" s="8"/>
      <c r="BW271" s="8"/>
    </row>
  </sheetData>
  <autoFilter ref="A4:BT62">
    <extLst/>
  </autoFilter>
  <mergeCells count="72">
    <mergeCell ref="B1:AW1"/>
    <mergeCell ref="E2:Q2"/>
    <mergeCell ref="R2:U2"/>
    <mergeCell ref="V2:AG2"/>
    <mergeCell ref="AI2:AK2"/>
    <mergeCell ref="AX2:BM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2:AH4"/>
    <mergeCell ref="AI3:AI4"/>
    <mergeCell ref="AJ3:AJ4"/>
    <mergeCell ref="AK3:AK4"/>
    <mergeCell ref="AL2:AL4"/>
    <mergeCell ref="AM2:AM4"/>
    <mergeCell ref="AN2:AN4"/>
    <mergeCell ref="AO2:AO4"/>
    <mergeCell ref="AP2:AP4"/>
    <mergeCell ref="AQ2:AQ4"/>
    <mergeCell ref="AR2:AR4"/>
    <mergeCell ref="AS2:AS4"/>
    <mergeCell ref="AT2:AT4"/>
    <mergeCell ref="AU2:AU4"/>
    <mergeCell ref="AV2:AV4"/>
    <mergeCell ref="AW2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K3:BK4"/>
    <mergeCell ref="BL3:BL4"/>
    <mergeCell ref="BM3:BM4"/>
    <mergeCell ref="BN2:BN4"/>
    <mergeCell ref="BO2:BO4"/>
  </mergeCells>
  <conditionalFormatting sqref="D23">
    <cfRule type="duplicateValues" dxfId="0" priority="19"/>
  </conditionalFormatting>
  <conditionalFormatting sqref="D24">
    <cfRule type="duplicateValues" dxfId="0" priority="20"/>
  </conditionalFormatting>
  <conditionalFormatting sqref="D25">
    <cfRule type="duplicateValues" dxfId="0" priority="18"/>
  </conditionalFormatting>
  <conditionalFormatting sqref="D26">
    <cfRule type="duplicateValues" dxfId="0" priority="5"/>
  </conditionalFormatting>
  <conditionalFormatting sqref="D28">
    <cfRule type="duplicateValues" dxfId="0" priority="3"/>
  </conditionalFormatting>
  <conditionalFormatting sqref="D32">
    <cfRule type="duplicateValues" dxfId="0" priority="2"/>
  </conditionalFormatting>
  <conditionalFormatting sqref="D5:D60">
    <cfRule type="duplicateValues" dxfId="0" priority="24"/>
  </conditionalFormatting>
  <conditionalFormatting sqref="D51:D53">
    <cfRule type="duplicateValues" dxfId="0" priority="16"/>
  </conditionalFormatting>
  <conditionalFormatting sqref="D54:D60">
    <cfRule type="duplicateValues" dxfId="0" priority="15"/>
  </conditionalFormatting>
  <conditionalFormatting sqref="D1:D27 D29:D31 D33:D1048576">
    <cfRule type="duplicateValues" dxfId="0" priority="4"/>
  </conditionalFormatting>
  <conditionalFormatting sqref="D33:D50 D1:D22 D61:D1048576">
    <cfRule type="duplicateValues" dxfId="0" priority="22"/>
  </conditionalFormatting>
  <conditionalFormatting sqref="AY1:BL1 AY63:BL1048576">
    <cfRule type="duplicateValues" dxfId="0" priority="21"/>
  </conditionalFormatting>
  <conditionalFormatting sqref="D27 D29:D31">
    <cfRule type="duplicateValues" dxfId="0" priority="17"/>
  </conditionalFormatting>
  <pageMargins left="0.7" right="0.7" top="0.75" bottom="0.75" header="0.3" footer="0.3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B1:AO91"/>
  <sheetViews>
    <sheetView zoomScale="85" zoomScaleNormal="85" workbookViewId="0">
      <pane xSplit="8" ySplit="4" topLeftCell="P5" activePane="bottomRight" state="frozen"/>
      <selection/>
      <selection pane="topRight"/>
      <selection pane="bottomLeft"/>
      <selection pane="bottomRight" activeCell="S24" sqref="S24"/>
    </sheetView>
  </sheetViews>
  <sheetFormatPr defaultColWidth="8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3" hidden="1" customWidth="1"/>
    <col min="8" max="9" width="13.2" style="13" customWidth="1"/>
    <col min="10" max="15" width="10.4" style="13" customWidth="1"/>
    <col min="16" max="18" width="13.9" style="13" customWidth="1"/>
    <col min="19" max="23" width="14.5" style="15" customWidth="1"/>
    <col min="24" max="27" width="17.2" style="15" customWidth="1"/>
    <col min="28" max="33" width="17.2" style="15" hidden="1" customWidth="1"/>
    <col min="34" max="34" width="13.2" style="13" customWidth="1"/>
    <col min="35" max="35" width="9.4" style="13" customWidth="1"/>
    <col min="36" max="36" width="12.4" style="13" customWidth="1"/>
    <col min="37" max="37" width="19.1" style="13" customWidth="1"/>
    <col min="38" max="38" width="16.7" style="13" customWidth="1"/>
    <col min="39" max="39" width="13.1" style="13" customWidth="1"/>
    <col min="40" max="40" width="12.6" style="13" customWidth="1"/>
    <col min="41" max="41" width="10.4" style="13" customWidth="1"/>
    <col min="42" max="16384" width="8" style="13"/>
  </cols>
  <sheetData>
    <row r="1" ht="20.95" customHeight="1" spans="2:38">
      <c r="B1" s="20" t="s">
        <v>338</v>
      </c>
      <c r="C1" s="21"/>
      <c r="D1" s="21"/>
      <c r="E1" s="22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21"/>
      <c r="AI1" s="21"/>
      <c r="AJ1" s="21"/>
      <c r="AK1" s="21"/>
      <c r="AL1" s="21"/>
    </row>
    <row r="2" ht="18" customHeight="1" spans="2:39">
      <c r="B2" s="24" t="s">
        <v>1</v>
      </c>
      <c r="C2" s="25" t="s">
        <v>2</v>
      </c>
      <c r="D2" s="26" t="s">
        <v>3</v>
      </c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300" t="s">
        <v>37</v>
      </c>
      <c r="AI2" s="301"/>
      <c r="AJ2" s="302"/>
      <c r="AK2" s="78" t="s">
        <v>339</v>
      </c>
      <c r="AL2" s="80" t="s">
        <v>36</v>
      </c>
      <c r="AM2" s="80" t="s">
        <v>280</v>
      </c>
    </row>
    <row r="3" ht="31.6" customHeight="1" spans="2:39">
      <c r="B3" s="30"/>
      <c r="C3" s="31"/>
      <c r="D3" s="32"/>
      <c r="E3" s="33" t="s">
        <v>203</v>
      </c>
      <c r="F3" s="34" t="s">
        <v>340</v>
      </c>
      <c r="G3" s="34" t="s">
        <v>341</v>
      </c>
      <c r="H3" s="317" t="s">
        <v>342</v>
      </c>
      <c r="I3" s="36" t="s">
        <v>343</v>
      </c>
      <c r="J3" s="36" t="s">
        <v>344</v>
      </c>
      <c r="K3" s="36" t="s">
        <v>345</v>
      </c>
      <c r="L3" s="36" t="s">
        <v>346</v>
      </c>
      <c r="M3" s="36" t="s">
        <v>347</v>
      </c>
      <c r="N3" s="36" t="s">
        <v>348</v>
      </c>
      <c r="O3" s="36" t="s">
        <v>349</v>
      </c>
      <c r="P3" s="36" t="s">
        <v>350</v>
      </c>
      <c r="Q3" s="36" t="s">
        <v>351</v>
      </c>
      <c r="R3" s="36" t="s">
        <v>352</v>
      </c>
      <c r="S3" s="36" t="s">
        <v>353</v>
      </c>
      <c r="T3" s="36" t="s">
        <v>344</v>
      </c>
      <c r="U3" s="36" t="s">
        <v>354</v>
      </c>
      <c r="V3" s="71" t="s">
        <v>355</v>
      </c>
      <c r="W3" s="71" t="s">
        <v>356</v>
      </c>
      <c r="X3" s="36" t="s">
        <v>357</v>
      </c>
      <c r="Y3" s="36" t="s">
        <v>358</v>
      </c>
      <c r="Z3" s="36" t="s">
        <v>359</v>
      </c>
      <c r="AA3" s="36" t="s">
        <v>360</v>
      </c>
      <c r="AB3" s="36" t="s">
        <v>361</v>
      </c>
      <c r="AC3" s="36" t="s">
        <v>362</v>
      </c>
      <c r="AD3" s="36" t="s">
        <v>363</v>
      </c>
      <c r="AE3" s="36" t="s">
        <v>364</v>
      </c>
      <c r="AF3" s="36" t="s">
        <v>365</v>
      </c>
      <c r="AG3" s="303" t="s">
        <v>366</v>
      </c>
      <c r="AH3" s="304" t="s">
        <v>367</v>
      </c>
      <c r="AI3" s="305" t="s">
        <v>368</v>
      </c>
      <c r="AJ3" s="306" t="s">
        <v>369</v>
      </c>
      <c r="AK3" s="81"/>
      <c r="AL3" s="83"/>
      <c r="AM3" s="83"/>
    </row>
    <row r="4" ht="18" customHeight="1" spans="2:39">
      <c r="B4" s="30"/>
      <c r="C4" s="31"/>
      <c r="D4" s="32"/>
      <c r="E4" s="33"/>
      <c r="F4" s="37"/>
      <c r="G4" s="37"/>
      <c r="H4" s="318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71"/>
      <c r="W4" s="71"/>
      <c r="X4" s="36"/>
      <c r="Y4" s="36"/>
      <c r="Z4" s="36"/>
      <c r="AA4" s="36"/>
      <c r="AB4" s="36"/>
      <c r="AC4" s="36"/>
      <c r="AD4" s="36"/>
      <c r="AE4" s="36"/>
      <c r="AF4" s="36"/>
      <c r="AG4" s="303"/>
      <c r="AH4" s="304"/>
      <c r="AI4" s="307"/>
      <c r="AJ4" s="308"/>
      <c r="AK4" s="81"/>
      <c r="AL4" s="83"/>
      <c r="AM4" s="83"/>
    </row>
    <row r="5" s="10" customFormat="1" ht="24.05" customHeight="1" spans="2:41">
      <c r="B5" s="45" t="s">
        <v>81</v>
      </c>
      <c r="C5" s="46" t="str">
        <f>'2023年'!C5</f>
        <v>1922339</v>
      </c>
      <c r="D5" s="46" t="str">
        <f>'2023年'!D5</f>
        <v>长春市夸克普精汽车电子有限责</v>
      </c>
      <c r="E5" s="52">
        <v>90</v>
      </c>
      <c r="F5" s="42">
        <f>SUM(I5:X5)</f>
        <v>262861.84</v>
      </c>
      <c r="G5" s="291">
        <f t="shared" ref="G5:G7" si="0">SUM(I5:V5)</f>
        <v>262861.84</v>
      </c>
      <c r="H5" s="291">
        <f>SUM(J5:AG5)</f>
        <v>450744.68</v>
      </c>
      <c r="I5" s="298"/>
      <c r="J5" s="217">
        <f>IF('2023年'!$AZ5&gt;('2023年'!$W5+'2023年'!$V5+SUM('2023年'!F5:$T5)),'2023年'!F5,IF('2023年'!$AZ5-'2023年'!$V5-'2023年'!$W5-SUM('2023年'!G5:$T5)&gt;0,'2023年'!$AZ5-'2023年'!$V5-'2023年'!$W5-SUM('2023年'!G5:$T5),""))</f>
        <v>41983.9</v>
      </c>
      <c r="K5" s="217">
        <f>IF('2023年'!$AZ5&gt;('2023年'!$W5+'2023年'!$V5+SUM('2023年'!G5:$T5)),'2023年'!G5,IF('2023年'!$AZ5-'2023年'!$V5-'2023年'!$W5-SUM('2023年'!H5:$T5)&gt;0,'2023年'!$AZ5-'2023年'!$V5-'2023年'!$W5-SUM('2023年'!H5:$T5),""))</f>
        <v>25764</v>
      </c>
      <c r="L5" s="217">
        <f>IF('2023年'!$AZ5&gt;('2023年'!$W5+'2023年'!$V5+SUM('2023年'!H5:$T5)),'2023年'!H5,IF('2023年'!$AZ5-'2023年'!$V5-'2023年'!$W5-SUM('2023年'!I5:$T5)&gt;0,'2023年'!$AZ5-'2023年'!$V5-'2023年'!$W5-SUM('2023年'!I5:$T5),""))</f>
        <v>27572</v>
      </c>
      <c r="M5" s="217">
        <f>IF('2023年'!$AZ5&gt;('2023年'!$W5+'2023年'!$V5+SUM('2023年'!I5:$T5)),'2023年'!I5,IF('2023年'!$AZ5-'2023年'!$V5-'2023年'!$W5-SUM('2023年'!J5:$T5)&gt;0,'2023年'!$AZ5-'2023年'!$V5-'2023年'!$W5-SUM('2023年'!J5:$T5),""))</f>
        <v>0</v>
      </c>
      <c r="N5" s="217">
        <f>IF('2023年'!$AZ5&gt;('2023年'!$W5+'2023年'!$V5+SUM('2023年'!J5:$T5)),'2023年'!J5,IF('2023年'!$AZ5-'2023年'!$V5-'2023年'!$W5-SUM('2023年'!K5:$T5)&gt;0,'2023年'!$AZ5-'2023年'!$V5-'2023年'!$W5-SUM('2023年'!K5:$T5),""))</f>
        <v>22562.94</v>
      </c>
      <c r="O5" s="217">
        <v>0</v>
      </c>
      <c r="P5" s="217">
        <f>IF('2023年'!$AZ5&gt;('2023年'!$W5+'2023年'!$V5+SUM('2023年'!L5:$T5)),'2023年'!L5,IF('2023年'!$AZ5-'2023年'!$V5-'2023年'!$W5-SUM('2023年'!M5:$T5)&gt;0,'2023年'!$AZ5-'2023年'!$V5-'2023年'!$W5-SUM('2023年'!M5:$T5),""))</f>
        <v>0</v>
      </c>
      <c r="Q5" s="217" t="str">
        <f>IF('2023年'!$AZ5&gt;(SUM('2023年'!V5:AG5)+SUM('2023年'!M5:$T5)),'2023年'!M5,IF('2023年'!$AZ5-SUM('2023年'!V5:AG5)-SUM('2023年'!N5:$T5)&gt;0,'2023年'!$AZ5-SUM('2023年'!V5:AG5)-SUM('2023年'!N5:$T5),""))</f>
        <v/>
      </c>
      <c r="R5" s="217">
        <v>76840</v>
      </c>
      <c r="S5" s="217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T5" s="217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U5" s="217">
        <f>IF('2023年'!$AZ5&gt;(SUM('2023年'!V5:AG5)+'2023年'!T5+'2023年'!Q5),'2023年'!Q5+'2023年'!T5,IF('2023年'!$AZ5-SUM('2023年'!V5:AG5)&gt;0,'2023年'!$AZ5-SUM('2023年'!V5:AG5),""))</f>
        <v>0</v>
      </c>
      <c r="V5" s="221">
        <f>IF('2023年'!$AZ5&gt;=SUM('2023年'!V5:$AG5),'2023年'!V5,IF('2023年'!$AZ5-SUM('2023年'!W5:$AG5)&gt;0,'2023年'!$AZ5-SUM('2023年'!W5:$AG5),0))</f>
        <v>49042</v>
      </c>
      <c r="W5" s="221">
        <f>IF('2023年'!$AZ5&gt;=SUM('2023年'!W5:$AG5),'2023年'!W5,IF('2023年'!$AZ5-SUM('2023年'!X5:$AG5)&gt;0,'2023年'!$AZ5-SUM('2023年'!X5:$AG5),0))</f>
        <v>0</v>
      </c>
      <c r="X5" s="221">
        <f>IF('2023年'!$AZ5&gt;=SUM('2023年'!X5:$AG5),'2023年'!X5,IF('2023年'!$AZ5-SUM('2023年'!Y5:$AG5)&gt;0,'2023年'!$AZ5-SUM('2023年'!Y5:$AG5),0))</f>
        <v>0</v>
      </c>
      <c r="Y5" s="44">
        <f>IF('2023年'!$AZ5&gt;=SUM('2023年'!Y5:$AG5),'2023年'!Y5,IF('2023年'!$AZ5-SUM('2023年'!Z5:$AG5)&gt;0,'2023年'!$AZ5-SUM('2023年'!Z5:$AG5),0))</f>
        <v>0</v>
      </c>
      <c r="Z5" s="44">
        <f>IF('2023年'!$AZ5&gt;=SUM('2023年'!Z5:$AG5),'2023年'!Z5,IF('2023年'!$AZ5-SUM('2023年'!AA5:$AG5)&gt;0,'2023年'!$AZ5-SUM('2023年'!AA5:$AG5),0))</f>
        <v>21696</v>
      </c>
      <c r="AA5" s="44">
        <f>IF('2023年'!$AZ5&gt;=SUM('2023年'!AA5:$AG5),'2023年'!AA5,IF('2023年'!$AZ5-SUM('2023年'!AB5:$AG5)&gt;0,'2023年'!$AZ5-SUM('2023年'!AB5:$AG5),0))</f>
        <v>0</v>
      </c>
      <c r="AB5" s="44">
        <f>IF('2023年'!$AZ5&gt;=SUM('2023年'!AB5:$AG5),'2023年'!AB5,IF('2023年'!$AZ5-SUM('2023年'!AC5:$AG5)&gt;0,'2023年'!$AZ5-SUM('2023年'!AC5:$AG5),0))</f>
        <v>16272</v>
      </c>
      <c r="AC5" s="44">
        <f>IF('2023年'!$AZ5&gt;=SUM('2023年'!AC5:$AG5),'2023年'!AC5,IF('2023年'!$AZ5-SUM('2023年'!AD5:$AG5)&gt;0,'2023年'!$AZ5-SUM('2023年'!AD5:$AG5),0))</f>
        <v>0</v>
      </c>
      <c r="AD5" s="44">
        <f>IF('2023年'!$AZ5&gt;=SUM('2023年'!AD5:$AG5),'2023年'!AD5,IF('2023年'!$AZ5-SUM('2023年'!AE5:$AG5)&gt;0,'2023年'!$AZ5-SUM('2023年'!AE5:$AG5),0))</f>
        <v>0</v>
      </c>
      <c r="AE5" s="44">
        <f>IF('2023年'!$AZ5&gt;=SUM('2023年'!AE5:$AG5),'2023年'!AE5,IF('2023年'!$AZ5-SUM('2023年'!AF5:$AG5)&gt;0,'2023年'!$AZ5-SUM('2023年'!AF5:$AG5),0))</f>
        <v>0</v>
      </c>
      <c r="AF5" s="44">
        <f>IF('2023年'!$AZ5&gt;=SUM('2023年'!AF5:$AG5),'2023年'!AF5,IF('2023年'!$AZ5-SUM('2023年'!AG5:$AG5)&gt;0,'2023年'!$AZ5-SUM('2023年'!AG5:$AG5),0))</f>
        <v>0</v>
      </c>
      <c r="AG5" s="44">
        <f>IF('2023年'!$AZ5&gt;=SUM('2023年'!AG5:$AG5),'2023年'!AG5,IF('2023年'!$AZ5-SUM('2023年'!$AG5:AH5)&gt;0,'2023年'!$AZ5-SUM('2023年'!$AG5:AH5),0))</f>
        <v>149914.84</v>
      </c>
      <c r="AH5" s="309"/>
      <c r="AI5" s="310"/>
      <c r="AJ5" s="311"/>
      <c r="AK5" s="84" t="s">
        <v>370</v>
      </c>
      <c r="AL5" s="277"/>
      <c r="AM5" s="91"/>
      <c r="AN5" s="10">
        <f>'2023年'!AZ5</f>
        <v>284557.84</v>
      </c>
      <c r="AO5" s="10">
        <f>H5-AN5</f>
        <v>166186.84</v>
      </c>
    </row>
    <row r="6" s="10" customFormat="1" ht="24.05" customHeight="1" spans="2:41">
      <c r="B6" s="45" t="s">
        <v>81</v>
      </c>
      <c r="C6" s="46" t="str">
        <f>'2023年'!C6</f>
        <v>1931396A</v>
      </c>
      <c r="D6" s="46" t="str">
        <f>'2023年'!D6</f>
        <v>芜湖卓人汽车配件有限公司</v>
      </c>
      <c r="E6" s="52">
        <v>90</v>
      </c>
      <c r="F6" s="42">
        <f t="shared" ref="F6:F7" si="1">SUM(I6:X6)</f>
        <v>0</v>
      </c>
      <c r="G6" s="291">
        <f t="shared" si="0"/>
        <v>0</v>
      </c>
      <c r="H6" s="291">
        <f t="shared" ref="H6:H10" si="2">SUM(J6:AG6)</f>
        <v>51962.54</v>
      </c>
      <c r="I6" s="298"/>
      <c r="J6" s="217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217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217"/>
      <c r="M6" s="217"/>
      <c r="N6" s="217"/>
      <c r="O6" s="217"/>
      <c r="P6" s="217">
        <f>IF('2023年'!$AZ6&gt;('2023年'!$W6+'2023年'!$V6+SUM('2023年'!L6:$T6)),'2023年'!L6,IF('2023年'!$AZ6-'2023年'!$V6-'2023年'!$W6-SUM('2023年'!M6:$T6)&gt;0,'2023年'!$AZ6-'2023年'!$V6-'2023年'!$W6-SUM('2023年'!M6:$T6),""))</f>
        <v>0</v>
      </c>
      <c r="Q6" s="217" t="str">
        <f>IF('2023年'!$AZ6&gt;(SUM('2023年'!V6:AG6)+SUM('2023年'!M6:$T6)),'2023年'!M6,IF('2023年'!$AZ6-SUM('2023年'!V6:AG6)-SUM('2023年'!N6:$T6)&gt;0,'2023年'!$AZ6-SUM('2023年'!V6:AG6)-SUM('2023年'!N6:$T6),""))</f>
        <v/>
      </c>
      <c r="R6" s="217" t="str">
        <f>IF('2023年'!$AZ6&gt;(SUM('2023年'!V6:AG6)+SUM('2023年'!N6:$T6)),'2023年'!N6,IF('2023年'!$AZ6-SUM('2023年'!V6:AG6)-SUM('2023年'!O6:$T6)&gt;0,'2023年'!$AZ6-SUM('2023年'!V6:AG6)-SUM('2023年'!O6:$T6),""))</f>
        <v/>
      </c>
      <c r="S6" s="217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T6" s="217" t="str">
        <f>IF('2023年'!$AZ6&gt;('2023年'!$T6+'2023年'!$Q6+SUM('2023年'!V6:$AG6))+'2023年'!S6+'2023年'!P6,'2023年'!P6+'2023年'!S6,IF('2023年'!$AZ6-SUM('2023年'!V6:$AG6)-'2023年'!T6-'2023年'!Q6&gt;0,'2023年'!$AZ6-SUM('2023年'!V6:X6)-'2023年'!T6-'2023年'!Q6,""))</f>
        <v/>
      </c>
      <c r="U6" s="217" t="str">
        <f>IF('2023年'!$AZ6&gt;(SUM('2023年'!V6:AG6)+'2023年'!T6+'2023年'!Q6),'2023年'!Q6+'2023年'!T6,IF('2023年'!$AZ6-SUM('2023年'!V6:AG6)&gt;0,'2023年'!$AZ6-SUM('2023年'!V6:AG6),""))</f>
        <v/>
      </c>
      <c r="V6" s="221">
        <f>IF('2023年'!$AZ6&gt;=SUM('2023年'!V6:$AG6),'2023年'!V6,IF('2023年'!$AZ6-SUM('2023年'!W6:$AG6)&gt;0,'2023年'!$AZ6-SUM('2023年'!W6:$AG6),0))</f>
        <v>0</v>
      </c>
      <c r="W6" s="221">
        <f>IF('2023年'!$AZ6&gt;=SUM('2023年'!W6:$AG6),'2023年'!W6,IF('2023年'!$AZ6-SUM('2023年'!X6:$AG6)&gt;0,'2023年'!$AZ6-SUM('2023年'!X6:$AG6),0))</f>
        <v>0</v>
      </c>
      <c r="X6" s="221">
        <f>IF('2023年'!$AZ6&gt;=SUM('2023年'!X6:$AG6),'2023年'!X6,IF('2023年'!$AZ6-SUM('2023年'!Y6:$AG6)&gt;0,'2023年'!$AZ6-SUM('2023年'!Y6:$AG6),0))</f>
        <v>0</v>
      </c>
      <c r="Y6" s="44">
        <f>IF('2023年'!$AZ6&gt;=SUM('2023年'!Y6:$AG6),'2023年'!Y6,IF('2023年'!$AZ6-SUM('2023年'!Z6:$AG6)&gt;0,'2023年'!$AZ6-SUM('2023年'!Z6:$AG6),0))</f>
        <v>0</v>
      </c>
      <c r="Z6" s="44">
        <f>IF('2023年'!$AZ6&gt;=SUM('2023年'!Z6:$AG6),'2023年'!Z6,IF('2023年'!$AZ6-SUM('2023年'!AA6:$AG6)&gt;0,'2023年'!$AZ6-SUM('2023年'!AA6:$AG6),0))</f>
        <v>14503.04</v>
      </c>
      <c r="AA6" s="44">
        <f>IF('2023年'!$AZ6&gt;=SUM('2023年'!AA6:$AG6),'2023年'!AA6,IF('2023年'!$AZ6-SUM('2023年'!AB6:$AG6)&gt;0,'2023年'!$AZ6-SUM('2023年'!AB6:$AG6),0))</f>
        <v>17261.88</v>
      </c>
      <c r="AB6" s="44">
        <f>IF('2023年'!$AZ6&gt;=SUM('2023年'!AB6:$AG6),'2023年'!AB6,IF('2023年'!$AZ6-SUM('2023年'!AC6:$AG6)&gt;0,'2023年'!$AZ6-SUM('2023年'!AC6:$AG6),0))</f>
        <v>12265.02</v>
      </c>
      <c r="AC6" s="44">
        <f>IF('2023年'!$AZ6&gt;=SUM('2023年'!AC6:$AG6),'2023年'!AC6,IF('2023年'!$AZ6-SUM('2023年'!AD6:$AG6)&gt;0,'2023年'!$AZ6-SUM('2023年'!AD6:$AG6),0))</f>
        <v>442.96</v>
      </c>
      <c r="AD6" s="44">
        <f>IF('2023年'!$AZ6&gt;=SUM('2023年'!AD6:$AG6),'2023年'!AD6,IF('2023年'!$AZ6-SUM('2023年'!AE6:$AG6)&gt;0,'2023年'!$AZ6-SUM('2023年'!AE6:$AG6),0))</f>
        <v>0</v>
      </c>
      <c r="AE6" s="44">
        <f>IF('2023年'!$AZ6&gt;=SUM('2023年'!AE6:$AG6),'2023年'!AE6,IF('2023年'!$AZ6-SUM('2023年'!AF6:$AG6)&gt;0,'2023年'!$AZ6-SUM('2023年'!AF6:$AG6),0))</f>
        <v>7268.16</v>
      </c>
      <c r="AF6" s="44">
        <f>IF('2023年'!$AZ6&gt;=SUM('2023年'!AF6:$AG6),'2023年'!AF6,IF('2023年'!$AZ6-SUM('2023年'!AG6:$AG6)&gt;0,'2023年'!$AZ6-SUM('2023年'!AG6:$AG6),0))</f>
        <v>221.48</v>
      </c>
      <c r="AG6" s="44">
        <f>IF('2023年'!$AZ6&gt;=SUM('2023年'!AG6:$AG6),'2023年'!AG6,IF('2023年'!$AZ6-SUM('2023年'!$AG6:AH6)&gt;0,'2023年'!$AZ6-SUM('2023年'!$AG6:AH6),0))</f>
        <v>0</v>
      </c>
      <c r="AH6" s="309"/>
      <c r="AI6" s="310"/>
      <c r="AJ6" s="311"/>
      <c r="AK6" s="84" t="s">
        <v>371</v>
      </c>
      <c r="AL6" s="277"/>
      <c r="AM6" s="91"/>
      <c r="AN6" s="10">
        <f>'2023年'!AZ6</f>
        <v>51962.54</v>
      </c>
      <c r="AO6" s="10">
        <f t="shared" ref="AO6:AO36" si="3">H6-AN6</f>
        <v>0</v>
      </c>
    </row>
    <row r="7" s="10" customFormat="1" ht="24.05" customHeight="1" spans="2:41">
      <c r="B7" s="45" t="s">
        <v>81</v>
      </c>
      <c r="C7" s="46" t="str">
        <f>'2023年'!C7</f>
        <v>1933001</v>
      </c>
      <c r="D7" s="46" t="str">
        <f>'2023年'!D7</f>
        <v>宁波市北仑屹昌机械有限公司</v>
      </c>
      <c r="E7" s="52">
        <v>90</v>
      </c>
      <c r="F7" s="42">
        <f t="shared" si="1"/>
        <v>0</v>
      </c>
      <c r="G7" s="291">
        <f t="shared" si="0"/>
        <v>0</v>
      </c>
      <c r="H7" s="291">
        <f t="shared" si="2"/>
        <v>591529.89</v>
      </c>
      <c r="I7" s="298"/>
      <c r="J7" s="217">
        <v>0</v>
      </c>
      <c r="K7" s="217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217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217"/>
      <c r="N7" s="217"/>
      <c r="O7" s="217" t="str">
        <f>IF('2023年'!$AZ7&gt;(SUM('2023年'!$V7:AG7)+SUM('2023年'!K7:$T7)),'2023年'!K7,IF('2023年'!$AZ7-SUM('2023年'!$V7:AG7)-SUM('2023年'!L7:$T7)&gt;0,'2023年'!$AZ7-SUM('2023年'!$V7:AG7)-SUM('2023年'!L7:$T7),""))</f>
        <v/>
      </c>
      <c r="P7" s="217" t="str">
        <f>IF('2023年'!$AZ7&gt;(SUM(V7:AG7)+SUM('2023年'!L7:$T7)),'2023年'!L7,IF('2023年'!$AZ7-SUM(V7:AG7)-SUM('2023年'!M7:$T7)&gt;0,'2023年'!$AZ7-SUM(V7:AG7)-SUM('2023年'!M7:$T7),""))</f>
        <v/>
      </c>
      <c r="Q7" s="217" t="str">
        <f>IF('2023年'!$AZ7&gt;(SUM('2023年'!V7:AG7)+SUM('2023年'!M7:$T7)),'2023年'!M7,IF('2023年'!$AZ7-SUM('2023年'!V7:AG7)-SUM('2023年'!N7:$T7)&gt;0,'2023年'!$AZ7-SUM('2023年'!V7:AG7)-SUM('2023年'!N7:$T7),""))</f>
        <v/>
      </c>
      <c r="R7" s="217" t="str">
        <f>IF('2023年'!$AZ7&gt;(SUM('2023年'!V7:AG7)+SUM('2023年'!N7:$T7)),'2023年'!N7,IF('2023年'!$AZ7-SUM('2023年'!V7:AG7)-SUM('2023年'!O7:$T7)&gt;0,'2023年'!$AZ7-SUM('2023年'!V7:AG7)-SUM('2023年'!O7:$T7),""))</f>
        <v/>
      </c>
      <c r="S7" s="217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T7" s="217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U7" s="217" t="str">
        <f>IF('2023年'!$AZ7&gt;(SUM('2023年'!V7:AG7)+'2023年'!T7+'2023年'!Q7),'2023年'!Q7+'2023年'!T7,IF('2023年'!$AZ7-SUM('2023年'!V7:AG7)&gt;0,'2023年'!$AZ7-SUM('2023年'!V7:AG7),""))</f>
        <v/>
      </c>
      <c r="V7" s="221">
        <f>IF('2023年'!$AZ7&gt;=SUM('2023年'!V7:$AG7),'2023年'!V7,IF('2023年'!$AZ7-SUM('2023年'!W7:$AG7)&gt;0,'2023年'!$AZ7-SUM('2023年'!W7:$AG7),0))</f>
        <v>0</v>
      </c>
      <c r="W7" s="221">
        <f>IF('2023年'!$AZ7&gt;=SUM('2023年'!W7:$AG7),'2023年'!W7,IF('2023年'!$AZ7-SUM('2023年'!X7:$AG7)&gt;0,'2023年'!$AZ7-SUM('2023年'!X7:$AG7),0))</f>
        <v>0</v>
      </c>
      <c r="X7" s="221">
        <f>IF('2023年'!$AZ7&gt;=SUM('2023年'!X7:$AG7),'2023年'!X7,IF('2023年'!$AZ7-SUM('2023年'!Y7:$AG7)&gt;0,'2023年'!$AZ7-SUM('2023年'!Y7:$AG7),0))</f>
        <v>0</v>
      </c>
      <c r="Y7" s="44">
        <f>IF('2023年'!$AZ7&gt;=SUM('2023年'!Y7:$AG7),'2023年'!Y7,IF('2023年'!$AZ7-SUM('2023年'!Z7:$AG7)&gt;0,'2023年'!$AZ7-SUM('2023年'!Z7:$AG7),0))</f>
        <v>0</v>
      </c>
      <c r="Z7" s="44">
        <f>IF('2023年'!$AZ7&gt;=SUM('2023年'!Z7:$AG7),'2023年'!Z7,IF('2023年'!$AZ7-SUM('2023年'!AA7:$AG7)&gt;0,'2023年'!$AZ7-SUM('2023年'!AA7:$AG7),0))</f>
        <v>0</v>
      </c>
      <c r="AA7" s="44">
        <f>IF('2023年'!$AZ7&gt;=SUM('2023年'!AA7:$AG7),'2023年'!AA7,IF('2023年'!$AZ7-SUM('2023年'!AB7:$AG7)&gt;0,'2023年'!$AZ7-SUM('2023年'!AB7:$AG7),0))</f>
        <v>9272.73000000021</v>
      </c>
      <c r="AB7" s="44">
        <f>IF('2023年'!$AZ7&gt;=SUM('2023年'!AB7:$AG7),'2023年'!AB7,IF('2023年'!$AZ7-SUM('2023年'!AC7:$AG7)&gt;0,'2023年'!$AZ7-SUM('2023年'!AC7:$AG7),0))</f>
        <v>216571.33</v>
      </c>
      <c r="AC7" s="44">
        <f>IF('2023年'!$AZ7&gt;=SUM('2023年'!AC7:$AG7),'2023年'!AC7,IF('2023年'!$AZ7-SUM('2023年'!AD7:$AG7)&gt;0,'2023年'!$AZ7-SUM('2023年'!AD7:$AG7),0))</f>
        <v>42820.86</v>
      </c>
      <c r="AD7" s="44">
        <f>IF('2023年'!$AZ7&gt;=SUM('2023年'!AD7:$AG7),'2023年'!AD7,IF('2023年'!$AZ7-SUM('2023年'!AE7:$AG7)&gt;0,'2023年'!$AZ7-SUM('2023年'!AE7:$AG7),0))</f>
        <v>46304.35</v>
      </c>
      <c r="AE7" s="44">
        <f>IF('2023年'!$AZ7&gt;=SUM('2023年'!AE7:$AG7),'2023年'!AE7,IF('2023年'!$AZ7-SUM('2023年'!AF7:$AG7)&gt;0,'2023年'!$AZ7-SUM('2023年'!AF7:$AG7),0))</f>
        <v>121434.8</v>
      </c>
      <c r="AF7" s="44">
        <f>IF('2023年'!$AZ7&gt;=SUM('2023年'!AF7:$AG7),'2023年'!AF7,IF('2023年'!$AZ7-SUM('2023年'!AG7:$AG7)&gt;0,'2023年'!$AZ7-SUM('2023年'!AG7:$AG7),0))</f>
        <v>68031.5</v>
      </c>
      <c r="AG7" s="44">
        <f>IF('2023年'!$AZ7&gt;=SUM('2023年'!AG7:$AG7),'2023年'!AG7,IF('2023年'!$AZ7-SUM('2023年'!$AG7:AH7)&gt;0,'2023年'!$AZ7-SUM('2023年'!$AG7:AH7),0))</f>
        <v>87094.32</v>
      </c>
      <c r="AH7" s="309"/>
      <c r="AI7" s="310"/>
      <c r="AJ7" s="311" t="s">
        <v>372</v>
      </c>
      <c r="AK7" s="84" t="s">
        <v>373</v>
      </c>
      <c r="AL7" s="277"/>
      <c r="AM7" s="91"/>
      <c r="AN7" s="10">
        <f>'2023年'!AZ7</f>
        <v>591529.89</v>
      </c>
      <c r="AO7" s="10">
        <f t="shared" si="3"/>
        <v>0</v>
      </c>
    </row>
    <row r="8" s="10" customFormat="1" ht="24.05" customHeight="1" spans="2:41">
      <c r="B8" s="45" t="s">
        <v>81</v>
      </c>
      <c r="C8" s="46" t="str">
        <f>'2023年'!C8</f>
        <v>1933361</v>
      </c>
      <c r="D8" s="46" t="str">
        <f>'2023年'!D8</f>
        <v>宁波精成车业有限公司</v>
      </c>
      <c r="E8" s="41">
        <v>60</v>
      </c>
      <c r="F8" s="42">
        <f>SUM(I8:Y8)</f>
        <v>0</v>
      </c>
      <c r="G8" s="291">
        <f t="shared" ref="G8:G14" si="4">SUM(I8:W8)</f>
        <v>0</v>
      </c>
      <c r="H8" s="291">
        <f t="shared" si="2"/>
        <v>164900.45</v>
      </c>
      <c r="I8" s="298"/>
      <c r="J8" s="217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217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217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217" t="str">
        <f>IF('2023年'!$AZ8&gt;('2023年'!$W8+'2023年'!$V8+SUM('2023年'!I8:$T8)),'2023年'!I8,IF('2023年'!$AZ8-'2023年'!$V8-'2023年'!$W8-SUM('2023年'!J8:$T8)&gt;0,'2023年'!$AZ8-'2023年'!$V8-'2023年'!$W8-SUM('2023年'!J8:$T8),""))</f>
        <v/>
      </c>
      <c r="N8" s="217" t="str">
        <f>IF('2023年'!$AZ8&gt;('2023年'!$W8+'2023年'!$V8+SUM('2023年'!J8:$T8)),'2023年'!J8,IF('2023年'!$AZ8-'2023年'!$V8-'2023年'!$W8-SUM('2023年'!K8:$T8)&gt;0,'2023年'!$AZ8-'2023年'!$V8-'2023年'!$W8-SUM('2023年'!K8:$T8),""))</f>
        <v/>
      </c>
      <c r="O8" s="217" t="str">
        <f>IF('2023年'!$AZ8&gt;('2023年'!$W8+'2023年'!$V8+SUM('2023年'!K8:$T8)),'2023年'!K8,IF('2023年'!$AZ8-'2023年'!$V8-'2023年'!$W8-SUM('2023年'!L8:$T8)&gt;0,'2023年'!$AZ8-'2023年'!$V8-'2023年'!$W8-SUM('2023年'!L8:$T8),""))</f>
        <v/>
      </c>
      <c r="P8" s="217" t="str">
        <f>IF('2023年'!$AZ8&gt;('2023年'!$W8+'2023年'!$V8+SUM('2023年'!L8:$T8)),'2023年'!L8,IF('2023年'!$AZ8-'2023年'!$V8-'2023年'!$W8-SUM('2023年'!M8:$T8)&gt;0,'2023年'!$AZ8-'2023年'!$V8-'2023年'!$W8-SUM('2023年'!M8:$T8),""))</f>
        <v/>
      </c>
      <c r="Q8" s="217" t="str">
        <f>IF('2023年'!$AZ8&gt;(SUM('2023年'!V8:AG8)+SUM('2023年'!M8:$T8)),'2023年'!M8,IF('2023年'!$AZ8-SUM('2023年'!V8:AG8)-SUM('2023年'!N8:$T8)&gt;0,'2023年'!$AZ8-SUM('2023年'!V8:AG8)-SUM('2023年'!N8:$T8),""))</f>
        <v/>
      </c>
      <c r="R8" s="217" t="str">
        <f>IF('2023年'!$AZ8&gt;(SUM('2023年'!V8:AG8)+SUM('2023年'!N8:$T8)),'2023年'!N8,IF('2023年'!$AZ8-SUM('2023年'!V8:AG8)-SUM('2023年'!O8:$T8)&gt;0,'2023年'!$AZ8-SUM('2023年'!V8:AG8)-SUM('2023年'!O8:$T8),""))</f>
        <v/>
      </c>
      <c r="S8" s="217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T8" s="217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U8" s="217" t="str">
        <f>IF('2023年'!$AZ8&gt;(SUM('2023年'!V8:AG8)+'2023年'!T8+'2023年'!Q8),'2023年'!Q8+'2023年'!T8,IF('2023年'!$AZ8-SUM('2023年'!V8:AG8)&gt;0,'2023年'!$AZ8-SUM('2023年'!V8:AG8),""))</f>
        <v/>
      </c>
      <c r="V8" s="221">
        <f>IF('2023年'!$AZ8&gt;=SUM('2023年'!V8:$AG8),'2023年'!V8,IF('2023年'!$AZ8-SUM('2023年'!W8:$AG8)&gt;0,'2023年'!$AZ8-SUM('2023年'!W8:$AG8),0))</f>
        <v>0</v>
      </c>
      <c r="W8" s="221">
        <f>IF('2023年'!$AZ8&gt;=SUM('2023年'!W8:$AG8),'2023年'!W8,IF('2023年'!$AZ8-SUM('2023年'!X8:$AG8)&gt;0,'2023年'!$AZ8-SUM('2023年'!X8:$AG8),0))</f>
        <v>0</v>
      </c>
      <c r="X8" s="221">
        <f>IF('2023年'!$AZ8&gt;=SUM('2023年'!X8:$AG8),'2023年'!X8,IF('2023年'!$AZ8-SUM('2023年'!Y8:$AG8)&gt;0,'2023年'!$AZ8-SUM('2023年'!Y8:$AG8),0))</f>
        <v>0</v>
      </c>
      <c r="Y8" s="44">
        <f>IF('2023年'!$AZ8&gt;=SUM('2023年'!Y8:$AG8),'2023年'!Y8,IF('2023年'!$AZ8-SUM('2023年'!Z8:$AG8)&gt;0,'2023年'!$AZ8-SUM('2023年'!Z8:$AG8),0))</f>
        <v>0</v>
      </c>
      <c r="Z8" s="44">
        <f>IF('2023年'!$AZ8&gt;=SUM('2023年'!Z8:$AG8),'2023年'!Z8,IF('2023年'!$AZ8-SUM('2023年'!AA8:$AG8)&gt;0,'2023年'!$AZ8-SUM('2023年'!AA8:$AG8),0))</f>
        <v>0</v>
      </c>
      <c r="AA8" s="44">
        <f>IF('2023年'!$AZ8&gt;=SUM('2023年'!AA8:$AG8),'2023年'!AA8,IF('2023年'!$AZ8-SUM('2023年'!AB8:$AG8)&gt;0,'2023年'!$AZ8-SUM('2023年'!AB8:$AG8),0))</f>
        <v>0</v>
      </c>
      <c r="AB8" s="44">
        <f>IF('2023年'!$AZ8&gt;=SUM('2023年'!AB8:$AG8),'2023年'!AB8,IF('2023年'!$AZ8-SUM('2023年'!AC8:$AG8)&gt;0,'2023年'!$AZ8-SUM('2023年'!AC8:$AG8),0))</f>
        <v>0</v>
      </c>
      <c r="AC8" s="44">
        <f>IF('2023年'!$AZ8&gt;=SUM('2023年'!AC8:$AG8),'2023年'!AC8,IF('2023年'!$AZ8-SUM('2023年'!AD8:$AG8)&gt;0,'2023年'!$AZ8-SUM('2023年'!AD8:$AG8),0))</f>
        <v>0</v>
      </c>
      <c r="AD8" s="44">
        <f>IF('2023年'!$AZ8&gt;=SUM('2023年'!AD8:$AG8),'2023年'!AD8,IF('2023年'!$AZ8-SUM('2023年'!AE8:$AG8)&gt;0,'2023年'!$AZ8-SUM('2023年'!AE8:$AG8),0))</f>
        <v>0</v>
      </c>
      <c r="AE8" s="44">
        <f>IF('2023年'!$AZ8&gt;=SUM('2023年'!AE8:$AG8),'2023年'!AE8,IF('2023年'!$AZ8-SUM('2023年'!AF8:$AG8)&gt;0,'2023年'!$AZ8-SUM('2023年'!AF8:$AG8),0))</f>
        <v>0</v>
      </c>
      <c r="AF8" s="44">
        <f>IF('2023年'!$AZ8&gt;=SUM('2023年'!AF8:$AG8),'2023年'!AF8,IF('2023年'!$AZ8-SUM('2023年'!AG8:$AG8)&gt;0,'2023年'!$AZ8-SUM('2023年'!AG8:$AG8),0))</f>
        <v>109933.63</v>
      </c>
      <c r="AG8" s="44">
        <f>IF('2023年'!$AZ8&gt;=SUM('2023年'!AG8:$AG8),'2023年'!AG8,IF('2023年'!$AZ8-SUM('2023年'!$AG8:AH8)&gt;0,'2023年'!$AZ8-SUM('2023年'!$AG8:AH8),0))</f>
        <v>54966.82</v>
      </c>
      <c r="AH8" s="309"/>
      <c r="AI8" s="310"/>
      <c r="AJ8" s="311" t="s">
        <v>374</v>
      </c>
      <c r="AK8" s="84" t="s">
        <v>375</v>
      </c>
      <c r="AL8" s="277"/>
      <c r="AM8" s="91"/>
      <c r="AN8" s="10">
        <f>'2023年'!AZ8</f>
        <v>164900.45</v>
      </c>
      <c r="AO8" s="10">
        <f t="shared" si="3"/>
        <v>0</v>
      </c>
    </row>
    <row r="9" s="10" customFormat="1" ht="24.05" customHeight="1" spans="2:41">
      <c r="B9" s="45" t="s">
        <v>81</v>
      </c>
      <c r="C9" s="46" t="str">
        <f>'2023年'!C9</f>
        <v>1933511</v>
      </c>
      <c r="D9" s="46" t="str">
        <f>'2023年'!D9</f>
        <v>浙江万福机电科技有限公司</v>
      </c>
      <c r="E9" s="41" t="s">
        <v>111</v>
      </c>
      <c r="F9" s="42">
        <f>SUM(I9:U9)</f>
        <v>62.7000000000698</v>
      </c>
      <c r="G9" s="291">
        <f t="shared" ref="G9" si="5">SUM(I9:T9)</f>
        <v>62.7000000000698</v>
      </c>
      <c r="H9" s="291">
        <f t="shared" si="2"/>
        <v>125.40000000014</v>
      </c>
      <c r="I9" s="298"/>
      <c r="J9" s="217">
        <v>62.7000000000698</v>
      </c>
      <c r="K9" s="217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217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217">
        <f>IF('2023年'!$AZ9&gt;('2023年'!$W9+'2023年'!$V9+SUM('2023年'!I9:$T9)),'2023年'!I9,IF('2023年'!$AZ9-'2023年'!$V9-'2023年'!$W9-SUM('2023年'!J9:$T9)&gt;0,'2023年'!$AZ9-'2023年'!$V9-'2023年'!$W9-SUM('2023年'!J9:$T9),""))</f>
        <v>0</v>
      </c>
      <c r="N9" s="217">
        <f>IF('2023年'!$AZ9&gt;('2023年'!$W9+'2023年'!$V9+SUM('2023年'!J9:$T9)),'2023年'!J9,IF('2023年'!$AZ9-'2023年'!$V9-'2023年'!$W9-SUM('2023年'!K9:$T9)&gt;0,'2023年'!$AZ9-'2023年'!$V9-'2023年'!$W9-SUM('2023年'!K9:$T9),""))</f>
        <v>0</v>
      </c>
      <c r="O9" s="217">
        <f>IF('2023年'!$AZ9&gt;('2023年'!$W9+'2023年'!$V9+SUM('2023年'!K9:$T9)),'2023年'!K9,IF('2023年'!$AZ9-'2023年'!$V9-'2023年'!$W9-SUM('2023年'!L9:$T9)&gt;0,'2023年'!$AZ9-'2023年'!$V9-'2023年'!$W9-SUM('2023年'!L9:$T9),""))</f>
        <v>0</v>
      </c>
      <c r="P9" s="217">
        <f>IF('2023年'!$AZ9&gt;('2023年'!$W9+'2023年'!$V9+SUM('2023年'!L9:$T9)),'2023年'!L9,IF('2023年'!$AZ9-'2023年'!$V9-'2023年'!$W9-SUM('2023年'!M9:$T9)&gt;0,'2023年'!$AZ9-'2023年'!$V9-'2023年'!$W9-SUM('2023年'!M9:$T9),""))</f>
        <v>0</v>
      </c>
      <c r="Q9" s="217" t="str">
        <f>IF('2023年'!$AZ9&gt;(SUM('2023年'!V9:AG9)+SUM('2023年'!M9:$T9)),'2023年'!M9,IF('2023年'!$AZ9-SUM('2023年'!V9:AG9)-SUM('2023年'!N9:$T9)&gt;0,'2023年'!$AZ9-SUM('2023年'!V9:AG9)-SUM('2023年'!N9:$T9),""))</f>
        <v/>
      </c>
      <c r="R9" s="217" t="str">
        <f>IF('2023年'!$AZ9&gt;(SUM('2023年'!V9:AG9)+SUM('2023年'!N9:$T9)),'2023年'!N9,IF('2023年'!$AZ9-SUM('2023年'!V9:AG9)-SUM('2023年'!O9:$T9)&gt;0,'2023年'!$AZ9-SUM('2023年'!V9:AG9)-SUM('2023年'!O9:$T9),""))</f>
        <v/>
      </c>
      <c r="S9" s="217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T9" s="217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U9" s="217" t="str">
        <f>IF('2023年'!$AZ9&gt;(SUM('2023年'!V9:AG9)+'2023年'!T9+'2023年'!Q9),'2023年'!Q9+'2023年'!T9,IF('2023年'!$AZ9-SUM('2023年'!V9:AG9)&gt;0,'2023年'!$AZ9-SUM('2023年'!V9:AG9),""))</f>
        <v/>
      </c>
      <c r="V9" s="221">
        <f>IF('2023年'!$AZ9&gt;=SUM('2023年'!V9:$AG9),'2023年'!V9,IF('2023年'!$AZ9-SUM('2023年'!W9:$AG9)&gt;0,'2023年'!$AZ9-SUM('2023年'!W9:$AG9),0))</f>
        <v>0</v>
      </c>
      <c r="W9" s="221">
        <f>IF('2023年'!$AZ9&gt;=SUM('2023年'!W9:$AG9),'2023年'!W9,IF('2023年'!$AZ9-SUM('2023年'!X9:$AG9)&gt;0,'2023年'!$AZ9-SUM('2023年'!X9:$AG9),0))</f>
        <v>0</v>
      </c>
      <c r="X9" s="221">
        <f>IF('2023年'!$AZ9&gt;=SUM('2023年'!X9:$AG9),'2023年'!X9,IF('2023年'!$AZ9-SUM('2023年'!Y9:$AG9)&gt;0,'2023年'!$AZ9-SUM('2023年'!Y9:$AG9),0))</f>
        <v>0</v>
      </c>
      <c r="Y9" s="44">
        <f>IF('2023年'!$AZ9&gt;=SUM('2023年'!Y9:$AG9),'2023年'!Y9,IF('2023年'!$AZ9-SUM('2023年'!Z9:$AG9)&gt;0,'2023年'!$AZ9-SUM('2023年'!Z9:$AG9),0))</f>
        <v>0</v>
      </c>
      <c r="Z9" s="44">
        <f>IF('2023年'!$AZ9&gt;=SUM('2023年'!Z9:$AG9),'2023年'!Z9,IF('2023年'!$AZ9-SUM('2023年'!AA9:$AG9)&gt;0,'2023年'!$AZ9-SUM('2023年'!AA9:$AG9),0))</f>
        <v>0</v>
      </c>
      <c r="AA9" s="44">
        <f>IF('2023年'!$AZ9&gt;=SUM('2023年'!AA9:$AG9),'2023年'!AA9,IF('2023年'!$AZ9-SUM('2023年'!AB9:$AG9)&gt;0,'2023年'!$AZ9-SUM('2023年'!AB9:$AG9),0))</f>
        <v>0</v>
      </c>
      <c r="AB9" s="44">
        <f>IF('2023年'!$AZ9&gt;=SUM('2023年'!AB9:$AG9),'2023年'!AB9,IF('2023年'!$AZ9-SUM('2023年'!AC9:$AG9)&gt;0,'2023年'!$AZ9-SUM('2023年'!AC9:$AG9),0))</f>
        <v>0</v>
      </c>
      <c r="AC9" s="44">
        <f>IF('2023年'!$AZ9&gt;=SUM('2023年'!AC9:$AG9),'2023年'!AC9,IF('2023年'!$AZ9-SUM('2023年'!AD9:$AG9)&gt;0,'2023年'!$AZ9-SUM('2023年'!AD9:$AG9),0))</f>
        <v>0</v>
      </c>
      <c r="AD9" s="44">
        <f>IF('2023年'!$AZ9&gt;=SUM('2023年'!AD9:$AG9),'2023年'!AD9,IF('2023年'!$AZ9-SUM('2023年'!AE9:$AG9)&gt;0,'2023年'!$AZ9-SUM('2023年'!AE9:$AG9),0))</f>
        <v>0</v>
      </c>
      <c r="AE9" s="44">
        <f>IF('2023年'!$AZ9&gt;=SUM('2023年'!AE9:$AG9),'2023年'!AE9,IF('2023年'!$AZ9-SUM('2023年'!AF9:$AG9)&gt;0,'2023年'!$AZ9-SUM('2023年'!AF9:$AG9),0))</f>
        <v>0</v>
      </c>
      <c r="AF9" s="44">
        <f>IF('2023年'!$AZ9&gt;=SUM('2023年'!AF9:$AG9),'2023年'!AF9,IF('2023年'!$AZ9-SUM('2023年'!AG9:$AG9)&gt;0,'2023年'!$AZ9-SUM('2023年'!AG9:$AG9),0))</f>
        <v>62.7000000000698</v>
      </c>
      <c r="AG9" s="44">
        <f>IF('2023年'!$AZ9&gt;=SUM('2023年'!AG9:$AG9),'2023年'!AG9,IF('2023年'!$AZ9-SUM('2023年'!$AG9:AH9)&gt;0,'2023年'!$AZ9-SUM('2023年'!$AG9:AH9),0))</f>
        <v>0</v>
      </c>
      <c r="AH9" s="309"/>
      <c r="AI9" s="310"/>
      <c r="AJ9" s="311" t="s">
        <v>372</v>
      </c>
      <c r="AK9" s="84" t="s">
        <v>376</v>
      </c>
      <c r="AL9" s="277"/>
      <c r="AM9" s="91"/>
      <c r="AN9" s="10">
        <f>'2023年'!AZ9</f>
        <v>62.7000000000698</v>
      </c>
      <c r="AO9" s="10">
        <f t="shared" si="3"/>
        <v>62.7000000000698</v>
      </c>
    </row>
    <row r="10" s="10" customFormat="1" ht="24.05" customHeight="1" spans="2:41">
      <c r="B10" s="45" t="s">
        <v>81</v>
      </c>
      <c r="C10" s="46" t="str">
        <f>'2023年'!C10</f>
        <v>1937045</v>
      </c>
      <c r="D10" s="46" t="str">
        <f>'2023年'!D10</f>
        <v>烟台美龙汽车部件有限公司</v>
      </c>
      <c r="E10" s="52">
        <v>90</v>
      </c>
      <c r="F10" s="42">
        <f>SUM(I10:X10)</f>
        <v>330296.93</v>
      </c>
      <c r="G10" s="291">
        <f>SUM(I10:V10)</f>
        <v>175017.8</v>
      </c>
      <c r="H10" s="291">
        <f t="shared" si="2"/>
        <v>555314.73</v>
      </c>
      <c r="I10" s="298"/>
      <c r="J10" s="217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217">
        <f>IF('2023年'!$AZ10&gt;('2023年'!$W10+'2023年'!$V10+SUM('2023年'!G10:$T10)),'2023年'!G10,IF('2023年'!$AZ10-'2023年'!$V10-'2023年'!$W10-SUM('2023年'!H10:$T10)&gt;0,'2023年'!$AZ10-'2023年'!$V10-'2023年'!$W10-SUM('2023年'!H10:$T10),""))</f>
        <v>3313.33999999997</v>
      </c>
      <c r="L10" s="217">
        <f>IF('2023年'!$AZ10&gt;('2023年'!$W10+'2023年'!$V10+SUM('2023年'!H10:$T10)),'2023年'!H10,IF('2023年'!$AZ10-'2023年'!$V10-'2023年'!$W10-SUM('2023年'!I10:$T10)&gt;0,'2023年'!$AZ10-'2023年'!$V10-'2023年'!$W10-SUM('2023年'!I10:$T10),""))</f>
        <v>41943.51</v>
      </c>
      <c r="M10" s="217">
        <f>IF('2023年'!$AZ10&gt;('2023年'!$W10+'2023年'!$V10+SUM('2023年'!I10:$T10)),'2023年'!I10,IF('2023年'!$AZ10-'2023年'!$V10-'2023年'!$W10-SUM('2023年'!J10:$T10)&gt;0,'2023年'!$AZ10-'2023年'!$V10-'2023年'!$W10-SUM('2023年'!J10:$T10),""))</f>
        <v>45070.5</v>
      </c>
      <c r="N10" s="217">
        <f>IF('2023年'!$AZ10&gt;('2023年'!$W10+'2023年'!$V10+SUM('2023年'!J10:$T10)),'2023年'!J10,IF('2023年'!$AZ10-'2023年'!$V10-'2023年'!$W10-SUM('2023年'!K10:$T10)&gt;0,'2023年'!$AZ10-'2023年'!$V10-'2023年'!$W10-SUM('2023年'!K10:$T10),""))</f>
        <v>21281.97</v>
      </c>
      <c r="O10" s="217">
        <f>IF('2023年'!$AZ10&gt;('2023年'!$W10+'2023年'!$V10+SUM('2023年'!K10:$T10)),'2023年'!K10,IF('2023年'!$AZ10-'2023年'!$V10-'2023年'!$W10-SUM('2023年'!L10:$T10)&gt;0,'2023年'!$AZ10-'2023年'!$V10-'2023年'!$W10-SUM('2023年'!L10:$T10),""))</f>
        <v>32137.2</v>
      </c>
      <c r="P10" s="217">
        <f>IF('2023年'!$AZ10&gt;('2023年'!$W10+'2023年'!$V10+SUM('2023年'!L10:$T10)),'2023年'!L10,IF('2023年'!$AZ10-'2023年'!$V10-'2023年'!$W10-SUM('2023年'!M10:$T10)&gt;0,'2023年'!$AZ10-'2023年'!$V10-'2023年'!$W10-SUM('2023年'!M10:$T10),""))</f>
        <v>31271.28</v>
      </c>
      <c r="Q10" s="217" t="str">
        <f>IF('2023年'!$AZ10&gt;(SUM('2023年'!V10:AG10)+SUM('2023年'!M10:$T10)),'2023年'!M10,IF('2023年'!$AZ10-SUM('2023年'!V10:AG10)-SUM('2023年'!N10:$T10)&gt;0,'2023年'!$AZ10-SUM('2023年'!V10:AG10)-SUM('2023年'!N10:$T10),""))</f>
        <v/>
      </c>
      <c r="R10" s="217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S10" s="217" t="str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/>
      </c>
      <c r="T10" s="217" t="str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/>
      </c>
      <c r="U10" s="217" t="str">
        <f>IF('2023年'!$AZ10&gt;(SUM('2023年'!V10:AG10)+'2023年'!T10+'2023年'!Q10),'2023年'!Q10+'2023年'!T10,IF('2023年'!$AZ10-SUM('2023年'!V10:AG10)&gt;0,'2023年'!$AZ10-SUM('2023年'!V10:AG10),""))</f>
        <v/>
      </c>
      <c r="V10" s="221">
        <f>IF('2023年'!$AZ10&gt;=SUM('2023年'!V10:$AG10),'2023年'!V10,IF('2023年'!$AZ10-SUM('2023年'!W10:$AG10)&gt;0,'2023年'!$AZ10-SUM('2023年'!W10:$AG10),0))</f>
        <v>0</v>
      </c>
      <c r="W10" s="221">
        <f>IF('2023年'!$AZ10&gt;=SUM('2023年'!W10:$AG10),'2023年'!W10,IF('2023年'!$AZ10-SUM('2023年'!X10:$AG10)&gt;0,'2023年'!$AZ10-SUM('2023年'!X10:$AG10),0))</f>
        <v>155279.13</v>
      </c>
      <c r="X10" s="221">
        <f>IF('2023年'!$AZ10&gt;=SUM('2023年'!X10:$AG10),'2023年'!X10,IF('2023年'!$AZ10-SUM('2023年'!Y10:$AG10)&gt;0,'2023年'!$AZ10-SUM('2023年'!Y10:$AG10),0))</f>
        <v>0</v>
      </c>
      <c r="Y10" s="44">
        <f>IF('2023年'!$AZ10&gt;=SUM('2023年'!Y10:$AG10),'2023年'!Y10,IF('2023年'!$AZ10-SUM('2023年'!Z10:$AG10)&gt;0,'2023年'!$AZ10-SUM('2023年'!Z10:$AG10),0))</f>
        <v>0</v>
      </c>
      <c r="Z10" s="44">
        <f>IF('2023年'!$AZ10&gt;=SUM('2023年'!Z10:$AG10),'2023年'!Z10,IF('2023年'!$AZ10-SUM('2023年'!AA10:$AG10)&gt;0,'2023年'!$AZ10-SUM('2023年'!AA10:$AG10),0))</f>
        <v>0</v>
      </c>
      <c r="AA10" s="44">
        <f>IF('2023年'!$AZ10&gt;=SUM('2023年'!AA10:$AG10),'2023年'!AA10,IF('2023年'!$AZ10-SUM('2023年'!AB10:$AG10)&gt;0,'2023年'!$AZ10-SUM('2023年'!AB10:$AG10),0))</f>
        <v>0</v>
      </c>
      <c r="AB10" s="44">
        <f>IF('2023年'!$AZ10&gt;=SUM('2023年'!AB10:$AG10),'2023年'!AB10,IF('2023年'!$AZ10-SUM('2023年'!AC10:$AG10)&gt;0,'2023年'!$AZ10-SUM('2023年'!AC10:$AG10),0))</f>
        <v>89595.83</v>
      </c>
      <c r="AC10" s="44">
        <f>IF('2023年'!$AZ10&gt;=SUM('2023年'!AC10:$AG10),'2023年'!AC10,IF('2023年'!$AZ10-SUM('2023年'!AD10:$AG10)&gt;0,'2023年'!$AZ10-SUM('2023年'!AD10:$AG10),0))</f>
        <v>0</v>
      </c>
      <c r="AD10" s="44">
        <f>IF('2023年'!$AZ10&gt;=SUM('2023年'!AD10:$AG10),'2023年'!AD10,IF('2023年'!$AZ10-SUM('2023年'!AE10:$AG10)&gt;0,'2023年'!$AZ10-SUM('2023年'!AE10:$AG10),0))</f>
        <v>0</v>
      </c>
      <c r="AE10" s="44">
        <f>IF('2023年'!$AZ10&gt;=SUM('2023年'!AE10:$AG10),'2023年'!AE10,IF('2023年'!$AZ10-SUM('2023年'!AF10:$AG10)&gt;0,'2023年'!$AZ10-SUM('2023年'!AF10:$AG10),0))</f>
        <v>0</v>
      </c>
      <c r="AF10" s="44">
        <f>IF('2023年'!$AZ10&gt;=SUM('2023年'!AF10:$AG10),'2023年'!AF10,IF('2023年'!$AZ10-SUM('2023年'!AG10:$AG10)&gt;0,'2023年'!$AZ10-SUM('2023年'!AG10:$AG10),0))</f>
        <v>0</v>
      </c>
      <c r="AG10" s="44">
        <f>IF('2023年'!$AZ10&gt;=SUM('2023年'!AG10:$AG10),'2023年'!AG10,IF('2023年'!$AZ10-SUM('2023年'!$AG10:AH10)&gt;0,'2023年'!$AZ10-SUM('2023年'!$AG10:AH10),0))</f>
        <v>135421.97</v>
      </c>
      <c r="AH10" s="309"/>
      <c r="AI10" s="310"/>
      <c r="AJ10" s="311"/>
      <c r="AK10" s="84" t="s">
        <v>377</v>
      </c>
      <c r="AL10" s="277"/>
      <c r="AM10" s="91"/>
      <c r="AN10" s="10">
        <f>'2023年'!AZ10</f>
        <v>380296.93</v>
      </c>
      <c r="AO10" s="10">
        <f t="shared" si="3"/>
        <v>175017.8</v>
      </c>
    </row>
    <row r="11" s="10" customFormat="1" ht="24.05" customHeight="1" spans="2:41">
      <c r="B11" s="48" t="s">
        <v>81</v>
      </c>
      <c r="C11" s="46" t="str">
        <f>'2023年'!C11</f>
        <v>L4153</v>
      </c>
      <c r="D11" s="46" t="str">
        <f>'2023年'!D11</f>
        <v>上海发之源电器有限公司</v>
      </c>
      <c r="E11" s="41">
        <v>60</v>
      </c>
      <c r="F11" s="42">
        <f t="shared" ref="F11:F14" si="6">SUM(I11:Y11)</f>
        <v>0</v>
      </c>
      <c r="G11" s="291">
        <f t="shared" si="4"/>
        <v>0</v>
      </c>
      <c r="H11" s="291">
        <f t="shared" ref="H11:H24" si="7">SUM(I11:AG11)</f>
        <v>337926.12</v>
      </c>
      <c r="I11" s="298"/>
      <c r="J11" s="217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217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217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217" t="str">
        <f>IF('2023年'!$AZ11&gt;('2023年'!$W11+'2023年'!$V11+SUM('2023年'!I11:$T11)),'2023年'!I11,IF('2023年'!$AZ11-'2023年'!$V11-'2023年'!$W11-SUM('2023年'!J11:$T11)&gt;0,'2023年'!$AZ11-'2023年'!$V11-'2023年'!$W11-SUM('2023年'!J11:$T11),""))</f>
        <v/>
      </c>
      <c r="N11" s="217" t="str">
        <f>IF('2023年'!$AZ11&gt;('2023年'!$W11+'2023年'!$V11+SUM('2023年'!J11:$T11)),'2023年'!J11,IF('2023年'!$AZ11-'2023年'!$V11-'2023年'!$W11-SUM('2023年'!K11:$T11)&gt;0,'2023年'!$AZ11-'2023年'!$V11-'2023年'!$W11-SUM('2023年'!K11:$T11),""))</f>
        <v/>
      </c>
      <c r="O11" s="217" t="str">
        <f>IF('2023年'!$AZ11&gt;('2023年'!$W11+'2023年'!$V11+SUM('2023年'!K11:$T11)),'2023年'!K11,IF('2023年'!$AZ11-'2023年'!$V11-'2023年'!$W11-SUM('2023年'!L11:$T11)&gt;0,'2023年'!$AZ11-'2023年'!$V11-'2023年'!$W11-SUM('2023年'!L11:$T11),""))</f>
        <v/>
      </c>
      <c r="P11" s="217" t="str">
        <f>IF('2023年'!$AZ11&gt;('2023年'!$W11+'2023年'!$V11+SUM('2023年'!L11:$T11)),'2023年'!L11,IF('2023年'!$AZ11-'2023年'!$V11-'2023年'!$W11-SUM('2023年'!M11:$T11)&gt;0,'2023年'!$AZ11-'2023年'!$V11-'2023年'!$W11-SUM('2023年'!M11:$T11),""))</f>
        <v/>
      </c>
      <c r="Q11" s="217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R11" s="217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S11" s="217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T11" s="217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U11" s="217" t="str">
        <f>IF('2023年'!$AZ11&gt;(SUM('2023年'!V11:AG11)+'2023年'!T11+'2023年'!Q11),'2023年'!Q11+'2023年'!T11,IF('2023年'!$AZ11-SUM('2023年'!V11:AG11)&gt;0,'2023年'!$AZ11-SUM('2023年'!V11:AG11),""))</f>
        <v/>
      </c>
      <c r="V11" s="221">
        <f>IF('2023年'!$AZ11&gt;=SUM('2023年'!V11:$AG11),'2023年'!V11,IF('2023年'!$AZ11-SUM('2023年'!W11:$AG11)&gt;0,'2023年'!$AZ11-SUM('2023年'!W11:$AG11),0))</f>
        <v>0</v>
      </c>
      <c r="W11" s="221">
        <f>IF('2023年'!$AZ11&gt;=SUM('2023年'!W11:$AG11),'2023年'!W11,IF('2023年'!$AZ11-SUM('2023年'!X11:$AG11)&gt;0,'2023年'!$AZ11-SUM('2023年'!X11:$AG11),0))</f>
        <v>0</v>
      </c>
      <c r="X11" s="221">
        <f>IF('2023年'!$AZ11&gt;=SUM('2023年'!X11:$AG11),'2023年'!X11,IF('2023年'!$AZ11-SUM('2023年'!Y11:$AG11)&gt;0,'2023年'!$AZ11-SUM('2023年'!Y11:$AG11),0))</f>
        <v>0</v>
      </c>
      <c r="Y11" s="44">
        <f>IF('2023年'!$AZ11&gt;=SUM('2023年'!Y11:$AG11),'2023年'!Y11,IF('2023年'!$AZ11-SUM('2023年'!Z11:$AG11)&gt;0,'2023年'!$AZ11-SUM('2023年'!Z11:$AG11),0))</f>
        <v>0</v>
      </c>
      <c r="Z11" s="44">
        <f>IF('2023年'!$AZ11&gt;=SUM('2023年'!Z11:$AG11),'2023年'!Z11,IF('2023年'!$AZ11-SUM('2023年'!AA11:$AG11)&gt;0,'2023年'!$AZ11-SUM('2023年'!AA11:$AG11),0))</f>
        <v>0</v>
      </c>
      <c r="AA11" s="44">
        <f>IF('2023年'!$AZ11&gt;=SUM('2023年'!AA11:$AG11),'2023年'!AA11,IF('2023年'!$AZ11-SUM('2023年'!AB11:$AG11)&gt;0,'2023年'!$AZ11-SUM('2023年'!AB11:$AG11),0))</f>
        <v>0</v>
      </c>
      <c r="AB11" s="44">
        <f>IF('2023年'!$AZ11&gt;=SUM('2023年'!AB11:$AG11),'2023年'!AB11,IF('2023年'!$AZ11-SUM('2023年'!AC11:$AG11)&gt;0,'2023年'!$AZ11-SUM('2023年'!AC11:$AG11),0))</f>
        <v>0</v>
      </c>
      <c r="AC11" s="44">
        <f>IF('2023年'!$AZ11&gt;=SUM('2023年'!AC11:$AG11),'2023年'!AC11,IF('2023年'!$AZ11-SUM('2023年'!AD11:$AG11)&gt;0,'2023年'!$AZ11-SUM('2023年'!AD11:$AG11),0))</f>
        <v>0</v>
      </c>
      <c r="AD11" s="44">
        <f>IF('2023年'!$AZ11&gt;=SUM('2023年'!AD11:$AG11),'2023年'!AD11,IF('2023年'!$AZ11-SUM('2023年'!AE11:$AG11)&gt;0,'2023年'!$AZ11-SUM('2023年'!AE11:$AG11),0))</f>
        <v>0</v>
      </c>
      <c r="AE11" s="44">
        <f>IF('2023年'!$AZ11&gt;=SUM('2023年'!AE11:$AG11),'2023年'!AE11,IF('2023年'!$AZ11-SUM('2023年'!AF11:$AG11)&gt;0,'2023年'!$AZ11-SUM('2023年'!AF11:$AG11),0))</f>
        <v>0</v>
      </c>
      <c r="AF11" s="44">
        <f>IF('2023年'!$AZ11&gt;=SUM('2023年'!AF11:$AG11),'2023年'!AF11,IF('2023年'!$AZ11-SUM('2023年'!AG11:$AG11)&gt;0,'2023年'!$AZ11-SUM('2023年'!AG11:$AG11),0))</f>
        <v>200873.82</v>
      </c>
      <c r="AG11" s="44">
        <f>IF('2023年'!$AZ11&gt;=SUM('2023年'!AG11:$AG11),'2023年'!AG11,IF('2023年'!$AZ11-SUM('2023年'!$AG11:AH11)&gt;0,'2023年'!$AZ11-SUM('2023年'!$AG11:AH11),0))</f>
        <v>137052.3</v>
      </c>
      <c r="AH11" s="309"/>
      <c r="AI11" s="310"/>
      <c r="AJ11" s="311"/>
      <c r="AK11" s="84" t="s">
        <v>378</v>
      </c>
      <c r="AL11" s="277"/>
      <c r="AM11" s="91"/>
      <c r="AN11" s="10">
        <f>'2023年'!AZ11</f>
        <v>337926.12</v>
      </c>
      <c r="AO11" s="10">
        <f t="shared" si="3"/>
        <v>0</v>
      </c>
    </row>
    <row r="12" s="10" customFormat="1" ht="24.05" customHeight="1" spans="2:41">
      <c r="B12" s="48" t="s">
        <v>81</v>
      </c>
      <c r="C12" s="46" t="str">
        <f>'2023年'!C12</f>
        <v>L4154</v>
      </c>
      <c r="D12" s="46" t="str">
        <f>'2023年'!D12</f>
        <v>抚州锐而简实业有限公司</v>
      </c>
      <c r="E12" s="52">
        <v>90</v>
      </c>
      <c r="F12" s="42">
        <f>SUM(I12:X12)</f>
        <v>43378.44</v>
      </c>
      <c r="G12" s="291">
        <f>SUM(I12:V12)</f>
        <v>43378.44</v>
      </c>
      <c r="H12" s="291">
        <f t="shared" si="7"/>
        <v>43378.44</v>
      </c>
      <c r="I12" s="298"/>
      <c r="J12" s="217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217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217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217" t="str">
        <f>IF('2023年'!$AZ12&gt;('2023年'!$W12+'2023年'!$V12+SUM('2023年'!I12:$T12)),'2023年'!I12,IF('2023年'!$AZ12-'2023年'!$V12-'2023年'!$W12-SUM('2023年'!J12:$T12)&gt;0,'2023年'!$AZ12-'2023年'!$V12-'2023年'!$W12-SUM('2023年'!J12:$T12),""))</f>
        <v/>
      </c>
      <c r="N12" s="217" t="str">
        <f>IF('2023年'!$AZ12&gt;('2023年'!$W12+'2023年'!$V12+SUM('2023年'!J12:$T12)),'2023年'!J12,IF('2023年'!$AZ12-'2023年'!$V12-'2023年'!$W12-SUM('2023年'!K12:$T12)&gt;0,'2023年'!$AZ12-'2023年'!$V12-'2023年'!$W12-SUM('2023年'!K12:$T12),""))</f>
        <v/>
      </c>
      <c r="O12" s="217" t="str">
        <f>IF('2023年'!$AZ12&gt;('2023年'!$W12+'2023年'!$V12+SUM('2023年'!K12:$T12)),'2023年'!K12,IF('2023年'!$AZ12-'2023年'!$V12-'2023年'!$W12-SUM('2023年'!L12:$T12)&gt;0,'2023年'!$AZ12-'2023年'!$V12-'2023年'!$W12-SUM('2023年'!L12:$T12),""))</f>
        <v/>
      </c>
      <c r="P12" s="217" t="str">
        <f>IF('2023年'!$AZ12&gt;('2023年'!$W12+'2023年'!$V12+SUM('2023年'!L12:$T12)),'2023年'!L12,IF('2023年'!$AZ12-'2023年'!$V12-'2023年'!$W12-SUM('2023年'!M12:$T12)&gt;0,'2023年'!$AZ12-'2023年'!$V12-'2023年'!$W12-SUM('2023年'!M12:$T12),""))</f>
        <v/>
      </c>
      <c r="Q12" s="217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R12" s="217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S12" s="217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T12" s="217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U12" s="217">
        <f>IF('2023年'!$AZ12&gt;(SUM('2023年'!V12:AG12)+'2023年'!T12+'2023年'!Q12),'2023年'!Q12+'2023年'!T12,IF('2023年'!$AZ12-SUM('2023年'!V12:AG12)&gt;0,'2023年'!$AZ12-SUM('2023年'!V12:AG12),""))</f>
        <v>0</v>
      </c>
      <c r="V12" s="221">
        <f>IF('2023年'!$AZ12&gt;=SUM('2023年'!V12:$AG12),'2023年'!V12,IF('2023年'!$AZ12-SUM('2023年'!W12:$AG12)&gt;0,'2023年'!$AZ12-SUM('2023年'!W12:$AG12),0))</f>
        <v>0</v>
      </c>
      <c r="W12" s="221">
        <f>IF('2023年'!$AZ12&gt;=SUM('2023年'!W12:$AG12),'2023年'!W12,IF('2023年'!$AZ12-SUM('2023年'!X12:$AG12)&gt;0,'2023年'!$AZ12-SUM('2023年'!X12:$AG12),0))</f>
        <v>0</v>
      </c>
      <c r="X12" s="221">
        <f>IF('2023年'!$AZ12&gt;=SUM('2023年'!X12:$AG12),'2023年'!X12,IF('2023年'!$AZ12-SUM('2023年'!Y12:$AG12)&gt;0,'2023年'!$AZ12-SUM('2023年'!Y12:$AG12),0))</f>
        <v>0</v>
      </c>
      <c r="Y12" s="44">
        <f>IF('2023年'!$AZ12&gt;=SUM('2023年'!Y12:$AG12),'2023年'!Y12,IF('2023年'!$AZ12-SUM('2023年'!Z12:$AG12)&gt;0,'2023年'!$AZ12-SUM('2023年'!Z12:$AG12),0))</f>
        <v>0</v>
      </c>
      <c r="Z12" s="44">
        <f>IF('2023年'!$AZ12&gt;=SUM('2023年'!Z12:$AG12),'2023年'!Z12,IF('2023年'!$AZ12-SUM('2023年'!AA12:$AG12)&gt;0,'2023年'!$AZ12-SUM('2023年'!AA12:$AG12),0))</f>
        <v>0</v>
      </c>
      <c r="AA12" s="44">
        <f>IF('2023年'!$AZ12&gt;=SUM('2023年'!AA12:$AG12),'2023年'!AA12,IF('2023年'!$AZ12-SUM('2023年'!AB12:$AG12)&gt;0,'2023年'!$AZ12-SUM('2023年'!AB12:$AG12),0))</f>
        <v>0</v>
      </c>
      <c r="AB12" s="44">
        <f>IF('2023年'!$AZ12&gt;=SUM('2023年'!AB12:$AG12),'2023年'!AB12,IF('2023年'!$AZ12-SUM('2023年'!AC12:$AG12)&gt;0,'2023年'!$AZ12-SUM('2023年'!AC12:$AG12),0))</f>
        <v>0</v>
      </c>
      <c r="AC12" s="44">
        <f>IF('2023年'!$AZ12&gt;=SUM('2023年'!AC12:$AG12),'2023年'!AC12,IF('2023年'!$AZ12-SUM('2023年'!AD12:$AG12)&gt;0,'2023年'!$AZ12-SUM('2023年'!AD12:$AG12),0))</f>
        <v>0</v>
      </c>
      <c r="AD12" s="44">
        <f>IF('2023年'!$AZ12&gt;=SUM('2023年'!AD12:$AG12),'2023年'!AD12,IF('2023年'!$AZ12-SUM('2023年'!AE12:$AG12)&gt;0,'2023年'!$AZ12-SUM('2023年'!AE12:$AG12),0))</f>
        <v>0</v>
      </c>
      <c r="AE12" s="44">
        <f>IF('2023年'!$AZ12&gt;=SUM('2023年'!AE12:$AG12),'2023年'!AE12,IF('2023年'!$AZ12-SUM('2023年'!AF12:$AG12)&gt;0,'2023年'!$AZ12-SUM('2023年'!AF12:$AG12),0))</f>
        <v>0</v>
      </c>
      <c r="AF12" s="44">
        <f>IF('2023年'!$AZ12&gt;=SUM('2023年'!AF12:$AG12),'2023年'!AF12,IF('2023年'!$AZ12-SUM('2023年'!AG12:$AG12)&gt;0,'2023年'!$AZ12-SUM('2023年'!AG12:$AG12),0))</f>
        <v>0</v>
      </c>
      <c r="AG12" s="44">
        <f>IF('2023年'!$AZ12&gt;=SUM('2023年'!AG12:$AG12),'2023年'!AG12,IF('2023年'!$AZ12-SUM('2023年'!$AG12:AH12)&gt;0,'2023年'!$AZ12-SUM('2023年'!$AG12:AH12),0))</f>
        <v>0</v>
      </c>
      <c r="AH12" s="309"/>
      <c r="AI12" s="310"/>
      <c r="AJ12" s="311"/>
      <c r="AK12" s="84" t="s">
        <v>379</v>
      </c>
      <c r="AL12" s="277" t="s">
        <v>380</v>
      </c>
      <c r="AM12" s="91"/>
      <c r="AN12" s="10">
        <f>'2023年'!AZ12</f>
        <v>43378.44</v>
      </c>
      <c r="AO12" s="10">
        <f t="shared" si="3"/>
        <v>0</v>
      </c>
    </row>
    <row r="13" s="10" customFormat="1" ht="24.05" customHeight="1" spans="2:41">
      <c r="B13" s="48" t="s">
        <v>81</v>
      </c>
      <c r="C13" s="46" t="str">
        <f>'2023年'!C13</f>
        <v>L4392</v>
      </c>
      <c r="D13" s="46" t="str">
        <f>'2023年'!D13</f>
        <v>阿诺德紧固件（沈阳）有限公司</v>
      </c>
      <c r="E13" s="41">
        <v>60</v>
      </c>
      <c r="F13" s="42">
        <f t="shared" si="6"/>
        <v>27483.7600000001</v>
      </c>
      <c r="G13" s="291">
        <f t="shared" si="4"/>
        <v>0</v>
      </c>
      <c r="H13" s="291">
        <f t="shared" si="7"/>
        <v>166352.4</v>
      </c>
      <c r="I13" s="298"/>
      <c r="J13" s="217"/>
      <c r="K13" s="217"/>
      <c r="L13" s="217"/>
      <c r="M13" s="217"/>
      <c r="N13" s="217"/>
      <c r="O13" s="217"/>
      <c r="P13" s="217"/>
      <c r="Q13" s="217"/>
      <c r="R13" s="217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S13" s="217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T13" s="217" t="str">
        <f>IF('2023年'!$AZ13&gt;('2023年'!$T13+'2023年'!$Q13+SUM('2023年'!V13:$AG13))+'2023年'!S13+'2023年'!P13,'2023年'!P13+'2023年'!S13,IF('2023年'!$AZ13-SUM('2023年'!V13:$AG13)-'2023年'!T13-'2023年'!Q13&gt;0,'2023年'!$AZ13-SUM('2023年'!V13:X13)-'2023年'!T13-'2023年'!Q13,""))</f>
        <v/>
      </c>
      <c r="U13" s="217" t="str">
        <f>IF('2023年'!$AZ13&gt;(SUM('2023年'!V13:AG13)+'2023年'!T13+'2023年'!Q13),'2023年'!Q13+'2023年'!T13,IF('2023年'!$AZ13-SUM('2023年'!V13:AG13)&gt;0,'2023年'!$AZ13-SUM('2023年'!V13:AG13),""))</f>
        <v/>
      </c>
      <c r="V13" s="221">
        <f>IF('2023年'!$AZ13&gt;=SUM('2023年'!V13:$AG13),'2023年'!V13,IF('2023年'!$AZ13-SUM('2023年'!W13:$AG13)&gt;0,'2023年'!$AZ13-SUM('2023年'!W13:$AG13),0))</f>
        <v>0</v>
      </c>
      <c r="W13" s="221">
        <f>IF('2023年'!$AZ13&gt;=SUM('2023年'!W13:$AG13),'2023年'!W13,IF('2023年'!$AZ13-SUM('2023年'!X13:$AG13)&gt;0,'2023年'!$AZ13-SUM('2023年'!X13:$AG13),0))</f>
        <v>0</v>
      </c>
      <c r="X13" s="221">
        <f>IF('2023年'!$AZ13&gt;=SUM('2023年'!X13:$AG13),'2023年'!X13,IF('2023年'!$AZ13-SUM('2023年'!Y13:$AG13)&gt;0,'2023年'!$AZ13-SUM('2023年'!Y13:$AG13),0))</f>
        <v>0</v>
      </c>
      <c r="Y13" s="44">
        <f>IF('2023年'!$AZ13&gt;=SUM('2023年'!Y13:$AG13),'2023年'!Y13,IF('2023年'!$AZ13-SUM('2023年'!Z13:$AG13)&gt;0,'2023年'!$AZ13-SUM('2023年'!Z13:$AG13),0))</f>
        <v>27483.7600000001</v>
      </c>
      <c r="Z13" s="44">
        <f>IF('2023年'!$AZ13&gt;=SUM('2023年'!Z13:$AG13),'2023年'!Z13,IF('2023年'!$AZ13-SUM('2023年'!AA13:$AG13)&gt;0,'2023年'!$AZ13-SUM('2023年'!AA13:$AG13),0))</f>
        <v>0</v>
      </c>
      <c r="AA13" s="44">
        <f>IF('2023年'!$AZ13&gt;=SUM('2023年'!AA13:$AG13),'2023年'!AA13,IF('2023年'!$AZ13-SUM('2023年'!AB13:$AG13)&gt;0,'2023年'!$AZ13-SUM('2023年'!AB13:$AG13),0))</f>
        <v>60857.28</v>
      </c>
      <c r="AB13" s="44">
        <f>IF('2023年'!$AZ13&gt;=SUM('2023年'!AB13:$AG13),'2023年'!AB13,IF('2023年'!$AZ13-SUM('2023年'!AC13:$AG13)&gt;0,'2023年'!$AZ13-SUM('2023年'!AC13:$AG13),0))</f>
        <v>6068.1</v>
      </c>
      <c r="AC13" s="44">
        <f>IF('2023年'!$AZ13&gt;=SUM('2023年'!AC13:$AG13),'2023年'!AC13,IF('2023年'!$AZ13-SUM('2023年'!AD13:$AG13)&gt;0,'2023年'!$AZ13-SUM('2023年'!AD13:$AG13),0))</f>
        <v>13979.23</v>
      </c>
      <c r="AD13" s="44">
        <f>IF('2023年'!$AZ13&gt;=SUM('2023年'!AD13:$AG13),'2023年'!AD13,IF('2023年'!$AZ13-SUM('2023年'!AE13:$AG13)&gt;0,'2023年'!$AZ13-SUM('2023年'!AE13:$AG13),0))</f>
        <v>0</v>
      </c>
      <c r="AE13" s="44">
        <f>IF('2023年'!$AZ13&gt;=SUM('2023年'!AE13:$AG13),'2023年'!AE13,IF('2023年'!$AZ13-SUM('2023年'!AF13:$AG13)&gt;0,'2023年'!$AZ13-SUM('2023年'!AF13:$AG13),0))</f>
        <v>52357.11</v>
      </c>
      <c r="AF13" s="44">
        <f>IF('2023年'!$AZ13&gt;=SUM('2023年'!AF13:$AG13),'2023年'!AF13,IF('2023年'!$AZ13-SUM('2023年'!AG13:$AG13)&gt;0,'2023年'!$AZ13-SUM('2023年'!AG13:$AG13),0))</f>
        <v>5606.92</v>
      </c>
      <c r="AG13" s="44">
        <f>IF('2023年'!$AZ13&gt;=SUM('2023年'!AG13:$AG13),'2023年'!AG13,IF('2023年'!$AZ13-SUM('2023年'!$AG13:AH13)&gt;0,'2023年'!$AZ13-SUM('2023年'!$AG13:AH13),0))</f>
        <v>0</v>
      </c>
      <c r="AH13" s="309"/>
      <c r="AI13" s="310"/>
      <c r="AJ13" s="311"/>
      <c r="AK13" s="84" t="s">
        <v>381</v>
      </c>
      <c r="AL13" s="277"/>
      <c r="AM13" s="91"/>
      <c r="AN13" s="10">
        <f>'2023年'!AZ13</f>
        <v>166352.4</v>
      </c>
      <c r="AO13" s="10">
        <f t="shared" si="3"/>
        <v>0</v>
      </c>
    </row>
    <row r="14" s="10" customFormat="1" ht="24.05" customHeight="1" spans="2:41">
      <c r="B14" s="48" t="s">
        <v>81</v>
      </c>
      <c r="C14" s="46" t="str">
        <f>'2023年'!C14</f>
        <v>L4410</v>
      </c>
      <c r="D14" s="46" t="str">
        <f>'2023年'!D14</f>
        <v>上海坤达五金制品有限公司</v>
      </c>
      <c r="E14" s="41">
        <v>60</v>
      </c>
      <c r="F14" s="42">
        <f t="shared" si="6"/>
        <v>0</v>
      </c>
      <c r="G14" s="291">
        <f t="shared" si="4"/>
        <v>0</v>
      </c>
      <c r="H14" s="291">
        <f t="shared" si="7"/>
        <v>7000</v>
      </c>
      <c r="I14" s="298"/>
      <c r="J14" s="217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217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217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217" t="str">
        <f>IF('2023年'!$AZ14&gt;('2023年'!$W14+'2023年'!$V14+SUM('2023年'!I14:$T14)),'2023年'!I14,IF('2023年'!$AZ14-'2023年'!$V14-'2023年'!$W14-SUM('2023年'!J14:$T14)&gt;0,'2023年'!$AZ14-'2023年'!$V14-'2023年'!$W14-SUM('2023年'!J14:$T14),""))</f>
        <v/>
      </c>
      <c r="N14" s="217" t="str">
        <f>IF('2023年'!$AZ14&gt;('2023年'!$W14+'2023年'!$V14+SUM('2023年'!J14:$T14)),'2023年'!J14,IF('2023年'!$AZ14-'2023年'!$V14-'2023年'!$W14-SUM('2023年'!K14:$T14)&gt;0,'2023年'!$AZ14-'2023年'!$V14-'2023年'!$W14-SUM('2023年'!K14:$T14),""))</f>
        <v/>
      </c>
      <c r="O14" s="217" t="str">
        <f>IF('2023年'!$AZ14&gt;('2023年'!$W14+'2023年'!$V14+SUM('2023年'!K14:$T14)),'2023年'!K14,IF('2023年'!$AZ14-'2023年'!$V14-'2023年'!$W14-SUM('2023年'!L14:$T14)&gt;0,'2023年'!$AZ14-'2023年'!$V14-'2023年'!$W14-SUM('2023年'!L14:$T14),""))</f>
        <v/>
      </c>
      <c r="P14" s="217" t="str">
        <f>IF('2023年'!$AZ14&gt;('2023年'!$W14+'2023年'!$V14+SUM('2023年'!L14:$T14)),'2023年'!L14,IF('2023年'!$AZ14-'2023年'!$V14-'2023年'!$W14-SUM('2023年'!M14:$T14)&gt;0,'2023年'!$AZ14-'2023年'!$V14-'2023年'!$W14-SUM('2023年'!M14:$T14),""))</f>
        <v/>
      </c>
      <c r="Q14" s="217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R14" s="217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S14" s="217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T14" s="217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U14" s="217" t="str">
        <f>IF('2023年'!$AZ14&gt;(SUM('2023年'!V14:AG14)+'2023年'!T14+'2023年'!Q14),'2023年'!Q14+'2023年'!T14,IF('2023年'!$AZ14-SUM('2023年'!V14:AG14)&gt;0,'2023年'!$AZ14-SUM('2023年'!V14:AG14),""))</f>
        <v/>
      </c>
      <c r="V14" s="221">
        <f>IF('2023年'!$AZ14&gt;=SUM('2023年'!V14:$AG14),'2023年'!V14,IF('2023年'!$AZ14-SUM('2023年'!W14:$AG14)&gt;0,'2023年'!$AZ14-SUM('2023年'!W14:$AG14),0))</f>
        <v>0</v>
      </c>
      <c r="W14" s="221">
        <f>IF('2023年'!$AZ14&gt;=SUM('2023年'!W14:$AG14),'2023年'!W14,IF('2023年'!$AZ14-SUM('2023年'!X14:$AG14)&gt;0,'2023年'!$AZ14-SUM('2023年'!X14:$AG14),0))</f>
        <v>0</v>
      </c>
      <c r="X14" s="221">
        <f>IF('2023年'!$AZ14&gt;=SUM('2023年'!X14:$AG14),'2023年'!X14,IF('2023年'!$AZ14-SUM('2023年'!Y14:$AG14)&gt;0,'2023年'!$AZ14-SUM('2023年'!Y14:$AG14),0))</f>
        <v>0</v>
      </c>
      <c r="Y14" s="44">
        <f>IF('2023年'!$AZ14&gt;=SUM('2023年'!Y14:$AG14),'2023年'!Y14,IF('2023年'!$AZ14-SUM('2023年'!Z14:$AG14)&gt;0,'2023年'!$AZ14-SUM('2023年'!Z14:$AG14),0))</f>
        <v>0</v>
      </c>
      <c r="Z14" s="44">
        <f>IF('2023年'!$AZ14&gt;=SUM('2023年'!Z14:$AG14),'2023年'!Z14,IF('2023年'!$AZ14-SUM('2023年'!AA14:$AG14)&gt;0,'2023年'!$AZ14-SUM('2023年'!AA14:$AG14),0))</f>
        <v>0</v>
      </c>
      <c r="AA14" s="44">
        <f>IF('2023年'!$AZ14&gt;=SUM('2023年'!AA14:$AG14),'2023年'!AA14,IF('2023年'!$AZ14-SUM('2023年'!AB14:$AG14)&gt;0,'2023年'!$AZ14-SUM('2023年'!AB14:$AG14),0))</f>
        <v>0</v>
      </c>
      <c r="AB14" s="44">
        <f>IF('2023年'!$AZ14&gt;=SUM('2023年'!AB14:$AG14),'2023年'!AB14,IF('2023年'!$AZ14-SUM('2023年'!AC14:$AG14)&gt;0,'2023年'!$AZ14-SUM('2023年'!AC14:$AG14),0))</f>
        <v>0</v>
      </c>
      <c r="AC14" s="44">
        <f>IF('2023年'!$AZ14&gt;=SUM('2023年'!AC14:$AG14),'2023年'!AC14,IF('2023年'!$AZ14-SUM('2023年'!AD14:$AG14)&gt;0,'2023年'!$AZ14-SUM('2023年'!AD14:$AG14),0))</f>
        <v>0</v>
      </c>
      <c r="AD14" s="44">
        <f>IF('2023年'!$AZ14&gt;=SUM('2023年'!AD14:$AG14),'2023年'!AD14,IF('2023年'!$AZ14-SUM('2023年'!AE14:$AG14)&gt;0,'2023年'!$AZ14-SUM('2023年'!AE14:$AG14),0))</f>
        <v>7000</v>
      </c>
      <c r="AE14" s="44">
        <f>IF('2023年'!$AZ14&gt;=SUM('2023年'!AE14:$AG14),'2023年'!AE14,IF('2023年'!$AZ14-SUM('2023年'!AF14:$AG14)&gt;0,'2023年'!$AZ14-SUM('2023年'!AF14:$AG14),0))</f>
        <v>0</v>
      </c>
      <c r="AF14" s="44">
        <f>IF('2023年'!$AZ14&gt;=SUM('2023年'!AF14:$AG14),'2023年'!AF14,IF('2023年'!$AZ14-SUM('2023年'!AG14:$AG14)&gt;0,'2023年'!$AZ14-SUM('2023年'!AG14:$AG14),0))</f>
        <v>0</v>
      </c>
      <c r="AG14" s="44">
        <f>IF('2023年'!$AZ14&gt;=SUM('2023年'!AG14:$AG14),'2023年'!AG14,IF('2023年'!$AZ14-SUM('2023年'!$AG14:AH14)&gt;0,'2023年'!$AZ14-SUM('2023年'!$AG14:AH14),0))</f>
        <v>0</v>
      </c>
      <c r="AH14" s="309"/>
      <c r="AI14" s="310"/>
      <c r="AJ14" s="311"/>
      <c r="AK14" s="84" t="s">
        <v>382</v>
      </c>
      <c r="AL14" s="277"/>
      <c r="AM14" s="91"/>
      <c r="AN14" s="10">
        <f>'2023年'!AZ14</f>
        <v>7000</v>
      </c>
      <c r="AO14" s="10">
        <f t="shared" si="3"/>
        <v>0</v>
      </c>
    </row>
    <row r="15" s="10" customFormat="1" ht="24.05" customHeight="1" spans="2:41">
      <c r="B15" s="292" t="s">
        <v>81</v>
      </c>
      <c r="C15" s="40" t="str">
        <f>'2023年'!C15</f>
        <v>1932031</v>
      </c>
      <c r="D15" s="40" t="str">
        <f>'2023年'!D15</f>
        <v>江苏海德莱特汽车部件有限公司</v>
      </c>
      <c r="E15" s="41">
        <v>30</v>
      </c>
      <c r="F15" s="42">
        <f t="shared" ref="F15:F17" si="8">SUM(I15:Z15)</f>
        <v>262578.06</v>
      </c>
      <c r="G15" s="291">
        <f t="shared" ref="G15:G17" si="9">SUM(I15:X15)</f>
        <v>262578.06</v>
      </c>
      <c r="H15" s="291">
        <f t="shared" si="7"/>
        <v>913528.52</v>
      </c>
      <c r="I15" s="298"/>
      <c r="J15" s="217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217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217">
        <f>IF('2023年'!$AZ15&gt;('2023年'!$W15+'2023年'!$V15+SUM('2023年'!H15:$T15)),'2023年'!H15,IF('2023年'!$AZ15-'2023年'!$V15-'2023年'!$W15-SUM('2023年'!I15:$T15)&gt;0,'2023年'!$AZ15-'2023年'!$V15-'2023年'!$W15-SUM('2023年'!I15:$T15),""))</f>
        <v>167369.74</v>
      </c>
      <c r="M15" s="217">
        <f>IF('2023年'!$AZ15&gt;('2023年'!$W15+'2023年'!$V15+SUM('2023年'!I15:$T15)),'2023年'!I15,IF('2023年'!$AZ15-'2023年'!$V15-'2023年'!$W15-SUM('2023年'!J15:$T15)&gt;0,'2023年'!$AZ15-'2023年'!$V15-'2023年'!$W15-SUM('2023年'!J15:$T15),""))</f>
        <v>95208.32</v>
      </c>
      <c r="N15" s="217">
        <f>IF('2023年'!$AZ15&gt;('2023年'!$W15+'2023年'!$V15+SUM('2023年'!J15:$T15)),'2023年'!J15,IF('2023年'!$AZ15-'2023年'!$V15-'2023年'!$W15-SUM('2023年'!K15:$T15)&gt;0,'2023年'!$AZ15-'2023年'!$V15-'2023年'!$W15-SUM('2023年'!K15:$T15),""))</f>
        <v>0</v>
      </c>
      <c r="O15" s="217"/>
      <c r="P15" s="217"/>
      <c r="Q15" s="217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R15" s="217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S15" s="217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T15" s="217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U15" s="217" t="str">
        <f>IF('2023年'!$AZ15&gt;(SUM('2023年'!V15:AG15)+'2023年'!T15+'2023年'!Q15),'2023年'!Q15+'2023年'!T15,IF('2023年'!$AZ15-SUM('2023年'!V15:AG15)&gt;0,'2023年'!$AZ15-SUM('2023年'!V15:AG15),""))</f>
        <v/>
      </c>
      <c r="V15" s="221">
        <f>IF('2023年'!$AZ15&gt;=SUM('2023年'!V15:$AG15),'2023年'!V15,IF('2023年'!$AZ15-SUM('2023年'!W15:$AG15)&gt;0,'2023年'!$AZ15-SUM('2023年'!W15:$AG15),0))</f>
        <v>0</v>
      </c>
      <c r="W15" s="221">
        <f>IF('2023年'!$AZ15&gt;=SUM('2023年'!W15:$AG15),'2023年'!W15,IF('2023年'!$AZ15-SUM('2023年'!X15:$AG15)&gt;0,'2023年'!$AZ15-SUM('2023年'!X15:$AG15),0))</f>
        <v>0</v>
      </c>
      <c r="X15" s="221">
        <f>IF('2023年'!$AZ15&gt;=SUM('2023年'!X15:$AG15),'2023年'!X15,IF('2023年'!$AZ15-SUM('2023年'!Y15:$AG15)&gt;0,'2023年'!$AZ15-SUM('2023年'!Y15:$AG15),0))</f>
        <v>0</v>
      </c>
      <c r="Y15" s="44">
        <f>IF('2023年'!$AZ15&gt;=SUM('2023年'!Y15:$AG15),'2023年'!Y15,IF('2023年'!$AZ15-SUM('2023年'!Z15:$AG15)&gt;0,'2023年'!$AZ15-SUM('2023年'!Z15:$AG15),0))</f>
        <v>0</v>
      </c>
      <c r="Z15" s="44">
        <f>IF('2023年'!$AZ15&gt;=SUM('2023年'!Z15:$AG15),'2023年'!Z15,IF('2023年'!$AZ15-SUM('2023年'!AA15:$AG15)&gt;0,'2023年'!$AZ15-SUM('2023年'!AA15:$AG15),0))</f>
        <v>0</v>
      </c>
      <c r="AA15" s="44">
        <f>IF('2023年'!$AZ15&gt;=SUM('2023年'!AA15:$AG15),'2023年'!AA15,IF('2023年'!$AZ15-SUM('2023年'!AB15:$AG15)&gt;0,'2023年'!$AZ15-SUM('2023年'!AB15:$AG15),0))</f>
        <v>91779.2799999997</v>
      </c>
      <c r="AB15" s="44">
        <f>IF('2023年'!$AZ15&gt;=SUM('2023年'!AB15:$AG15),'2023年'!AB15,IF('2023年'!$AZ15-SUM('2023年'!AC15:$AG15)&gt;0,'2023年'!$AZ15-SUM('2023年'!AC15:$AG15),0))</f>
        <v>61657.48</v>
      </c>
      <c r="AC15" s="44">
        <f>IF('2023年'!$AZ15&gt;=SUM('2023年'!AC15:$AG15),'2023年'!AC15,IF('2023年'!$AZ15-SUM('2023年'!AD15:$AG15)&gt;0,'2023年'!$AZ15-SUM('2023年'!AD15:$AG15),0))</f>
        <v>30056.2</v>
      </c>
      <c r="AD15" s="44">
        <f>IF('2023年'!$AZ15&gt;=SUM('2023年'!AD15:$AG15),'2023年'!AD15,IF('2023年'!$AZ15-SUM('2023年'!AE15:$AG15)&gt;0,'2023年'!$AZ15-SUM('2023年'!AE15:$AG15),0))</f>
        <v>241590.94</v>
      </c>
      <c r="AE15" s="44">
        <f>IF('2023年'!$AZ15&gt;=SUM('2023年'!AE15:$AG15),'2023年'!AE15,IF('2023年'!$AZ15-SUM('2023年'!AF15:$AG15)&gt;0,'2023年'!$AZ15-SUM('2023年'!AF15:$AG15),0))</f>
        <v>26463.54</v>
      </c>
      <c r="AF15" s="44">
        <f>IF('2023年'!$AZ15&gt;=SUM('2023年'!AF15:$AG15),'2023年'!AF15,IF('2023年'!$AZ15-SUM('2023年'!AG15:$AG15)&gt;0,'2023年'!$AZ15-SUM('2023年'!AG15:$AG15),0))</f>
        <v>105673.62</v>
      </c>
      <c r="AG15" s="44">
        <f>IF('2023年'!$AZ15&gt;=SUM('2023年'!AG15:$AG15),'2023年'!AG15,IF('2023年'!$AZ15-SUM('2023年'!$AG15:AH15)&gt;0,'2023年'!$AZ15-SUM('2023年'!$AG15:AH15),0))</f>
        <v>93729.4</v>
      </c>
      <c r="AH15" s="309"/>
      <c r="AI15" s="310"/>
      <c r="AJ15" s="311"/>
      <c r="AK15" s="84" t="s">
        <v>383</v>
      </c>
      <c r="AL15" s="277" t="s">
        <v>384</v>
      </c>
      <c r="AM15" s="91"/>
      <c r="AN15" s="10">
        <f>'2023年'!AZ15</f>
        <v>650950.46</v>
      </c>
      <c r="AO15" s="10">
        <f t="shared" si="3"/>
        <v>262578.06</v>
      </c>
    </row>
    <row r="16" s="10" customFormat="1" ht="24.05" customHeight="1" spans="2:41">
      <c r="B16" s="292" t="s">
        <v>81</v>
      </c>
      <c r="C16" s="40" t="str">
        <f>'2023年'!C16</f>
        <v>L5273</v>
      </c>
      <c r="D16" s="40" t="str">
        <f>'2023年'!D16</f>
        <v>江苏日盈电子股份有限公司</v>
      </c>
      <c r="E16" s="41">
        <v>30</v>
      </c>
      <c r="F16" s="42">
        <f t="shared" si="8"/>
        <v>0</v>
      </c>
      <c r="G16" s="291">
        <f t="shared" si="9"/>
        <v>0</v>
      </c>
      <c r="H16" s="291">
        <f t="shared" si="7"/>
        <v>220702.74</v>
      </c>
      <c r="I16" s="298"/>
      <c r="J16" s="217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217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217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217" t="str">
        <f>IF('2023年'!$AZ16&gt;('2023年'!$W16+'2023年'!$V16+SUM('2023年'!I16:$T16)),'2023年'!I16,IF('2023年'!$AZ16-'2023年'!$V16-'2023年'!$W16-SUM('2023年'!J16:$T16)&gt;0,'2023年'!$AZ16-'2023年'!$V16-'2023年'!$W16-SUM('2023年'!J16:$T16),""))</f>
        <v/>
      </c>
      <c r="N16" s="217" t="str">
        <f>IF('2023年'!$AZ16&gt;('2023年'!$W16+'2023年'!$V16+SUM('2023年'!J16:$T16)),'2023年'!J16,IF('2023年'!$AZ16-'2023年'!$V16-'2023年'!$W16-SUM('2023年'!K16:$T16)&gt;0,'2023年'!$AZ16-'2023年'!$V16-'2023年'!$W16-SUM('2023年'!K16:$T16),""))</f>
        <v/>
      </c>
      <c r="O16" s="217" t="str">
        <f>IF('2023年'!$AZ16&gt;('2023年'!$W16+'2023年'!$V16+SUM('2023年'!K16:$T16)),'2023年'!K16,IF('2023年'!$AZ16-'2023年'!$V16-'2023年'!$W16-SUM('2023年'!L16:$T16)&gt;0,'2023年'!$AZ16-'2023年'!$V16-'2023年'!$W16-SUM('2023年'!L16:$T16),""))</f>
        <v/>
      </c>
      <c r="P16" s="217" t="str">
        <f>IF('2023年'!$AZ16&gt;('2023年'!$W16+'2023年'!$V16+SUM('2023年'!L16:$T16)),'2023年'!L16,IF('2023年'!$AZ16-'2023年'!$V16-'2023年'!$W16-SUM('2023年'!M16:$T16)&gt;0,'2023年'!$AZ16-'2023年'!$V16-'2023年'!$W16-SUM('2023年'!M16:$T16),""))</f>
        <v/>
      </c>
      <c r="Q16" s="217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R16" s="217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S16" s="217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T16" s="217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U16" s="217" t="str">
        <f>IF('2023年'!$AZ16&gt;(SUM('2023年'!V16:AG16)+'2023年'!T16+'2023年'!Q16),'2023年'!Q16+'2023年'!T16,IF('2023年'!$AZ16-SUM('2023年'!V16:AG16)&gt;0,'2023年'!$AZ16-SUM('2023年'!V16:AG16),""))</f>
        <v/>
      </c>
      <c r="V16" s="221">
        <f>IF('2023年'!$AZ16&gt;=SUM('2023年'!V16:$AG16),'2023年'!V16,IF('2023年'!$AZ16-SUM('2023年'!W16:$AG16)&gt;0,'2023年'!$AZ16-SUM('2023年'!W16:$AG16),0))</f>
        <v>0</v>
      </c>
      <c r="W16" s="221">
        <f>IF('2023年'!$AZ16&gt;=SUM('2023年'!W16:$AG16),'2023年'!W16,IF('2023年'!$AZ16-SUM('2023年'!X16:$AG16)&gt;0,'2023年'!$AZ16-SUM('2023年'!X16:$AG16),0))</f>
        <v>0</v>
      </c>
      <c r="X16" s="221">
        <f>IF('2023年'!$AZ16&gt;=SUM('2023年'!X16:$AG16),'2023年'!X16,IF('2023年'!$AZ16-SUM('2023年'!Y16:$AG16)&gt;0,'2023年'!$AZ16-SUM('2023年'!Y16:$AG16),0))</f>
        <v>0</v>
      </c>
      <c r="Y16" s="44">
        <f>IF('2023年'!$AZ16&gt;=SUM('2023年'!Y16:$AG16),'2023年'!Y16,IF('2023年'!$AZ16-SUM('2023年'!Z16:$AG16)&gt;0,'2023年'!$AZ16-SUM('2023年'!Z16:$AG16),0))</f>
        <v>0</v>
      </c>
      <c r="Z16" s="44">
        <f>IF('2023年'!$AZ16&gt;=SUM('2023年'!Z16:$AG16),'2023年'!Z16,IF('2023年'!$AZ16-SUM('2023年'!AA16:$AG16)&gt;0,'2023年'!$AZ16-SUM('2023年'!AA16:$AG16),0))</f>
        <v>0</v>
      </c>
      <c r="AA16" s="44">
        <f>IF('2023年'!$AZ16&gt;=SUM('2023年'!AA16:$AG16),'2023年'!AA16,IF('2023年'!$AZ16-SUM('2023年'!AB16:$AG16)&gt;0,'2023年'!$AZ16-SUM('2023年'!AB16:$AG16),0))</f>
        <v>0</v>
      </c>
      <c r="AB16" s="44">
        <f>IF('2023年'!$AZ16&gt;=SUM('2023年'!AB16:$AG16),'2023年'!AB16,IF('2023年'!$AZ16-SUM('2023年'!AC16:$AG16)&gt;0,'2023年'!$AZ16-SUM('2023年'!AC16:$AG16),0))</f>
        <v>0</v>
      </c>
      <c r="AC16" s="44">
        <f>IF('2023年'!$AZ16&gt;=SUM('2023年'!AC16:$AG16),'2023年'!AC16,IF('2023年'!$AZ16-SUM('2023年'!AD16:$AG16)&gt;0,'2023年'!$AZ16-SUM('2023年'!AD16:$AG16),0))</f>
        <v>0</v>
      </c>
      <c r="AD16" s="44">
        <f>IF('2023年'!$AZ16&gt;=SUM('2023年'!AD16:$AG16),'2023年'!AD16,IF('2023年'!$AZ16-SUM('2023年'!AE16:$AG16)&gt;0,'2023年'!$AZ16-SUM('2023年'!AE16:$AG16),0))</f>
        <v>0</v>
      </c>
      <c r="AE16" s="44">
        <f>IF('2023年'!$AZ16&gt;=SUM('2023年'!AE16:$AG16),'2023年'!AE16,IF('2023年'!$AZ16-SUM('2023年'!AF16:$AG16)&gt;0,'2023年'!$AZ16-SUM('2023年'!AF16:$AG16),0))</f>
        <v>0</v>
      </c>
      <c r="AF16" s="44">
        <f>IF('2023年'!$AZ16&gt;=SUM('2023年'!AF16:$AG16),'2023年'!AF16,IF('2023年'!$AZ16-SUM('2023年'!AG16:$AG16)&gt;0,'2023年'!$AZ16-SUM('2023年'!AG16:$AG16),0))</f>
        <v>0</v>
      </c>
      <c r="AG16" s="44">
        <f>IF('2023年'!$AZ16&gt;=SUM('2023年'!AG16:$AG16),'2023年'!AG16,IF('2023年'!$AZ16-SUM('2023年'!$AG16:AH16)&gt;0,'2023年'!$AZ16-SUM('2023年'!$AG16:AH16),0))</f>
        <v>220702.74</v>
      </c>
      <c r="AH16" s="309"/>
      <c r="AI16" s="310"/>
      <c r="AJ16" s="311"/>
      <c r="AK16" s="84" t="s">
        <v>385</v>
      </c>
      <c r="AL16" s="277" t="s">
        <v>384</v>
      </c>
      <c r="AM16" s="91"/>
      <c r="AN16" s="10">
        <f>'2023年'!AZ16</f>
        <v>220702.74</v>
      </c>
      <c r="AO16" s="10">
        <f t="shared" si="3"/>
        <v>0</v>
      </c>
    </row>
    <row r="17" s="10" customFormat="1" ht="24.05" hidden="1" customHeight="1" spans="2:41">
      <c r="B17" s="292" t="s">
        <v>81</v>
      </c>
      <c r="C17" s="40" t="str">
        <f>'2023年'!C17</f>
        <v>L4437</v>
      </c>
      <c r="D17" s="40" t="str">
        <f>'2023年'!D17</f>
        <v>法雷奥汽车内部控制（深圳）有</v>
      </c>
      <c r="E17" s="41">
        <v>30</v>
      </c>
      <c r="F17" s="42">
        <f t="shared" si="8"/>
        <v>0</v>
      </c>
      <c r="G17" s="291">
        <f t="shared" si="9"/>
        <v>0</v>
      </c>
      <c r="H17" s="291">
        <f t="shared" si="7"/>
        <v>0</v>
      </c>
      <c r="I17" s="298"/>
      <c r="J17" s="217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217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217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217"/>
      <c r="N17" s="217"/>
      <c r="O17" s="217">
        <f>IF('2023年'!$AZ17&gt;(SUM('2023年'!$V17:AG17)+SUM('2023年'!K17:$T17)),'2023年'!K17,IF('2023年'!$AZ17-SUM('2023年'!$V17:AG17)-SUM('2023年'!L17:$T17)&gt;0,'2023年'!$AZ17-SUM('2023年'!$V17:AG17)-SUM('2023年'!L17:$T17),""))</f>
        <v>0</v>
      </c>
      <c r="P17" s="217">
        <f>IF('2023年'!$AZ17&gt;(SUM(V17:AG17)+SUM('2023年'!L17:$T17)),'2023年'!L17,IF('2023年'!$AZ17-SUM(V17:AG17)-SUM('2023年'!M17:$T17)&gt;0,'2023年'!$AZ17-SUM(V17:AG17)-SUM('2023年'!M17:$T17),""))</f>
        <v>0</v>
      </c>
      <c r="Q17" s="217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R17" s="217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S17" s="217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T17" s="217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U17" s="217"/>
      <c r="V17" s="221">
        <f>IF('2023年'!$AZ17&gt;=SUM('2023年'!V17:$AG17),'2023年'!V17,IF('2023年'!$AZ17-SUM('2023年'!W17:$AG17)&gt;0,'2023年'!$AZ17-SUM('2023年'!W17:$AG17),0))</f>
        <v>0</v>
      </c>
      <c r="W17" s="221">
        <f>IF('2023年'!$AZ17&gt;=SUM('2023年'!W17:$AG17),'2023年'!W17,IF('2023年'!$AZ17-SUM('2023年'!X17:$AG17)&gt;0,'2023年'!$AZ17-SUM('2023年'!X17:$AG17),0))</f>
        <v>0</v>
      </c>
      <c r="X17" s="221">
        <f>IF('2023年'!$AZ17&gt;=SUM('2023年'!X17:$AG17),'2023年'!X17,IF('2023年'!$AZ17-SUM('2023年'!Y17:$AG17)&gt;0,'2023年'!$AZ17-SUM('2023年'!Y17:$AG17),0))</f>
        <v>0</v>
      </c>
      <c r="Y17" s="44">
        <f>IF('2023年'!$AZ17&gt;=SUM('2023年'!Y17:$AG17),'2023年'!Y17,IF('2023年'!$AZ17-SUM('2023年'!Z17:$AG17)&gt;0,'2023年'!$AZ17-SUM('2023年'!Z17:$AG17),0))</f>
        <v>0</v>
      </c>
      <c r="Z17" s="44">
        <f>IF('2023年'!$AZ17&gt;=SUM('2023年'!Z17:$AG17),'2023年'!Z17,IF('2023年'!$AZ17-SUM('2023年'!AA17:$AG17)&gt;0,'2023年'!$AZ17-SUM('2023年'!AA17:$AG17),0))</f>
        <v>0</v>
      </c>
      <c r="AA17" s="44">
        <f>IF('2023年'!$AZ17&gt;=SUM('2023年'!AA17:$AG17),'2023年'!AA17,IF('2023年'!$AZ17-SUM('2023年'!AB17:$AG17)&gt;0,'2023年'!$AZ17-SUM('2023年'!AB17:$AG17),0))</f>
        <v>0</v>
      </c>
      <c r="AB17" s="44">
        <f>IF('2023年'!$AZ17&gt;=SUM('2023年'!AB17:$AG17),'2023年'!AB17,IF('2023年'!$AZ17-SUM('2023年'!AC17:$AG17)&gt;0,'2023年'!$AZ17-SUM('2023年'!AC17:$AG17),0))</f>
        <v>0</v>
      </c>
      <c r="AC17" s="44">
        <f>IF('2023年'!$AZ17&gt;=SUM('2023年'!AC17:$AG17),'2023年'!AC17,IF('2023年'!$AZ17-SUM('2023年'!AD17:$AG17)&gt;0,'2023年'!$AZ17-SUM('2023年'!AD17:$AG17),0))</f>
        <v>0</v>
      </c>
      <c r="AD17" s="44">
        <f>IF('2023年'!$AZ17&gt;=SUM('2023年'!AD17:$AG17),'2023年'!AD17,IF('2023年'!$AZ17-SUM('2023年'!AE17:$AG17)&gt;0,'2023年'!$AZ17-SUM('2023年'!AE17:$AG17),0))</f>
        <v>0</v>
      </c>
      <c r="AE17" s="44">
        <f>IF('2023年'!$AZ17&gt;=SUM('2023年'!AE17:$AG17),'2023年'!AE17,IF('2023年'!$AZ17-SUM('2023年'!AF17:$AG17)&gt;0,'2023年'!$AZ17-SUM('2023年'!AF17:$AG17),0))</f>
        <v>0</v>
      </c>
      <c r="AF17" s="44">
        <f>IF('2023年'!$AZ17&gt;=SUM('2023年'!AF17:$AG17),'2023年'!AF17,IF('2023年'!$AZ17-SUM('2023年'!AG17:$AG17)&gt;0,'2023年'!$AZ17-SUM('2023年'!AG17:$AG17),0))</f>
        <v>0</v>
      </c>
      <c r="AG17" s="44">
        <f>IF('2023年'!$AZ17&gt;=SUM('2023年'!AG17:$AG17),'2023年'!AG17,IF('2023年'!$AZ17-SUM('2023年'!$AG17:AH17)&gt;0,'2023年'!$AZ17-SUM('2023年'!$AG17:AH17),0))</f>
        <v>0</v>
      </c>
      <c r="AH17" s="309"/>
      <c r="AI17" s="310"/>
      <c r="AJ17" s="311"/>
      <c r="AK17" s="84" t="s">
        <v>385</v>
      </c>
      <c r="AL17" s="277" t="s">
        <v>384</v>
      </c>
      <c r="AM17" s="91"/>
      <c r="AN17" s="10">
        <f>'2023年'!AZ17</f>
        <v>0</v>
      </c>
      <c r="AO17" s="10">
        <f t="shared" si="3"/>
        <v>0</v>
      </c>
    </row>
    <row r="18" s="10" customFormat="1" ht="24.05" customHeight="1" spans="2:41">
      <c r="B18" s="48" t="s">
        <v>81</v>
      </c>
      <c r="C18" s="46" t="str">
        <f>'2023年'!C18</f>
        <v>L4617</v>
      </c>
      <c r="D18" s="46" t="str">
        <f>'2023年'!D18</f>
        <v>无锡市汇源机械科技有限公司</v>
      </c>
      <c r="E18" s="293" t="s">
        <v>222</v>
      </c>
      <c r="F18" s="42">
        <f t="shared" ref="F18:F23" si="10">SUM(I18:X18)</f>
        <v>530791.75</v>
      </c>
      <c r="G18" s="291">
        <f t="shared" ref="G18:G23" si="11">SUM(I18:V18)</f>
        <v>530775.03</v>
      </c>
      <c r="H18" s="291">
        <f t="shared" si="7"/>
        <v>850309.59</v>
      </c>
      <c r="I18" s="298"/>
      <c r="J18" s="217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217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217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217" t="str">
        <f>IF('2023年'!$AZ18&gt;('2023年'!$W18+'2023年'!$V18+SUM('2023年'!I18:$T18)),'2023年'!I18,IF('2023年'!$AZ18-'2023年'!$V18-'2023年'!$W18-SUM('2023年'!J18:$T18)&gt;0,'2023年'!$AZ18-'2023年'!$V18-'2023年'!$W18-SUM('2023年'!J18:$T18),""))</f>
        <v/>
      </c>
      <c r="N18" s="217">
        <f>IF('2023年'!$AZ18&gt;('2023年'!$W18+'2023年'!$V18+SUM('2023年'!J18:$T18)),'2023年'!J18,IF('2023年'!$AZ18-'2023年'!$V18-'2023年'!$W18-SUM('2023年'!K18:$T18)&gt;0,'2023年'!$AZ18-'2023年'!$V18-'2023年'!$W18-SUM('2023年'!K18:$T18),""))</f>
        <v>33354.58</v>
      </c>
      <c r="O18" s="217">
        <f>IF('2023年'!$AZ18&gt;('2023年'!$W18+'2023年'!$V18+SUM('2023年'!K18:$T18)),'2023年'!K18,IF('2023年'!$AZ18-'2023年'!$V18-'2023年'!$W18-SUM('2023年'!L18:$T18)&gt;0,'2023年'!$AZ18-'2023年'!$V18-'2023年'!$W18-SUM('2023年'!L18:$T18),""))</f>
        <v>56179.98</v>
      </c>
      <c r="P18" s="217">
        <v>0</v>
      </c>
      <c r="Q18" s="217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R18" s="217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S18" s="217" t="str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/>
      </c>
      <c r="T18" s="217">
        <f>IF('2023年'!$AZ18&gt;('2023年'!$T18+'2023年'!$Q18+SUM('2023年'!V18:$AG18))+'2023年'!S18+'2023年'!P18,'2023年'!P18+'2023年'!S18,IF('2023年'!$AZ18-SUM('2023年'!V18:$AG18)-'2023年'!T18-'2023年'!Q18&gt;0,'2023年'!$AZ18-SUM('2023年'!V18:X18)-'2023年'!T18-'2023年'!Q18,""))</f>
        <v>395197.19</v>
      </c>
      <c r="U18" s="217">
        <f>IF('2023年'!$AZ18&gt;(SUM('2023年'!V18:AG18)+'2023年'!T18+'2023年'!Q18),'2023年'!Q18+'2023年'!T18,IF('2023年'!$AZ18-SUM('2023年'!V18:AG18)&gt;0,'2023年'!$AZ18-SUM('2023年'!V18:AG18),""))</f>
        <v>0</v>
      </c>
      <c r="V18" s="221">
        <f>IF('2023年'!$AZ18&gt;=SUM('2023年'!V18:$AG18),'2023年'!V18,IF('2023年'!$AZ18-SUM('2023年'!W18:$AG18)&gt;0,'2023年'!$AZ18-SUM('2023年'!W18:$AG18),0))</f>
        <v>46043.28</v>
      </c>
      <c r="W18" s="221">
        <f>IF('2023年'!$AZ18&gt;=SUM('2023年'!W18:$AG18),'2023年'!W18,IF('2023年'!$AZ18-SUM('2023年'!X18:$AG18)&gt;0,'2023年'!$AZ18-SUM('2023年'!X18:$AG18),0))</f>
        <v>0</v>
      </c>
      <c r="X18" s="221">
        <f>IF('2023年'!$AZ18&gt;=SUM('2023年'!X18:$AG18),'2023年'!X18,IF('2023年'!$AZ18-SUM('2023年'!Y18:$AG18)&gt;0,'2023年'!$AZ18-SUM('2023年'!Y18:$AG18),0))</f>
        <v>16.72</v>
      </c>
      <c r="Y18" s="44">
        <f>IF('2023年'!$AZ18&gt;=SUM('2023年'!Y18:$AG18),'2023年'!Y18,IF('2023年'!$AZ18-SUM('2023年'!Z18:$AG18)&gt;0,'2023年'!$AZ18-SUM('2023年'!Z18:$AG18),0))</f>
        <v>42395.78</v>
      </c>
      <c r="Z18" s="44">
        <f>IF('2023年'!$AZ18&gt;=SUM('2023年'!Z18:$AG18),'2023年'!Z18,IF('2023年'!$AZ18-SUM('2023年'!AA18:$AG18)&gt;0,'2023年'!$AZ18-SUM('2023年'!AA18:$AG18),0))</f>
        <v>47545.77</v>
      </c>
      <c r="AA18" s="44">
        <f>IF('2023年'!$AZ18&gt;=SUM('2023年'!AA18:$AG18),'2023年'!AA18,IF('2023年'!$AZ18-SUM('2023年'!AB18:$AG18)&gt;0,'2023年'!$AZ18-SUM('2023年'!AB18:$AG18),0))</f>
        <v>0</v>
      </c>
      <c r="AB18" s="44">
        <f>IF('2023年'!$AZ18&gt;=SUM('2023年'!AB18:$AG18),'2023年'!AB18,IF('2023年'!$AZ18-SUM('2023年'!AC18:$AG18)&gt;0,'2023年'!$AZ18-SUM('2023年'!AC18:$AG18),0))</f>
        <v>91824.79</v>
      </c>
      <c r="AC18" s="44">
        <f>IF('2023年'!$AZ18&gt;=SUM('2023年'!AC18:$AG18),'2023年'!AC18,IF('2023年'!$AZ18-SUM('2023年'!AD18:$AG18)&gt;0,'2023年'!$AZ18-SUM('2023年'!AD18:$AG18),0))</f>
        <v>0</v>
      </c>
      <c r="AD18" s="44">
        <f>IF('2023年'!$AZ18&gt;=SUM('2023年'!AD18:$AG18),'2023年'!AD18,IF('2023年'!$AZ18-SUM('2023年'!AE18:$AG18)&gt;0,'2023年'!$AZ18-SUM('2023年'!AE18:$AG18),0))</f>
        <v>45900.5</v>
      </c>
      <c r="AE18" s="44">
        <f>IF('2023年'!$AZ18&gt;=SUM('2023年'!AE18:$AG18),'2023年'!AE18,IF('2023年'!$AZ18-SUM('2023年'!AF18:$AG18)&gt;0,'2023年'!$AZ18-SUM('2023年'!AF18:$AG18),0))</f>
        <v>45864.8</v>
      </c>
      <c r="AF18" s="44">
        <f>IF('2023年'!$AZ18&gt;=SUM('2023年'!AF18:$AG18),'2023年'!AF18,IF('2023年'!$AZ18-SUM('2023年'!AG18:$AG18)&gt;0,'2023年'!$AZ18-SUM('2023年'!AG18:$AG18),0))</f>
        <v>45986.2</v>
      </c>
      <c r="AG18" s="44">
        <f>IF('2023年'!$AZ18&gt;=SUM('2023年'!AG18:$AG18),'2023年'!AG18,IF('2023年'!$AZ18-SUM('2023年'!$AG18:AH18)&gt;0,'2023年'!$AZ18-SUM('2023年'!$AG18:AH18),0))</f>
        <v>0</v>
      </c>
      <c r="AH18" s="312"/>
      <c r="AI18" s="313"/>
      <c r="AJ18" s="311" t="s">
        <v>372</v>
      </c>
      <c r="AK18" s="88" t="s">
        <v>386</v>
      </c>
      <c r="AL18" s="279"/>
      <c r="AM18" s="91"/>
      <c r="AN18" s="10">
        <f>'2023年'!AZ18</f>
        <v>441257.19</v>
      </c>
      <c r="AO18" s="10">
        <f t="shared" si="3"/>
        <v>409052.4</v>
      </c>
    </row>
    <row r="19" s="10" customFormat="1" ht="24.05" hidden="1" customHeight="1" spans="2:41">
      <c r="B19" s="48" t="s">
        <v>81</v>
      </c>
      <c r="C19" s="46" t="str">
        <f>'2023年'!C19</f>
        <v>1931679</v>
      </c>
      <c r="D19" s="46" t="str">
        <f>'2023年'!D19</f>
        <v>上海金山张泾五金弹簧有限公司</v>
      </c>
      <c r="E19" s="56" t="s">
        <v>96</v>
      </c>
      <c r="F19" s="42">
        <f>SUM(I19:U19)</f>
        <v>0</v>
      </c>
      <c r="G19" s="291">
        <f>SUM(I19:T19)</f>
        <v>0</v>
      </c>
      <c r="H19" s="291">
        <f t="shared" si="7"/>
        <v>0</v>
      </c>
      <c r="I19" s="298"/>
      <c r="J19" s="217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217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217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217" t="str">
        <f>IF('2023年'!$AZ19&gt;('2023年'!$W19+'2023年'!$V19+SUM('2023年'!I19:$T19)),'2023年'!I19,IF('2023年'!$AZ19-'2023年'!$V19-'2023年'!$W19-SUM('2023年'!J19:$T19)&gt;0,'2023年'!$AZ19-'2023年'!$V19-'2023年'!$W19-SUM('2023年'!J19:$T19),""))</f>
        <v/>
      </c>
      <c r="N19" s="217" t="str">
        <f>IF('2023年'!$AZ19&gt;('2023年'!$W19+'2023年'!$V19+SUM('2023年'!J19:$T19)),'2023年'!J19,IF('2023年'!$AZ19-'2023年'!$V19-'2023年'!$W19-SUM('2023年'!K19:$T19)&gt;0,'2023年'!$AZ19-'2023年'!$V19-'2023年'!$W19-SUM('2023年'!K19:$T19),""))</f>
        <v/>
      </c>
      <c r="O19" s="217" t="str">
        <f>IF('2023年'!$AZ19&gt;('2023年'!$W19+'2023年'!$V19+SUM('2023年'!K19:$T19)),'2023年'!K19,IF('2023年'!$AZ19-'2023年'!$V19-'2023年'!$W19-SUM('2023年'!L19:$T19)&gt;0,'2023年'!$AZ19-'2023年'!$V19-'2023年'!$W19-SUM('2023年'!L19:$T19),""))</f>
        <v/>
      </c>
      <c r="P19" s="217" t="str">
        <f>IF('2023年'!$AZ19&gt;('2023年'!$W19+'2023年'!$V19+SUM('2023年'!L19:$T19)),'2023年'!L19,IF('2023年'!$AZ19-'2023年'!$V19-'2023年'!$W19-SUM('2023年'!M19:$T19)&gt;0,'2023年'!$AZ19-'2023年'!$V19-'2023年'!$W19-SUM('2023年'!M19:$T19),""))</f>
        <v/>
      </c>
      <c r="Q19" s="217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R19" s="217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S19" s="217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T19" s="217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U19" s="217" t="str">
        <f>IF('2023年'!$AZ19&gt;(SUM('2023年'!V19:AG19)+'2023年'!T19+'2023年'!Q19),'2023年'!Q19+'2023年'!T19,IF('2023年'!$AZ19-SUM('2023年'!V19:AG19)&gt;0,'2023年'!$AZ19-SUM('2023年'!V19:AG19),""))</f>
        <v/>
      </c>
      <c r="V19" s="221">
        <f>IF('2023年'!$AZ19&gt;=SUM('2023年'!V19:$AG19),'2023年'!V19,IF('2023年'!$AZ19-SUM('2023年'!W19:$AG19)&gt;0,'2023年'!$AZ19-SUM('2023年'!W19:$AG19),0))</f>
        <v>0</v>
      </c>
      <c r="W19" s="221">
        <f>IF('2023年'!$AZ19&gt;=SUM('2023年'!W19:$AG19),'2023年'!W19,IF('2023年'!$AZ19-SUM('2023年'!X19:$AG19)&gt;0,'2023年'!$AZ19-SUM('2023年'!X19:$AG19),0))</f>
        <v>0</v>
      </c>
      <c r="X19" s="221">
        <f>IF('2023年'!$AZ19&gt;=SUM('2023年'!X19:$AG19),'2023年'!X19,IF('2023年'!$AZ19-SUM('2023年'!Y19:$AG19)&gt;0,'2023年'!$AZ19-SUM('2023年'!Y19:$AG19),0))</f>
        <v>0</v>
      </c>
      <c r="Y19" s="44">
        <f>IF('2023年'!$AZ19&gt;=SUM('2023年'!Y19:$AG19),'2023年'!Y19,IF('2023年'!$AZ19-SUM('2023年'!Z19:$AG19)&gt;0,'2023年'!$AZ19-SUM('2023年'!Z19:$AG19),0))</f>
        <v>0</v>
      </c>
      <c r="Z19" s="44">
        <f>IF('2023年'!$AZ19&gt;=SUM('2023年'!Z19:$AG19),'2023年'!Z19,IF('2023年'!$AZ19-SUM('2023年'!AA19:$AG19)&gt;0,'2023年'!$AZ19-SUM('2023年'!AA19:$AG19),0))</f>
        <v>0</v>
      </c>
      <c r="AA19" s="44">
        <f>IF('2023年'!$AZ19&gt;=SUM('2023年'!AA19:$AG19),'2023年'!AA19,IF('2023年'!$AZ19-SUM('2023年'!AB19:$AG19)&gt;0,'2023年'!$AZ19-SUM('2023年'!AB19:$AG19),0))</f>
        <v>0</v>
      </c>
      <c r="AB19" s="44">
        <f>IF('2023年'!$AZ19&gt;=SUM('2023年'!AB19:$AG19),'2023年'!AB19,IF('2023年'!$AZ19-SUM('2023年'!AC19:$AG19)&gt;0,'2023年'!$AZ19-SUM('2023年'!AC19:$AG19),0))</f>
        <v>0</v>
      </c>
      <c r="AC19" s="44">
        <f>IF('2023年'!$AZ19&gt;=SUM('2023年'!AC19:$AG19),'2023年'!AC19,IF('2023年'!$AZ19-SUM('2023年'!AD19:$AG19)&gt;0,'2023年'!$AZ19-SUM('2023年'!AD19:$AG19),0))</f>
        <v>0</v>
      </c>
      <c r="AD19" s="44">
        <f>IF('2023年'!$AZ19&gt;=SUM('2023年'!AD19:$AG19),'2023年'!AD19,IF('2023年'!$AZ19-SUM('2023年'!AE19:$AG19)&gt;0,'2023年'!$AZ19-SUM('2023年'!AE19:$AG19),0))</f>
        <v>0</v>
      </c>
      <c r="AE19" s="44">
        <f>IF('2023年'!$AZ19&gt;=SUM('2023年'!AE19:$AG19),'2023年'!AE19,IF('2023年'!$AZ19-SUM('2023年'!AF19:$AG19)&gt;0,'2023年'!$AZ19-SUM('2023年'!AF19:$AG19),0))</f>
        <v>0</v>
      </c>
      <c r="AF19" s="44">
        <f>IF('2023年'!$AZ19&gt;=SUM('2023年'!AF19:$AG19),'2023年'!AF19,IF('2023年'!$AZ19-SUM('2023年'!AG19:$AG19)&gt;0,'2023年'!$AZ19-SUM('2023年'!AG19:$AG19),0))</f>
        <v>0</v>
      </c>
      <c r="AG19" s="44">
        <f>IF('2023年'!$AZ19&gt;=SUM('2023年'!AG19:$AG19),'2023年'!AG19,IF('2023年'!$AZ19-SUM('2023年'!$AG19:AH19)&gt;0,'2023年'!$AZ19-SUM('2023年'!$AG19:AH19),0))</f>
        <v>0</v>
      </c>
      <c r="AH19" s="312"/>
      <c r="AI19" s="313"/>
      <c r="AJ19" s="311"/>
      <c r="AK19" s="88" t="s">
        <v>382</v>
      </c>
      <c r="AL19" s="279"/>
      <c r="AM19" s="91"/>
      <c r="AN19" s="10">
        <f>'2023年'!AZ19</f>
        <v>0</v>
      </c>
      <c r="AO19" s="10">
        <f t="shared" si="3"/>
        <v>0</v>
      </c>
    </row>
    <row r="20" s="10" customFormat="1" ht="24.05" customHeight="1" spans="2:41">
      <c r="B20" s="48" t="s">
        <v>81</v>
      </c>
      <c r="C20" s="46" t="str">
        <f>'2023年'!C20</f>
        <v>L4878</v>
      </c>
      <c r="D20" s="46" t="str">
        <f>'2023年'!D20</f>
        <v>江阴宝曼电子科技有限公司</v>
      </c>
      <c r="E20" s="293" t="s">
        <v>85</v>
      </c>
      <c r="F20" s="42">
        <f t="shared" ref="F20:F24" si="12">SUM(I20:Y20)</f>
        <v>0</v>
      </c>
      <c r="G20" s="291">
        <f t="shared" ref="G20:G24" si="13">SUM(I20:W20)</f>
        <v>0</v>
      </c>
      <c r="H20" s="291">
        <f t="shared" si="7"/>
        <v>0</v>
      </c>
      <c r="I20" s="298"/>
      <c r="J20" s="217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217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217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217" t="str">
        <f>IF('2023年'!$AZ20&gt;('2023年'!$W20+'2023年'!$V20+SUM('2023年'!I20:$T20)),'2023年'!I20,IF('2023年'!$AZ20-'2023年'!$V20-'2023年'!$W20-SUM('2023年'!J20:$T20)&gt;0,'2023年'!$AZ20-'2023年'!$V20-'2023年'!$W20-SUM('2023年'!J20:$T20),""))</f>
        <v/>
      </c>
      <c r="N20" s="217" t="str">
        <f>IF('2023年'!$AZ20&gt;(SUM('2023年'!$V20:AG20)+SUM('2023年'!J20:$T20)),'2023年'!J20,IF('2023年'!$AZ20-SUM('2023年'!$V20:AG20)-SUM('2023年'!K20:$T20)&gt;0,'2023年'!$AZ20-SUM('2023年'!$V20:AG20)-SUM('2023年'!K20:$T20),""))</f>
        <v/>
      </c>
      <c r="O20" s="217" t="str">
        <f>IF('2023年'!$AZ20&gt;('2023年'!$W20+'2023年'!$V20+SUM('2023年'!K20:$T20)),'2023年'!K20,IF('2023年'!$AZ20-'2023年'!$V20-'2023年'!$W20-SUM('2023年'!L20:$T20)&gt;0,'2023年'!$AZ20-'2023年'!$V20-'2023年'!$W20-SUM('2023年'!L20:$T20),""))</f>
        <v/>
      </c>
      <c r="P20" s="217" t="str">
        <f>IF('2023年'!$AZ20&gt;('2023年'!$W20+'2023年'!$V20+SUM('2023年'!L20:$T20)),'2023年'!L20,IF('2023年'!$AZ20-'2023年'!$V20-'2023年'!$W20-SUM('2023年'!M20:$T20)&gt;0,'2023年'!$AZ20-'2023年'!$V20-'2023年'!$W20-SUM('2023年'!M20:$T20),""))</f>
        <v/>
      </c>
      <c r="Q20" s="217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R20" s="217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S20" s="217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T20" s="217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U20" s="217" t="str">
        <f>IF('2023年'!$AZ20&gt;(SUM('2023年'!V20:AG20)+'2023年'!T20+'2023年'!Q20),'2023年'!Q20+'2023年'!T20,IF('2023年'!$AZ20-SUM('2023年'!V20:AG20)&gt;0,'2023年'!$AZ20-SUM('2023年'!V20:AG20),""))</f>
        <v/>
      </c>
      <c r="V20" s="221">
        <f>IF('2023年'!$AZ20&gt;=SUM('2023年'!V20:$AG20),'2023年'!V20,IF('2023年'!$AZ20-SUM('2023年'!W20:$AG20)&gt;0,'2023年'!$AZ20-SUM('2023年'!W20:$AG20),0))</f>
        <v>0</v>
      </c>
      <c r="W20" s="221">
        <f>IF('2023年'!$AZ20&gt;=SUM('2023年'!W20:$AG20),'2023年'!W20,IF('2023年'!$AZ20-SUM('2023年'!X20:$AG20)&gt;0,'2023年'!$AZ20-SUM('2023年'!X20:$AG20),0))</f>
        <v>0</v>
      </c>
      <c r="X20" s="221">
        <f>IF('2023年'!$AZ20&gt;=SUM('2023年'!X20:$AG20),'2023年'!X20,IF('2023年'!$AZ20-SUM('2023年'!Y20:$AG20)&gt;0,'2023年'!$AZ20-SUM('2023年'!Y20:$AG20),0))</f>
        <v>0</v>
      </c>
      <c r="Y20" s="44">
        <f>IF('2023年'!$AZ20&gt;=SUM('2023年'!Y20:$AG20),'2023年'!Y20,IF('2023年'!$AZ20-SUM('2023年'!Z20:$AG20)&gt;0,'2023年'!$AZ20-SUM('2023年'!Z20:$AG20),0))</f>
        <v>0</v>
      </c>
      <c r="Z20" s="44">
        <f>IF('2023年'!$AZ20&gt;=SUM('2023年'!Z20:$AG20),'2023年'!Z20,IF('2023年'!$AZ20-SUM('2023年'!AA20:$AG20)&gt;0,'2023年'!$AZ20-SUM('2023年'!AA20:$AG20),0))</f>
        <v>0</v>
      </c>
      <c r="AA20" s="44">
        <f>IF('2023年'!$AZ20&gt;=SUM('2023年'!AA20:$AG20),'2023年'!AA20,IF('2023年'!$AZ20-SUM('2023年'!AB20:$AG20)&gt;0,'2023年'!$AZ20-SUM('2023年'!AB20:$AG20),0))</f>
        <v>0</v>
      </c>
      <c r="AB20" s="44">
        <f>IF('2023年'!$AZ20&gt;=SUM('2023年'!AB20:$AG20),'2023年'!AB20,IF('2023年'!$AZ20-SUM('2023年'!AC20:$AG20)&gt;0,'2023年'!$AZ20-SUM('2023年'!AC20:$AG20),0))</f>
        <v>0</v>
      </c>
      <c r="AC20" s="44">
        <f>IF('2023年'!$AZ20&gt;=SUM('2023年'!AC20:$AG20),'2023年'!AC20,IF('2023年'!$AZ20-SUM('2023年'!AD20:$AG20)&gt;0,'2023年'!$AZ20-SUM('2023年'!AD20:$AG20),0))</f>
        <v>0</v>
      </c>
      <c r="AD20" s="44">
        <f>IF('2023年'!$AZ20&gt;=SUM('2023年'!AD20:$AG20),'2023年'!AD20,IF('2023年'!$AZ20-SUM('2023年'!AE20:$AG20)&gt;0,'2023年'!$AZ20-SUM('2023年'!AE20:$AG20),0))</f>
        <v>0</v>
      </c>
      <c r="AE20" s="44">
        <f>IF('2023年'!$AZ20&gt;=SUM('2023年'!AE20:$AG20),'2023年'!AE20,IF('2023年'!$AZ20-SUM('2023年'!AF20:$AG20)&gt;0,'2023年'!$AZ20-SUM('2023年'!AF20:$AG20),0))</f>
        <v>0</v>
      </c>
      <c r="AF20" s="44">
        <f>IF('2023年'!$AZ20&gt;=SUM('2023年'!AF20:$AG20),'2023年'!AF20,IF('2023年'!$AZ20-SUM('2023年'!AG20:$AG20)&gt;0,'2023年'!$AZ20-SUM('2023年'!AG20:$AG20),0))</f>
        <v>0</v>
      </c>
      <c r="AG20" s="44">
        <f>IF('2023年'!$AZ20&gt;=SUM('2023年'!AG20:$AG20),'2023年'!AG20,IF('2023年'!$AZ20-SUM('2023年'!$AG20:AH20)&gt;0,'2023年'!$AZ20-SUM('2023年'!$AG20:AH20),0))</f>
        <v>0</v>
      </c>
      <c r="AH20" s="312"/>
      <c r="AI20" s="313"/>
      <c r="AJ20" s="311"/>
      <c r="AK20" s="88" t="s">
        <v>370</v>
      </c>
      <c r="AL20" s="279"/>
      <c r="AM20" s="91"/>
      <c r="AN20" s="10">
        <f>'2023年'!AZ20</f>
        <v>0</v>
      </c>
      <c r="AO20" s="10">
        <f t="shared" si="3"/>
        <v>0</v>
      </c>
    </row>
    <row r="21" s="10" customFormat="1" ht="24.05" customHeight="1" spans="2:41">
      <c r="B21" s="48" t="s">
        <v>81</v>
      </c>
      <c r="C21" s="46" t="str">
        <f>'2023年'!C21</f>
        <v>L4749</v>
      </c>
      <c r="D21" s="46" t="str">
        <f>'2023年'!D21</f>
        <v>麦格纳（太仓）汽车科技有限公</v>
      </c>
      <c r="E21" s="47">
        <v>30</v>
      </c>
      <c r="F21" s="42">
        <f>SUM(I21:Z21)</f>
        <v>0</v>
      </c>
      <c r="G21" s="291">
        <f>SUM(I21:X21)</f>
        <v>0</v>
      </c>
      <c r="H21" s="291">
        <f t="shared" si="7"/>
        <v>403623.8</v>
      </c>
      <c r="I21" s="298"/>
      <c r="J21" s="217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217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217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217" t="str">
        <f>IF('2023年'!$AZ21&gt;('2023年'!$W21+'2023年'!$V21+SUM('2023年'!I21:$T21)),'2023年'!I21,IF('2023年'!$AZ21-'2023年'!$V21-'2023年'!$W21-SUM('2023年'!J21:$T21)&gt;0,'2023年'!$AZ21-'2023年'!$V21-'2023年'!$W21-SUM('2023年'!J21:$T21),""))</f>
        <v/>
      </c>
      <c r="N21" s="217" t="str">
        <f>IF('2023年'!$AZ21&gt;(SUM('2023年'!$V21:AG21)+SUM('2023年'!J21:$T21)),'2023年'!J21,IF('2023年'!$AZ21-SUM('2023年'!$V21:AG21)-SUM('2023年'!K21:$T21)&gt;0,'2023年'!$AZ21-SUM('2023年'!$V21:AG21)-SUM('2023年'!K21:$T21),""))</f>
        <v/>
      </c>
      <c r="O21" s="217" t="str">
        <f>IF('2023年'!$AZ21&gt;('2023年'!$W21+'2023年'!$V21+SUM('2023年'!K21:$T21)),'2023年'!K21,IF('2023年'!$AZ21-'2023年'!$V21-'2023年'!$W21-SUM('2023年'!L21:$T21)&gt;0,'2023年'!$AZ21-'2023年'!$V21-'2023年'!$W21-SUM('2023年'!L21:$T21),""))</f>
        <v/>
      </c>
      <c r="P21" s="217" t="str">
        <f>IF('2023年'!$AZ21&gt;('2023年'!$W21+'2023年'!$V21+SUM('2023年'!L21:$T21)),'2023年'!L21,IF('2023年'!$AZ21-'2023年'!$V21-'2023年'!$W21-SUM('2023年'!M21:$T21)&gt;0,'2023年'!$AZ21-'2023年'!$V21-'2023年'!$W21-SUM('2023年'!M21:$T21),""))</f>
        <v/>
      </c>
      <c r="Q21" s="217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R21" s="217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S21" s="217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T21" s="217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U21" s="217" t="str">
        <f>IF('2023年'!$AZ21&gt;(SUM('2023年'!V21:AG21)+'2023年'!T21+'2023年'!Q21),'2023年'!Q21+'2023年'!T21,IF('2023年'!$AZ21-SUM('2023年'!V21:AG21)&gt;0,'2023年'!$AZ21-SUM('2023年'!V21:AG21),""))</f>
        <v/>
      </c>
      <c r="V21" s="221">
        <f>IF('2023年'!$AZ21&gt;=SUM('2023年'!V21:$AG21),'2023年'!V21,IF('2023年'!$AZ21-SUM('2023年'!W21:$AG21)&gt;0,'2023年'!$AZ21-SUM('2023年'!W21:$AG21),0))</f>
        <v>0</v>
      </c>
      <c r="W21" s="221">
        <f>IF('2023年'!$AZ21&gt;=SUM('2023年'!W21:$AG21),'2023年'!W21,IF('2023年'!$AZ21-SUM('2023年'!X21:$AG21)&gt;0,'2023年'!$AZ21-SUM('2023年'!X21:$AG21),0))</f>
        <v>0</v>
      </c>
      <c r="X21" s="221">
        <f>IF('2023年'!$AZ21&gt;=SUM('2023年'!X21:$AG21),'2023年'!X21,IF('2023年'!$AZ21-SUM('2023年'!Y21:$AG21)&gt;0,'2023年'!$AZ21-SUM('2023年'!Y21:$AG21),0))</f>
        <v>0</v>
      </c>
      <c r="Y21" s="44">
        <f>IF('2023年'!$AZ21&gt;=SUM('2023年'!Y21:$AG21),'2023年'!Y21,IF('2023年'!$AZ21-SUM('2023年'!Z21:$AG21)&gt;0,'2023年'!$AZ21-SUM('2023年'!Z21:$AG21),0))</f>
        <v>0</v>
      </c>
      <c r="Z21" s="44">
        <f>IF('2023年'!$AZ21&gt;=SUM('2023年'!Z21:$AG21),'2023年'!Z21,IF('2023年'!$AZ21-SUM('2023年'!AA21:$AG21)&gt;0,'2023年'!$AZ21-SUM('2023年'!AA21:$AG21),0))</f>
        <v>0</v>
      </c>
      <c r="AA21" s="44">
        <f>IF('2023年'!$AZ21&gt;=SUM('2023年'!AA21:$AG21),'2023年'!AA21,IF('2023年'!$AZ21-SUM('2023年'!AB21:$AG21)&gt;0,'2023年'!$AZ21-SUM('2023年'!AB21:$AG21),0))</f>
        <v>0</v>
      </c>
      <c r="AB21" s="44">
        <f>IF('2023年'!$AZ21&gt;=SUM('2023年'!AB21:$AG21),'2023年'!AB21,IF('2023年'!$AZ21-SUM('2023年'!AC21:$AG21)&gt;0,'2023年'!$AZ21-SUM('2023年'!AC21:$AG21),0))</f>
        <v>0</v>
      </c>
      <c r="AC21" s="44">
        <f>IF('2023年'!$AZ21&gt;=SUM('2023年'!AC21:$AG21),'2023年'!AC21,IF('2023年'!$AZ21-SUM('2023年'!AD21:$AG21)&gt;0,'2023年'!$AZ21-SUM('2023年'!AD21:$AG21),0))</f>
        <v>68832.84</v>
      </c>
      <c r="AD21" s="44">
        <f>IF('2023年'!$AZ21&gt;=SUM('2023年'!AD21:$AG21),'2023年'!AD21,IF('2023年'!$AZ21-SUM('2023年'!AE21:$AG21)&gt;0,'2023年'!$AZ21-SUM('2023年'!AE21:$AG21),0))</f>
        <v>167395.48</v>
      </c>
      <c r="AE21" s="44">
        <f>IF('2023年'!$AZ21&gt;=SUM('2023年'!AE21:$AG21),'2023年'!AE21,IF('2023年'!$AZ21-SUM('2023年'!AF21:$AG21)&gt;0,'2023年'!$AZ21-SUM('2023年'!AF21:$AG21),0))</f>
        <v>167395.48</v>
      </c>
      <c r="AF21" s="44">
        <f>IF('2023年'!$AZ21&gt;=SUM('2023年'!AF21:$AG21),'2023年'!AF21,IF('2023年'!$AZ21-SUM('2023年'!AG21:$AG21)&gt;0,'2023年'!$AZ21-SUM('2023年'!AG21:$AG21),0))</f>
        <v>0</v>
      </c>
      <c r="AG21" s="44">
        <f>IF('2023年'!$AZ21&gt;=SUM('2023年'!AG21:$AG21),'2023年'!AG21,IF('2023年'!$AZ21-SUM('2023年'!$AG21:AH21)&gt;0,'2023年'!$AZ21-SUM('2023年'!$AG21:AH21),0))</f>
        <v>0</v>
      </c>
      <c r="AH21" s="312"/>
      <c r="AI21" s="313"/>
      <c r="AJ21" s="311"/>
      <c r="AK21" s="88" t="s">
        <v>387</v>
      </c>
      <c r="AL21" s="279"/>
      <c r="AM21" s="91"/>
      <c r="AN21" s="10">
        <f>'2023年'!AZ21</f>
        <v>403623.8</v>
      </c>
      <c r="AO21" s="10">
        <f t="shared" si="3"/>
        <v>0</v>
      </c>
    </row>
    <row r="22" s="10" customFormat="1" ht="24.05" customHeight="1" spans="2:41">
      <c r="B22" s="48" t="s">
        <v>81</v>
      </c>
      <c r="C22" s="46" t="str">
        <f>'2023年'!C22</f>
        <v>1913023</v>
      </c>
      <c r="D22" s="46" t="str">
        <f>'2023年'!D22</f>
        <v>海兴中盛弹簧制品有限公司</v>
      </c>
      <c r="E22" s="294">
        <v>90</v>
      </c>
      <c r="F22" s="42">
        <f t="shared" si="10"/>
        <v>46912.51</v>
      </c>
      <c r="G22" s="291">
        <f t="shared" si="11"/>
        <v>27284.41</v>
      </c>
      <c r="H22" s="291">
        <f t="shared" si="7"/>
        <v>179566.56</v>
      </c>
      <c r="I22" s="298"/>
      <c r="J22" s="217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217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217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217">
        <f>IF('2023年'!$AZ22&gt;('2023年'!$W22+'2023年'!$V22+SUM('2023年'!I22:$T22)),'2023年'!I22,IF('2023年'!$AZ22-'2023年'!$V22-'2023年'!$W22-SUM('2023年'!J22:$T22)&gt;0,'2023年'!$AZ22-'2023年'!$V22-'2023年'!$W22-SUM('2023年'!J22:$T22),""))</f>
        <v>17494.1</v>
      </c>
      <c r="N22" s="217" t="str">
        <f>IF('2023年'!$AZ22&gt;(SUM('2023年'!$V22:AG22)+SUM('2023年'!J22:$T22)),'2023年'!J22,IF('2023年'!$AZ22-SUM('2023年'!$V22:AG22)-SUM('2023年'!K22:$T22)&gt;0,'2023年'!$AZ22-SUM('2023年'!$V22:AG22)-SUM('2023年'!K22:$T22),""))</f>
        <v/>
      </c>
      <c r="O22" s="217"/>
      <c r="P22" s="217"/>
      <c r="Q22" s="217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R22" s="217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S22" s="217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T22" s="217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U22" s="217">
        <f>IF('2023年'!$AZ22&gt;(SUM('2023年'!V22:AG22)+'2023年'!T22+'2023年'!Q22),'2023年'!Q22+'2023年'!T22,IF('2023年'!$AZ22-SUM('2023年'!V22:AG22)&gt;0,'2023年'!$AZ22-SUM('2023年'!V22:AG22),""))</f>
        <v>9790.31000000003</v>
      </c>
      <c r="V22" s="221">
        <f>IF('2023年'!$AZ22&gt;=SUM('2023年'!V22:$AG22),'2023年'!V22,IF('2023年'!$AZ22-SUM('2023年'!W22:$AG22)&gt;0,'2023年'!$AZ22-SUM('2023年'!W22:$AG22),0))</f>
        <v>0</v>
      </c>
      <c r="W22" s="221">
        <f>IF('2023年'!$AZ22&gt;=SUM('2023年'!W22:$AG22),'2023年'!W22,IF('2023年'!$AZ22-SUM('2023年'!X22:$AG22)&gt;0,'2023年'!$AZ22-SUM('2023年'!X22:$AG22),0))</f>
        <v>0</v>
      </c>
      <c r="X22" s="221">
        <f>IF('2023年'!$AZ22&gt;=SUM('2023年'!X22:$AG22),'2023年'!X22,IF('2023年'!$AZ22-SUM('2023年'!Y22:$AG22)&gt;0,'2023年'!$AZ22-SUM('2023年'!Y22:$AG22),0))</f>
        <v>19628.1</v>
      </c>
      <c r="Y22" s="44">
        <f>IF('2023年'!$AZ22&gt;=SUM('2023年'!Y22:$AG22),'2023年'!Y22,IF('2023年'!$AZ22-SUM('2023年'!Z22:$AG22)&gt;0,'2023年'!$AZ22-SUM('2023年'!Z22:$AG22),0))</f>
        <v>0</v>
      </c>
      <c r="Z22" s="44">
        <f>IF('2023年'!$AZ22&gt;=SUM('2023年'!Z22:$AG22),'2023年'!Z22,IF('2023年'!$AZ22-SUM('2023年'!AA22:$AG22)&gt;0,'2023年'!$AZ22-SUM('2023年'!AA22:$AG22),0))</f>
        <v>36679.8</v>
      </c>
      <c r="AA22" s="44">
        <f>IF('2023年'!$AZ22&gt;=SUM('2023年'!AA22:$AG22),'2023年'!AA22,IF('2023年'!$AZ22-SUM('2023年'!AB22:$AG22)&gt;0,'2023年'!$AZ22-SUM('2023年'!AB22:$AG22),0))</f>
        <v>0</v>
      </c>
      <c r="AB22" s="44">
        <f>IF('2023年'!$AZ22&gt;=SUM('2023年'!AB22:$AG22),'2023年'!AB22,IF('2023年'!$AZ22-SUM('2023年'!AC22:$AG22)&gt;0,'2023年'!$AZ22-SUM('2023年'!AC22:$AG22),0))</f>
        <v>71506.4</v>
      </c>
      <c r="AC22" s="44">
        <f>IF('2023年'!$AZ22&gt;=SUM('2023年'!AC22:$AG22),'2023年'!AC22,IF('2023年'!$AZ22-SUM('2023年'!AD22:$AG22)&gt;0,'2023年'!$AZ22-SUM('2023年'!AD22:$AG22),0))</f>
        <v>0</v>
      </c>
      <c r="AD22" s="44">
        <f>IF('2023年'!$AZ22&gt;=SUM('2023年'!AD22:$AG22),'2023年'!AD22,IF('2023年'!$AZ22-SUM('2023年'!AE22:$AG22)&gt;0,'2023年'!$AZ22-SUM('2023年'!AE22:$AG22),0))</f>
        <v>3036.27</v>
      </c>
      <c r="AE22" s="44">
        <f>IF('2023年'!$AZ22&gt;=SUM('2023年'!AE22:$AG22),'2023年'!AE22,IF('2023年'!$AZ22-SUM('2023年'!AF22:$AG22)&gt;0,'2023年'!$AZ22-SUM('2023年'!AF22:$AG22),0))</f>
        <v>0</v>
      </c>
      <c r="AF22" s="44">
        <f>IF('2023年'!$AZ22&gt;=SUM('2023年'!AF22:$AG22),'2023年'!AF22,IF('2023年'!$AZ22-SUM('2023年'!AG22:$AG22)&gt;0,'2023年'!$AZ22-SUM('2023年'!AG22:$AG22),0))</f>
        <v>21431.58</v>
      </c>
      <c r="AG22" s="44">
        <f>IF('2023年'!$AZ22&gt;=SUM('2023年'!AG22:$AG22),'2023年'!AG22,IF('2023年'!$AZ22-SUM('2023年'!$AG22:AH22)&gt;0,'2023年'!$AZ22-SUM('2023年'!$AG22:AH22),0))</f>
        <v>0</v>
      </c>
      <c r="AH22" s="312"/>
      <c r="AI22" s="313"/>
      <c r="AJ22" s="311"/>
      <c r="AK22" s="88" t="s">
        <v>388</v>
      </c>
      <c r="AL22" s="279"/>
      <c r="AM22" s="91"/>
      <c r="AN22" s="10">
        <f>'2023年'!AZ22</f>
        <v>162072.46</v>
      </c>
      <c r="AO22" s="10">
        <f t="shared" si="3"/>
        <v>17494.1</v>
      </c>
    </row>
    <row r="23" s="10" customFormat="1" ht="24.05" customHeight="1" spans="2:41">
      <c r="B23" s="48" t="s">
        <v>81</v>
      </c>
      <c r="C23" s="46" t="str">
        <f>'2023年'!C23</f>
        <v>1951035</v>
      </c>
      <c r="D23" s="46" t="str">
        <f>'2023年'!D23</f>
        <v>长春力登维科技产业有限公司成</v>
      </c>
      <c r="E23" s="294" t="s">
        <v>222</v>
      </c>
      <c r="F23" s="42">
        <f t="shared" si="10"/>
        <v>0</v>
      </c>
      <c r="G23" s="291">
        <f t="shared" si="11"/>
        <v>0</v>
      </c>
      <c r="H23" s="291">
        <f t="shared" si="7"/>
        <v>44867.9</v>
      </c>
      <c r="I23" s="298"/>
      <c r="J23" s="217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217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217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217" t="str">
        <f>IF('2023年'!$AZ23&gt;('2023年'!$W23+'2023年'!$V23+SUM('2023年'!I23:$T23)),'2023年'!I23,IF('2023年'!$AZ23-'2023年'!$V23-'2023年'!$W23-SUM('2023年'!J23:$T23)&gt;0,'2023年'!$AZ23-'2023年'!$V23-'2023年'!$W23-SUM('2023年'!J23:$T23),""))</f>
        <v/>
      </c>
      <c r="N23" s="217" t="str">
        <f>IF('2023年'!$AZ23&gt;(SUM('2023年'!$V23:AG23)+SUM('2023年'!J23:$T23)),'2023年'!J23,IF('2023年'!$AZ23-SUM('2023年'!$V23:AG23)-SUM('2023年'!K23:$T23)&gt;0,'2023年'!$AZ23-SUM('2023年'!$V23:AG23)-SUM('2023年'!K23:$T23),""))</f>
        <v/>
      </c>
      <c r="O23" s="217" t="str">
        <f>IF('2023年'!$AZ23&gt;(SUM('2023年'!$V23:AG23)+SUM('2023年'!K23:$T23)),'2023年'!K23,IF('2023年'!$AZ23-SUM('2023年'!$V23:AG23)-SUM('2023年'!L23:$T23)&gt;0,'2023年'!$AZ23-SUM('2023年'!$V23:AG23)-SUM('2023年'!L23:$T23),""))</f>
        <v/>
      </c>
      <c r="P23" s="217" t="str">
        <f>IF('2023年'!$AZ23&gt;(SUM(V23:AG23)+SUM('2023年'!L23:$T23)),'2023年'!L23,IF('2023年'!$AZ23-SUM(V23:AG23)-SUM('2023年'!M23:$T23)&gt;0,'2023年'!$AZ23-SUM(V23:AG23)-SUM('2023年'!M23:$T23),""))</f>
        <v/>
      </c>
      <c r="Q23" s="217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R23" s="217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S23" s="217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T23" s="217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U23" s="217" t="str">
        <f>IF('2023年'!$AZ23&gt;(SUM('2023年'!V23:AG23)+'2023年'!T23+'2023年'!Q23),'2023年'!Q23+'2023年'!T23,IF('2023年'!$AZ23-SUM('2023年'!V23:AG23)&gt;0,'2023年'!$AZ23-SUM('2023年'!V23:AG23),""))</f>
        <v/>
      </c>
      <c r="V23" s="221">
        <f>IF('2023年'!$AZ23&gt;=SUM('2023年'!V23:$AG23),'2023年'!V23,IF('2023年'!$AZ23-SUM('2023年'!W23:$AG23)&gt;0,'2023年'!$AZ23-SUM('2023年'!W23:$AG23),0))</f>
        <v>0</v>
      </c>
      <c r="W23" s="221">
        <f>IF('2023年'!$AZ23&gt;=SUM('2023年'!W23:$AG23),'2023年'!W23,IF('2023年'!$AZ23-SUM('2023年'!X23:$AG23)&gt;0,'2023年'!$AZ23-SUM('2023年'!X23:$AG23),0))</f>
        <v>0</v>
      </c>
      <c r="X23" s="221">
        <f>IF('2023年'!$AZ23&gt;=SUM('2023年'!X23:$AG23),'2023年'!X23,IF('2023年'!$AZ23-SUM('2023年'!Y23:$AG23)&gt;0,'2023年'!$AZ23-SUM('2023年'!Y23:$AG23),0))</f>
        <v>0</v>
      </c>
      <c r="Y23" s="44">
        <f>IF('2023年'!$AZ23&gt;=SUM('2023年'!Y23:$AG23),'2023年'!Y23,IF('2023年'!$AZ23-SUM('2023年'!Z23:$AG23)&gt;0,'2023年'!$AZ23-SUM('2023年'!Z23:$AG23),0))</f>
        <v>0</v>
      </c>
      <c r="Z23" s="44">
        <f>IF('2023年'!$AZ23&gt;=SUM('2023年'!Z23:$AG23),'2023年'!Z23,IF('2023年'!$AZ23-SUM('2023年'!AA23:$AG23)&gt;0,'2023年'!$AZ23-SUM('2023年'!AA23:$AG23),0))</f>
        <v>9747.49999999999</v>
      </c>
      <c r="AA23" s="44">
        <f>IF('2023年'!$AZ23&gt;=SUM('2023年'!AA23:$AG23),'2023年'!AA23,IF('2023年'!$AZ23-SUM('2023年'!AB23:$AG23)&gt;0,'2023年'!$AZ23-SUM('2023年'!AB23:$AG23),0))</f>
        <v>0</v>
      </c>
      <c r="AB23" s="44">
        <f>IF('2023年'!$AZ23&gt;=SUM('2023年'!AB23:$AG23),'2023年'!AB23,IF('2023年'!$AZ23-SUM('2023年'!AC23:$AG23)&gt;0,'2023年'!$AZ23-SUM('2023年'!AC23:$AG23),0))</f>
        <v>6644.4</v>
      </c>
      <c r="AC23" s="44">
        <f>IF('2023年'!$AZ23&gt;=SUM('2023年'!AC23:$AG23),'2023年'!AC23,IF('2023年'!$AZ23-SUM('2023年'!AD23:$AG23)&gt;0,'2023年'!$AZ23-SUM('2023年'!AD23:$AG23),0))</f>
        <v>4746</v>
      </c>
      <c r="AD23" s="44">
        <f>IF('2023年'!$AZ23&gt;=SUM('2023年'!AD23:$AG23),'2023年'!AD23,IF('2023年'!$AZ23-SUM('2023年'!AE23:$AG23)&gt;0,'2023年'!$AZ23-SUM('2023年'!AE23:$AG23),0))</f>
        <v>4746</v>
      </c>
      <c r="AE23" s="44">
        <f>IF('2023年'!$AZ23&gt;=SUM('2023年'!AE23:$AG23),'2023年'!AE23,IF('2023年'!$AZ23-SUM('2023年'!AF23:$AG23)&gt;0,'2023年'!$AZ23-SUM('2023年'!AF23:$AG23),0))</f>
        <v>9492</v>
      </c>
      <c r="AF23" s="44">
        <f>IF('2023年'!$AZ23&gt;=SUM('2023年'!AF23:$AG23),'2023年'!AF23,IF('2023年'!$AZ23-SUM('2023年'!AG23:$AG23)&gt;0,'2023年'!$AZ23-SUM('2023年'!AG23:$AG23),0))</f>
        <v>4746</v>
      </c>
      <c r="AG23" s="44">
        <f>IF('2023年'!$AZ23&gt;=SUM('2023年'!AG23:$AG23),'2023年'!AG23,IF('2023年'!$AZ23-SUM('2023年'!$AG23:AH23)&gt;0,'2023年'!$AZ23-SUM('2023年'!$AG23:AH23),0))</f>
        <v>4746</v>
      </c>
      <c r="AH23" s="312"/>
      <c r="AI23" s="313"/>
      <c r="AJ23" s="311"/>
      <c r="AK23" s="88" t="s">
        <v>371</v>
      </c>
      <c r="AL23" s="279"/>
      <c r="AM23" s="91"/>
      <c r="AN23" s="10">
        <f>'2023年'!AZ23</f>
        <v>44867.9</v>
      </c>
      <c r="AO23" s="10">
        <f t="shared" si="3"/>
        <v>0</v>
      </c>
    </row>
    <row r="24" s="10" customFormat="1" ht="24.05" customHeight="1" spans="2:41">
      <c r="B24" s="48" t="s">
        <v>81</v>
      </c>
      <c r="C24" s="46" t="str">
        <f>'2023年'!C24</f>
        <v>1951047</v>
      </c>
      <c r="D24" s="46" t="str">
        <f>'2023年'!D24</f>
        <v>上海中鹏岳博实业发展有限公司</v>
      </c>
      <c r="E24" s="295">
        <v>60</v>
      </c>
      <c r="F24" s="42">
        <f t="shared" si="12"/>
        <v>2518.39</v>
      </c>
      <c r="G24" s="291">
        <f t="shared" si="13"/>
        <v>2518.39</v>
      </c>
      <c r="H24" s="291">
        <f t="shared" si="7"/>
        <v>12437.53</v>
      </c>
      <c r="I24" s="298">
        <v>2518.39</v>
      </c>
      <c r="J24" s="217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217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217" t="str">
        <f>IF('2023年'!$AZ24&gt;(SUM('2023年'!$V24:AG24)+SUM('2023年'!H24:$T24)),'2023年'!H24,IF('2023年'!$AZ24-SUM('2023年'!$V24:AG24)-SUM('2023年'!I24:$T24)&gt;0,'2023年'!$AZ24-SUM('2023年'!$V24:AG24)-SUM('2023年'!I24:$T24),""))</f>
        <v/>
      </c>
      <c r="M24" s="217">
        <f>IF('2023年'!$AZ24&gt;('2023年'!$W24+'2023年'!$V24+SUM('2023年'!I24:$T24)),'2023年'!I24,IF('2023年'!$AZ24-'2023年'!$V24-'2023年'!$W24-SUM('2023年'!J24:$T24)&gt;0,'2023年'!$AZ24-'2023年'!$V24-'2023年'!$W24-SUM('2023年'!J24:$T24),""))</f>
        <v>0</v>
      </c>
      <c r="N24" s="217" t="str">
        <f>IF('2023年'!$AZ24&gt;(SUM('2023年'!$V24:AG24)+SUM('2023年'!J24:$T24)),'2023年'!J24,IF('2023年'!$AZ24-SUM('2023年'!$V24:AG24)-SUM('2023年'!K24:$T24)&gt;0,'2023年'!$AZ24-SUM('2023年'!$V24:AG24)-SUM('2023年'!K24:$T24),""))</f>
        <v/>
      </c>
      <c r="O24" s="217">
        <f>IF('2023年'!$AZ24&gt;('2023年'!$W24+'2023年'!$V24+SUM('2023年'!K24:$T24)),'2023年'!K24,IF('2023年'!$AZ24-'2023年'!$V24-'2023年'!$W24-SUM('2023年'!L24:$T24)&gt;0,'2023年'!$AZ24-'2023年'!$V24-'2023年'!$W24-SUM('2023年'!L24:$T24),""))</f>
        <v>0</v>
      </c>
      <c r="P24" s="217">
        <f>IF('2023年'!$AZ24&gt;('2023年'!$W24+'2023年'!$V24+SUM('2023年'!L24:$T24)),'2023年'!L24,IF('2023年'!$AZ24-'2023年'!$V24-'2023年'!$W24-SUM('2023年'!M24:$T24)&gt;0,'2023年'!$AZ24-'2023年'!$V24-'2023年'!$W24-SUM('2023年'!M24:$T24),""))</f>
        <v>0</v>
      </c>
      <c r="Q24" s="217" t="str">
        <f>IF('2023年'!$AZ24&gt;(SUM('2023年'!V24:AG24)+SUM('2023年'!M24:$T24)),'2023年'!M24,IF('2023年'!$AZ24-SUM('2023年'!V24:AG24)-SUM('2023年'!N24:$T24)&gt;0,'2023年'!$AZ24-SUM('2023年'!V24:AG24)-SUM('2023年'!N24:$T24),""))</f>
        <v/>
      </c>
      <c r="R24" s="217" t="str">
        <f>IF('2023年'!$AZ24&gt;(SUM('2023年'!V24:AG24)+SUM('2023年'!N24:$T24)),'2023年'!N24,IF('2023年'!$AZ24-SUM('2023年'!V24:AG24)-SUM('2023年'!O24:$T24)&gt;0,'2023年'!$AZ24-SUM('2023年'!V24:AG24)-SUM('2023年'!O24:$T24),""))</f>
        <v/>
      </c>
      <c r="S24" s="217" t="str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/>
      </c>
      <c r="T24" s="217" t="str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/>
      </c>
      <c r="U24" s="217" t="str">
        <f>IF('2023年'!$AZ24&gt;(SUM('2023年'!V24:AG24)+'2023年'!T24+'2023年'!Q24),'2023年'!Q24+'2023年'!T24,IF('2023年'!$AZ24-SUM('2023年'!V24:AG24)&gt;0,'2023年'!$AZ24-SUM('2023年'!V24:AG24),""))</f>
        <v/>
      </c>
      <c r="V24" s="221">
        <f>IF('2023年'!$AZ24&gt;=SUM('2023年'!V24:$AG24),'2023年'!V24,IF('2023年'!$AZ24-SUM('2023年'!W24:$AG24)&gt;0,'2023年'!$AZ24-SUM('2023年'!W24:$AG24),0))</f>
        <v>0</v>
      </c>
      <c r="W24" s="221">
        <f>IF('2023年'!$AZ24&gt;=SUM('2023年'!W24:$AG24),'2023年'!W24,IF('2023年'!$AZ24-SUM('2023年'!X24:$AG24)&gt;0,'2023年'!$AZ24-SUM('2023年'!X24:$AG24),0))</f>
        <v>0</v>
      </c>
      <c r="X24" s="221">
        <f>IF('2023年'!$AZ24&gt;=SUM('2023年'!X24:$AG24),'2023年'!X24,IF('2023年'!$AZ24-SUM('2023年'!Y24:$AG24)&gt;0,'2023年'!$AZ24-SUM('2023年'!Y24:$AG24),0))</f>
        <v>0</v>
      </c>
      <c r="Y24" s="44">
        <f>IF('2023年'!$AZ24&gt;=SUM('2023年'!Y24:$AG24),'2023年'!Y24,IF('2023年'!$AZ24-SUM('2023年'!Z24:$AG24)&gt;0,'2023年'!$AZ24-SUM('2023年'!Z24:$AG24),0))</f>
        <v>0</v>
      </c>
      <c r="Z24" s="44">
        <f>IF('2023年'!$AZ24&gt;=SUM('2023年'!Z24:$AG24),'2023年'!Z24,IF('2023年'!$AZ24-SUM('2023年'!AA24:$AG24)&gt;0,'2023年'!$AZ24-SUM('2023年'!AA24:$AG24),0))</f>
        <v>0</v>
      </c>
      <c r="AA24" s="44">
        <f>IF('2023年'!$AZ24&gt;=SUM('2023年'!AA24:$AG24),'2023年'!AA24,IF('2023年'!$AZ24-SUM('2023年'!AB24:$AG24)&gt;0,'2023年'!$AZ24-SUM('2023年'!AB24:$AG24),0))</f>
        <v>0</v>
      </c>
      <c r="AB24" s="44">
        <f>IF('2023年'!$AZ24&gt;=SUM('2023年'!AB24:$AG24),'2023年'!AB24,IF('2023年'!$AZ24-SUM('2023年'!AC24:$AG24)&gt;0,'2023年'!$AZ24-SUM('2023年'!AC24:$AG24),0))</f>
        <v>0</v>
      </c>
      <c r="AC24" s="44">
        <f>IF('2023年'!$AZ24&gt;=SUM('2023年'!AC24:$AG24),'2023年'!AC24,IF('2023年'!$AZ24-SUM('2023年'!AD24:$AG24)&gt;0,'2023年'!$AZ24-SUM('2023年'!AD24:$AG24),0))</f>
        <v>0</v>
      </c>
      <c r="AD24" s="44">
        <f>IF('2023年'!$AZ24&gt;=SUM('2023年'!AD24:$AG24),'2023年'!AD24,IF('2023年'!$AZ24-SUM('2023年'!AE24:$AG24)&gt;0,'2023年'!$AZ24-SUM('2023年'!AE24:$AG24),0))</f>
        <v>0</v>
      </c>
      <c r="AE24" s="44">
        <f>IF('2023年'!$AZ24&gt;=SUM('2023年'!AE24:$AG24),'2023年'!AE24,IF('2023年'!$AZ24-SUM('2023年'!AF24:$AG24)&gt;0,'2023年'!$AZ24-SUM('2023年'!AF24:$AG24),0))</f>
        <v>9919.14</v>
      </c>
      <c r="AF24" s="44">
        <f>IF('2023年'!$AZ24&gt;=SUM('2023年'!AF24:$AG24),'2023年'!AF24,IF('2023年'!$AZ24-SUM('2023年'!AG24:$AG24)&gt;0,'2023年'!$AZ24-SUM('2023年'!AG24:$AG24),0))</f>
        <v>0</v>
      </c>
      <c r="AG24" s="44">
        <f>IF('2023年'!$AZ24&gt;=SUM('2023年'!AG24:$AG24),'2023年'!AG24,IF('2023年'!$AZ24-SUM('2023年'!$AG24:AH24)&gt;0,'2023年'!$AZ24-SUM('2023年'!$AG24:AH24),0))</f>
        <v>0</v>
      </c>
      <c r="AH24" s="312"/>
      <c r="AI24" s="313"/>
      <c r="AJ24" s="311" t="s">
        <v>372</v>
      </c>
      <c r="AK24" s="88" t="s">
        <v>389</v>
      </c>
      <c r="AL24" s="279" t="s">
        <v>270</v>
      </c>
      <c r="AM24" s="91"/>
      <c r="AN24" s="10">
        <f>'2023年'!AZ24</f>
        <v>9919.14</v>
      </c>
      <c r="AO24" s="10">
        <f t="shared" si="3"/>
        <v>2518.39</v>
      </c>
    </row>
    <row r="25" s="10" customFormat="1" ht="24.05" customHeight="1" spans="2:41">
      <c r="B25" s="48" t="s">
        <v>81</v>
      </c>
      <c r="C25" s="46" t="str">
        <f>'2023年'!C25</f>
        <v>1922009</v>
      </c>
      <c r="D25" s="46" t="str">
        <f>'2023年'!D25</f>
        <v>长春鸿德汽车照明有限公司</v>
      </c>
      <c r="E25" s="41">
        <v>90</v>
      </c>
      <c r="F25" s="42">
        <f>SUM(I25:X25)</f>
        <v>0</v>
      </c>
      <c r="G25" s="291">
        <f t="shared" ref="G25:G26" si="14">SUM(I25:V25)</f>
        <v>0</v>
      </c>
      <c r="H25" s="291">
        <f t="shared" ref="H25:H33" si="15">SUM(I25:AG25)</f>
        <v>1207481.37</v>
      </c>
      <c r="I25" s="298"/>
      <c r="J25" s="217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217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217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217" t="str">
        <f>IF('2023年'!$AZ25&gt;('2023年'!$W25+'2023年'!$V25+SUM('2023年'!I25:$T25)),'2023年'!I25,IF('2023年'!$AZ25-'2023年'!$V25-'2023年'!$W25-SUM('2023年'!J25:$T25)&gt;0,'2023年'!$AZ25-'2023年'!$V25-'2023年'!$W25-SUM('2023年'!J25:$T25),""))</f>
        <v/>
      </c>
      <c r="N25" s="217" t="str">
        <f>IF('2023年'!$AZ25&gt;(SUM('2023年'!$V25:AG25)+SUM('2023年'!J25:$T25)),'2023年'!J25,IF('2023年'!$AZ25-SUM('2023年'!$V25:AG25)-SUM('2023年'!K25:$T25)&gt;0,'2023年'!$AZ25-SUM('2023年'!$V25:AG25)-SUM('2023年'!K25:$T25),""))</f>
        <v/>
      </c>
      <c r="O25" s="217"/>
      <c r="P25" s="217"/>
      <c r="Q25" s="217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R25" s="217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S25" s="217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T25" s="217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U25" s="217" t="str">
        <f>IF('2023年'!$AZ25&gt;(SUM('2023年'!V25:AG25)+'2023年'!T25+'2023年'!Q25),'2023年'!Q25+'2023年'!T25,IF('2023年'!$AZ25-SUM('2023年'!V25:AG25)&gt;0,'2023年'!$AZ25-SUM('2023年'!V25:AG25),""))</f>
        <v/>
      </c>
      <c r="V25" s="221">
        <f>IF('2023年'!$AZ25&gt;=SUM('2023年'!V25:$AG25),'2023年'!V25,IF('2023年'!$AZ25-SUM('2023年'!W25:$AG25)&gt;0,'2023年'!$AZ25-SUM('2023年'!W25:$AG25),0))</f>
        <v>0</v>
      </c>
      <c r="W25" s="221">
        <f>IF('2023年'!$AZ25&gt;=SUM('2023年'!W25:$AG25),'2023年'!W25,IF('2023年'!$AZ25-SUM('2023年'!X25:$AG25)&gt;0,'2023年'!$AZ25-SUM('2023年'!X25:$AG25),0))</f>
        <v>0</v>
      </c>
      <c r="X25" s="221">
        <f>IF('2023年'!$AZ25&gt;=SUM('2023年'!X25:$AG25),'2023年'!X25,IF('2023年'!$AZ25-SUM('2023年'!Y25:$AG25)&gt;0,'2023年'!$AZ25-SUM('2023年'!Y25:$AG25),0))</f>
        <v>0</v>
      </c>
      <c r="Y25" s="44">
        <f>IF('2023年'!$AZ25&gt;=SUM('2023年'!Y25:$AG25),'2023年'!Y25,IF('2023年'!$AZ25-SUM('2023年'!Z25:$AG25)&gt;0,'2023年'!$AZ25-SUM('2023年'!Z25:$AG25),0))</f>
        <v>0</v>
      </c>
      <c r="Z25" s="44">
        <f>IF('2023年'!$AZ25&gt;=SUM('2023年'!Z25:$AG25),'2023年'!Z25,IF('2023年'!$AZ25-SUM('2023年'!AA25:$AG25)&gt;0,'2023年'!$AZ25-SUM('2023年'!AA25:$AG25),0))</f>
        <v>0</v>
      </c>
      <c r="AA25" s="44">
        <f>IF('2023年'!$AZ25&gt;=SUM('2023年'!AA25:$AG25),'2023年'!AA25,IF('2023年'!$AZ25-SUM('2023年'!AB25:$AG25)&gt;0,'2023年'!$AZ25-SUM('2023年'!AB25:$AG25),0))</f>
        <v>691402.68</v>
      </c>
      <c r="AB25" s="44">
        <f>IF('2023年'!$AZ25&gt;=SUM('2023年'!AB25:$AG25),'2023年'!AB25,IF('2023年'!$AZ25-SUM('2023年'!AC25:$AG25)&gt;0,'2023年'!$AZ25-SUM('2023年'!AC25:$AG25),0))</f>
        <v>280183.51</v>
      </c>
      <c r="AC25" s="44">
        <f>IF('2023年'!$AZ25&gt;=SUM('2023年'!AC25:$AG25),'2023年'!AC25,IF('2023年'!$AZ25-SUM('2023年'!AD25:$AG25)&gt;0,'2023年'!$AZ25-SUM('2023年'!AD25:$AG25),0))</f>
        <v>0</v>
      </c>
      <c r="AD25" s="44">
        <f>IF('2023年'!$AZ25&gt;=SUM('2023年'!AD25:$AG25),'2023年'!AD25,IF('2023年'!$AZ25-SUM('2023年'!AE25:$AG25)&gt;0,'2023年'!$AZ25-SUM('2023年'!AE25:$AG25),0))</f>
        <v>0</v>
      </c>
      <c r="AE25" s="44">
        <f>IF('2023年'!$AZ25&gt;=SUM('2023年'!AE25:$AG25),'2023年'!AE25,IF('2023年'!$AZ25-SUM('2023年'!AF25:$AG25)&gt;0,'2023年'!$AZ25-SUM('2023年'!AF25:$AG25),0))</f>
        <v>0</v>
      </c>
      <c r="AF25" s="44">
        <f>IF('2023年'!$AZ25&gt;=SUM('2023年'!AF25:$AG25),'2023年'!AF25,IF('2023年'!$AZ25-SUM('2023年'!AG25:$AG25)&gt;0,'2023年'!$AZ25-SUM('2023年'!AG25:$AG25),0))</f>
        <v>0</v>
      </c>
      <c r="AG25" s="44">
        <f>IF('2023年'!$AZ25&gt;=SUM('2023年'!AG25:$AG25),'2023年'!AG25,IF('2023年'!$AZ25-SUM('2023年'!$AG25:AH25)&gt;0,'2023年'!$AZ25-SUM('2023年'!$AG25:AH25),0))</f>
        <v>235895.18</v>
      </c>
      <c r="AH25" s="309"/>
      <c r="AI25" s="310"/>
      <c r="AJ25" s="311"/>
      <c r="AK25" s="84" t="s">
        <v>390</v>
      </c>
      <c r="AL25" s="277" t="s">
        <v>391</v>
      </c>
      <c r="AM25" s="91"/>
      <c r="AN25" s="10">
        <f>'2023年'!AZ25</f>
        <v>1207481.37</v>
      </c>
      <c r="AO25" s="10">
        <f t="shared" si="3"/>
        <v>0</v>
      </c>
    </row>
    <row r="26" s="10" customFormat="1" ht="24.05" customHeight="1" spans="2:41">
      <c r="B26" s="48" t="s">
        <v>81</v>
      </c>
      <c r="C26" s="46" t="str">
        <f>'2023年'!C26</f>
        <v>1931704</v>
      </c>
      <c r="D26" s="46" t="str">
        <f>'2023年'!D26</f>
        <v>上海努辰金属制品有限公司</v>
      </c>
      <c r="E26" s="295">
        <v>90</v>
      </c>
      <c r="F26" s="42">
        <f>SUM(I26:X26)</f>
        <v>0</v>
      </c>
      <c r="G26" s="291">
        <f t="shared" si="14"/>
        <v>0</v>
      </c>
      <c r="H26" s="291">
        <f t="shared" si="15"/>
        <v>26581.89</v>
      </c>
      <c r="I26" s="298"/>
      <c r="J26" s="217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217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217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217" t="str">
        <f>IF('2023年'!$AZ26&gt;('2023年'!$W26+'2023年'!$V26+SUM('2023年'!I26:$T26)),'2023年'!I26,IF('2023年'!$AZ26-'2023年'!$V26-'2023年'!$W26-SUM('2023年'!J26:$T26)&gt;0,'2023年'!$AZ26-'2023年'!$V26-'2023年'!$W26-SUM('2023年'!J26:$T26),""))</f>
        <v/>
      </c>
      <c r="N26" s="217" t="str">
        <f>IF('2023年'!$AZ26&gt;(SUM('2023年'!$V26:AG26)+SUM('2023年'!J26:$T26)),'2023年'!J26,IF('2023年'!$AZ26-SUM('2023年'!$V26:AG26)-SUM('2023年'!K26:$T26)&gt;0,'2023年'!$AZ26-SUM('2023年'!$V26:AG26)-SUM('2023年'!K26:$T26),""))</f>
        <v/>
      </c>
      <c r="O26" s="217" t="str">
        <f>IF('2023年'!$AZ26&gt;('2023年'!$W26+'2023年'!$V26+SUM('2023年'!K26:$T26)),'2023年'!K26,IF('2023年'!$AZ26-'2023年'!$V26-'2023年'!$W26-SUM('2023年'!L26:$T26)&gt;0,'2023年'!$AZ26-'2023年'!$V26-'2023年'!$W26-SUM('2023年'!L26:$T26),""))</f>
        <v/>
      </c>
      <c r="P26" s="217" t="str">
        <f>IF('2023年'!$AZ26&gt;('2023年'!$W26+'2023年'!$V26+SUM('2023年'!L26:$T26)),'2023年'!L26,IF('2023年'!$AZ26-'2023年'!$V26-'2023年'!$W26-SUM('2023年'!M26:$T26)&gt;0,'2023年'!$AZ26-'2023年'!$V26-'2023年'!$W26-SUM('2023年'!M26:$T26),""))</f>
        <v/>
      </c>
      <c r="Q26" s="217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R26" s="217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S26" s="217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T26" s="217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U26" s="217" t="str">
        <f>IF('2023年'!$AZ26&gt;(SUM('2023年'!V26:AG26)+'2023年'!T26+'2023年'!Q26),'2023年'!Q26+'2023年'!T26,IF('2023年'!$AZ26-SUM('2023年'!V26:AG26)&gt;0,'2023年'!$AZ26-SUM('2023年'!V26:AG26),""))</f>
        <v/>
      </c>
      <c r="V26" s="221">
        <f>IF('2023年'!$AZ26&gt;=SUM('2023年'!V26:$AG26),'2023年'!V26,IF('2023年'!$AZ26-SUM('2023年'!W26:$AG26)&gt;0,'2023年'!$AZ26-SUM('2023年'!W26:$AG26),0))</f>
        <v>0</v>
      </c>
      <c r="W26" s="221">
        <f>IF('2023年'!$AZ26&gt;=SUM('2023年'!W26:$AG26),'2023年'!W26,IF('2023年'!$AZ26-SUM('2023年'!X26:$AG26)&gt;0,'2023年'!$AZ26-SUM('2023年'!X26:$AG26),0))</f>
        <v>0</v>
      </c>
      <c r="X26" s="221">
        <f>IF('2023年'!$AZ26&gt;=SUM('2023年'!X26:$AG26),'2023年'!X26,IF('2023年'!$AZ26-SUM('2023年'!Y26:$AG26)&gt;0,'2023年'!$AZ26-SUM('2023年'!Y26:$AG26),0))</f>
        <v>0</v>
      </c>
      <c r="Y26" s="44">
        <f>IF('2023年'!$AZ26&gt;=SUM('2023年'!Y26:$AG26),'2023年'!Y26,IF('2023年'!$AZ26-SUM('2023年'!Z26:$AG26)&gt;0,'2023年'!$AZ26-SUM('2023年'!Z26:$AG26),0))</f>
        <v>0</v>
      </c>
      <c r="Z26" s="44">
        <f>IF('2023年'!$AZ26&gt;=SUM('2023年'!Z26:$AG26),'2023年'!Z26,IF('2023年'!$AZ26-SUM('2023年'!AA26:$AG26)&gt;0,'2023年'!$AZ26-SUM('2023年'!AA26:$AG26),0))</f>
        <v>0</v>
      </c>
      <c r="AA26" s="44">
        <f>IF('2023年'!$AZ26&gt;=SUM('2023年'!AA26:$AG26),'2023年'!AA26,IF('2023年'!$AZ26-SUM('2023年'!AB26:$AG26)&gt;0,'2023年'!$AZ26-SUM('2023年'!AB26:$AG26),0))</f>
        <v>2462.03999999999</v>
      </c>
      <c r="AB26" s="44">
        <f>IF('2023年'!$AZ26&gt;=SUM('2023年'!AB26:$AG26),'2023年'!AB26,IF('2023年'!$AZ26-SUM('2023年'!AC26:$AG26)&gt;0,'2023年'!$AZ26-SUM('2023年'!AC26:$AG26),0))</f>
        <v>0</v>
      </c>
      <c r="AC26" s="44">
        <f>IF('2023年'!$AZ26&gt;=SUM('2023年'!AC26:$AG26),'2023年'!AC26,IF('2023年'!$AZ26-SUM('2023年'!AD26:$AG26)&gt;0,'2023年'!$AZ26-SUM('2023年'!AD26:$AG26),0))</f>
        <v>13760.01</v>
      </c>
      <c r="AD26" s="44">
        <f>IF('2023年'!$AZ26&gt;=SUM('2023年'!AD26:$AG26),'2023年'!AD26,IF('2023年'!$AZ26-SUM('2023年'!AE26:$AG26)&gt;0,'2023年'!$AZ26-SUM('2023年'!AE26:$AG26),0))</f>
        <v>0</v>
      </c>
      <c r="AE26" s="44">
        <f>IF('2023年'!$AZ26&gt;=SUM('2023年'!AE26:$AG26),'2023年'!AE26,IF('2023年'!$AZ26-SUM('2023年'!AF26:$AG26)&gt;0,'2023年'!$AZ26-SUM('2023年'!AF26:$AG26),0))</f>
        <v>10359.84</v>
      </c>
      <c r="AF26" s="44">
        <f>IF('2023年'!$AZ26&gt;=SUM('2023年'!AF26:$AG26),'2023年'!AF26,IF('2023年'!$AZ26-SUM('2023年'!AG26:$AG26)&gt;0,'2023年'!$AZ26-SUM('2023年'!AG26:$AG26),0))</f>
        <v>0</v>
      </c>
      <c r="AG26" s="44">
        <f>IF('2023年'!$AZ26&gt;=SUM('2023年'!AG26:$AG26),'2023年'!AG26,IF('2023年'!$AZ26-SUM('2023年'!$AG26:AH26)&gt;0,'2023年'!$AZ26-SUM('2023年'!$AG26:AH26),0))</f>
        <v>0</v>
      </c>
      <c r="AH26" s="312"/>
      <c r="AI26" s="310"/>
      <c r="AJ26" s="311">
        <v>0</v>
      </c>
      <c r="AK26" s="88" t="s">
        <v>392</v>
      </c>
      <c r="AL26" s="279"/>
      <c r="AM26" s="91"/>
      <c r="AN26" s="10">
        <f>'2023年'!AZ26</f>
        <v>26581.89</v>
      </c>
      <c r="AO26" s="10">
        <f t="shared" si="3"/>
        <v>0</v>
      </c>
    </row>
    <row r="27" s="10" customFormat="1" ht="24.05" customHeight="1" spans="2:41">
      <c r="B27" s="48" t="s">
        <v>81</v>
      </c>
      <c r="C27" s="46" t="str">
        <f>'2023年'!C27</f>
        <v>L5389</v>
      </c>
      <c r="D27" s="46" t="str">
        <f>'2023年'!D27</f>
        <v>上海博迩森汽车部件有限公司</v>
      </c>
      <c r="E27" s="41">
        <v>30</v>
      </c>
      <c r="F27" s="42">
        <f>SUM(I27:Z27)</f>
        <v>0</v>
      </c>
      <c r="G27" s="291">
        <f>SUM(I27:X27)</f>
        <v>0</v>
      </c>
      <c r="H27" s="291">
        <f t="shared" si="15"/>
        <v>168098.8</v>
      </c>
      <c r="I27" s="298"/>
      <c r="J27" s="217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217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217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217" t="str">
        <f>IF('2023年'!$AZ27&gt;('2023年'!$W27+'2023年'!$V27+SUM('2023年'!I27:$T27)),'2023年'!I27,IF('2023年'!$AZ27-'2023年'!$V27-'2023年'!$W27-SUM('2023年'!J27:$T27)&gt;0,'2023年'!$AZ27-'2023年'!$V27-'2023年'!$W27-SUM('2023年'!J27:$T27),""))</f>
        <v/>
      </c>
      <c r="N27" s="217" t="str">
        <f>IF('2023年'!$AZ27&gt;(SUM('2023年'!$V27:AG27)+SUM('2023年'!J27:$T27)),'2023年'!J27,IF('2023年'!$AZ27-SUM('2023年'!$V27:AG27)-SUM('2023年'!K27:$T27)&gt;0,'2023年'!$AZ27-SUM('2023年'!$V27:AG27)-SUM('2023年'!K27:$T27),""))</f>
        <v/>
      </c>
      <c r="O27" s="217" t="str">
        <f>IF('2023年'!$AZ27&gt;('2023年'!$W27+'2023年'!$V27+SUM('2023年'!K27:$T27)),'2023年'!K27,IF('2023年'!$AZ27-'2023年'!$V27-'2023年'!$W27-SUM('2023年'!L27:$T27)&gt;0,'2023年'!$AZ27-'2023年'!$V27-'2023年'!$W27-SUM('2023年'!L27:$T27),""))</f>
        <v/>
      </c>
      <c r="P27" s="217" t="str">
        <f>IF('2023年'!$AZ27&gt;('2023年'!$W27+'2023年'!$V27+SUM('2023年'!L27:$T27)),'2023年'!L27,IF('2023年'!$AZ27-'2023年'!$V27-'2023年'!$W27-SUM('2023年'!M27:$T27)&gt;0,'2023年'!$AZ27-'2023年'!$V27-'2023年'!$W27-SUM('2023年'!M27:$T27),""))</f>
        <v/>
      </c>
      <c r="Q27" s="217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R27" s="217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S27" s="217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T27" s="217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U27" s="217" t="str">
        <f>IF('2023年'!$AZ27&gt;(SUM('2023年'!V27:AG27)+'2023年'!T27+'2023年'!Q27),'2023年'!Q27+'2023年'!T27,IF('2023年'!$AZ27-SUM('2023年'!V27:AG27)&gt;0,'2023年'!$AZ27-SUM('2023年'!V27:AG27),""))</f>
        <v/>
      </c>
      <c r="V27" s="221">
        <f>IF('2023年'!$AZ27&gt;=SUM('2023年'!V27:$AG27),'2023年'!V27,IF('2023年'!$AZ27-SUM('2023年'!W27:$AG27)&gt;0,'2023年'!$AZ27-SUM('2023年'!W27:$AG27),0))</f>
        <v>0</v>
      </c>
      <c r="W27" s="221">
        <f>IF('2023年'!$AZ27&gt;=SUM('2023年'!W27:$AG27),'2023年'!W27,IF('2023年'!$AZ27-SUM('2023年'!X27:$AG27)&gt;0,'2023年'!$AZ27-SUM('2023年'!X27:$AG27),0))</f>
        <v>0</v>
      </c>
      <c r="X27" s="221">
        <f>IF('2023年'!$AZ27&gt;=SUM('2023年'!X27:$AG27),'2023年'!X27,IF('2023年'!$AZ27-SUM('2023年'!Y27:$AG27)&gt;0,'2023年'!$AZ27-SUM('2023年'!Y27:$AG27),0))</f>
        <v>0</v>
      </c>
      <c r="Y27" s="44">
        <f>IF('2023年'!$AZ27&gt;=SUM('2023年'!Y27:$AG27),'2023年'!Y27,IF('2023年'!$AZ27-SUM('2023年'!Z27:$AG27)&gt;0,'2023年'!$AZ27-SUM('2023年'!Z27:$AG27),0))</f>
        <v>0</v>
      </c>
      <c r="Z27" s="44">
        <f>IF('2023年'!$AZ27&gt;=SUM('2023年'!Z27:$AG27),'2023年'!Z27,IF('2023年'!$AZ27-SUM('2023年'!AA27:$AG27)&gt;0,'2023年'!$AZ27-SUM('2023年'!AA27:$AG27),0))</f>
        <v>0</v>
      </c>
      <c r="AA27" s="44">
        <f>IF('2023年'!$AZ27&gt;=SUM('2023年'!AA27:$AG27),'2023年'!AA27,IF('2023年'!$AZ27-SUM('2023年'!AB27:$AG27)&gt;0,'2023年'!$AZ27-SUM('2023年'!AB27:$AG27),0))</f>
        <v>0</v>
      </c>
      <c r="AB27" s="44">
        <f>IF('2023年'!$AZ27&gt;=SUM('2023年'!AB27:$AG27),'2023年'!AB27,IF('2023年'!$AZ27-SUM('2023年'!AC27:$AG27)&gt;0,'2023年'!$AZ27-SUM('2023年'!AC27:$AG27),0))</f>
        <v>0</v>
      </c>
      <c r="AC27" s="44">
        <f>IF('2023年'!$AZ27&gt;=SUM('2023年'!AC27:$AG27),'2023年'!AC27,IF('2023年'!$AZ27-SUM('2023年'!AD27:$AG27)&gt;0,'2023年'!$AZ27-SUM('2023年'!AD27:$AG27),0))</f>
        <v>0</v>
      </c>
      <c r="AD27" s="44">
        <f>IF('2023年'!$AZ27&gt;=SUM('2023年'!AD27:$AG27),'2023年'!AD27,IF('2023年'!$AZ27-SUM('2023年'!AE27:$AG27)&gt;0,'2023年'!$AZ27-SUM('2023年'!AE27:$AG27),0))</f>
        <v>0</v>
      </c>
      <c r="AE27" s="44">
        <f>IF('2023年'!$AZ27&gt;=SUM('2023年'!AE27:$AG27),'2023年'!AE27,IF('2023年'!$AZ27-SUM('2023年'!AF27:$AG27)&gt;0,'2023年'!$AZ27-SUM('2023年'!AF27:$AG27),0))</f>
        <v>0</v>
      </c>
      <c r="AF27" s="44">
        <f>IF('2023年'!$AZ27&gt;=SUM('2023年'!AF27:$AG27),'2023年'!AF27,IF('2023年'!$AZ27-SUM('2023年'!AG27:$AG27)&gt;0,'2023年'!$AZ27-SUM('2023年'!AG27:$AG27),0))</f>
        <v>0</v>
      </c>
      <c r="AG27" s="44">
        <f>IF('2023年'!$AZ27&gt;=SUM('2023年'!AG27:$AG27),'2023年'!AG27,IF('2023年'!$AZ27-SUM('2023年'!$AG27:AH27)&gt;0,'2023年'!$AZ27-SUM('2023年'!$AG27:AH27),0))</f>
        <v>168098.8</v>
      </c>
      <c r="AH27" s="312"/>
      <c r="AI27" s="310"/>
      <c r="AJ27" s="311"/>
      <c r="AK27" s="88" t="s">
        <v>378</v>
      </c>
      <c r="AL27" s="279"/>
      <c r="AM27" s="91"/>
      <c r="AN27" s="10">
        <f>'2023年'!AZ27</f>
        <v>168098.8</v>
      </c>
      <c r="AO27" s="10">
        <f t="shared" si="3"/>
        <v>0</v>
      </c>
    </row>
    <row r="28" s="10" customFormat="1" ht="24.05" customHeight="1" spans="2:41">
      <c r="B28" s="45" t="s">
        <v>81</v>
      </c>
      <c r="C28" s="46" t="str">
        <f>'2023年'!C28</f>
        <v>1944520</v>
      </c>
      <c r="D28" s="46" t="str">
        <f>'2023年'!D28</f>
        <v>中山市华胜汽车部件有限公司</v>
      </c>
      <c r="E28" s="52" t="s">
        <v>222</v>
      </c>
      <c r="F28" s="42">
        <f t="shared" ref="F28:F34" si="16">SUM(I28:X28)</f>
        <v>0</v>
      </c>
      <c r="G28" s="291">
        <f t="shared" ref="G28:G30" si="17">SUM(I28:V28)</f>
        <v>0</v>
      </c>
      <c r="H28" s="291">
        <f t="shared" si="15"/>
        <v>292213.52</v>
      </c>
      <c r="I28" s="298"/>
      <c r="J28" s="217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217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217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217">
        <f>IF('2023年'!$AZ28&gt;('2023年'!$W28+'2023年'!$V28+SUM('2023年'!I28:$T28)),'2023年'!I28,IF('2023年'!$AZ28-'2023年'!$V28-'2023年'!$W28-SUM('2023年'!J28:$T28)&gt;0,'2023年'!$AZ28-'2023年'!$V28-'2023年'!$W28-SUM('2023年'!J28:$T28),""))</f>
        <v>0</v>
      </c>
      <c r="N28" s="217" t="str">
        <f>IF('2023年'!$AZ28&gt;(SUM('2023年'!$V28:AG28)+SUM('2023年'!J28:$T28)),'2023年'!J28,IF('2023年'!$AZ28-SUM('2023年'!$V28:AG28)-SUM('2023年'!K28:$T28)&gt;0,'2023年'!$AZ28-SUM('2023年'!$V28:AG28)-SUM('2023年'!K28:$T28),""))</f>
        <v/>
      </c>
      <c r="O28" s="217">
        <f>IF('2023年'!$AZ28&gt;('2023年'!$W28+'2023年'!$V28+SUM('2023年'!K28:$T28)),'2023年'!K28,IF('2023年'!$AZ28-'2023年'!$V28-'2023年'!$W28-SUM('2023年'!L28:$T28)&gt;0,'2023年'!$AZ28-'2023年'!$V28-'2023年'!$W28-SUM('2023年'!L28:$T28),""))</f>
        <v>0</v>
      </c>
      <c r="P28" s="217">
        <f>IF('2023年'!$AZ28&gt;('2023年'!$W28+'2023年'!$V28+SUM('2023年'!L28:$T28)),'2023年'!L28,IF('2023年'!$AZ28-'2023年'!$V28-'2023年'!$W28-SUM('2023年'!M28:$T28)&gt;0,'2023年'!$AZ28-'2023年'!$V28-'2023年'!$W28-SUM('2023年'!M28:$T28),""))</f>
        <v>0</v>
      </c>
      <c r="Q28" s="217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R28" s="217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S28" s="217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T28" s="217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U28" s="217" t="str">
        <f>IF('2023年'!$AZ28&gt;(SUM('2023年'!V28:AG28)+'2023年'!T28+'2023年'!Q28),'2023年'!Q28+'2023年'!T28,IF('2023年'!$AZ28-SUM('2023年'!V28:AG28)&gt;0,'2023年'!$AZ28-SUM('2023年'!V28:AG28),""))</f>
        <v/>
      </c>
      <c r="V28" s="221">
        <f>IF('2023年'!$AZ28&gt;=SUM('2023年'!V28:$AG28),'2023年'!V28,IF('2023年'!$AZ28-SUM('2023年'!W28:$AG28)&gt;0,'2023年'!$AZ28-SUM('2023年'!W28:$AG28),0))</f>
        <v>0</v>
      </c>
      <c r="W28" s="221">
        <f>IF('2023年'!$AZ28&gt;=SUM('2023年'!W28:$AG28),'2023年'!W28,IF('2023年'!$AZ28-SUM('2023年'!X28:$AG28)&gt;0,'2023年'!$AZ28-SUM('2023年'!X28:$AG28),0))</f>
        <v>0</v>
      </c>
      <c r="X28" s="221">
        <f>IF('2023年'!$AZ28&gt;=SUM('2023年'!X28:$AG28),'2023年'!X28,IF('2023年'!$AZ28-SUM('2023年'!Y28:$AG28)&gt;0,'2023年'!$AZ28-SUM('2023年'!Y28:$AG28),0))</f>
        <v>0</v>
      </c>
      <c r="Y28" s="44">
        <f>IF('2023年'!$AZ28&gt;=SUM('2023年'!Y28:$AG28),'2023年'!Y28,IF('2023年'!$AZ28-SUM('2023年'!Z28:$AG28)&gt;0,'2023年'!$AZ28-SUM('2023年'!Z28:$AG28),0))</f>
        <v>0</v>
      </c>
      <c r="Z28" s="44">
        <f>IF('2023年'!$AZ28&gt;=SUM('2023年'!Z28:$AG28),'2023年'!Z28,IF('2023年'!$AZ28-SUM('2023年'!AA28:$AG28)&gt;0,'2023年'!$AZ28-SUM('2023年'!AA28:$AG28),0))</f>
        <v>0</v>
      </c>
      <c r="AA28" s="44">
        <f>IF('2023年'!$AZ28&gt;=SUM('2023年'!AA28:$AG28),'2023年'!AA28,IF('2023年'!$AZ28-SUM('2023年'!AB28:$AG28)&gt;0,'2023年'!$AZ28-SUM('2023年'!AB28:$AG28),0))</f>
        <v>26636.86</v>
      </c>
      <c r="AB28" s="44">
        <f>IF('2023年'!$AZ28&gt;=SUM('2023年'!AB28:$AG28),'2023年'!AB28,IF('2023年'!$AZ28-SUM('2023年'!AC28:$AG28)&gt;0,'2023年'!$AZ28-SUM('2023年'!AC28:$AG28),0))</f>
        <v>90458.76</v>
      </c>
      <c r="AC28" s="44">
        <f>IF('2023年'!$AZ28&gt;=SUM('2023年'!AC28:$AG28),'2023年'!AC28,IF('2023年'!$AZ28-SUM('2023年'!AD28:$AG28)&gt;0,'2023年'!$AZ28-SUM('2023年'!AD28:$AG28),0))</f>
        <v>28309.89</v>
      </c>
      <c r="AD28" s="44">
        <f>IF('2023年'!$AZ28&gt;=SUM('2023年'!AD28:$AG28),'2023年'!AD28,IF('2023年'!$AZ28-SUM('2023年'!AE28:$AG28)&gt;0,'2023年'!$AZ28-SUM('2023年'!AE28:$AG28),0))</f>
        <v>34550.88</v>
      </c>
      <c r="AE28" s="44">
        <f>IF('2023年'!$AZ28&gt;=SUM('2023年'!AE28:$AG28),'2023年'!AE28,IF('2023年'!$AZ28-SUM('2023年'!AF28:$AG28)&gt;0,'2023年'!$AZ28-SUM('2023年'!AF28:$AG28),0))</f>
        <v>63985.57</v>
      </c>
      <c r="AF28" s="44">
        <f>IF('2023年'!$AZ28&gt;=SUM('2023年'!AF28:$AG28),'2023年'!AF28,IF('2023年'!$AZ28-SUM('2023年'!AG28:$AG28)&gt;0,'2023年'!$AZ28-SUM('2023年'!AG28:$AG28),0))</f>
        <v>48271.56</v>
      </c>
      <c r="AG28" s="44">
        <f>IF('2023年'!$AZ28&gt;=SUM('2023年'!AG28:$AG28),'2023年'!AG28,IF('2023年'!$AZ28-SUM('2023年'!$AG28:AH28)&gt;0,'2023年'!$AZ28-SUM('2023年'!$AG28:AH28),0))</f>
        <v>0</v>
      </c>
      <c r="AH28" s="309"/>
      <c r="AI28" s="310"/>
      <c r="AJ28" s="311" t="s">
        <v>372</v>
      </c>
      <c r="AK28" s="84" t="s">
        <v>393</v>
      </c>
      <c r="AL28" s="277"/>
      <c r="AM28" s="91"/>
      <c r="AN28" s="10">
        <f>'2023年'!AZ28</f>
        <v>292213.52</v>
      </c>
      <c r="AO28" s="10">
        <f t="shared" si="3"/>
        <v>0</v>
      </c>
    </row>
    <row r="29" s="10" customFormat="1" ht="24.05" customHeight="1" spans="2:41">
      <c r="B29" s="45" t="s">
        <v>81</v>
      </c>
      <c r="C29" s="46" t="str">
        <f>'2023年'!C29</f>
        <v>1935343</v>
      </c>
      <c r="D29" s="46" t="str">
        <f>'2023年'!D29</f>
        <v>泉州市福兴塑料五金有限公司</v>
      </c>
      <c r="E29" s="41" t="s">
        <v>222</v>
      </c>
      <c r="F29" s="42">
        <f t="shared" si="16"/>
        <v>0</v>
      </c>
      <c r="G29" s="291">
        <f t="shared" si="17"/>
        <v>0</v>
      </c>
      <c r="H29" s="291">
        <f t="shared" si="15"/>
        <v>78871.99</v>
      </c>
      <c r="I29" s="298"/>
      <c r="J29" s="217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217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217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217" t="str">
        <f>IF('2023年'!$AZ29&gt;('2023年'!$W29+'2023年'!$V29+SUM('2023年'!I29:$T29)),'2023年'!I29,IF('2023年'!$AZ29-'2023年'!$V29-'2023年'!$W29-SUM('2023年'!J29:$T29)&gt;0,'2023年'!$AZ29-'2023年'!$V29-'2023年'!$W29-SUM('2023年'!J29:$T29),""))</f>
        <v/>
      </c>
      <c r="N29" s="217" t="str">
        <f>IF('2023年'!$AZ29&gt;(SUM('2023年'!$V29:AG29)+SUM('2023年'!J29:$T29)),'2023年'!J29,IF('2023年'!$AZ29-SUM('2023年'!$V29:AG29)-SUM('2023年'!K29:$T29)&gt;0,'2023年'!$AZ29-SUM('2023年'!$V29:AG29)-SUM('2023年'!K29:$T29),""))</f>
        <v/>
      </c>
      <c r="O29" s="217" t="str">
        <f>IF('2023年'!$AZ29&gt;(SUM('2023年'!$V29:AG29)+SUM('2023年'!K29:$T29)),'2023年'!K29,IF('2023年'!$AZ29-SUM('2023年'!$V29:AG29)-SUM('2023年'!L29:$T29)&gt;0,'2023年'!$AZ29-SUM('2023年'!$V29:AG29)-SUM('2023年'!L29:$T29),""))</f>
        <v/>
      </c>
      <c r="P29" s="217" t="str">
        <f>IF('2023年'!$AZ29&gt;(SUM(V29:AG29)+SUM('2023年'!L29:$T29)),'2023年'!L29,IF('2023年'!$AZ29-SUM(V29:AG29)-SUM('2023年'!M29:$T29)&gt;0,'2023年'!$AZ29-SUM(V29:AG29)-SUM('2023年'!M29:$T29),""))</f>
        <v/>
      </c>
      <c r="Q29" s="217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R29" s="217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S29" s="217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T29" s="217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U29" s="217" t="str">
        <f>IF('2023年'!$AZ29&gt;(SUM('2023年'!V29:AG29)+'2023年'!T29+'2023年'!Q29),'2023年'!Q29+'2023年'!T29,IF('2023年'!$AZ29-SUM('2023年'!V29:AG29)&gt;0,'2023年'!$AZ29-SUM('2023年'!V29:AG29),""))</f>
        <v/>
      </c>
      <c r="V29" s="221">
        <f>IF('2023年'!$AZ29&gt;=SUM('2023年'!V29:$AG29),'2023年'!V29,IF('2023年'!$AZ29-SUM('2023年'!W29:$AG29)&gt;0,'2023年'!$AZ29-SUM('2023年'!W29:$AG29),0))</f>
        <v>0</v>
      </c>
      <c r="W29" s="221">
        <f>IF('2023年'!$AZ29&gt;=SUM('2023年'!W29:$AG29),'2023年'!W29,IF('2023年'!$AZ29-SUM('2023年'!X29:$AG29)&gt;0,'2023年'!$AZ29-SUM('2023年'!X29:$AG29),0))</f>
        <v>0</v>
      </c>
      <c r="X29" s="221">
        <f>IF('2023年'!$AZ29&gt;=SUM('2023年'!X29:$AG29),'2023年'!X29,IF('2023年'!$AZ29-SUM('2023年'!Y29:$AG29)&gt;0,'2023年'!$AZ29-SUM('2023年'!Y29:$AG29),0))</f>
        <v>0</v>
      </c>
      <c r="Y29" s="44">
        <f>IF('2023年'!$AZ29&gt;=SUM('2023年'!Y29:$AG29),'2023年'!Y29,IF('2023年'!$AZ29-SUM('2023年'!Z29:$AG29)&gt;0,'2023年'!$AZ29-SUM('2023年'!Z29:$AG29),0))</f>
        <v>0</v>
      </c>
      <c r="Z29" s="44">
        <f>IF('2023年'!$AZ29&gt;=SUM('2023年'!Z29:$AG29),'2023年'!Z29,IF('2023年'!$AZ29-SUM('2023年'!AA29:$AG29)&gt;0,'2023年'!$AZ29-SUM('2023年'!AA29:$AG29),0))</f>
        <v>0</v>
      </c>
      <c r="AA29" s="44">
        <f>IF('2023年'!$AZ29&gt;=SUM('2023年'!AA29:$AG29),'2023年'!AA29,IF('2023年'!$AZ29-SUM('2023年'!AB29:$AG29)&gt;0,'2023年'!$AZ29-SUM('2023年'!AB29:$AG29),0))</f>
        <v>0</v>
      </c>
      <c r="AB29" s="44">
        <f>IF('2023年'!$AZ29&gt;=SUM('2023年'!AB29:$AG29),'2023年'!AB29,IF('2023年'!$AZ29-SUM('2023年'!AC29:$AG29)&gt;0,'2023年'!$AZ29-SUM('2023年'!AC29:$AG29),0))</f>
        <v>4665.45</v>
      </c>
      <c r="AC29" s="44">
        <f>IF('2023年'!$AZ29&gt;=SUM('2023年'!AC29:$AG29),'2023年'!AC29,IF('2023年'!$AZ29-SUM('2023年'!AD29:$AG29)&gt;0,'2023年'!$AZ29-SUM('2023年'!AD29:$AG29),0))</f>
        <v>0</v>
      </c>
      <c r="AD29" s="44">
        <f>IF('2023年'!$AZ29&gt;=SUM('2023年'!AD29:$AG29),'2023年'!AD29,IF('2023年'!$AZ29-SUM('2023年'!AE29:$AG29)&gt;0,'2023年'!$AZ29-SUM('2023年'!AE29:$AG29),0))</f>
        <v>0</v>
      </c>
      <c r="AE29" s="44">
        <f>IF('2023年'!$AZ29&gt;=SUM('2023年'!AE29:$AG29),'2023年'!AE29,IF('2023年'!$AZ29-SUM('2023年'!AF29:$AG29)&gt;0,'2023年'!$AZ29-SUM('2023年'!AF29:$AG29),0))</f>
        <v>74206.54</v>
      </c>
      <c r="AF29" s="44">
        <f>IF('2023年'!$AZ29&gt;=SUM('2023年'!AF29:$AG29),'2023年'!AF29,IF('2023年'!$AZ29-SUM('2023年'!AG29:$AG29)&gt;0,'2023年'!$AZ29-SUM('2023年'!AG29:$AG29),0))</f>
        <v>0</v>
      </c>
      <c r="AG29" s="44">
        <f>IF('2023年'!$AZ29&gt;=SUM('2023年'!AG29:$AG29),'2023年'!AG29,IF('2023年'!$AZ29-SUM('2023年'!$AG29:AH29)&gt;0,'2023年'!$AZ29-SUM('2023年'!$AG29:AH29),0))</f>
        <v>0</v>
      </c>
      <c r="AH29" s="312"/>
      <c r="AI29" s="310"/>
      <c r="AJ29" s="311">
        <v>0</v>
      </c>
      <c r="AK29" s="88" t="s">
        <v>394</v>
      </c>
      <c r="AL29" s="279"/>
      <c r="AM29" s="91"/>
      <c r="AN29" s="10">
        <f>'2023年'!AZ29</f>
        <v>78871.99</v>
      </c>
      <c r="AO29" s="10">
        <f t="shared" si="3"/>
        <v>0</v>
      </c>
    </row>
    <row r="30" s="10" customFormat="1" ht="24.05" customHeight="1" spans="2:41">
      <c r="B30" s="45" t="s">
        <v>81</v>
      </c>
      <c r="C30" s="46" t="str">
        <f>'2023年'!C30</f>
        <v>L2124</v>
      </c>
      <c r="D30" s="46" t="str">
        <f>'2023年'!D30</f>
        <v>西安光华荣昌汽车部件有限公司</v>
      </c>
      <c r="E30" s="41" t="s">
        <v>222</v>
      </c>
      <c r="F30" s="42">
        <f t="shared" si="16"/>
        <v>156897.18</v>
      </c>
      <c r="G30" s="291">
        <f t="shared" si="17"/>
        <v>0</v>
      </c>
      <c r="H30" s="291">
        <f t="shared" si="15"/>
        <v>461767.12</v>
      </c>
      <c r="I30" s="298"/>
      <c r="J30" s="217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217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217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217" t="str">
        <f>IF('2023年'!$AZ30&gt;('2023年'!$W30+'2023年'!$V30+SUM('2023年'!I30:$T30)),'2023年'!I30,IF('2023年'!$AZ30-'2023年'!$V30-'2023年'!$W30-SUM('2023年'!J30:$T30)&gt;0,'2023年'!$AZ30-'2023年'!$V30-'2023年'!$W30-SUM('2023年'!J30:$T30),""))</f>
        <v/>
      </c>
      <c r="N30" s="217" t="str">
        <f>IF('2023年'!$AZ30&gt;(SUM('2023年'!$V30:AG30)+SUM('2023年'!J30:$T30)),'2023年'!J30,IF('2023年'!$AZ30-SUM('2023年'!$V30:AG30)-SUM('2023年'!K30:$T30)&gt;0,'2023年'!$AZ30-SUM('2023年'!$V30:AG30)-SUM('2023年'!K30:$T30),""))</f>
        <v/>
      </c>
      <c r="O30" s="217" t="str">
        <f>IF('2023年'!$AZ30&gt;('2023年'!$W30+'2023年'!$V30+SUM('2023年'!K30:$T30)),'2023年'!K30,IF('2023年'!$AZ30-'2023年'!$V30-'2023年'!$W30-SUM('2023年'!L30:$T30)&gt;0,'2023年'!$AZ30-'2023年'!$V30-'2023年'!$W30-SUM('2023年'!L30:$T30),""))</f>
        <v/>
      </c>
      <c r="P30" s="217" t="str">
        <f>IF('2023年'!$AZ30&gt;('2023年'!$W30+'2023年'!$V30+SUM('2023年'!L30:$T30)),'2023年'!L30,IF('2023年'!$AZ30-'2023年'!$V30-'2023年'!$W30-SUM('2023年'!M30:$T30)&gt;0,'2023年'!$AZ30-'2023年'!$V30-'2023年'!$W30-SUM('2023年'!M30:$T30),""))</f>
        <v/>
      </c>
      <c r="Q30" s="217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R30" s="217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S30" s="217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T30" s="217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U30" s="217" t="str">
        <f>IF('2023年'!$AZ30&gt;(SUM('2023年'!V30:AG30)+'2023年'!T30+'2023年'!Q30),'2023年'!Q30+'2023年'!T30,IF('2023年'!$AZ30-SUM('2023年'!V30:AG30)&gt;0,'2023年'!$AZ30-SUM('2023年'!V30:AG30),""))</f>
        <v/>
      </c>
      <c r="V30" s="221">
        <f>IF('2023年'!$AZ30&gt;=SUM('2023年'!V30:$AG30),'2023年'!V30,IF('2023年'!$AZ30-SUM('2023年'!W30:$AG30)&gt;0,'2023年'!$AZ30-SUM('2023年'!W30:$AG30),0))</f>
        <v>0</v>
      </c>
      <c r="W30" s="221">
        <f>IF('2023年'!$AZ30&gt;=SUM('2023年'!W30:$AG30),'2023年'!W30,IF('2023年'!$AZ30-SUM('2023年'!X30:$AG30)&gt;0,'2023年'!$AZ30-SUM('2023年'!X30:$AG30),0))</f>
        <v>0</v>
      </c>
      <c r="X30" s="221">
        <f>IF('2023年'!$AZ30&gt;=SUM('2023年'!X30:$AG30),'2023年'!X30,IF('2023年'!$AZ30-SUM('2023年'!Y30:$AG30)&gt;0,'2023年'!$AZ30-SUM('2023年'!Y30:$AG30),0))</f>
        <v>156897.18</v>
      </c>
      <c r="Y30" s="44">
        <f>IF('2023年'!$AZ30&gt;=SUM('2023年'!Y30:$AG30),'2023年'!Y30,IF('2023年'!$AZ30-SUM('2023年'!Z30:$AG30)&gt;0,'2023年'!$AZ30-SUM('2023年'!Z30:$AG30),0))</f>
        <v>40061.43</v>
      </c>
      <c r="Z30" s="44">
        <f>IF('2023年'!$AZ30&gt;=SUM('2023年'!Z30:$AG30),'2023年'!Z30,IF('2023年'!$AZ30-SUM('2023年'!AA30:$AG30)&gt;0,'2023年'!$AZ30-SUM('2023年'!AA30:$AG30),0))</f>
        <v>24892.05</v>
      </c>
      <c r="AA30" s="44">
        <f>IF('2023年'!$AZ30&gt;=SUM('2023年'!AA30:$AG30),'2023年'!AA30,IF('2023年'!$AZ30-SUM('2023年'!AB30:$AG30)&gt;0,'2023年'!$AZ30-SUM('2023年'!AB30:$AG30),0))</f>
        <v>12725.95</v>
      </c>
      <c r="AB30" s="44">
        <f>IF('2023年'!$AZ30&gt;=SUM('2023年'!AB30:$AG30),'2023年'!AB30,IF('2023年'!$AZ30-SUM('2023年'!AC30:$AG30)&gt;0,'2023年'!$AZ30-SUM('2023年'!AC30:$AG30),0))</f>
        <v>95100.09</v>
      </c>
      <c r="AC30" s="44">
        <f>IF('2023年'!$AZ30&gt;=SUM('2023年'!AC30:$AG30),'2023年'!AC30,IF('2023年'!$AZ30-SUM('2023年'!AD30:$AG30)&gt;0,'2023年'!$AZ30-SUM('2023年'!AD30:$AG30),0))</f>
        <v>0</v>
      </c>
      <c r="AD30" s="44">
        <f>IF('2023年'!$AZ30&gt;=SUM('2023年'!AD30:$AG30),'2023年'!AD30,IF('2023年'!$AZ30-SUM('2023年'!AE30:$AG30)&gt;0,'2023年'!$AZ30-SUM('2023年'!AE30:$AG30),0))</f>
        <v>70.75</v>
      </c>
      <c r="AE30" s="44">
        <f>IF('2023年'!$AZ30&gt;=SUM('2023年'!AE30:$AG30),'2023年'!AE30,IF('2023年'!$AZ30-SUM('2023年'!AF30:$AG30)&gt;0,'2023年'!$AZ30-SUM('2023年'!AF30:$AG30),0))</f>
        <v>120886.07</v>
      </c>
      <c r="AF30" s="44">
        <f>IF('2023年'!$AZ30&gt;=SUM('2023年'!AF30:$AG30),'2023年'!AF30,IF('2023年'!$AZ30-SUM('2023年'!AG30:$AG30)&gt;0,'2023年'!$AZ30-SUM('2023年'!AG30:$AG30),0))</f>
        <v>66283.25</v>
      </c>
      <c r="AG30" s="44">
        <f>IF('2023年'!$AZ30&gt;=SUM('2023年'!AG30:$AG30),'2023年'!AG30,IF('2023年'!$AZ30-SUM('2023年'!$AG30:AH30)&gt;0,'2023年'!$AZ30-SUM('2023年'!$AG30:AH30),0))</f>
        <v>-55149.65</v>
      </c>
      <c r="AH30" s="312"/>
      <c r="AI30" s="310"/>
      <c r="AJ30" s="311"/>
      <c r="AK30" s="88" t="s">
        <v>395</v>
      </c>
      <c r="AL30" s="279"/>
      <c r="AM30" s="91"/>
      <c r="AN30" s="101">
        <f>'2023年'!AZ30</f>
        <v>461767.12</v>
      </c>
      <c r="AO30" s="10">
        <f t="shared" si="3"/>
        <v>0</v>
      </c>
    </row>
    <row r="31" s="10" customFormat="1" ht="24.05" customHeight="1" spans="2:41">
      <c r="B31" s="45" t="s">
        <v>81</v>
      </c>
      <c r="C31" s="46" t="str">
        <f>'2023年'!C31</f>
        <v>L5211</v>
      </c>
      <c r="D31" s="46" t="str">
        <f>'2023年'!D31</f>
        <v>西安海容塑料制品有限责任公司</v>
      </c>
      <c r="E31" s="41">
        <v>90</v>
      </c>
      <c r="F31" s="42">
        <f t="shared" si="16"/>
        <v>0</v>
      </c>
      <c r="G31" s="291">
        <f>SUM(I31:T31)</f>
        <v>0</v>
      </c>
      <c r="H31" s="291">
        <f t="shared" si="15"/>
        <v>0</v>
      </c>
      <c r="I31" s="298"/>
      <c r="J31" s="217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217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217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217" t="str">
        <f>IF('2023年'!$AZ31&gt;('2023年'!$W31+'2023年'!$V31+SUM('2023年'!I31:$T31)),'2023年'!I31,IF('2023年'!$AZ31-'2023年'!$V31-'2023年'!$W31-SUM('2023年'!J31:$T31)&gt;0,'2023年'!$AZ31-'2023年'!$V31-'2023年'!$W31-SUM('2023年'!J31:$T31),""))</f>
        <v/>
      </c>
      <c r="N31" s="217" t="str">
        <f>IF('2023年'!$AZ31&gt;(SUM('2023年'!$V31:AG31)+SUM('2023年'!J31:$T31)),'2023年'!J31,IF('2023年'!$AZ31-SUM('2023年'!$V31:AG31)-SUM('2023年'!K31:$T31)&gt;0,'2023年'!$AZ31-SUM('2023年'!$V31:AG31)-SUM('2023年'!K31:$T31),""))</f>
        <v/>
      </c>
      <c r="O31" s="217" t="str">
        <f>IF('2023年'!$AZ31&gt;('2023年'!$W31+'2023年'!$V31+SUM('2023年'!K31:$T31)),'2023年'!K31,IF('2023年'!$AZ31-'2023年'!$V31-'2023年'!$W31-SUM('2023年'!L31:$T31)&gt;0,'2023年'!$AZ31-'2023年'!$V31-'2023年'!$W31-SUM('2023年'!L31:$T31),""))</f>
        <v/>
      </c>
      <c r="P31" s="217" t="str">
        <f>IF('2023年'!$AZ31&gt;('2023年'!$W31+'2023年'!$V31+SUM('2023年'!L31:$T31)),'2023年'!L31,IF('2023年'!$AZ31-'2023年'!$V31-'2023年'!$W31-SUM('2023年'!M31:$T31)&gt;0,'2023年'!$AZ31-'2023年'!$V31-'2023年'!$W31-SUM('2023年'!M31:$T31),""))</f>
        <v/>
      </c>
      <c r="Q31" s="217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R31" s="217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S31" s="217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T31" s="217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U31" s="217" t="str">
        <f>IF('2023年'!$AZ31&gt;(SUM('2023年'!V31:AG31)+'2023年'!T31+'2023年'!Q31),'2023年'!Q31+'2023年'!T31,IF('2023年'!$AZ31-SUM('2023年'!V31:AG31)&gt;0,'2023年'!$AZ31-SUM('2023年'!V31:AG31),""))</f>
        <v/>
      </c>
      <c r="V31" s="221">
        <f>IF('2023年'!$AZ31&gt;=SUM('2023年'!V31:$AG31),'2023年'!V31,IF('2023年'!$AZ31-SUM('2023年'!W31:$AG31)&gt;0,'2023年'!$AZ31-SUM('2023年'!W31:$AG31),0))</f>
        <v>0</v>
      </c>
      <c r="W31" s="221">
        <f>IF('2023年'!$AZ31&gt;=SUM('2023年'!W31:$AG31),'2023年'!W31,IF('2023年'!$AZ31-SUM('2023年'!X31:$AG31)&gt;0,'2023年'!$AZ31-SUM('2023年'!X31:$AG31),0))</f>
        <v>0</v>
      </c>
      <c r="X31" s="221">
        <f>IF('2023年'!$AZ31&gt;=SUM('2023年'!X31:$AG31),'2023年'!X31,IF('2023年'!$AZ31-SUM('2023年'!Y31:$AG31)&gt;0,'2023年'!$AZ31-SUM('2023年'!Y31:$AG31),0))</f>
        <v>0</v>
      </c>
      <c r="Y31" s="44">
        <f>IF('2023年'!$AZ31&gt;=SUM('2023年'!Y31:$AG31),'2023年'!Y31,IF('2023年'!$AZ31-SUM('2023年'!Z31:$AG31)&gt;0,'2023年'!$AZ31-SUM('2023年'!Z31:$AG31),0))</f>
        <v>0</v>
      </c>
      <c r="Z31" s="44">
        <f>IF('2023年'!$AZ31&gt;=SUM('2023年'!Z31:$AG31),'2023年'!Z31,IF('2023年'!$AZ31-SUM('2023年'!AA31:$AG31)&gt;0,'2023年'!$AZ31-SUM('2023年'!AA31:$AG31),0))</f>
        <v>0</v>
      </c>
      <c r="AA31" s="44">
        <f>IF('2023年'!$AZ31&gt;=SUM('2023年'!AA31:$AG31),'2023年'!AA31,IF('2023年'!$AZ31-SUM('2023年'!AB31:$AG31)&gt;0,'2023年'!$AZ31-SUM('2023年'!AB31:$AG31),0))</f>
        <v>0</v>
      </c>
      <c r="AB31" s="44">
        <f>IF('2023年'!$AZ31&gt;=SUM('2023年'!AB31:$AG31),'2023年'!AB31,IF('2023年'!$AZ31-SUM('2023年'!AC31:$AG31)&gt;0,'2023年'!$AZ31-SUM('2023年'!AC31:$AG31),0))</f>
        <v>0</v>
      </c>
      <c r="AC31" s="44">
        <f>IF('2023年'!$AZ31&gt;=SUM('2023年'!AC31:$AG31),'2023年'!AC31,IF('2023年'!$AZ31-SUM('2023年'!AD31:$AG31)&gt;0,'2023年'!$AZ31-SUM('2023年'!AD31:$AG31),0))</f>
        <v>0</v>
      </c>
      <c r="AD31" s="44">
        <f>IF('2023年'!$AZ31&gt;=SUM('2023年'!AD31:$AG31),'2023年'!AD31,IF('2023年'!$AZ31-SUM('2023年'!AE31:$AG31)&gt;0,'2023年'!$AZ31-SUM('2023年'!AE31:$AG31),0))</f>
        <v>0</v>
      </c>
      <c r="AE31" s="44">
        <f>IF('2023年'!$AZ31&gt;=SUM('2023年'!AE31:$AG31),'2023年'!AE31,IF('2023年'!$AZ31-SUM('2023年'!AF31:$AG31)&gt;0,'2023年'!$AZ31-SUM('2023年'!AF31:$AG31),0))</f>
        <v>0</v>
      </c>
      <c r="AF31" s="44">
        <f>IF('2023年'!$AZ31&gt;=SUM('2023年'!AF31:$AG31),'2023年'!AF31,IF('2023年'!$AZ31-SUM('2023年'!AG31:$AG31)&gt;0,'2023年'!$AZ31-SUM('2023年'!AG31:$AG31),0))</f>
        <v>0</v>
      </c>
      <c r="AG31" s="44">
        <f>IF('2023年'!$AZ31&gt;=SUM('2023年'!AG31:$AG31),'2023年'!AG31,IF('2023年'!$AZ31-SUM('2023年'!$AG31:AH31)&gt;0,'2023年'!$AZ31-SUM('2023年'!$AG31:AH31),0))</f>
        <v>0</v>
      </c>
      <c r="AH31" s="312"/>
      <c r="AI31" s="310"/>
      <c r="AJ31" s="311" t="s">
        <v>372</v>
      </c>
      <c r="AK31" s="88" t="s">
        <v>396</v>
      </c>
      <c r="AL31" s="279"/>
      <c r="AM31" s="91"/>
      <c r="AN31" s="10">
        <f>'2023年'!AZ31</f>
        <v>0</v>
      </c>
      <c r="AO31" s="10">
        <f t="shared" si="3"/>
        <v>0</v>
      </c>
    </row>
    <row r="32" s="10" customFormat="1" ht="24.05" customHeight="1" spans="2:41">
      <c r="B32" s="45" t="s">
        <v>81</v>
      </c>
      <c r="C32" s="46" t="str">
        <f>'2023年'!C32</f>
        <v>1932034</v>
      </c>
      <c r="D32" s="46" t="str">
        <f>'2023年'!D32</f>
        <v>江苏福美汽车镜有限公司</v>
      </c>
      <c r="E32" s="41" t="s">
        <v>222</v>
      </c>
      <c r="F32" s="42">
        <f t="shared" si="16"/>
        <v>196459.46</v>
      </c>
      <c r="G32" s="291">
        <f t="shared" ref="G32:G34" si="18">SUM(I32:V32)</f>
        <v>71050.79</v>
      </c>
      <c r="H32" s="291">
        <f t="shared" si="15"/>
        <v>569279.23</v>
      </c>
      <c r="I32" s="298"/>
      <c r="J32" s="217">
        <f>IF('2023年'!$AZ32&gt;('2023年'!$W32+'2023年'!$V32+SUM('2023年'!F32:$T32)),'2023年'!F32,IF('2023年'!$AZ32-'2023年'!$V32-'2023年'!$W32-SUM('2023年'!G32:$T32)&gt;0,'2023年'!$AZ32-'2023年'!$V32-'2023年'!$W32-SUM('2023年'!G32:$T32),""))</f>
        <v>45981.51</v>
      </c>
      <c r="K32" s="217">
        <f>IF('2023年'!$AZ32&gt;('2023年'!$W32+'2023年'!$V32+SUM('2023年'!G32:$T32)),'2023年'!G32,IF('2023年'!$AZ32-'2023年'!$V32-'2023年'!$W32-SUM('2023年'!H32:$T32)&gt;0,'2023年'!$AZ32-'2023年'!$V32-'2023年'!$W32-SUM('2023年'!H32:$T32),""))</f>
        <v>0</v>
      </c>
      <c r="L32" s="217" t="str">
        <f>IF('2023年'!$AZ32&gt;(SUM('2023年'!$V32:AG32)+SUM('2023年'!H32:$T32)),'2023年'!H32,IF('2023年'!$AZ32-SUM('2023年'!$V32:AG32)-SUM('2023年'!I32:$T32)&gt;0,'2023年'!$AZ32-SUM('2023年'!$V32:AG32)-SUM('2023年'!I32:$T32),""))</f>
        <v/>
      </c>
      <c r="M32" s="217">
        <f>IF('2023年'!$AZ32&gt;('2023年'!$W32+'2023年'!$V32+SUM('2023年'!I32:$T32)),'2023年'!I32,IF('2023年'!$AZ32-'2023年'!$V32-'2023年'!$W32-SUM('2023年'!J32:$T32)&gt;0,'2023年'!$AZ32-'2023年'!$V32-'2023年'!$W32-SUM('2023年'!J32:$T32),""))</f>
        <v>25069.28</v>
      </c>
      <c r="N32" s="217" t="str">
        <f>IF('2023年'!$AZ32&gt;(SUM('2023年'!$V32:AG32)+SUM('2023年'!J32:$T32)),'2023年'!J32,IF('2023年'!$AZ32-SUM('2023年'!$V32:AG32)-SUM('2023年'!K32:$T32)&gt;0,'2023年'!$AZ32-SUM('2023年'!$V32:AG32)-SUM('2023年'!K32:$T32),""))</f>
        <v/>
      </c>
      <c r="O32" s="217">
        <f>IF('2023年'!$AZ32&gt;('2023年'!$W32+'2023年'!$V32+SUM('2023年'!K32:$T32)),'2023年'!K32,IF('2023年'!$AZ32-'2023年'!$V32-'2023年'!$W32-SUM('2023年'!L32:$T32)&gt;0,'2023年'!$AZ32-'2023年'!$V32-'2023年'!$W32-SUM('2023年'!L32:$T32),""))</f>
        <v>0</v>
      </c>
      <c r="P32" s="217">
        <f>IF('2023年'!$AZ32&gt;('2023年'!$W32+'2023年'!$V32+SUM('2023年'!L32:$T32)),'2023年'!L32,IF('2023年'!$AZ32-'2023年'!$V32-'2023年'!$W32-SUM('2023年'!M32:$T32)&gt;0,'2023年'!$AZ32-'2023年'!$V32-'2023年'!$W32-SUM('2023年'!M32:$T32),""))</f>
        <v>0</v>
      </c>
      <c r="Q32" s="217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R32" s="217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S32" s="217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T32" s="217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U32" s="217" t="str">
        <f>IF('2023年'!$AZ32&gt;(SUM('2023年'!V32:AG32)+'2023年'!T32+'2023年'!Q32),'2023年'!Q32+'2023年'!T32,IF('2023年'!$AZ32-SUM('2023年'!V32:AG32)&gt;0,'2023年'!$AZ32-SUM('2023年'!V32:AG32),""))</f>
        <v/>
      </c>
      <c r="V32" s="221">
        <f>IF('2023年'!$AZ32&gt;=SUM('2023年'!V32:$AG32),'2023年'!V32,IF('2023年'!$AZ32-SUM('2023年'!W32:$AG32)&gt;0,'2023年'!$AZ32-SUM('2023年'!W32:$AG32),0))</f>
        <v>0</v>
      </c>
      <c r="W32" s="221">
        <f>IF('2023年'!$AZ32&gt;=SUM('2023年'!W32:$AG32),'2023年'!W32,IF('2023年'!$AZ32-SUM('2023年'!X32:$AG32)&gt;0,'2023年'!$AZ32-SUM('2023年'!X32:$AG32),0))</f>
        <v>125408.67</v>
      </c>
      <c r="X32" s="221">
        <f>IF('2023年'!$AZ32&gt;=SUM('2023年'!X32:$AG32),'2023年'!X32,IF('2023年'!$AZ32-SUM('2023年'!Y32:$AG32)&gt;0,'2023年'!$AZ32-SUM('2023年'!Y32:$AG32),0))</f>
        <v>0</v>
      </c>
      <c r="Y32" s="44">
        <f>IF('2023年'!$AZ32&gt;=SUM('2023年'!Y32:$AG32),'2023年'!Y32,IF('2023年'!$AZ32-SUM('2023年'!Z32:$AG32)&gt;0,'2023年'!$AZ32-SUM('2023年'!Z32:$AG32),0))</f>
        <v>0</v>
      </c>
      <c r="Z32" s="44">
        <f>IF('2023年'!$AZ32&gt;=SUM('2023年'!Z32:$AG32),'2023年'!Z32,IF('2023年'!$AZ32-SUM('2023年'!AA32:$AG32)&gt;0,'2023年'!$AZ32-SUM('2023年'!AA32:$AG32),0))</f>
        <v>0</v>
      </c>
      <c r="AA32" s="44">
        <f>IF('2023年'!$AZ32&gt;=SUM('2023年'!AA32:$AG32),'2023年'!AA32,IF('2023年'!$AZ32-SUM('2023年'!AB32:$AG32)&gt;0,'2023年'!$AZ32-SUM('2023年'!AB32:$AG32),0))</f>
        <v>0</v>
      </c>
      <c r="AB32" s="44">
        <f>IF('2023年'!$AZ32&gt;=SUM('2023年'!AB32:$AG32),'2023年'!AB32,IF('2023年'!$AZ32-SUM('2023年'!AC32:$AG32)&gt;0,'2023年'!$AZ32-SUM('2023年'!AC32:$AG32),0))</f>
        <v>251804.91</v>
      </c>
      <c r="AC32" s="44">
        <f>IF('2023年'!$AZ32&gt;=SUM('2023年'!AC32:$AG32),'2023年'!AC32,IF('2023年'!$AZ32-SUM('2023年'!AD32:$AG32)&gt;0,'2023年'!$AZ32-SUM('2023年'!AD32:$AG32),0))</f>
        <v>0</v>
      </c>
      <c r="AD32" s="44">
        <f>IF('2023年'!$AZ32&gt;=SUM('2023年'!AD32:$AG32),'2023年'!AD32,IF('2023年'!$AZ32-SUM('2023年'!AE32:$AG32)&gt;0,'2023年'!$AZ32-SUM('2023年'!AE32:$AG32),0))</f>
        <v>0</v>
      </c>
      <c r="AE32" s="44">
        <f>IF('2023年'!$AZ32&gt;=SUM('2023年'!AE32:$AG32),'2023年'!AE32,IF('2023年'!$AZ32-SUM('2023年'!AF32:$AG32)&gt;0,'2023年'!$AZ32-SUM('2023年'!AF32:$AG32),0))</f>
        <v>0</v>
      </c>
      <c r="AF32" s="44">
        <f>IF('2023年'!$AZ32&gt;=SUM('2023年'!AF32:$AG32),'2023年'!AF32,IF('2023年'!$AZ32-SUM('2023年'!AG32:$AG32)&gt;0,'2023年'!$AZ32-SUM('2023年'!AG32:$AG32),0))</f>
        <v>0</v>
      </c>
      <c r="AG32" s="44">
        <f>IF('2023年'!$AZ32&gt;=SUM('2023年'!AG32:$AG32),'2023年'!AG32,IF('2023年'!$AZ32-SUM('2023年'!$AG32:AH32)&gt;0,'2023年'!$AZ32-SUM('2023年'!$AG32:AH32),0))</f>
        <v>121014.86</v>
      </c>
      <c r="AH32" s="312"/>
      <c r="AI32" s="310"/>
      <c r="AJ32" s="311"/>
      <c r="AK32" s="88" t="s">
        <v>377</v>
      </c>
      <c r="AL32" s="279"/>
      <c r="AM32" s="91"/>
      <c r="AN32" s="10">
        <f>'2023年'!AZ32</f>
        <v>498228.44</v>
      </c>
      <c r="AO32" s="10">
        <f t="shared" si="3"/>
        <v>71050.79</v>
      </c>
    </row>
    <row r="33" s="10" customFormat="1" ht="24.05" customHeight="1" spans="2:41">
      <c r="B33" s="45" t="s">
        <v>81</v>
      </c>
      <c r="C33" s="46" t="str">
        <f>'2023年'!C33</f>
        <v>1913037</v>
      </c>
      <c r="D33" s="46" t="str">
        <f>'2023年'!D33</f>
        <v>河北光华荣昌汽车部件有限公司</v>
      </c>
      <c r="E33" s="41" t="s">
        <v>222</v>
      </c>
      <c r="F33" s="42">
        <f t="shared" si="16"/>
        <v>410565.64</v>
      </c>
      <c r="G33" s="291">
        <f t="shared" si="18"/>
        <v>94275.6500000002</v>
      </c>
      <c r="H33" s="291">
        <f t="shared" si="15"/>
        <v>-173545.45</v>
      </c>
      <c r="I33" s="298"/>
      <c r="J33" s="217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217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217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217" t="str">
        <f>IF('2023年'!$AZ33&gt;('2023年'!$W33+'2023年'!$V33+SUM('2023年'!I33:$T33)),'2023年'!I33,IF('2023年'!$AZ33-'2023年'!$V33-'2023年'!$W33-SUM('2023年'!I33:$T33)&gt;0,'2023年'!$AZ33-'2023年'!$V33-'2023年'!$W33-SUM('2023年'!I33:$T33),""))</f>
        <v/>
      </c>
      <c r="N33" s="217" t="str">
        <f>IF('2023年'!$AZ33&gt;(SUM('2023年'!$V33:AG33)+SUM('2023年'!J33:$T33)),'2023年'!J33,IF('2023年'!$AZ33-SUM('2023年'!$V33:AG33)-SUM('2023年'!K33:$T33)&gt;0,'2023年'!$AZ33-SUM('2023年'!$V33:AG33)-SUM('2023年'!K33:$T33),""))</f>
        <v/>
      </c>
      <c r="O33" s="217" t="str">
        <f>IF('2023年'!$AZ33&gt;(SUM('2023年'!$V33:AG33)+SUM('2023年'!K33:$T33)),'2023年'!K33,IF('2023年'!$AZ33-SUM('2023年'!$V33:AG33)-SUM('2023年'!L33:$T33)&gt;0,'2023年'!$AZ33-SUM('2023年'!$V33:AG33)-SUM('2023年'!L33:$T33),""))</f>
        <v/>
      </c>
      <c r="P33" s="217" t="str">
        <f>IF('2023年'!$AZ33&gt;(SUM(V33:AG33)+SUM('2023年'!L33:$T33)),'2023年'!L33,IF('2023年'!$AZ33-SUM(V33:AG33)-SUM('2023年'!M33:$T33)&gt;0,'2023年'!$AZ33-SUM(V33:AG33)-SUM('2023年'!M33:$T33),""))</f>
        <v/>
      </c>
      <c r="Q33" s="217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R33" s="217">
        <v>0</v>
      </c>
      <c r="S33" s="217">
        <v>0</v>
      </c>
      <c r="T33" s="217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U33" s="217" t="str">
        <f>IF('2023年'!$AZ33&gt;(SUM('2023年'!V33:AG33)+'2023年'!T33+'2023年'!Q33),'2023年'!Q33+'2023年'!T33,IF('2023年'!$AZ33-SUM('2023年'!V33:AG33)&gt;0,'2023年'!$AZ33-SUM('2023年'!V33:AG33),""))</f>
        <v/>
      </c>
      <c r="V33" s="221">
        <f>IF('2023年'!$AZ33&gt;=SUM('2023年'!V33:$AG33),'2023年'!V33,IF('2023年'!$AZ33-SUM('2023年'!W33:$AG33)&gt;0,'2023年'!$AZ33-SUM('2023年'!W33:$AG33),0))</f>
        <v>94275.6500000002</v>
      </c>
      <c r="W33" s="221">
        <f>IF('2023年'!$AZ33&gt;=SUM('2023年'!W33:$AG33),'2023年'!W33,IF('2023年'!$AZ33-SUM('2023年'!X33:$AG33)&gt;0,'2023年'!$AZ33-SUM('2023年'!X33:$AG33),0))</f>
        <v>316289.99</v>
      </c>
      <c r="X33" s="221">
        <f>IF('2023年'!$AZ33&gt;=SUM('2023年'!X33:$AG33),'2023年'!X33,IF('2023年'!$AZ33-SUM('2023年'!Y33:$AG33)&gt;0,'2023年'!$AZ33-SUM('2023年'!Y33:$AG33),0))</f>
        <v>0</v>
      </c>
      <c r="Y33" s="44">
        <f>IF('2023年'!$AZ33&gt;=SUM('2023年'!Y33:$AG33),'2023年'!Y33,IF('2023年'!$AZ33-SUM('2023年'!Z33:$AG33)&gt;0,'2023年'!$AZ33-SUM('2023年'!Z33:$AG33),0))</f>
        <v>690585.84</v>
      </c>
      <c r="Z33" s="44">
        <f>IF('2023年'!$AZ33&gt;=SUM('2023年'!Z33:$AG33),'2023年'!Z33,IF('2023年'!$AZ33-SUM('2023年'!AA33:$AG33)&gt;0,'2023年'!$AZ33-SUM('2023年'!AA33:$AG33),0))</f>
        <v>-127171.15</v>
      </c>
      <c r="AA33" s="44">
        <f>IF('2023年'!$AZ33&gt;=SUM('2023年'!AA33:$AG33),'2023年'!AA33,IF('2023年'!$AZ33-SUM('2023年'!AB33:$AG33)&gt;0,'2023年'!$AZ33-SUM('2023年'!AB33:$AG33),0))</f>
        <v>-1147525.78</v>
      </c>
      <c r="AB33" s="44">
        <f>IF('2023年'!$AZ33&gt;=SUM('2023年'!AB33:$AG33),'2023年'!AB33,IF('2023年'!$AZ33-SUM('2023年'!AC33:$AG33)&gt;0,'2023年'!$AZ33-SUM('2023年'!AC33:$AG33),0))</f>
        <v>0</v>
      </c>
      <c r="AC33" s="44">
        <f>IF('2023年'!$AZ33&gt;=SUM('2023年'!AC33:$AG33),'2023年'!AC33,IF('2023年'!$AZ33-SUM('2023年'!AD33:$AG33)&gt;0,'2023年'!$AZ33-SUM('2023年'!AD33:$AG33),0))</f>
        <v>0</v>
      </c>
      <c r="AD33" s="44">
        <f>IF('2023年'!$AZ33&gt;=SUM('2023年'!AD33:$AG33),'2023年'!AD33,IF('2023年'!$AZ33-SUM('2023年'!AE33:$AG33)&gt;0,'2023年'!$AZ33-SUM('2023年'!AE33:$AG33),0))</f>
        <v>0</v>
      </c>
      <c r="AE33" s="44">
        <f>IF('2023年'!$AZ33&gt;=SUM('2023年'!AE33:$AG33),'2023年'!AE33,IF('2023年'!$AZ33-SUM('2023年'!AF33:$AG33)&gt;0,'2023年'!$AZ33-SUM('2023年'!AF33:$AG33),0))</f>
        <v>0</v>
      </c>
      <c r="AF33" s="44">
        <f>IF('2023年'!$AZ33&gt;=SUM('2023年'!AF33:$AG33),'2023年'!AF33,IF('2023年'!$AZ33-SUM('2023年'!AG33:$AG33)&gt;0,'2023年'!$AZ33-SUM('2023年'!AG33:$AG33),0))</f>
        <v>0</v>
      </c>
      <c r="AG33" s="44">
        <f>IF('2023年'!$AZ33&gt;=SUM('2023年'!AG33:$AG33),'2023年'!AG33,IF('2023年'!$AZ33-SUM('2023年'!$AG33:AH33)&gt;0,'2023年'!$AZ33-SUM('2023年'!$AG33:AH33),0))</f>
        <v>0</v>
      </c>
      <c r="AH33" s="312"/>
      <c r="AI33" s="310" t="s">
        <v>84</v>
      </c>
      <c r="AJ33" s="311" t="s">
        <v>84</v>
      </c>
      <c r="AK33" s="88" t="s">
        <v>397</v>
      </c>
      <c r="AL33" s="279"/>
      <c r="AM33" s="91"/>
      <c r="AN33" s="10">
        <f>'2023年'!AZ33</f>
        <v>45306.7200000001</v>
      </c>
      <c r="AO33" s="10">
        <f t="shared" si="3"/>
        <v>-218852.17</v>
      </c>
    </row>
    <row r="34" s="10" customFormat="1" ht="24.05" customHeight="1" spans="2:41">
      <c r="B34" s="45" t="s">
        <v>81</v>
      </c>
      <c r="C34" s="46"/>
      <c r="D34" s="46" t="str">
        <f>'2023年'!D34</f>
        <v>文安县恒德汽车座椅制造有限公</v>
      </c>
      <c r="E34" s="41" t="s">
        <v>222</v>
      </c>
      <c r="F34" s="42">
        <f t="shared" si="16"/>
        <v>0</v>
      </c>
      <c r="G34" s="291">
        <f t="shared" si="18"/>
        <v>0</v>
      </c>
      <c r="H34" s="291">
        <f t="shared" ref="H34:H35" si="19">SUM(I34:AG34)</f>
        <v>49728.49</v>
      </c>
      <c r="I34" s="298"/>
      <c r="J34" s="217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217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217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217">
        <f>IF('2023年'!$AZ34&gt;('2023年'!$W34+'2023年'!$V34+SUM('2023年'!I34:$T34)),'2023年'!I34,IF('2023年'!$AZ34-'2023年'!$V34-'2023年'!$W34-SUM('2023年'!I34:$T34)&gt;0,'2023年'!$AZ34-'2023年'!$V34-'2023年'!$W34-SUM('2023年'!I34:$T34),""))</f>
        <v>0</v>
      </c>
      <c r="N34" s="217" t="str">
        <f>IF('2023年'!$AZ34&gt;(SUM('2023年'!$V34:AG34)+SUM('2023年'!J34:$T34)),'2023年'!J34,IF('2023年'!$AZ34-SUM('2023年'!$V34:AG34)-SUM('2023年'!K34:$T34)&gt;0,'2023年'!$AZ34-SUM('2023年'!$V34:AG34)-SUM('2023年'!K34:$T34),""))</f>
        <v/>
      </c>
      <c r="O34" s="217" t="str">
        <f>IF('2023年'!$AZ34&gt;(SUM('2023年'!$V34:AG34)+SUM('2023年'!K34:$T34)),'2023年'!K34,IF('2023年'!$AZ34-SUM('2023年'!$V34:AG34)-SUM('2023年'!L34:$T34)&gt;0,'2023年'!$AZ34-SUM('2023年'!$V34:AG34)-SUM('2023年'!L34:$T34),""))</f>
        <v/>
      </c>
      <c r="P34" s="217">
        <f>IF('2023年'!$AZ34&gt;(SUM(V34:AG34)+SUM('2023年'!L34:$T34)),'2023年'!L34,IF('2023年'!$AZ34-SUM(V34:AG34)-SUM('2023年'!M34:$T34)&gt;0,'2023年'!$AZ34-SUM(V34:AG34)-SUM('2023年'!M34:$T34),""))</f>
        <v>0</v>
      </c>
      <c r="Q34" s="217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R34" s="217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S34" s="217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T34" s="217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U34" s="217" t="str">
        <f>IF('2023年'!$AZ34&gt;(SUM('2023年'!V34:AG34)+'2023年'!T34+'2023年'!Q34),'2023年'!Q34+'2023年'!T34,IF('2023年'!$AZ34-SUM('2023年'!V34:AG34)&gt;0,'2023年'!$AZ34-SUM('2023年'!V34:AG34),""))</f>
        <v/>
      </c>
      <c r="V34" s="221">
        <f>IF('2023年'!$AZ34&gt;=SUM('2023年'!V34:$AG34),'2023年'!V34,IF('2023年'!$AZ34-SUM('2023年'!W34:$AG34)&gt;0,'2023年'!$AZ34-SUM('2023年'!W34:$AG34),0))</f>
        <v>0</v>
      </c>
      <c r="W34" s="221">
        <f>IF('2023年'!$AZ34&gt;=SUM('2023年'!W34:$AG34),'2023年'!W34,IF('2023年'!$AZ34-SUM('2023年'!X34:$AG34)&gt;0,'2023年'!$AZ34-SUM('2023年'!X34:$AG34),0))</f>
        <v>0</v>
      </c>
      <c r="X34" s="221">
        <f>IF('2023年'!$AZ34&gt;=SUM('2023年'!X34:$AG34),'2023年'!X34,IF('2023年'!$AZ34-SUM('2023年'!Y34:$AG34)&gt;0,'2023年'!$AZ34-SUM('2023年'!Y34:$AG34),0))</f>
        <v>0</v>
      </c>
      <c r="Y34" s="44">
        <f>IF('2023年'!$AZ34&gt;=SUM('2023年'!Y34:$AG34),'2023年'!Y34,IF('2023年'!$AZ34-SUM('2023年'!Z34:$AG34)&gt;0,'2023年'!$AZ34-SUM('2023年'!Z34:$AG34),0))</f>
        <v>0</v>
      </c>
      <c r="Z34" s="44">
        <f>IF('2023年'!$AZ34&gt;=SUM('2023年'!Z34:$AG34),'2023年'!Z34,IF('2023年'!$AZ34-SUM('2023年'!AA34:$AG34)&gt;0,'2023年'!$AZ34-SUM('2023年'!AA34:$AG34),0))</f>
        <v>0</v>
      </c>
      <c r="AA34" s="44">
        <f>IF('2023年'!$AZ34&gt;=SUM('2023年'!AA34:$AG34),'2023年'!AA34,IF('2023年'!$AZ34-SUM('2023年'!AB34:$AG34)&gt;0,'2023年'!$AZ34-SUM('2023年'!AB34:$AG34),0))</f>
        <v>49728.49</v>
      </c>
      <c r="AB34" s="44"/>
      <c r="AC34" s="44"/>
      <c r="AD34" s="44"/>
      <c r="AE34" s="44"/>
      <c r="AF34" s="44"/>
      <c r="AG34" s="44"/>
      <c r="AH34" s="312" t="s">
        <v>398</v>
      </c>
      <c r="AI34" s="310" t="s">
        <v>399</v>
      </c>
      <c r="AJ34" s="311" t="s">
        <v>400</v>
      </c>
      <c r="AK34" s="88" t="s">
        <v>401</v>
      </c>
      <c r="AL34" s="279"/>
      <c r="AM34" s="91"/>
      <c r="AN34" s="10">
        <f>'2023年'!AZ34</f>
        <v>398950.31</v>
      </c>
      <c r="AO34" s="10">
        <f t="shared" si="3"/>
        <v>-349221.82</v>
      </c>
    </row>
    <row r="35" s="10" customFormat="1" ht="24.05" hidden="1" customHeight="1" spans="2:41">
      <c r="B35" s="45" t="s">
        <v>81</v>
      </c>
      <c r="C35" s="46"/>
      <c r="D35" s="46" t="str">
        <f>'2023年'!D35</f>
        <v>北京美好生活家居用品有限公司</v>
      </c>
      <c r="E35" s="41" t="s">
        <v>85</v>
      </c>
      <c r="F35" s="42">
        <f>SUM(I35:Y35)</f>
        <v>0</v>
      </c>
      <c r="G35" s="291">
        <f>SUM(I35:W35)</f>
        <v>0</v>
      </c>
      <c r="H35" s="291">
        <f t="shared" si="19"/>
        <v>0</v>
      </c>
      <c r="I35" s="298"/>
      <c r="J35" s="217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217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217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217" t="str">
        <f>IF('2023年'!$AZ35&gt;('2023年'!$W35+'2023年'!$V35+SUM('2023年'!I35:$T35)),'2023年'!I35,IF('2023年'!$AZ35-'2023年'!$V35-'2023年'!$W35-SUM('2023年'!I35:$T35)&gt;0,'2023年'!$AZ35-'2023年'!$V35-'2023年'!$W35-SUM('2023年'!I35:$T35),""))</f>
        <v/>
      </c>
      <c r="N35" s="217" t="str">
        <f>IF('2023年'!$AZ35&gt;(SUM('2023年'!$V35:AG35)+SUM('2023年'!J35:$T35)),'2023年'!J35,IF('2023年'!$AZ35-SUM('2023年'!$V35:AG35)-SUM('2023年'!K35:$T35)&gt;0,'2023年'!$AZ35-SUM('2023年'!$V35:AG35)-SUM('2023年'!K35:$T35),""))</f>
        <v/>
      </c>
      <c r="O35" s="217" t="str">
        <f>IF('2023年'!$AZ35&gt;('2023年'!$W35+'2023年'!$V35+SUM('2023年'!K35:$T35)),'2023年'!K35,IF('2023年'!$AZ35-'2023年'!$V35-'2023年'!$W35-SUM('2023年'!K35:$T35)&gt;0,'2023年'!$AZ35-'2023年'!$V35-'2023年'!$W35-SUM('2023年'!K35:$T35),""))</f>
        <v/>
      </c>
      <c r="P35" s="217" t="str">
        <f>IF('2023年'!$AZ35&gt;('2023年'!$W35+'2023年'!$V35+SUM('2023年'!L35:$T35)),'2023年'!L35,IF('2023年'!$AZ35-'2023年'!$V35-'2023年'!$W35-SUM('2023年'!L35:$T35)&gt;0,'2023年'!$AZ35-'2023年'!$V35-'2023年'!$W35-SUM('2023年'!L35:$T35),""))</f>
        <v/>
      </c>
      <c r="Q35" s="217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R35" s="217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S35" s="217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T35" s="217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U35" s="217" t="str">
        <f>IF('2023年'!$AZ35&gt;(SUM('2023年'!V35:AG35)+'2023年'!T35+'2023年'!Q35),'2023年'!Q35+'2023年'!T35,IF('2023年'!$AZ35-SUM('2023年'!V35:AG35)&gt;0,'2023年'!$AZ35-SUM('2023年'!V35:AG35),""))</f>
        <v/>
      </c>
      <c r="V35" s="221">
        <f>IF('2023年'!$AZ35&gt;=SUM('2023年'!V35:$AG35),'2023年'!V35,IF('2023年'!$AZ35-SUM('2023年'!W35:$AG35)&gt;0,'2023年'!$AZ35-SUM('2023年'!W35:$AG35),0))</f>
        <v>0</v>
      </c>
      <c r="W35" s="221">
        <f>IF('2023年'!$AZ35&gt;=SUM('2023年'!W35:$AG35),'2023年'!W35,IF('2023年'!$AZ35-SUM('2023年'!X35:$AG35)&gt;0,'2023年'!$AZ35-SUM('2023年'!X35:$AG35),0))</f>
        <v>0</v>
      </c>
      <c r="X35" s="221">
        <f>IF('2023年'!$AZ35&gt;=SUM('2023年'!X35:$AG35),'2023年'!X35,IF('2023年'!$AZ35-SUM('2023年'!Y35:$AG35)&gt;0,'2023年'!$AZ35-SUM('2023年'!Y35:$AG35),0))</f>
        <v>0</v>
      </c>
      <c r="Y35" s="44">
        <f>IF('2023年'!$AZ35&gt;=SUM('2023年'!Y35:$AG35),'2023年'!Y35,IF('2023年'!$AZ35-SUM('2023年'!Z35:$AG35)&gt;0,'2023年'!$AZ35-SUM('2023年'!Z35:$AG35),0))</f>
        <v>0</v>
      </c>
      <c r="Z35" s="44">
        <f>IF('2023年'!$AZ35&gt;=SUM('2023年'!Z35:$AG35),'2023年'!Z35,IF('2023年'!$AZ35-SUM('2023年'!AA35:$AG35)&gt;0,'2023年'!$AZ35-SUM('2023年'!AA35:$AG35),0))</f>
        <v>0</v>
      </c>
      <c r="AA35" s="44">
        <f>IF('2023年'!$AZ35&gt;=SUM('2023年'!AA35:$AG35),'2023年'!AA35,IF('2023年'!$AZ35-SUM('2023年'!AB35:$AG35)&gt;0,'2023年'!$AZ35-SUM('2023年'!AB35:$AG35),0))</f>
        <v>0</v>
      </c>
      <c r="AB35" s="44"/>
      <c r="AC35" s="44"/>
      <c r="AD35" s="44"/>
      <c r="AE35" s="44"/>
      <c r="AF35" s="44"/>
      <c r="AG35" s="44"/>
      <c r="AH35" s="312" t="s">
        <v>402</v>
      </c>
      <c r="AI35" s="310" t="s">
        <v>403</v>
      </c>
      <c r="AJ35" s="311" t="s">
        <v>372</v>
      </c>
      <c r="AK35" s="88" t="s">
        <v>404</v>
      </c>
      <c r="AL35" s="279"/>
      <c r="AM35" s="91"/>
      <c r="AN35" s="10">
        <f>'2023年'!AZ35</f>
        <v>0</v>
      </c>
      <c r="AO35" s="10">
        <f t="shared" si="3"/>
        <v>0</v>
      </c>
    </row>
    <row r="36" s="10" customFormat="1" ht="24.05" hidden="1" customHeight="1" spans="2:41">
      <c r="B36" s="45" t="s">
        <v>81</v>
      </c>
      <c r="C36" s="46"/>
      <c r="D36" s="46" t="str">
        <f>'2023年'!D36</f>
        <v>北京浦东三浦标准件有限公司</v>
      </c>
      <c r="E36" s="41" t="s">
        <v>222</v>
      </c>
      <c r="F36" s="42">
        <f t="shared" ref="F36:F41" si="20">SUM(I36:X36)</f>
        <v>0</v>
      </c>
      <c r="G36" s="291">
        <f t="shared" ref="G36:G41" si="21">SUM(I36:V36)</f>
        <v>0</v>
      </c>
      <c r="H36" s="291">
        <f t="shared" ref="H36:H42" si="22">SUM(I36:AG36)</f>
        <v>0</v>
      </c>
      <c r="I36" s="298"/>
      <c r="J36" s="217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217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217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217" t="str">
        <f>IF('2023年'!$AZ36&gt;('2023年'!$W36+'2023年'!$V36+SUM('2023年'!I36:$T36)),'2023年'!I36,IF('2023年'!$AZ36-'2023年'!$V36-'2023年'!$W36-SUM('2023年'!I36:$T36)&gt;0,'2023年'!$AZ36-'2023年'!$V36-'2023年'!$W36-SUM('2023年'!I36:$T36),""))</f>
        <v/>
      </c>
      <c r="N36" s="217" t="str">
        <f>IF('2023年'!$AZ36&gt;(SUM('2023年'!$V36:AG36)+SUM('2023年'!J36:$T36)),'2023年'!J36,IF('2023年'!$AZ36-SUM('2023年'!$V36:AG36)-SUM('2023年'!K36:$T36)&gt;0,'2023年'!$AZ36-SUM('2023年'!$V36:AG36)-SUM('2023年'!K36:$T36),""))</f>
        <v/>
      </c>
      <c r="O36" s="217" t="str">
        <f>IF('2023年'!$AZ36&gt;('2023年'!$W36+'2023年'!$V36+SUM('2023年'!K36:$T36)),'2023年'!K36,IF('2023年'!$AZ36-'2023年'!$V36-'2023年'!$W36-SUM('2023年'!K36:$T36)&gt;0,'2023年'!$AZ36-'2023年'!$V36-'2023年'!$W36-SUM('2023年'!K36:$T36),""))</f>
        <v/>
      </c>
      <c r="P36" s="217" t="str">
        <f>IF('2023年'!$AZ36&gt;('2023年'!$W36+'2023年'!$V36+SUM('2023年'!L36:$T36)),'2023年'!L36,IF('2023年'!$AZ36-'2023年'!$V36-'2023年'!$W36-SUM('2023年'!L36:$T36)&gt;0,'2023年'!$AZ36-'2023年'!$V36-'2023年'!$W36-SUM('2023年'!L36:$T36),""))</f>
        <v/>
      </c>
      <c r="Q36" s="217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R36" s="217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S36" s="217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T36" s="217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U36" s="217" t="str">
        <f>IF('2023年'!$AZ36&gt;(SUM('2023年'!V36:AG36)+'2023年'!T36+'2023年'!Q36),'2023年'!Q36+'2023年'!T36,IF('2023年'!$AZ36-SUM('2023年'!V36:AG36)&gt;0,'2023年'!$AZ36-SUM('2023年'!V36:AG36),""))</f>
        <v/>
      </c>
      <c r="V36" s="221">
        <f>IF('2023年'!$AZ36&gt;=SUM('2023年'!V36:$AG36),'2023年'!V36,IF('2023年'!$AZ36-SUM('2023年'!W36:$AG36)&gt;0,'2023年'!$AZ36-SUM('2023年'!W36:$AG36),0))</f>
        <v>0</v>
      </c>
      <c r="W36" s="221">
        <f>IF('2023年'!$AZ36&gt;=SUM('2023年'!W36:$AG36),'2023年'!W36,IF('2023年'!$AZ36-SUM('2023年'!X36:$AG36)&gt;0,'2023年'!$AZ36-SUM('2023年'!X36:$AG36),0))</f>
        <v>0</v>
      </c>
      <c r="X36" s="221">
        <f>IF('2023年'!$AZ36&gt;=SUM('2023年'!X36:$AG36),'2023年'!X36,IF('2023年'!$AZ36-SUM('2023年'!Y36:$AG36)&gt;0,'2023年'!$AZ36-SUM('2023年'!Y36:$AG36),0))</f>
        <v>0</v>
      </c>
      <c r="Y36" s="44">
        <f>IF('2023年'!$AZ36&gt;=SUM('2023年'!Y36:$AG36),'2023年'!Y36,IF('2023年'!$AZ36-SUM('2023年'!Z36:$AG36)&gt;0,'2023年'!$AZ36-SUM('2023年'!Z36:$AG36),0))</f>
        <v>0</v>
      </c>
      <c r="Z36" s="44">
        <f>IF('2023年'!$AZ36&gt;=SUM('2023年'!Z36:$AG36),'2023年'!Z36,IF('2023年'!$AZ36-SUM('2023年'!AA36:$AG36)&gt;0,'2023年'!$AZ36-SUM('2023年'!AA36:$AG36),0))</f>
        <v>0</v>
      </c>
      <c r="AA36" s="44">
        <f>IF('2023年'!$AZ36&gt;=SUM('2023年'!AA36:$AG36),'2023年'!AA36,IF('2023年'!$AZ36-SUM('2023年'!AB36:$AG36)&gt;0,'2023年'!$AZ36-SUM('2023年'!AB36:$AG36),0))</f>
        <v>0</v>
      </c>
      <c r="AB36" s="44"/>
      <c r="AC36" s="44"/>
      <c r="AD36" s="44"/>
      <c r="AE36" s="44"/>
      <c r="AF36" s="44"/>
      <c r="AG36" s="44"/>
      <c r="AH36" s="312" t="s">
        <v>405</v>
      </c>
      <c r="AI36" s="310">
        <v>0.03</v>
      </c>
      <c r="AJ36" s="311" t="s">
        <v>400</v>
      </c>
      <c r="AK36" s="88" t="s">
        <v>406</v>
      </c>
      <c r="AL36" s="279"/>
      <c r="AM36" s="91"/>
      <c r="AN36" s="10">
        <f>'2023年'!AZ36</f>
        <v>0</v>
      </c>
      <c r="AO36" s="10">
        <f t="shared" si="3"/>
        <v>0</v>
      </c>
    </row>
    <row r="37" s="10" customFormat="1" ht="24.05" hidden="1" customHeight="1" spans="2:41">
      <c r="B37" s="45" t="s">
        <v>81</v>
      </c>
      <c r="C37" s="46"/>
      <c r="D37" s="46" t="str">
        <f>'2023年'!D37</f>
        <v>北京瑞隆祥模具有限公司</v>
      </c>
      <c r="E37" s="41" t="s">
        <v>222</v>
      </c>
      <c r="F37" s="42">
        <f t="shared" si="20"/>
        <v>0</v>
      </c>
      <c r="G37" s="291">
        <f t="shared" si="21"/>
        <v>0</v>
      </c>
      <c r="H37" s="291">
        <f t="shared" si="22"/>
        <v>0</v>
      </c>
      <c r="I37" s="298"/>
      <c r="J37" s="217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217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217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217" t="str">
        <f>IF('2023年'!$AZ37&gt;('2023年'!$W37+'2023年'!$V37+SUM('2023年'!I37:$T37)),'2023年'!I37,IF('2023年'!$AZ37-'2023年'!$V37-'2023年'!$W37-SUM('2023年'!I37:$T37)&gt;0,'2023年'!$AZ37-'2023年'!$V37-'2023年'!$W37-SUM('2023年'!I37:$T37),""))</f>
        <v/>
      </c>
      <c r="N37" s="217" t="str">
        <f>IF('2023年'!$AZ37&gt;(SUM('2023年'!$V37:AG37)+SUM('2023年'!J37:$T37)),'2023年'!J37,IF('2023年'!$AZ37-SUM('2023年'!$V37:AG37)-SUM('2023年'!K37:$T37)&gt;0,'2023年'!$AZ37-SUM('2023年'!$V37:AG37)-SUM('2023年'!K37:$T37),""))</f>
        <v/>
      </c>
      <c r="O37" s="217" t="str">
        <f>IF('2023年'!$AZ37&gt;('2023年'!$W37+'2023年'!$V37+SUM('2023年'!K37:$T37)),'2023年'!K37,IF('2023年'!$AZ37-'2023年'!$V37-'2023年'!$W37-SUM('2023年'!K37:$T37)&gt;0,'2023年'!$AZ37-'2023年'!$V37-'2023年'!$W37-SUM('2023年'!K37:$T37),""))</f>
        <v/>
      </c>
      <c r="P37" s="217" t="str">
        <f>IF('2023年'!$AZ37&gt;('2023年'!$W37+'2023年'!$V37+SUM('2023年'!L37:$T37)),'2023年'!L37,IF('2023年'!$AZ37-'2023年'!$V37-'2023年'!$W37-SUM('2023年'!L37:$T37)&gt;0,'2023年'!$AZ37-'2023年'!$V37-'2023年'!$W37-SUM('2023年'!L37:$T37),""))</f>
        <v/>
      </c>
      <c r="Q37" s="217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R37" s="217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S37" s="217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T37" s="217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U37" s="217" t="str">
        <f>IF('2023年'!$AZ37&gt;(SUM('2023年'!V37:AG37)+'2023年'!T37+'2023年'!Q37),'2023年'!Q37+'2023年'!T37,IF('2023年'!$AZ37-SUM('2023年'!V37:AG37)&gt;0,'2023年'!$AZ37-SUM('2023年'!V37:AG37),""))</f>
        <v/>
      </c>
      <c r="V37" s="221">
        <f>IF('2023年'!$AZ37&gt;=SUM('2023年'!V37:$AG37),'2023年'!V37,IF('2023年'!$AZ37-SUM('2023年'!W37:$AG37)&gt;0,'2023年'!$AZ37-SUM('2023年'!W37:$AG37),0))</f>
        <v>0</v>
      </c>
      <c r="W37" s="221">
        <f>IF('2023年'!$AZ37&gt;=SUM('2023年'!W37:$AG37),'2023年'!W37,IF('2023年'!$AZ37-SUM('2023年'!X37:$AG37)&gt;0,'2023年'!$AZ37-SUM('2023年'!X37:$AG37),0))</f>
        <v>0</v>
      </c>
      <c r="X37" s="221">
        <f>IF('2023年'!$AZ37&gt;=SUM('2023年'!X37:$AG37),'2023年'!X37,IF('2023年'!$AZ37-SUM('2023年'!Y37:$AG37)&gt;0,'2023年'!$AZ37-SUM('2023年'!Y37:$AG37),0))</f>
        <v>0</v>
      </c>
      <c r="Y37" s="44">
        <f>IF('2023年'!$AZ37&gt;=SUM('2023年'!Y37:$AG37),'2023年'!Y37,IF('2023年'!$AZ37-SUM('2023年'!Z37:$AG37)&gt;0,'2023年'!$AZ37-SUM('2023年'!Z37:$AG37),0))</f>
        <v>0</v>
      </c>
      <c r="Z37" s="44">
        <f>IF('2023年'!$AZ37&gt;=SUM('2023年'!Z37:$AG37),'2023年'!Z37,IF('2023年'!$AZ37-SUM('2023年'!AA37:$AG37)&gt;0,'2023年'!$AZ37-SUM('2023年'!AA37:$AG37),0))</f>
        <v>0</v>
      </c>
      <c r="AA37" s="44">
        <f>IF('2023年'!$AZ37&gt;=SUM('2023年'!AA37:$AG37),'2023年'!AA37,IF('2023年'!$AZ37-SUM('2023年'!AB37:$AG37)&gt;0,'2023年'!$AZ37-SUM('2023年'!AB37:$AG37),0))</f>
        <v>0</v>
      </c>
      <c r="AB37" s="44"/>
      <c r="AC37" s="44"/>
      <c r="AD37" s="44"/>
      <c r="AE37" s="44"/>
      <c r="AF37" s="44"/>
      <c r="AG37" s="44"/>
      <c r="AH37" s="312" t="s">
        <v>405</v>
      </c>
      <c r="AI37" s="310">
        <v>0.03</v>
      </c>
      <c r="AJ37" s="311" t="s">
        <v>400</v>
      </c>
      <c r="AK37" s="88" t="s">
        <v>407</v>
      </c>
      <c r="AL37" s="279"/>
      <c r="AM37" s="91"/>
      <c r="AN37" s="10">
        <f>'2023年'!AZ37</f>
        <v>0</v>
      </c>
      <c r="AO37" s="10">
        <f t="shared" ref="AO37:AO55" si="23">H37-AN37</f>
        <v>0</v>
      </c>
    </row>
    <row r="38" s="10" customFormat="1" ht="24.05" hidden="1" customHeight="1" spans="2:41">
      <c r="B38" s="45" t="s">
        <v>81</v>
      </c>
      <c r="C38" s="46"/>
      <c r="D38" s="46" t="str">
        <f>'2023年'!D38</f>
        <v>杭州阳晨聚氨酯制品有限公司</v>
      </c>
      <c r="E38" s="41" t="s">
        <v>222</v>
      </c>
      <c r="F38" s="42">
        <f t="shared" si="20"/>
        <v>0</v>
      </c>
      <c r="G38" s="291">
        <f t="shared" si="21"/>
        <v>0</v>
      </c>
      <c r="H38" s="291">
        <f t="shared" si="22"/>
        <v>0</v>
      </c>
      <c r="I38" s="298"/>
      <c r="J38" s="217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217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217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217" t="str">
        <f>IF('2023年'!$AZ38&gt;('2023年'!$W38+'2023年'!$V38+SUM('2023年'!I38:$T38)),'2023年'!I38,IF('2023年'!$AZ38-'2023年'!$V38-'2023年'!$W38-SUM('2023年'!I38:$T38)&gt;0,'2023年'!$AZ38-'2023年'!$V38-'2023年'!$W38-SUM('2023年'!I38:$T38),""))</f>
        <v/>
      </c>
      <c r="N38" s="217" t="str">
        <f>IF('2023年'!$AZ38&gt;(SUM('2023年'!$V38:AG38)+SUM('2023年'!J38:$T38)),'2023年'!J38,IF('2023年'!$AZ38-SUM('2023年'!$V38:AG38)-SUM('2023年'!K38:$T38)&gt;0,'2023年'!$AZ38-SUM('2023年'!$V38:AG38)-SUM('2023年'!K38:$T38),""))</f>
        <v/>
      </c>
      <c r="O38" s="217" t="str">
        <f>IF('2023年'!$AZ38&gt;('2023年'!$W38+'2023年'!$V38+SUM('2023年'!K38:$T38)),'2023年'!K38,IF('2023年'!$AZ38-'2023年'!$V38-'2023年'!$W38-SUM('2023年'!K38:$T38)&gt;0,'2023年'!$AZ38-'2023年'!$V38-'2023年'!$W38-SUM('2023年'!K38:$T38),""))</f>
        <v/>
      </c>
      <c r="P38" s="217" t="str">
        <f>IF('2023年'!$AZ38&gt;('2023年'!$W38+'2023年'!$V38+SUM('2023年'!L38:$T38)),'2023年'!L38,IF('2023年'!$AZ38-'2023年'!$V38-'2023年'!$W38-SUM('2023年'!L38:$T38)&gt;0,'2023年'!$AZ38-'2023年'!$V38-'2023年'!$W38-SUM('2023年'!L38:$T38),""))</f>
        <v/>
      </c>
      <c r="Q38" s="217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R38" s="217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S38" s="217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T38" s="217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U38" s="217" t="str">
        <f>IF('2023年'!$AZ38&gt;(SUM('2023年'!V38:AG38)+'2023年'!T38+'2023年'!Q38),'2023年'!Q38+'2023年'!T38,IF('2023年'!$AZ38-SUM('2023年'!V38:AG38)&gt;0,'2023年'!$AZ38-SUM('2023年'!V38:AG38),""))</f>
        <v/>
      </c>
      <c r="V38" s="221">
        <f>IF('2023年'!$AZ38&gt;=SUM('2023年'!V38:$AG38),'2023年'!V38,IF('2023年'!$AZ38-SUM('2023年'!W38:$AG38)&gt;0,'2023年'!$AZ38-SUM('2023年'!W38:$AG38),0))</f>
        <v>0</v>
      </c>
      <c r="W38" s="221">
        <f>IF('2023年'!$AZ38&gt;=SUM('2023年'!W38:$AG38),'2023年'!W38,IF('2023年'!$AZ38-SUM('2023年'!X38:$AG38)&gt;0,'2023年'!$AZ38-SUM('2023年'!X38:$AG38),0))</f>
        <v>0</v>
      </c>
      <c r="X38" s="221">
        <f>IF('2023年'!$AZ38&gt;=SUM('2023年'!X38:$AG38),'2023年'!X38,IF('2023年'!$AZ38-SUM('2023年'!Y38:$AG38)&gt;0,'2023年'!$AZ38-SUM('2023年'!Y38:$AG38),0))</f>
        <v>0</v>
      </c>
      <c r="Y38" s="44">
        <f>IF('2023年'!$AZ38&gt;=SUM('2023年'!Y38:$AG38),'2023年'!Y38,IF('2023年'!$AZ38-SUM('2023年'!Z38:$AG38)&gt;0,'2023年'!$AZ38-SUM('2023年'!Z38:$AG38),0))</f>
        <v>0</v>
      </c>
      <c r="Z38" s="44">
        <f>IF('2023年'!$AZ38&gt;=SUM('2023年'!Z38:$AG38),'2023年'!Z38,IF('2023年'!$AZ38-SUM('2023年'!AA38:$AG38)&gt;0,'2023年'!$AZ38-SUM('2023年'!AA38:$AG38),0))</f>
        <v>0</v>
      </c>
      <c r="AA38" s="44">
        <f>IF('2023年'!$AZ38&gt;=SUM('2023年'!AA38:$AG38),'2023年'!AA38,IF('2023年'!$AZ38-SUM('2023年'!AB38:$AG38)&gt;0,'2023年'!$AZ38-SUM('2023年'!AB38:$AG38),0))</f>
        <v>0</v>
      </c>
      <c r="AB38" s="44"/>
      <c r="AC38" s="44"/>
      <c r="AD38" s="44"/>
      <c r="AE38" s="44"/>
      <c r="AF38" s="44"/>
      <c r="AG38" s="44"/>
      <c r="AH38" s="312" t="s">
        <v>405</v>
      </c>
      <c r="AI38" s="310"/>
      <c r="AJ38" s="311" t="s">
        <v>372</v>
      </c>
      <c r="AK38" s="88" t="s">
        <v>408</v>
      </c>
      <c r="AL38" s="279"/>
      <c r="AM38" s="91"/>
      <c r="AN38" s="10">
        <f>'2023年'!AZ38</f>
        <v>0</v>
      </c>
      <c r="AO38" s="10">
        <f t="shared" si="23"/>
        <v>0</v>
      </c>
    </row>
    <row r="39" s="10" customFormat="1" ht="24.05" customHeight="1" spans="2:41">
      <c r="B39" s="45" t="s">
        <v>81</v>
      </c>
      <c r="C39" s="46"/>
      <c r="D39" s="46" t="str">
        <f>'2023年'!D39</f>
        <v>河北新强力机械制造有限公司</v>
      </c>
      <c r="E39" s="41" t="s">
        <v>222</v>
      </c>
      <c r="F39" s="42">
        <f t="shared" si="20"/>
        <v>0</v>
      </c>
      <c r="G39" s="291">
        <f t="shared" si="21"/>
        <v>0</v>
      </c>
      <c r="H39" s="291">
        <f t="shared" si="22"/>
        <v>102223.08</v>
      </c>
      <c r="I39" s="298"/>
      <c r="J39" s="217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217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217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217">
        <f>IF('2023年'!$AZ39&gt;('2023年'!$W39+'2023年'!$V39+SUM('2023年'!I39:$T39)),'2023年'!I39,IF('2023年'!$AZ39-'2023年'!$V39-'2023年'!$W39-SUM('2023年'!I39:$T39)&gt;0,'2023年'!$AZ39-'2023年'!$V39-'2023年'!$W39-SUM('2023年'!I39:$T39),""))</f>
        <v>0</v>
      </c>
      <c r="N39" s="217" t="str">
        <f>IF('2023年'!$AZ39&gt;(SUM('2023年'!$V39:AG39)+SUM('2023年'!J39:$T39)),'2023年'!J39,IF('2023年'!$AZ39-SUM('2023年'!$V39:AG39)-SUM('2023年'!K39:$T39)&gt;0,'2023年'!$AZ39-SUM('2023年'!$V39:AG39)-SUM('2023年'!K39:$T39),""))</f>
        <v/>
      </c>
      <c r="O39" s="217">
        <f>IF('2023年'!$AZ39&gt;('2023年'!$W39+'2023年'!$V39+SUM('2023年'!K39:$T39)),'2023年'!K39,IF('2023年'!$AZ39-'2023年'!$V39-'2023年'!$W39-SUM('2023年'!K39:$T39)&gt;0,'2023年'!$AZ39-'2023年'!$V39-'2023年'!$W39-SUM('2023年'!K39:$T39),""))</f>
        <v>0</v>
      </c>
      <c r="P39" s="217">
        <f>IF('2023年'!$AZ39&gt;('2023年'!$W39+'2023年'!$V39+SUM('2023年'!L39:$T39)),'2023年'!L39,IF('2023年'!$AZ39-'2023年'!$V39-'2023年'!$W39-SUM('2023年'!L39:$T39)&gt;0,'2023年'!$AZ39-'2023年'!$V39-'2023年'!$W39-SUM('2023年'!L39:$T39),""))</f>
        <v>0</v>
      </c>
      <c r="Q39" s="217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R39" s="217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S39" s="217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T39" s="217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U39" s="217" t="str">
        <f>IF('2023年'!$AZ39&gt;(SUM('2023年'!V39:AG39)+'2023年'!T39+'2023年'!Q39),'2023年'!Q39+'2023年'!T39,IF('2023年'!$AZ39-SUM('2023年'!V39:AG39)&gt;0,'2023年'!$AZ39-SUM('2023年'!V39:AG39),""))</f>
        <v/>
      </c>
      <c r="V39" s="221">
        <f>IF('2023年'!$AZ39&gt;=SUM('2023年'!V39:$AG39),'2023年'!V39,IF('2023年'!$AZ39-SUM('2023年'!W39:$AG39)&gt;0,'2023年'!$AZ39-SUM('2023年'!W39:$AG39),0))</f>
        <v>0</v>
      </c>
      <c r="W39" s="221">
        <f>IF('2023年'!$AZ39&gt;=SUM('2023年'!W39:$AG39),'2023年'!W39,IF('2023年'!$AZ39-SUM('2023年'!X39:$AG39)&gt;0,'2023年'!$AZ39-SUM('2023年'!X39:$AG39),0))</f>
        <v>0</v>
      </c>
      <c r="X39" s="221">
        <f>IF('2023年'!$AZ39&gt;=SUM('2023年'!X39:$AG39),'2023年'!X39,IF('2023年'!$AZ39-SUM('2023年'!Y39:$AG39)&gt;0,'2023年'!$AZ39-SUM('2023年'!Y39:$AG39),0))</f>
        <v>0</v>
      </c>
      <c r="Y39" s="44">
        <f>IF('2023年'!$AZ39&gt;=SUM('2023年'!Y39:$AG39),'2023年'!Y39,IF('2023年'!$AZ39-SUM('2023年'!Z39:$AG39)&gt;0,'2023年'!$AZ39-SUM('2023年'!Z39:$AG39),0))</f>
        <v>0</v>
      </c>
      <c r="Z39" s="44">
        <f>IF('2023年'!$AZ39&gt;=SUM('2023年'!Z39:$AG39),'2023年'!Z39,IF('2023年'!$AZ39-SUM('2023年'!AA39:$AG39)&gt;0,'2023年'!$AZ39-SUM('2023年'!AA39:$AG39),0))</f>
        <v>102223.08</v>
      </c>
      <c r="AA39" s="44">
        <f>IF('2023年'!$AZ39&gt;=SUM('2023年'!AA39:$AG39),'2023年'!AA39,IF('2023年'!$AZ39-SUM('2023年'!AB39:$AG39)&gt;0,'2023年'!$AZ39-SUM('2023年'!AB39:$AG39),0))</f>
        <v>0</v>
      </c>
      <c r="AB39" s="44"/>
      <c r="AC39" s="44"/>
      <c r="AD39" s="44"/>
      <c r="AE39" s="44"/>
      <c r="AF39" s="44"/>
      <c r="AG39" s="44"/>
      <c r="AH39" s="312" t="s">
        <v>398</v>
      </c>
      <c r="AI39" s="310">
        <v>0.03</v>
      </c>
      <c r="AJ39" s="311" t="s">
        <v>400</v>
      </c>
      <c r="AK39" s="88" t="s">
        <v>409</v>
      </c>
      <c r="AL39" s="279"/>
      <c r="AM39" s="91"/>
      <c r="AN39" s="10">
        <f>'2023年'!AZ39</f>
        <v>147990.48</v>
      </c>
      <c r="AO39" s="10">
        <f t="shared" si="23"/>
        <v>-45767.4</v>
      </c>
    </row>
    <row r="40" s="10" customFormat="1" ht="24.05" hidden="1" customHeight="1" spans="2:41">
      <c r="B40" s="45" t="s">
        <v>81</v>
      </c>
      <c r="C40" s="46"/>
      <c r="D40" s="46" t="str">
        <f>'2023年'!D40</f>
        <v>黄骅市汇铭汽车部件有限公司</v>
      </c>
      <c r="E40" s="41" t="s">
        <v>222</v>
      </c>
      <c r="F40" s="42">
        <f t="shared" si="20"/>
        <v>0</v>
      </c>
      <c r="G40" s="291">
        <f t="shared" si="21"/>
        <v>0</v>
      </c>
      <c r="H40" s="291">
        <f t="shared" si="22"/>
        <v>0</v>
      </c>
      <c r="I40" s="298"/>
      <c r="J40" s="217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217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217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217" t="str">
        <f>IF('2023年'!$AZ40&gt;('2023年'!$W40+'2023年'!$V40+SUM('2023年'!I40:$T40)),'2023年'!I40,IF('2023年'!$AZ40-'2023年'!$V40-'2023年'!$W40-SUM('2023年'!I40:$T40)&gt;0,'2023年'!$AZ40-'2023年'!$V40-'2023年'!$W40-SUM('2023年'!I40:$T40),""))</f>
        <v/>
      </c>
      <c r="N40" s="217" t="str">
        <f>IF('2023年'!$AZ40&gt;(SUM('2023年'!$V40:AG40)+SUM('2023年'!J40:$T40)),'2023年'!J40,IF('2023年'!$AZ40-SUM('2023年'!$V40:AG40)-SUM('2023年'!K40:$T40)&gt;0,'2023年'!$AZ40-SUM('2023年'!$V40:AG40)-SUM('2023年'!K40:$T40),""))</f>
        <v/>
      </c>
      <c r="O40" s="217" t="str">
        <f>IF('2023年'!$AZ40&gt;('2023年'!$W40+'2023年'!$V40+SUM('2023年'!K40:$T40)),'2023年'!K40,IF('2023年'!$AZ40-'2023年'!$V40-'2023年'!$W40-SUM('2023年'!K40:$T40)&gt;0,'2023年'!$AZ40-'2023年'!$V40-'2023年'!$W40-SUM('2023年'!K40:$T40),""))</f>
        <v/>
      </c>
      <c r="P40" s="217" t="str">
        <f>IF('2023年'!$AZ40&gt;('2023年'!$W40+'2023年'!$V40+SUM('2023年'!L40:$T40)),'2023年'!L40,IF('2023年'!$AZ40-'2023年'!$V40-'2023年'!$W40-SUM('2023年'!L40:$T40)&gt;0,'2023年'!$AZ40-'2023年'!$V40-'2023年'!$W40-SUM('2023年'!L40:$T40),""))</f>
        <v/>
      </c>
      <c r="Q40" s="217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R40" s="217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S40" s="217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T40" s="217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U40" s="217" t="str">
        <f>IF('2023年'!$AZ40&gt;(SUM('2023年'!V40:AG40)+'2023年'!T40+'2023年'!Q40),'2023年'!Q40+'2023年'!T40,IF('2023年'!$AZ40-SUM('2023年'!V40:AG40)&gt;0,'2023年'!$AZ40-SUM('2023年'!V40:AG40),""))</f>
        <v/>
      </c>
      <c r="V40" s="221">
        <f>IF('2023年'!$AZ40&gt;=SUM('2023年'!V40:$AG40),'2023年'!V40,IF('2023年'!$AZ40-SUM('2023年'!W40:$AG40)&gt;0,'2023年'!$AZ40-SUM('2023年'!W40:$AG40),0))</f>
        <v>0</v>
      </c>
      <c r="W40" s="221">
        <f>IF('2023年'!$AZ40&gt;=SUM('2023年'!W40:$AG40),'2023年'!W40,IF('2023年'!$AZ40-SUM('2023年'!X40:$AG40)&gt;0,'2023年'!$AZ40-SUM('2023年'!X40:$AG40),0))</f>
        <v>0</v>
      </c>
      <c r="X40" s="221">
        <f>IF('2023年'!$AZ40&gt;=SUM('2023年'!X40:$AG40),'2023年'!X40,IF('2023年'!$AZ40-SUM('2023年'!Y40:$AG40)&gt;0,'2023年'!$AZ40-SUM('2023年'!Y40:$AG40),0))</f>
        <v>0</v>
      </c>
      <c r="Y40" s="44">
        <f>IF('2023年'!$AZ40&gt;=SUM('2023年'!Y40:$AG40),'2023年'!Y40,IF('2023年'!$AZ40-SUM('2023年'!Z40:$AG40)&gt;0,'2023年'!$AZ40-SUM('2023年'!Z40:$AG40),0))</f>
        <v>0</v>
      </c>
      <c r="Z40" s="44">
        <f>IF('2023年'!$AZ40&gt;=SUM('2023年'!Z40:$AG40),'2023年'!Z40,IF('2023年'!$AZ40-SUM('2023年'!AA40:$AG40)&gt;0,'2023年'!$AZ40-SUM('2023年'!AA40:$AG40),0))</f>
        <v>0</v>
      </c>
      <c r="AA40" s="44">
        <f>IF('2023年'!$AZ40&gt;=SUM('2023年'!AA40:$AG40),'2023年'!AA40,IF('2023年'!$AZ40-SUM('2023年'!AB40:$AG40)&gt;0,'2023年'!$AZ40-SUM('2023年'!AB40:$AG40),0))</f>
        <v>0</v>
      </c>
      <c r="AB40" s="44"/>
      <c r="AC40" s="44"/>
      <c r="AD40" s="44"/>
      <c r="AE40" s="44"/>
      <c r="AF40" s="44"/>
      <c r="AG40" s="44"/>
      <c r="AH40" s="312" t="s">
        <v>398</v>
      </c>
      <c r="AI40" s="310">
        <v>0.03</v>
      </c>
      <c r="AJ40" s="311" t="s">
        <v>400</v>
      </c>
      <c r="AK40" s="88"/>
      <c r="AL40" s="279"/>
      <c r="AM40" s="91"/>
      <c r="AN40" s="10">
        <f>'2023年'!AZ40</f>
        <v>0</v>
      </c>
      <c r="AO40" s="10">
        <f t="shared" si="23"/>
        <v>0</v>
      </c>
    </row>
    <row r="41" s="10" customFormat="1" ht="24.05" hidden="1" customHeight="1" spans="2:41">
      <c r="B41" s="45" t="s">
        <v>81</v>
      </c>
      <c r="C41" s="46"/>
      <c r="D41" s="46" t="str">
        <f>'2023年'!D41</f>
        <v>黄骅市建昌塑料制品有限公司</v>
      </c>
      <c r="E41" s="41" t="s">
        <v>222</v>
      </c>
      <c r="F41" s="42">
        <f t="shared" si="20"/>
        <v>0</v>
      </c>
      <c r="G41" s="291">
        <f t="shared" si="21"/>
        <v>0</v>
      </c>
      <c r="H41" s="291">
        <f t="shared" si="22"/>
        <v>17503.96</v>
      </c>
      <c r="I41" s="298"/>
      <c r="J41" s="217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217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217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217">
        <f>IF('2023年'!$AZ41&gt;('2023年'!$W41+'2023年'!$V41+SUM('2023年'!I41:$T41)),'2023年'!I41,IF('2023年'!$AZ41-'2023年'!$V41-'2023年'!$W41-SUM('2023年'!I41:$T41)&gt;0,'2023年'!$AZ41-'2023年'!$V41-'2023年'!$W41-SUM('2023年'!I41:$T41),""))</f>
        <v>0</v>
      </c>
      <c r="N41" s="217" t="str">
        <f>IF('2023年'!$AZ41&gt;(SUM('2023年'!$V41:AG41)+SUM('2023年'!J41:$T41)),'2023年'!J41,IF('2023年'!$AZ41-SUM('2023年'!$V41:AG41)-SUM('2023年'!K41:$T41)&gt;0,'2023年'!$AZ41-SUM('2023年'!$V41:AG41)-SUM('2023年'!K41:$T41),""))</f>
        <v/>
      </c>
      <c r="O41" s="217">
        <f>IF('2023年'!$AZ41&gt;('2023年'!$W41+'2023年'!$V41+SUM('2023年'!K41:$T41)),'2023年'!K41,IF('2023年'!$AZ41-'2023年'!$V41-'2023年'!$W41-SUM('2023年'!K41:$T41)&gt;0,'2023年'!$AZ41-'2023年'!$V41-'2023年'!$W41-SUM('2023年'!K41:$T41),""))</f>
        <v>0</v>
      </c>
      <c r="P41" s="217">
        <f>IF('2023年'!$AZ41&gt;('2023年'!$W41+'2023年'!$V41+SUM('2023年'!L41:$T41)),'2023年'!L41,IF('2023年'!$AZ41-'2023年'!$V41-'2023年'!$W41-SUM('2023年'!L41:$T41)&gt;0,'2023年'!$AZ41-'2023年'!$V41-'2023年'!$W41-SUM('2023年'!L41:$T41),""))</f>
        <v>0</v>
      </c>
      <c r="Q41" s="217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R41" s="217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S41" s="217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T41" s="217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U41" s="217" t="str">
        <f>IF('2023年'!$AZ41&gt;(SUM('2023年'!V41:AG41)+'2023年'!T41+'2023年'!Q41),'2023年'!Q41+'2023年'!T41,IF('2023年'!$AZ41-SUM('2023年'!V41:AG41)&gt;0,'2023年'!$AZ41-SUM('2023年'!V41:AG41),""))</f>
        <v/>
      </c>
      <c r="V41" s="221">
        <f>IF('2023年'!$AZ41&gt;=SUM('2023年'!V41:$AG41),'2023年'!V41,IF('2023年'!$AZ41-SUM('2023年'!W41:$AG41)&gt;0,'2023年'!$AZ41-SUM('2023年'!W41:$AG41),0))</f>
        <v>0</v>
      </c>
      <c r="W41" s="221">
        <f>IF('2023年'!$AZ41&gt;=SUM('2023年'!W41:$AG41),'2023年'!W41,IF('2023年'!$AZ41-SUM('2023年'!X41:$AG41)&gt;0,'2023年'!$AZ41-SUM('2023年'!X41:$AG41),0))</f>
        <v>0</v>
      </c>
      <c r="X41" s="221">
        <f>IF('2023年'!$AZ41&gt;=SUM('2023年'!X41:$AG41),'2023年'!X41,IF('2023年'!$AZ41-SUM('2023年'!Y41:$AG41)&gt;0,'2023年'!$AZ41-SUM('2023年'!Y41:$AG41),0))</f>
        <v>0</v>
      </c>
      <c r="Y41" s="44">
        <f>IF('2023年'!$AZ41&gt;=SUM('2023年'!Y41:$AG41),'2023年'!Y41,IF('2023年'!$AZ41-SUM('2023年'!Z41:$AG41)&gt;0,'2023年'!$AZ41-SUM('2023年'!Z41:$AG41),0))</f>
        <v>0</v>
      </c>
      <c r="Z41" s="44">
        <f>IF('2023年'!$AZ41&gt;=SUM('2023年'!Z41:$AG41),'2023年'!Z41,IF('2023年'!$AZ41-SUM('2023年'!AA41:$AG41)&gt;0,'2023年'!$AZ41-SUM('2023年'!AA41:$AG41),0))</f>
        <v>0</v>
      </c>
      <c r="AA41" s="44">
        <f>IF('2023年'!$AZ41&gt;=SUM('2023年'!AA41:$AG41),'2023年'!AA41,IF('2023年'!$AZ41-SUM('2023年'!AB41:$AG41)&gt;0,'2023年'!$AZ41-SUM('2023年'!AB41:$AG41),0))</f>
        <v>17503.96</v>
      </c>
      <c r="AB41" s="44"/>
      <c r="AC41" s="44"/>
      <c r="AD41" s="44"/>
      <c r="AE41" s="44"/>
      <c r="AF41" s="44"/>
      <c r="AG41" s="44"/>
      <c r="AH41" s="312" t="s">
        <v>398</v>
      </c>
      <c r="AI41" s="310">
        <v>0.03</v>
      </c>
      <c r="AJ41" s="311" t="s">
        <v>400</v>
      </c>
      <c r="AK41" s="88" t="s">
        <v>410</v>
      </c>
      <c r="AL41" s="279"/>
      <c r="AM41" s="91"/>
      <c r="AN41" s="10">
        <f>'2023年'!AZ41</f>
        <v>28728.25</v>
      </c>
      <c r="AO41" s="10">
        <f t="shared" si="23"/>
        <v>-11224.29</v>
      </c>
    </row>
    <row r="42" s="10" customFormat="1" ht="24.05" hidden="1" customHeight="1" spans="2:41">
      <c r="B42" s="45" t="s">
        <v>81</v>
      </c>
      <c r="C42" s="46"/>
      <c r="D42" s="46" t="str">
        <f>'2023年'!D42</f>
        <v>黄骅市旗锐塑料制品有限公司</v>
      </c>
      <c r="E42" s="41"/>
      <c r="F42" s="42">
        <f>SUM(I42:V42)</f>
        <v>0</v>
      </c>
      <c r="G42" s="291">
        <f>SUM(I42:U42)</f>
        <v>0</v>
      </c>
      <c r="H42" s="291">
        <f t="shared" si="22"/>
        <v>11865</v>
      </c>
      <c r="I42" s="298"/>
      <c r="J42" s="217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217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217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217">
        <f>IF('2023年'!$AZ42&gt;('2023年'!$W42+'2023年'!$V42+SUM('2023年'!I42:$T42)),'2023年'!I42,IF('2023年'!$AZ42-'2023年'!$V42-'2023年'!$W42-SUM('2023年'!I42:$T42)&gt;0,'2023年'!$AZ42-'2023年'!$V42-'2023年'!$W42-SUM('2023年'!I42:$T42),""))</f>
        <v>0</v>
      </c>
      <c r="N42" s="217" t="str">
        <f>IF('2023年'!$AZ42&gt;(SUM('2023年'!$V42:AG42)+SUM('2023年'!J42:$T42)),'2023年'!J42,IF('2023年'!$AZ42-SUM('2023年'!$V42:AG42)-SUM('2023年'!K42:$T42)&gt;0,'2023年'!$AZ42-SUM('2023年'!$V42:AG42)-SUM('2023年'!K42:$T42),""))</f>
        <v/>
      </c>
      <c r="O42" s="217">
        <f>IF('2023年'!$AZ42&gt;('2023年'!$W42+'2023年'!$V42+SUM('2023年'!K42:$T42)),'2023年'!K42,IF('2023年'!$AZ42-'2023年'!$V42-'2023年'!$W42-SUM('2023年'!K42:$T42)&gt;0,'2023年'!$AZ42-'2023年'!$V42-'2023年'!$W42-SUM('2023年'!K42:$T42),""))</f>
        <v>0</v>
      </c>
      <c r="P42" s="217">
        <f>IF('2023年'!$AZ42&gt;('2023年'!$W42+'2023年'!$V42+SUM('2023年'!L42:$T42)),'2023年'!L42,IF('2023年'!$AZ42-'2023年'!$V42-'2023年'!$W42-SUM('2023年'!L42:$T42)&gt;0,'2023年'!$AZ42-'2023年'!$V42-'2023年'!$W42-SUM('2023年'!L42:$T42),""))</f>
        <v>0</v>
      </c>
      <c r="Q42" s="217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R42" s="217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S42" s="217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T42" s="217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U42" s="217" t="str">
        <f>IF('2023年'!$AZ42&gt;(SUM('2023年'!V42:AG42)+'2023年'!T42+'2023年'!Q42),'2023年'!Q42+'2023年'!T42,IF('2023年'!$AZ42-SUM('2023年'!V42:AG42)&gt;0,'2023年'!$AZ42-SUM('2023年'!V42:AG42),""))</f>
        <v/>
      </c>
      <c r="V42" s="221">
        <f>IF('2023年'!$AZ42&gt;=SUM('2023年'!V42:$AG42),'2023年'!V42,IF('2023年'!$AZ42-SUM('2023年'!W42:$AG42)&gt;0,'2023年'!$AZ42-SUM('2023年'!W42:$AG42),0))</f>
        <v>0</v>
      </c>
      <c r="W42" s="221">
        <f>IF('2023年'!$AZ42&gt;=SUM('2023年'!W42:$AG42),'2023年'!W42,IF('2023年'!$AZ42-SUM('2023年'!X42:$AG42)&gt;0,'2023年'!$AZ42-SUM('2023年'!X42:$AG42),0))</f>
        <v>0</v>
      </c>
      <c r="X42" s="221">
        <f>IF('2023年'!$AZ42&gt;=SUM('2023年'!X42:$AG42),'2023年'!X42,IF('2023年'!$AZ42-SUM('2023年'!Y42:$AG42)&gt;0,'2023年'!$AZ42-SUM('2023年'!Y42:$AG42),0))</f>
        <v>0</v>
      </c>
      <c r="Y42" s="44">
        <f>IF('2023年'!$AZ42&gt;=SUM('2023年'!Y42:$AG42),'2023年'!Y42,IF('2023年'!$AZ42-SUM('2023年'!Z42:$AG42)&gt;0,'2023年'!$AZ42-SUM('2023年'!Z42:$AG42),0))</f>
        <v>0</v>
      </c>
      <c r="Z42" s="44">
        <f>IF('2023年'!$AZ42&gt;=SUM('2023年'!Z42:$AG42),'2023年'!Z42,IF('2023年'!$AZ42-SUM('2023年'!AA42:$AG42)&gt;0,'2023年'!$AZ42-SUM('2023年'!AA42:$AG42),0))</f>
        <v>0</v>
      </c>
      <c r="AA42" s="44">
        <f>IF('2023年'!$AZ42&gt;=SUM('2023年'!AA42:$AG42),'2023年'!AA42,IF('2023年'!$AZ42-SUM('2023年'!AB42:$AG42)&gt;0,'2023年'!$AZ42-SUM('2023年'!AB42:$AG42),0))</f>
        <v>11865</v>
      </c>
      <c r="AB42" s="44"/>
      <c r="AC42" s="44"/>
      <c r="AD42" s="44"/>
      <c r="AE42" s="44"/>
      <c r="AF42" s="44"/>
      <c r="AG42" s="44"/>
      <c r="AH42" s="312" t="s">
        <v>402</v>
      </c>
      <c r="AI42" s="310"/>
      <c r="AJ42" s="311"/>
      <c r="AK42" s="88" t="s">
        <v>411</v>
      </c>
      <c r="AL42" s="279"/>
      <c r="AM42" s="91"/>
      <c r="AN42" s="10">
        <f>'2023年'!AZ42</f>
        <v>11865</v>
      </c>
      <c r="AO42" s="10">
        <f t="shared" si="23"/>
        <v>0</v>
      </c>
    </row>
    <row r="43" s="10" customFormat="1" ht="24.05" hidden="1" customHeight="1" spans="2:41">
      <c r="B43" s="45" t="s">
        <v>81</v>
      </c>
      <c r="C43" s="46"/>
      <c r="D43" s="46" t="str">
        <f>'2023年'!D43</f>
        <v>黄骅市鑫祺汽车配件有限公司</v>
      </c>
      <c r="E43" s="41" t="s">
        <v>222</v>
      </c>
      <c r="F43" s="42">
        <f t="shared" ref="F43:F46" si="24">SUM(I43:X43)</f>
        <v>0</v>
      </c>
      <c r="G43" s="291">
        <f t="shared" ref="G43:G46" si="25">SUM(I43:V43)</f>
        <v>0</v>
      </c>
      <c r="H43" s="291">
        <f t="shared" ref="H43:H48" si="26">SUM(I43:AG43)</f>
        <v>0</v>
      </c>
      <c r="I43" s="298"/>
      <c r="J43" s="217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217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217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217" t="str">
        <f>IF('2023年'!$AZ43&gt;('2023年'!$W43+'2023年'!$V43+SUM('2023年'!I43:$T43)),'2023年'!I43,IF('2023年'!$AZ43-'2023年'!$V43-'2023年'!$W43-SUM('2023年'!I43:$T43)&gt;0,'2023年'!$AZ43-'2023年'!$V43-'2023年'!$W43-SUM('2023年'!I43:$T43),""))</f>
        <v/>
      </c>
      <c r="N43" s="217" t="str">
        <f>IF('2023年'!$AZ43&gt;(SUM('2023年'!$V43:AG43)+SUM('2023年'!J43:$T43)),'2023年'!J43,IF('2023年'!$AZ43-SUM('2023年'!$V43:AG43)-SUM('2023年'!K43:$T43)&gt;0,'2023年'!$AZ43-SUM('2023年'!$V43:AG43)-SUM('2023年'!K43:$T43),""))</f>
        <v/>
      </c>
      <c r="O43" s="217" t="str">
        <f>IF('2023年'!$AZ43&gt;('2023年'!$W43+'2023年'!$V43+SUM('2023年'!K43:$T43)),'2023年'!K43,IF('2023年'!$AZ43-'2023年'!$V43-'2023年'!$W43-SUM('2023年'!K43:$T43)&gt;0,'2023年'!$AZ43-'2023年'!$V43-'2023年'!$W43-SUM('2023年'!K43:$T43),""))</f>
        <v/>
      </c>
      <c r="P43" s="217" t="str">
        <f>IF('2023年'!$AZ43&gt;('2023年'!$W43+'2023年'!$V43+SUM('2023年'!L43:$T43)),'2023年'!L43,IF('2023年'!$AZ43-'2023年'!$V43-'2023年'!$W43-SUM('2023年'!L43:$T43)&gt;0,'2023年'!$AZ43-'2023年'!$V43-'2023年'!$W43-SUM('2023年'!L43:$T43),""))</f>
        <v/>
      </c>
      <c r="Q43" s="217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R43" s="217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S43" s="217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T43" s="217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U43" s="217" t="str">
        <f>IF('2023年'!$AZ43&gt;(SUM('2023年'!V43:AG43)+'2023年'!T43+'2023年'!Q43),'2023年'!Q43+'2023年'!T43,IF('2023年'!$AZ43-SUM('2023年'!V43:AG43)&gt;0,'2023年'!$AZ43-SUM('2023年'!V43:AG43),""))</f>
        <v/>
      </c>
      <c r="V43" s="221">
        <f>IF('2023年'!$AZ43&gt;=SUM('2023年'!V43:$AG43),'2023年'!V43,IF('2023年'!$AZ43-SUM('2023年'!W43:$AG43)&gt;0,'2023年'!$AZ43-SUM('2023年'!W43:$AG43),0))</f>
        <v>0</v>
      </c>
      <c r="W43" s="221">
        <f>IF('2023年'!$AZ43&gt;=SUM('2023年'!W43:$AG43),'2023年'!W43,IF('2023年'!$AZ43-SUM('2023年'!X43:$AG43)&gt;0,'2023年'!$AZ43-SUM('2023年'!X43:$AG43),0))</f>
        <v>0</v>
      </c>
      <c r="X43" s="221">
        <f>IF('2023年'!$AZ43&gt;=SUM('2023年'!X43:$AG43),'2023年'!X43,IF('2023年'!$AZ43-SUM('2023年'!Y43:$AG43)&gt;0,'2023年'!$AZ43-SUM('2023年'!Y43:$AG43),0))</f>
        <v>0</v>
      </c>
      <c r="Y43" s="44">
        <f>IF('2023年'!$AZ43&gt;=SUM('2023年'!Y43:$AG43),'2023年'!Y43,IF('2023年'!$AZ43-SUM('2023年'!Z43:$AG43)&gt;0,'2023年'!$AZ43-SUM('2023年'!Z43:$AG43),0))</f>
        <v>0</v>
      </c>
      <c r="Z43" s="44">
        <f>IF('2023年'!$AZ43&gt;=SUM('2023年'!Z43:$AG43),'2023年'!Z43,IF('2023年'!$AZ43-SUM('2023年'!AA43:$AG43)&gt;0,'2023年'!$AZ43-SUM('2023年'!AA43:$AG43),0))</f>
        <v>0</v>
      </c>
      <c r="AA43" s="44">
        <f>IF('2023年'!$AZ43&gt;=SUM('2023年'!AA43:$AG43),'2023年'!AA43,IF('2023年'!$AZ43-SUM('2023年'!AB43:$AG43)&gt;0,'2023年'!$AZ43-SUM('2023年'!AB43:$AG43),0))</f>
        <v>0</v>
      </c>
      <c r="AB43" s="44"/>
      <c r="AC43" s="44"/>
      <c r="AD43" s="44"/>
      <c r="AE43" s="44"/>
      <c r="AF43" s="44"/>
      <c r="AG43" s="44"/>
      <c r="AH43" s="312" t="s">
        <v>398</v>
      </c>
      <c r="AI43" s="310">
        <v>0.03</v>
      </c>
      <c r="AJ43" s="311" t="s">
        <v>400</v>
      </c>
      <c r="AK43" s="88" t="s">
        <v>412</v>
      </c>
      <c r="AL43" s="279"/>
      <c r="AM43" s="91"/>
      <c r="AN43" s="10">
        <f>'2023年'!AZ43</f>
        <v>0</v>
      </c>
      <c r="AO43" s="10">
        <f t="shared" si="23"/>
        <v>0</v>
      </c>
    </row>
    <row r="44" s="10" customFormat="1" ht="24.05" customHeight="1" spans="2:41">
      <c r="B44" s="45" t="s">
        <v>81</v>
      </c>
      <c r="C44" s="46"/>
      <c r="D44" s="46" t="str">
        <f>'2023年'!D44</f>
        <v>黄骅市长生汽车灯镜有限公司</v>
      </c>
      <c r="E44" s="41">
        <v>30</v>
      </c>
      <c r="F44" s="42">
        <f>SUM(I44:Z44)</f>
        <v>74204.12</v>
      </c>
      <c r="G44" s="291">
        <f>SUM(I44:X44)</f>
        <v>0</v>
      </c>
      <c r="H44" s="291">
        <f t="shared" si="26"/>
        <v>120676.95</v>
      </c>
      <c r="I44" s="298"/>
      <c r="J44" s="217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217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217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217">
        <f>IF('2023年'!$AZ44&gt;('2023年'!$W44+'2023年'!$V44+SUM('2023年'!I44:$T44)),'2023年'!I44,IF('2023年'!$AZ44-'2023年'!$V44-'2023年'!$W44-SUM('2023年'!I44:$T44)&gt;0,'2023年'!$AZ44-'2023年'!$V44-'2023年'!$W44-SUM('2023年'!I44:$T44),""))</f>
        <v>0</v>
      </c>
      <c r="N44" s="217" t="str">
        <f>IF('2023年'!$AZ44&gt;(SUM('2023年'!$V44:AG44)+SUM('2023年'!J44:$T44)),'2023年'!J44,IF('2023年'!$AZ44-SUM('2023年'!$V44:AG44)-SUM('2023年'!K44:$T44)&gt;0,'2023年'!$AZ44-SUM('2023年'!$V44:AG44)-SUM('2023年'!K44:$T44),""))</f>
        <v/>
      </c>
      <c r="O44" s="217">
        <f>IF('2023年'!$AZ44&gt;('2023年'!$W44+'2023年'!$V44+SUM('2023年'!K44:$T44)),'2023年'!K44,IF('2023年'!$AZ44-'2023年'!$V44-'2023年'!$W44-SUM('2023年'!K44:$T44)&gt;0,'2023年'!$AZ44-'2023年'!$V44-'2023年'!$W44-SUM('2023年'!K44:$T44),""))</f>
        <v>0</v>
      </c>
      <c r="P44" s="217">
        <f>IF('2023年'!$AZ44&gt;('2023年'!$W44+'2023年'!$V44+SUM('2023年'!L44:$T44)),'2023年'!L44,IF('2023年'!$AZ44-'2023年'!$V44-'2023年'!$W44-SUM('2023年'!L44:$T44)&gt;0,'2023年'!$AZ44-'2023年'!$V44-'2023年'!$W44-SUM('2023年'!L44:$T44),""))</f>
        <v>0</v>
      </c>
      <c r="Q44" s="217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R44" s="217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S44" s="217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T44" s="217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U44" s="217" t="str">
        <f>IF('2023年'!$AZ44&gt;(SUM('2023年'!V44:AG44)+'2023年'!T44+'2023年'!Q44),'2023年'!Q44+'2023年'!T44,IF('2023年'!$AZ44-SUM('2023年'!V44:AG44)&gt;0,'2023年'!$AZ44-SUM('2023年'!V44:AG44),""))</f>
        <v/>
      </c>
      <c r="V44" s="221">
        <f>IF('2023年'!$AZ44&gt;=SUM('2023年'!V44:$AG44),'2023年'!V44,IF('2023年'!$AZ44-SUM('2023年'!W44:$AG44)&gt;0,'2023年'!$AZ44-SUM('2023年'!W44:$AG44),0))</f>
        <v>0</v>
      </c>
      <c r="W44" s="221">
        <f>IF('2023年'!$AZ44&gt;=SUM('2023年'!W44:$AG44),'2023年'!W44,IF('2023年'!$AZ44-SUM('2023年'!X44:$AG44)&gt;0,'2023年'!$AZ44-SUM('2023年'!X44:$AG44),0))</f>
        <v>0</v>
      </c>
      <c r="X44" s="221">
        <f>IF('2023年'!$AZ44&gt;=SUM('2023年'!X44:$AG44),'2023年'!X44,IF('2023年'!$AZ44-SUM('2023年'!Y44:$AG44)&gt;0,'2023年'!$AZ44-SUM('2023年'!Y44:$AG44),0))</f>
        <v>0</v>
      </c>
      <c r="Y44" s="44">
        <f>IF('2023年'!$AZ44&gt;=SUM('2023年'!Y44:$AG44),'2023年'!Y44,IF('2023年'!$AZ44-SUM('2023年'!Z44:$AG44)&gt;0,'2023年'!$AZ44-SUM('2023年'!Z44:$AG44),0))</f>
        <v>28907.04</v>
      </c>
      <c r="Z44" s="44">
        <f>IF('2023年'!$AZ44&gt;=SUM('2023年'!Z44:$AG44),'2023年'!Z44,IF('2023年'!$AZ44-SUM('2023年'!AA44:$AG44)&gt;0,'2023年'!$AZ44-SUM('2023年'!AA44:$AG44),0))</f>
        <v>45297.08</v>
      </c>
      <c r="AA44" s="44">
        <f>IF('2023年'!$AZ44&gt;=SUM('2023年'!AA44:$AG44),'2023年'!AA44,IF('2023年'!$AZ44-SUM('2023年'!AB44:$AG44)&gt;0,'2023年'!$AZ44-SUM('2023年'!AB44:$AG44),0))</f>
        <v>46472.83</v>
      </c>
      <c r="AB44" s="44"/>
      <c r="AC44" s="44"/>
      <c r="AD44" s="44"/>
      <c r="AE44" s="44"/>
      <c r="AF44" s="44"/>
      <c r="AG44" s="44"/>
      <c r="AH44" s="312" t="s">
        <v>398</v>
      </c>
      <c r="AI44" s="310">
        <v>0.03</v>
      </c>
      <c r="AJ44" s="311" t="s">
        <v>400</v>
      </c>
      <c r="AK44" s="88" t="s">
        <v>413</v>
      </c>
      <c r="AL44" s="279"/>
      <c r="AM44" s="91"/>
      <c r="AN44" s="10">
        <f>'2023年'!AZ44</f>
        <v>238150.69</v>
      </c>
      <c r="AO44" s="10">
        <f t="shared" si="23"/>
        <v>-117473.74</v>
      </c>
    </row>
    <row r="45" s="10" customFormat="1" ht="24.05" customHeight="1" spans="2:41">
      <c r="B45" s="45" t="s">
        <v>81</v>
      </c>
      <c r="C45" s="46"/>
      <c r="D45" s="46" t="str">
        <f>'2023年'!D45</f>
        <v>厦门市鑫荣飞工贸有限公司</v>
      </c>
      <c r="E45" s="41" t="s">
        <v>222</v>
      </c>
      <c r="F45" s="42">
        <f t="shared" si="24"/>
        <v>0</v>
      </c>
      <c r="G45" s="291">
        <f t="shared" si="25"/>
        <v>0</v>
      </c>
      <c r="H45" s="291">
        <f t="shared" si="26"/>
        <v>130843.68</v>
      </c>
      <c r="I45" s="298"/>
      <c r="J45" s="217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217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217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217">
        <f>IF('2023年'!$AZ45&gt;('2023年'!$W45+'2023年'!$V45+SUM('2023年'!I45:$T45)),'2023年'!I45,IF('2023年'!$AZ45-'2023年'!$V45-'2023年'!$W45-SUM('2023年'!I45:$T45)&gt;0,'2023年'!$AZ45-'2023年'!$V45-'2023年'!$W45-SUM('2023年'!I45:$T45),""))</f>
        <v>0</v>
      </c>
      <c r="N45" s="217" t="str">
        <f>IF('2023年'!$AZ45&gt;(SUM('2023年'!$V45:AG45)+SUM('2023年'!J45:$T45)),'2023年'!J45,IF('2023年'!$AZ45-SUM('2023年'!$V45:AG45)-SUM('2023年'!K45:$T45)&gt;0,'2023年'!$AZ45-SUM('2023年'!$V45:AG45)-SUM('2023年'!K45:$T45),""))</f>
        <v/>
      </c>
      <c r="O45" s="217">
        <f>IF('2023年'!$AZ45&gt;('2023年'!$W45+'2023年'!$V45+SUM('2023年'!K45:$T45)),'2023年'!K45,IF('2023年'!$AZ45-'2023年'!$V45-'2023年'!$W45-SUM('2023年'!K45:$T45)&gt;0,'2023年'!$AZ45-'2023年'!$V45-'2023年'!$W45-SUM('2023年'!K45:$T45),""))</f>
        <v>0</v>
      </c>
      <c r="P45" s="217">
        <f>IF('2023年'!$AZ45&gt;('2023年'!$W45+'2023年'!$V45+SUM('2023年'!L45:$T45)),'2023年'!L45,IF('2023年'!$AZ45-'2023年'!$V45-'2023年'!$W45-SUM('2023年'!L45:$T45)&gt;0,'2023年'!$AZ45-'2023年'!$V45-'2023年'!$W45-SUM('2023年'!L45:$T45),""))</f>
        <v>0</v>
      </c>
      <c r="Q45" s="217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R45" s="217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S45" s="217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T45" s="217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U45" s="217" t="str">
        <f>IF('2023年'!$AZ45&gt;(SUM('2023年'!V45:AG45)+'2023年'!T45+'2023年'!Q45),'2023年'!Q45+'2023年'!T45,IF('2023年'!$AZ45-SUM('2023年'!V45:AG45)&gt;0,'2023年'!$AZ45-SUM('2023年'!V45:AG45),""))</f>
        <v/>
      </c>
      <c r="V45" s="221">
        <f>IF('2023年'!$AZ45&gt;=SUM('2023年'!V45:$AG45),'2023年'!V45,IF('2023年'!$AZ45-SUM('2023年'!W45:$AG45)&gt;0,'2023年'!$AZ45-SUM('2023年'!W45:$AG45),0))</f>
        <v>0</v>
      </c>
      <c r="W45" s="221">
        <f>IF('2023年'!$AZ45&gt;=SUM('2023年'!W45:$AG45),'2023年'!W45,IF('2023年'!$AZ45-SUM('2023年'!X45:$AG45)&gt;0,'2023年'!$AZ45-SUM('2023年'!X45:$AG45),0))</f>
        <v>0</v>
      </c>
      <c r="X45" s="221">
        <f>IF('2023年'!$AZ45&gt;=SUM('2023年'!X45:$AG45),'2023年'!X45,IF('2023年'!$AZ45-SUM('2023年'!Y45:$AG45)&gt;0,'2023年'!$AZ45-SUM('2023年'!Y45:$AG45),0))</f>
        <v>0</v>
      </c>
      <c r="Y45" s="44">
        <f>IF('2023年'!$AZ45&gt;=SUM('2023年'!Y45:$AG45),'2023年'!Y45,IF('2023年'!$AZ45-SUM('2023年'!Z45:$AG45)&gt;0,'2023年'!$AZ45-SUM('2023年'!Z45:$AG45),0))</f>
        <v>0</v>
      </c>
      <c r="Z45" s="44">
        <f>IF('2023年'!$AZ45&gt;=SUM('2023年'!Z45:$AG45),'2023年'!Z45,IF('2023年'!$AZ45-SUM('2023年'!AA45:$AG45)&gt;0,'2023年'!$AZ45-SUM('2023年'!AA45:$AG45),0))</f>
        <v>65285.6</v>
      </c>
      <c r="AA45" s="44">
        <f>IF('2023年'!$AZ45&gt;=SUM('2023年'!AA45:$AG45),'2023年'!AA45,IF('2023年'!$AZ45-SUM('2023年'!AB45:$AG45)&gt;0,'2023年'!$AZ45-SUM('2023年'!AB45:$AG45),0))</f>
        <v>65558.08</v>
      </c>
      <c r="AB45" s="44"/>
      <c r="AC45" s="44"/>
      <c r="AD45" s="44"/>
      <c r="AE45" s="44"/>
      <c r="AF45" s="44"/>
      <c r="AG45" s="44"/>
      <c r="AH45" s="312" t="s">
        <v>398</v>
      </c>
      <c r="AI45" s="310" t="s">
        <v>403</v>
      </c>
      <c r="AJ45" s="311"/>
      <c r="AK45" s="88" t="s">
        <v>414</v>
      </c>
      <c r="AL45" s="279"/>
      <c r="AM45" s="91"/>
      <c r="AN45" s="10">
        <f>'2023年'!AZ45</f>
        <v>233529.04</v>
      </c>
      <c r="AO45" s="10">
        <f t="shared" si="23"/>
        <v>-102685.36</v>
      </c>
    </row>
    <row r="46" s="10" customFormat="1" ht="24.05" customHeight="1" spans="2:41">
      <c r="B46" s="45" t="s">
        <v>81</v>
      </c>
      <c r="C46" s="46"/>
      <c r="D46" s="46" t="str">
        <f>'2023年'!D46</f>
        <v>上海绽奇汽车部件有限公司</v>
      </c>
      <c r="E46" s="41" t="s">
        <v>222</v>
      </c>
      <c r="F46" s="42">
        <f t="shared" si="24"/>
        <v>0</v>
      </c>
      <c r="G46" s="291">
        <f t="shared" si="25"/>
        <v>0</v>
      </c>
      <c r="H46" s="291">
        <f t="shared" si="26"/>
        <v>0</v>
      </c>
      <c r="I46" s="298"/>
      <c r="J46" s="217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217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217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217" t="str">
        <f>IF('2023年'!$AZ46&gt;('2023年'!$W46+'2023年'!$V46+SUM('2023年'!I46:$T46)),'2023年'!I46,IF('2023年'!$AZ46-'2023年'!$V46-'2023年'!$W46-SUM('2023年'!I46:$T46)&gt;0,'2023年'!$AZ46-'2023年'!$V46-'2023年'!$W46-SUM('2023年'!I46:$T46),""))</f>
        <v/>
      </c>
      <c r="N46" s="217" t="str">
        <f>IF('2023年'!$AZ46&gt;(SUM('2023年'!$V46:AG46)+SUM('2023年'!J46:$T46)),'2023年'!J46,IF('2023年'!$AZ46-SUM('2023年'!$V46:AG46)-SUM('2023年'!K46:$T46)&gt;0,'2023年'!$AZ46-SUM('2023年'!$V46:AG46)-SUM('2023年'!K46:$T46),""))</f>
        <v/>
      </c>
      <c r="O46" s="217" t="str">
        <f>IF('2023年'!$AZ46&gt;('2023年'!$W46+'2023年'!$V46+SUM('2023年'!K46:$T46)),'2023年'!K46,IF('2023年'!$AZ46-'2023年'!$V46-'2023年'!$W46-SUM('2023年'!K46:$T46)&gt;0,'2023年'!$AZ46-'2023年'!$V46-'2023年'!$W46-SUM('2023年'!K46:$T46),""))</f>
        <v/>
      </c>
      <c r="P46" s="217" t="str">
        <f>IF('2023年'!$AZ46&gt;('2023年'!$W46+'2023年'!$V46+SUM('2023年'!L46:$T46)),'2023年'!L46,IF('2023年'!$AZ46-'2023年'!$V46-'2023年'!$W46-SUM('2023年'!L46:$T46)&gt;0,'2023年'!$AZ46-'2023年'!$V46-'2023年'!$W46-SUM('2023年'!L46:$T46),""))</f>
        <v/>
      </c>
      <c r="Q46" s="217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R46" s="217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S46" s="217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T46" s="217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U46" s="217" t="str">
        <f>IF('2023年'!$AZ46&gt;(SUM('2023年'!V46:AG46)+'2023年'!T46+'2023年'!Q46),'2023年'!Q46+'2023年'!T46,IF('2023年'!$AZ46-SUM('2023年'!V46:AG46)&gt;0,'2023年'!$AZ46-SUM('2023年'!V46:AG46),""))</f>
        <v/>
      </c>
      <c r="V46" s="221">
        <f>IF('2023年'!$AZ46&gt;=SUM('2023年'!V46:$AG46),'2023年'!V46,IF('2023年'!$AZ46-SUM('2023年'!W46:$AG46)&gt;0,'2023年'!$AZ46-SUM('2023年'!W46:$AG46),0))</f>
        <v>0</v>
      </c>
      <c r="W46" s="221">
        <f>IF('2023年'!$AZ46&gt;=SUM('2023年'!W46:$AG46),'2023年'!W46,IF('2023年'!$AZ46-SUM('2023年'!X46:$AG46)&gt;0,'2023年'!$AZ46-SUM('2023年'!X46:$AG46),0))</f>
        <v>0</v>
      </c>
      <c r="X46" s="221">
        <f>IF('2023年'!$AZ46&gt;=SUM('2023年'!X46:$AG46),'2023年'!X46,IF('2023年'!$AZ46-SUM('2023年'!Y46:$AG46)&gt;0,'2023年'!$AZ46-SUM('2023年'!Y46:$AG46),0))</f>
        <v>0</v>
      </c>
      <c r="Y46" s="44">
        <f>IF('2023年'!$AZ46&gt;=SUM('2023年'!Y46:$AG46),'2023年'!Y46,IF('2023年'!$AZ46-SUM('2023年'!Z46:$AG46)&gt;0,'2023年'!$AZ46-SUM('2023年'!Z46:$AG46),0))</f>
        <v>0</v>
      </c>
      <c r="Z46" s="44">
        <f>IF('2023年'!$AZ46&gt;=SUM('2023年'!Z46:$AG46),'2023年'!Z46,IF('2023年'!$AZ46-SUM('2023年'!AA46:$AG46)&gt;0,'2023年'!$AZ46-SUM('2023年'!AA46:$AG46),0))</f>
        <v>0</v>
      </c>
      <c r="AA46" s="44">
        <f>IF('2023年'!$AZ46&gt;=SUM('2023年'!AA46:$AG46),'2023年'!AA46,IF('2023年'!$AZ46-SUM('2023年'!AB46:$AG46)&gt;0,'2023年'!$AZ46-SUM('2023年'!AB46:$AG46),0))</f>
        <v>0</v>
      </c>
      <c r="AB46" s="44"/>
      <c r="AC46" s="44"/>
      <c r="AD46" s="44"/>
      <c r="AE46" s="44"/>
      <c r="AF46" s="44"/>
      <c r="AG46" s="44"/>
      <c r="AH46" s="312" t="s">
        <v>402</v>
      </c>
      <c r="AI46" s="310" t="s">
        <v>403</v>
      </c>
      <c r="AJ46" s="311" t="s">
        <v>400</v>
      </c>
      <c r="AK46" s="88" t="s">
        <v>415</v>
      </c>
      <c r="AL46" s="279"/>
      <c r="AM46" s="91"/>
      <c r="AN46" s="10">
        <f>'2023年'!AZ46</f>
        <v>0</v>
      </c>
      <c r="AO46" s="10">
        <f t="shared" si="23"/>
        <v>0</v>
      </c>
    </row>
    <row r="47" s="10" customFormat="1" ht="24.05" hidden="1" customHeight="1" spans="2:41">
      <c r="B47" s="45" t="s">
        <v>81</v>
      </c>
      <c r="C47" s="46"/>
      <c r="D47" s="46" t="str">
        <f>'2023年'!D47</f>
        <v>上锐（常州）供应链管理有限公</v>
      </c>
      <c r="E47" s="41" t="s">
        <v>85</v>
      </c>
      <c r="F47" s="42">
        <f>SUM(I47:Y47)</f>
        <v>0</v>
      </c>
      <c r="G47" s="291">
        <f t="shared" ref="G47:G53" si="27">SUM(I47:W47)</f>
        <v>0</v>
      </c>
      <c r="H47" s="291">
        <f t="shared" si="26"/>
        <v>0</v>
      </c>
      <c r="I47" s="298"/>
      <c r="J47" s="217" t="str">
        <f>IF('2023年'!$AZ47&gt;('2023年'!$W47+'2023年'!$V47+SUM('2023年'!F47:$T47)),'2023年'!F47,IF('2023年'!$AZ47-'2023年'!$V47-'2023年'!$W47-SUM('2023年'!F47:$T47)&gt;0,'2023年'!$AZ47-'2023年'!$V47-'2023年'!$W47-SUM('2023年'!F47:$T47),""))</f>
        <v/>
      </c>
      <c r="K47" s="217" t="str">
        <f>IF('2023年'!$AZ47&gt;('2023年'!$W47+'2023年'!$V47+SUM('2023年'!G47:$T47)),'2023年'!G47,IF('2023年'!$AZ47-'2023年'!$V47-'2023年'!$W47-SUM('2023年'!G47:$T47)&gt;0,'2023年'!$AZ47-'2023年'!$V47-'2023年'!$W47-SUM('2023年'!G47:$T47),""))</f>
        <v/>
      </c>
      <c r="L47" s="217" t="str">
        <f>IF('2023年'!$AZ47&gt;('2023年'!$W47+'2023年'!$V47+SUM('2023年'!H47:$T47)),'2023年'!H47,IF('2023年'!$AZ47-'2023年'!$V47-'2023年'!$W47-SUM('2023年'!H47:$T47)&gt;0,'2023年'!$AZ47-'2023年'!$V47-'2023年'!$W47-SUM('2023年'!H47:$T47),""))</f>
        <v/>
      </c>
      <c r="M47" s="217" t="str">
        <f>IF('2023年'!$AZ47&gt;('2023年'!$W47+'2023年'!$V47+SUM('2023年'!I47:$T47)),'2023年'!I47,IF('2023年'!$AZ47-'2023年'!$V47-'2023年'!$W47-SUM('2023年'!I47:$T47)&gt;0,'2023年'!$AZ47-'2023年'!$V47-'2023年'!$W47-SUM('2023年'!I47:$T47),""))</f>
        <v/>
      </c>
      <c r="N47" s="217" t="str">
        <f>IF('2023年'!$AZ47&gt;(SUM('2023年'!$V47:AG47)+SUM('2023年'!J47:$T47)),'2023年'!J47,IF('2023年'!$AZ47-SUM('2023年'!$V47:AG47)-SUM('2023年'!K47:$T47)&gt;0,'2023年'!$AZ47-SUM('2023年'!$V47:AG47)-SUM('2023年'!K47:$T47),""))</f>
        <v/>
      </c>
      <c r="O47" s="217" t="str">
        <f>IF('2023年'!$AZ47&gt;('2023年'!$W47+'2023年'!$V47+SUM('2023年'!K47:$T47)),'2023年'!K47,IF('2023年'!$AZ47-'2023年'!$V47-'2023年'!$W47-SUM('2023年'!K47:$T47)&gt;0,'2023年'!$AZ47-'2023年'!$V47-'2023年'!$W47-SUM('2023年'!K47:$T47),""))</f>
        <v/>
      </c>
      <c r="P47" s="217" t="str">
        <f>IF('2023年'!$AZ47&gt;('2023年'!$W47+'2023年'!$V47+SUM('2023年'!L47:$T47)),'2023年'!L47,IF('2023年'!$AZ47-'2023年'!$V47-'2023年'!$W47-SUM('2023年'!L47:$T47)&gt;0,'2023年'!$AZ47-'2023年'!$V47-'2023年'!$W47-SUM('2023年'!L47:$T47),""))</f>
        <v/>
      </c>
      <c r="Q47" s="217" t="str">
        <f>IF('2023年'!$AZ47&gt;('2023年'!$W47+'2023年'!$V47+SUM('2023年'!M47:$T47)),'2023年'!M47,IF('2023年'!$AZ47-'2023年'!$V47-'2023年'!$W47-SUM('2023年'!N47:$T47)&gt;0,'2023年'!$AZ47-'2023年'!$V47-'2023年'!$W47-SUM('2023年'!N47:$T47),""))</f>
        <v/>
      </c>
      <c r="R47" s="217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S47" s="217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T47" s="217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U47" s="217" t="str">
        <f>IF('2023年'!$AZ47&gt;(SUM('2023年'!V47:AG47)+'2023年'!T47+'2023年'!Q47),'2023年'!Q47+'2023年'!T47,IF('2023年'!$AZ47-SUM('2023年'!V47:AG47)&gt;0,'2023年'!$AZ47-SUM('2023年'!V47:AG47),""))</f>
        <v/>
      </c>
      <c r="V47" s="221">
        <f>IF('2023年'!$AZ47&gt;=SUM('2023年'!V47:$AG47),'2023年'!V47,IF('2023年'!$AZ47-SUM('2023年'!W47:$AG47)&gt;0,'2023年'!$AZ47-SUM('2023年'!W47:$AG47),0))</f>
        <v>0</v>
      </c>
      <c r="W47" s="221">
        <f>IF('2023年'!$AZ47&gt;=SUM('2023年'!W47:$AG47),'2023年'!W47,IF('2023年'!$AZ47-SUM('2023年'!X47:$AG47)&gt;0,'2023年'!$AZ47-SUM('2023年'!X47:$AG47),0))</f>
        <v>0</v>
      </c>
      <c r="X47" s="221">
        <f>IF('2023年'!$AZ47&gt;=SUM('2023年'!X47:$AG47),'2023年'!X47,IF('2023年'!$AZ47-SUM('2023年'!Y47:$AG47)&gt;0,'2023年'!$AZ47-SUM('2023年'!Y47:$AG47),0))</f>
        <v>0</v>
      </c>
      <c r="Y47" s="44">
        <f>IF('2023年'!$AZ47&gt;=SUM('2023年'!Y47:$AG47),'2023年'!Y47,IF('2023年'!$AZ47-SUM('2023年'!Z47:$AG47)&gt;0,'2023年'!$AZ47-SUM('2023年'!Z47:$AG47),0))</f>
        <v>0</v>
      </c>
      <c r="Z47" s="44">
        <f>IF('2023年'!$AZ47&gt;=SUM('2023年'!Z47:$AG47),'2023年'!Z47,IF('2023年'!$AZ47-SUM('2023年'!AA47:$AG47)&gt;0,'2023年'!$AZ47-SUM('2023年'!AA47:$AG47),0))</f>
        <v>0</v>
      </c>
      <c r="AA47" s="44">
        <f>IF('2023年'!$AZ47&gt;=SUM('2023年'!AA47:$AG47),'2023年'!AA47,IF('2023年'!$AZ47-SUM('2023年'!AB47:$AG47)&gt;0,'2023年'!$AZ47-SUM('2023年'!AB47:$AG47),0))</f>
        <v>0</v>
      </c>
      <c r="AB47" s="44"/>
      <c r="AC47" s="44"/>
      <c r="AD47" s="44"/>
      <c r="AE47" s="44"/>
      <c r="AF47" s="44"/>
      <c r="AG47" s="44"/>
      <c r="AH47" s="312" t="s">
        <v>402</v>
      </c>
      <c r="AI47" s="310" t="s">
        <v>403</v>
      </c>
      <c r="AJ47" s="311"/>
      <c r="AK47" s="88" t="s">
        <v>416</v>
      </c>
      <c r="AL47" s="279"/>
      <c r="AM47" s="91"/>
      <c r="AN47" s="10">
        <f>'2023年'!AZ47</f>
        <v>0</v>
      </c>
      <c r="AO47" s="10">
        <f t="shared" si="23"/>
        <v>0</v>
      </c>
    </row>
    <row r="48" s="10" customFormat="1" ht="24.05" hidden="1" customHeight="1" spans="2:41">
      <c r="B48" s="45" t="s">
        <v>81</v>
      </c>
      <c r="C48" s="46"/>
      <c r="D48" s="46" t="str">
        <f>'2023年'!D48</f>
        <v>天津生隆纤维材料股份有限公司</v>
      </c>
      <c r="E48" s="41"/>
      <c r="F48" s="42">
        <f>SUM(I48:V48)</f>
        <v>0</v>
      </c>
      <c r="G48" s="291">
        <f>SUM(I48:U48)</f>
        <v>0</v>
      </c>
      <c r="H48" s="291">
        <f t="shared" si="26"/>
        <v>0</v>
      </c>
      <c r="I48" s="298"/>
      <c r="J48" s="217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217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217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217" t="str">
        <f>IF('2023年'!$AZ48&gt;('2023年'!$W48+'2023年'!$V48+SUM('2023年'!I48:$T48)),'2023年'!I48,IF('2023年'!$AZ48-'2023年'!$V48-'2023年'!$W48-SUM('2023年'!I48:$T48)&gt;0,'2023年'!$AZ48-'2023年'!$V48-'2023年'!$W48-SUM('2023年'!I48:$T48),""))</f>
        <v/>
      </c>
      <c r="N48" s="217" t="str">
        <f>IF('2023年'!$AZ48&gt;(SUM('2023年'!$V48:AG48)+SUM('2023年'!J48:$T48)),'2023年'!J48,IF('2023年'!$AZ48-SUM('2023年'!$V48:AG48)-SUM('2023年'!K48:$T48)&gt;0,'2023年'!$AZ48-SUM('2023年'!$V48:AG48)-SUM('2023年'!K48:$T48),""))</f>
        <v/>
      </c>
      <c r="O48" s="217" t="str">
        <f>IF('2023年'!$AZ48&gt;('2023年'!$W48+'2023年'!$V48+SUM('2023年'!K48:$T48)),'2023年'!K48,IF('2023年'!$AZ48-'2023年'!$V48-'2023年'!$W48-SUM('2023年'!K48:$T48)&gt;0,'2023年'!$AZ48-'2023年'!$V48-'2023年'!$W48-SUM('2023年'!K48:$T48),""))</f>
        <v/>
      </c>
      <c r="P48" s="217" t="str">
        <f>IF('2023年'!$AZ48&gt;('2023年'!$W48+'2023年'!$V48+SUM('2023年'!L48:$T48)),'2023年'!L48,IF('2023年'!$AZ48-'2023年'!$V48-'2023年'!$W48-SUM('2023年'!L48:$T48)&gt;0,'2023年'!$AZ48-'2023年'!$V48-'2023年'!$W48-SUM('2023年'!L48:$T48),""))</f>
        <v/>
      </c>
      <c r="Q48" s="217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R48" s="217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S48" s="217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T48" s="217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U48" s="217" t="str">
        <f>IF('2023年'!$AZ48&gt;(SUM('2023年'!V48:AG48)+'2023年'!T48+'2023年'!Q48),'2023年'!Q48+'2023年'!T48,IF('2023年'!$AZ48-SUM('2023年'!V48:AG48)&gt;0,'2023年'!$AZ48-SUM('2023年'!V48:AG48),""))</f>
        <v/>
      </c>
      <c r="V48" s="221">
        <f>IF('2023年'!$AZ48&gt;=SUM('2023年'!V48:$AG48),'2023年'!V48,IF('2023年'!$AZ48-SUM('2023年'!W48:$AG48)&gt;0,'2023年'!$AZ48-SUM('2023年'!W48:$AG48),0))</f>
        <v>0</v>
      </c>
      <c r="W48" s="221">
        <f>IF('2023年'!$AZ48&gt;=SUM('2023年'!W48:$AG48),'2023年'!W48,IF('2023年'!$AZ48-SUM('2023年'!X48:$AG48)&gt;0,'2023年'!$AZ48-SUM('2023年'!X48:$AG48),0))</f>
        <v>0</v>
      </c>
      <c r="X48" s="221">
        <f>IF('2023年'!$AZ48&gt;=SUM('2023年'!X48:$AG48),'2023年'!X48,IF('2023年'!$AZ48-SUM('2023年'!Y48:$AG48)&gt;0,'2023年'!$AZ48-SUM('2023年'!Y48:$AG48),0))</f>
        <v>0</v>
      </c>
      <c r="Y48" s="44">
        <f>IF('2023年'!$AZ48&gt;=SUM('2023年'!Y48:$AG48),'2023年'!Y48,IF('2023年'!$AZ48-SUM('2023年'!Z48:$AG48)&gt;0,'2023年'!$AZ48-SUM('2023年'!Z48:$AG48),0))</f>
        <v>0</v>
      </c>
      <c r="Z48" s="44">
        <f>IF('2023年'!$AZ48&gt;=SUM('2023年'!Z48:$AG48),'2023年'!Z48,IF('2023年'!$AZ48-SUM('2023年'!AA48:$AG48)&gt;0,'2023年'!$AZ48-SUM('2023年'!AA48:$AG48),0))</f>
        <v>0</v>
      </c>
      <c r="AA48" s="44">
        <f>IF('2023年'!$AZ48&gt;=SUM('2023年'!AA48:$AG48),'2023年'!AA48,IF('2023年'!$AZ48-SUM('2023年'!AB48:$AG48)&gt;0,'2023年'!$AZ48-SUM('2023年'!AB48:$AG48),0))</f>
        <v>0</v>
      </c>
      <c r="AB48" s="44"/>
      <c r="AC48" s="44"/>
      <c r="AD48" s="44"/>
      <c r="AE48" s="44"/>
      <c r="AF48" s="44"/>
      <c r="AG48" s="44"/>
      <c r="AH48" s="312" t="s">
        <v>398</v>
      </c>
      <c r="AI48" s="310"/>
      <c r="AJ48" s="311" t="s">
        <v>400</v>
      </c>
      <c r="AK48" s="88" t="s">
        <v>417</v>
      </c>
      <c r="AL48" s="279"/>
      <c r="AM48" s="91"/>
      <c r="AN48" s="10">
        <f>'2023年'!AZ48</f>
        <v>0</v>
      </c>
      <c r="AO48" s="10">
        <f t="shared" si="23"/>
        <v>0</v>
      </c>
    </row>
    <row r="49" s="10" customFormat="1" ht="24.05" customHeight="1" spans="2:41">
      <c r="B49" s="45" t="s">
        <v>81</v>
      </c>
      <c r="C49" s="46"/>
      <c r="D49" s="46" t="str">
        <f>'2023年'!D49</f>
        <v>湘乡简美新材料科技有限公司</v>
      </c>
      <c r="E49" s="41" t="s">
        <v>222</v>
      </c>
      <c r="F49" s="42">
        <f>SUM(I49:X49)</f>
        <v>0</v>
      </c>
      <c r="G49" s="291">
        <f>SUM(I49:V49)</f>
        <v>0</v>
      </c>
      <c r="H49" s="291">
        <f t="shared" ref="H49:H54" si="28">SUM(I49:AG49)</f>
        <v>250485.67</v>
      </c>
      <c r="I49" s="298"/>
      <c r="J49" s="217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217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217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217">
        <f>IF('2023年'!$AZ49&gt;('2023年'!$W49+'2023年'!$V49+SUM('2023年'!I49:$T49)),'2023年'!I49,IF('2023年'!$AZ49-'2023年'!$V49-'2023年'!$W49-SUM('2023年'!I49:$T49)&gt;0,'2023年'!$AZ49-'2023年'!$V49-'2023年'!$W49-SUM('2023年'!I49:$T49),""))</f>
        <v>0</v>
      </c>
      <c r="N49" s="217" t="str">
        <f>IF('2023年'!$AZ49&gt;(SUM('2023年'!$V49:AG49)+SUM('2023年'!J49:$T49)),'2023年'!J49,IF('2023年'!$AZ49-SUM('2023年'!$V49:AG49)-SUM('2023年'!K49:$T49)&gt;0,'2023年'!$AZ49-SUM('2023年'!$V49:AG49)-SUM('2023年'!K49:$T49),""))</f>
        <v/>
      </c>
      <c r="O49" s="217">
        <f>IF('2023年'!$AZ49&gt;('2023年'!$W49+'2023年'!$V49+SUM('2023年'!K49:$T49)),'2023年'!K49,IF('2023年'!$AZ49-'2023年'!$V49-'2023年'!$W49-SUM('2023年'!K49:$T49)&gt;0,'2023年'!$AZ49-'2023年'!$V49-'2023年'!$W49-SUM('2023年'!K49:$T49),""))</f>
        <v>0</v>
      </c>
      <c r="P49" s="217">
        <f>IF('2023年'!$AZ49&gt;('2023年'!$W49+'2023年'!$V49+SUM('2023年'!L49:$T49)),'2023年'!L49,IF('2023年'!$AZ49-'2023年'!$V49-'2023年'!$W49-SUM('2023年'!L49:$T49)&gt;0,'2023年'!$AZ49-'2023年'!$V49-'2023年'!$W49-SUM('2023年'!L49:$T49),""))</f>
        <v>0</v>
      </c>
      <c r="Q49" s="217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R49" s="217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S49" s="217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T49" s="217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U49" s="217" t="str">
        <f>IF('2023年'!$AZ49&gt;(SUM('2023年'!V49:AG49)+'2023年'!T49+'2023年'!Q49),'2023年'!Q49+'2023年'!T49,IF('2023年'!$AZ49-SUM('2023年'!V49:AG49)&gt;0,'2023年'!$AZ49-SUM('2023年'!V49:AG49),""))</f>
        <v/>
      </c>
      <c r="V49" s="221">
        <f>IF('2023年'!$AZ49&gt;=SUM('2023年'!V49:$AG49),'2023年'!V49,IF('2023年'!$AZ49-SUM('2023年'!W49:$AG49)&gt;0,'2023年'!$AZ49-SUM('2023年'!W49:$AG49),0))</f>
        <v>0</v>
      </c>
      <c r="W49" s="221">
        <f>IF('2023年'!$AZ49&gt;=SUM('2023年'!W49:$AG49),'2023年'!W49,IF('2023年'!$AZ49-SUM('2023年'!X49:$AG49)&gt;0,'2023年'!$AZ49-SUM('2023年'!X49:$AG49),0))</f>
        <v>0</v>
      </c>
      <c r="X49" s="221">
        <f>IF('2023年'!$AZ49&gt;=SUM('2023年'!X49:$AG49),'2023年'!X49,IF('2023年'!$AZ49-SUM('2023年'!Y49:$AG49)&gt;0,'2023年'!$AZ49-SUM('2023年'!Y49:$AG49),0))</f>
        <v>0</v>
      </c>
      <c r="Y49" s="44">
        <f>IF('2023年'!$AZ49&gt;=SUM('2023年'!Y49:$AG49),'2023年'!Y49,IF('2023年'!$AZ49-SUM('2023年'!Z49:$AG49)&gt;0,'2023年'!$AZ49-SUM('2023年'!Z49:$AG49),0))</f>
        <v>102369.79</v>
      </c>
      <c r="Z49" s="44">
        <f>IF('2023年'!$AZ49&gt;=SUM('2023年'!Z49:$AG49),'2023年'!Z49,IF('2023年'!$AZ49-SUM('2023年'!AA49:$AG49)&gt;0,'2023年'!$AZ49-SUM('2023年'!AA49:$AG49),0))</f>
        <v>0</v>
      </c>
      <c r="AA49" s="44">
        <f>IF('2023年'!$AZ49&gt;=SUM('2023年'!AA49:$AG49),'2023年'!AA49,IF('2023年'!$AZ49-SUM('2023年'!AB49:$AG49)&gt;0,'2023年'!$AZ49-SUM('2023年'!AB49:$AG49),0))</f>
        <v>148115.88</v>
      </c>
      <c r="AB49" s="44"/>
      <c r="AC49" s="44"/>
      <c r="AD49" s="44"/>
      <c r="AE49" s="44"/>
      <c r="AF49" s="44"/>
      <c r="AG49" s="44"/>
      <c r="AH49" s="312" t="s">
        <v>398</v>
      </c>
      <c r="AI49" s="310">
        <v>0.02</v>
      </c>
      <c r="AJ49" s="311" t="s">
        <v>418</v>
      </c>
      <c r="AK49" s="88" t="s">
        <v>419</v>
      </c>
      <c r="AL49" s="279"/>
      <c r="AM49" s="91"/>
      <c r="AN49" s="10">
        <f>'2023年'!AZ49</f>
        <v>444195.92</v>
      </c>
      <c r="AO49" s="10">
        <f t="shared" si="23"/>
        <v>-193710.25</v>
      </c>
    </row>
    <row r="50" s="10" customFormat="1" ht="24.05" customHeight="1" spans="2:41">
      <c r="B50" s="45" t="s">
        <v>81</v>
      </c>
      <c r="C50" s="46"/>
      <c r="D50" s="46" t="str">
        <f>'2023年'!D50</f>
        <v>扬州市宏昌气动件制造有限公司</v>
      </c>
      <c r="E50" s="41" t="s">
        <v>222</v>
      </c>
      <c r="F50" s="42">
        <f>SUM(I50:X50)</f>
        <v>566</v>
      </c>
      <c r="G50" s="291">
        <f>SUM(I50:U50)</f>
        <v>0</v>
      </c>
      <c r="H50" s="291">
        <f t="shared" si="28"/>
        <v>566</v>
      </c>
      <c r="I50" s="298"/>
      <c r="J50" s="217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217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217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217">
        <f>IF('2023年'!$AZ50&gt;('2023年'!$W50+'2023年'!$V50+SUM('2023年'!I50:$T50)),'2023年'!I50,IF('2023年'!$AZ50-'2023年'!$V50-'2023年'!$W50-SUM('2023年'!I50:$T50)&gt;0,'2023年'!$AZ50-'2023年'!$V50-'2023年'!$W50-SUM('2023年'!I50:$T50),""))</f>
        <v>0</v>
      </c>
      <c r="N50" s="217" t="str">
        <f>IF('2023年'!$AZ50&gt;(SUM('2023年'!$V50:AG50)+SUM('2023年'!J50:$T50)),'2023年'!J50,IF('2023年'!$AZ50-SUM('2023年'!$V50:AG50)-SUM('2023年'!K50:$T50)&gt;0,'2023年'!$AZ50-SUM('2023年'!$V50:AG50)-SUM('2023年'!K50:$T50),""))</f>
        <v/>
      </c>
      <c r="O50" s="217">
        <f>IF('2023年'!$AZ50&gt;('2023年'!$W50+'2023年'!$V50+SUM('2023年'!K50:$T50)),'2023年'!K50,IF('2023年'!$AZ50-'2023年'!$V50-'2023年'!$W50-SUM('2023年'!K50:$T50)&gt;0,'2023年'!$AZ50-'2023年'!$V50-'2023年'!$W50-SUM('2023年'!K50:$T50),""))</f>
        <v>0</v>
      </c>
      <c r="P50" s="217">
        <f>IF('2023年'!$AZ50&gt;('2023年'!$W50+'2023年'!$V50+SUM('2023年'!L50:$T50)),'2023年'!L50,IF('2023年'!$AZ50-'2023年'!$V50-'2023年'!$W50-SUM('2023年'!L50:$T50)&gt;0,'2023年'!$AZ50-'2023年'!$V50-'2023年'!$W50-SUM('2023年'!L50:$T50),""))</f>
        <v>0</v>
      </c>
      <c r="Q50" s="217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R50" s="217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S50" s="217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T50" s="217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U50" s="217" t="str">
        <f>IF('2023年'!$AZ50&gt;(SUM('2023年'!V50:AG50)+'2023年'!T50+'2023年'!Q50),'2023年'!Q50+'2023年'!T50,IF('2023年'!$AZ50-SUM('2023年'!V50:AG50)&gt;0,'2023年'!$AZ50-SUM('2023年'!V50:AG50),""))</f>
        <v/>
      </c>
      <c r="V50" s="221">
        <f>IF('2023年'!$AZ50&gt;=SUM('2023年'!V50:$AG50),'2023年'!V50,IF('2023年'!$AZ50-SUM('2023年'!W50:$AG50)&gt;0,'2023年'!$AZ50-SUM('2023年'!W50:$AG50),0))</f>
        <v>0</v>
      </c>
      <c r="W50" s="221">
        <f>IF('2023年'!$AZ50&gt;=SUM('2023年'!W50:$AG50),'2023年'!W50,IF('2023年'!$AZ50-SUM('2023年'!X50:$AG50)&gt;0,'2023年'!$AZ50-SUM('2023年'!X50:$AG50),0))</f>
        <v>0</v>
      </c>
      <c r="X50" s="221">
        <f>IF('2023年'!$AZ50&gt;=SUM('2023年'!X50:$AG50),'2023年'!X50,IF('2023年'!$AZ50-SUM('2023年'!Y50:$AG50)&gt;0,'2023年'!$AZ50-SUM('2023年'!Y50:$AG50),0))</f>
        <v>566</v>
      </c>
      <c r="Y50" s="44">
        <f>IF('2023年'!$AZ50&gt;=SUM('2023年'!Y50:$AG50),'2023年'!Y50,IF('2023年'!$AZ50-SUM('2023年'!Z50:$AG50)&gt;0,'2023年'!$AZ50-SUM('2023年'!Z50:$AG50),0))</f>
        <v>0</v>
      </c>
      <c r="Z50" s="44">
        <f>IF('2023年'!$AZ50&gt;=SUM('2023年'!Z50:$AG50),'2023年'!Z50,IF('2023年'!$AZ50-SUM('2023年'!AA50:$AG50)&gt;0,'2023年'!$AZ50-SUM('2023年'!AA50:$AG50),0))</f>
        <v>0</v>
      </c>
      <c r="AA50" s="44">
        <f>IF('2023年'!$AZ50&gt;=SUM('2023年'!AA50:$AG50),'2023年'!AA50,IF('2023年'!$AZ50-SUM('2023年'!AB50:$AG50)&gt;0,'2023年'!$AZ50-SUM('2023年'!AB50:$AG50),0))</f>
        <v>0</v>
      </c>
      <c r="AB50" s="44"/>
      <c r="AC50" s="44"/>
      <c r="AD50" s="44"/>
      <c r="AE50" s="44"/>
      <c r="AF50" s="44"/>
      <c r="AG50" s="44"/>
      <c r="AH50" s="312" t="s">
        <v>398</v>
      </c>
      <c r="AI50" s="310"/>
      <c r="AJ50" s="311"/>
      <c r="AK50" s="88" t="s">
        <v>420</v>
      </c>
      <c r="AL50" s="279"/>
      <c r="AM50" s="91"/>
      <c r="AN50" s="10">
        <f>'2023年'!AZ50</f>
        <v>16725</v>
      </c>
      <c r="AO50" s="10">
        <f t="shared" si="23"/>
        <v>-16159</v>
      </c>
    </row>
    <row r="51" s="10" customFormat="1" ht="24.05" customHeight="1" spans="2:41">
      <c r="B51" s="48" t="s">
        <v>81</v>
      </c>
      <c r="C51" s="46" t="s">
        <v>82</v>
      </c>
      <c r="D51" s="46" t="str">
        <f>'2023年'!D51</f>
        <v>长春光华荣昌汽车部件有限公司</v>
      </c>
      <c r="E51" s="41" t="s">
        <v>222</v>
      </c>
      <c r="F51" s="42">
        <f>SUM(I51:X51)</f>
        <v>55514.15</v>
      </c>
      <c r="G51" s="291">
        <f>SUM(I51:V51)</f>
        <v>0</v>
      </c>
      <c r="H51" s="291">
        <f t="shared" si="28"/>
        <v>55514.15</v>
      </c>
      <c r="I51" s="298"/>
      <c r="J51" s="217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217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217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217">
        <f>IF('2023年'!$AZ51&gt;('2023年'!$W51+'2023年'!$V51+SUM('2023年'!I51:$T51)),'2023年'!I51,IF('2023年'!$AZ51-'2023年'!$V51-'2023年'!$W51-SUM('2023年'!I51:$T51)&gt;0,'2023年'!$AZ51-'2023年'!$V51-'2023年'!$W51-SUM('2023年'!I51:$T51),""))</f>
        <v>0</v>
      </c>
      <c r="N51" s="217" t="str">
        <f>IF('2023年'!$AZ51&gt;(SUM('2023年'!$V51:AG51)+SUM('2023年'!J51:$T51)),'2023年'!J51,IF('2023年'!$AZ51-SUM('2023年'!$V51:AG51)-SUM('2023年'!K51:$T51)&gt;0,'2023年'!$AZ51-SUM('2023年'!$V51:AG51)-SUM('2023年'!K51:$T51),""))</f>
        <v/>
      </c>
      <c r="O51" s="217">
        <f>IF('2023年'!$AZ51&gt;('2023年'!$W51+'2023年'!$V51+SUM('2023年'!K51:$T51)),'2023年'!K51,IF('2023年'!$AZ51-'2023年'!$V51-'2023年'!$W51-SUM('2023年'!K51:$T51)&gt;0,'2023年'!$AZ51-'2023年'!$V51-'2023年'!$W51-SUM('2023年'!K51:$T51),""))</f>
        <v>0</v>
      </c>
      <c r="P51" s="217">
        <f>IF('2023年'!$AZ51&gt;('2023年'!$W51+'2023年'!$V51+SUM('2023年'!L51:$T51)),'2023年'!L51,IF('2023年'!$AZ51-'2023年'!$V51-'2023年'!$W51-SUM('2023年'!L51:$T51)&gt;0,'2023年'!$AZ51-'2023年'!$V51-'2023年'!$W51-SUM('2023年'!L51:$T51),""))</f>
        <v>0</v>
      </c>
      <c r="Q51" s="217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R51" s="217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S51" s="217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T51" s="217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U51" s="217" t="str">
        <f>IF('2023年'!$AZ51&gt;(SUM('2023年'!V51:AG51)+'2023年'!T51+'2023年'!Q51),'2023年'!Q51+'2023年'!T51,IF('2023年'!$AZ51-SUM('2023年'!V51:AG51)&gt;0,'2023年'!$AZ51-SUM('2023年'!V51:AG51),""))</f>
        <v/>
      </c>
      <c r="V51" s="221">
        <f>IF('2023年'!$AZ51&gt;=SUM('2023年'!V51:$AG51),'2023年'!V51,IF('2023年'!$AZ51-SUM('2023年'!W51:$AG51)&gt;0,'2023年'!$AZ51-SUM('2023年'!W51:$AG51),0))</f>
        <v>0</v>
      </c>
      <c r="W51" s="221">
        <f>IF('2023年'!$AZ51&gt;=SUM('2023年'!W51:$AG51),'2023年'!W51,IF('2023年'!$AZ51-SUM('2023年'!X51:$AG51)&gt;0,'2023年'!$AZ51-SUM('2023年'!X51:$AG51),0))</f>
        <v>0</v>
      </c>
      <c r="X51" s="221">
        <f>IF('2023年'!$AZ51&gt;=SUM('2023年'!X51:$AG51),'2023年'!X51,IF('2023年'!$AZ51-SUM('2023年'!Y51:$AG51)&gt;0,'2023年'!$AZ51-SUM('2023年'!Y51:$AG51),0))</f>
        <v>55514.15</v>
      </c>
      <c r="Y51" s="44">
        <f>IF('2023年'!$AZ51&gt;=SUM('2023年'!Y51:$AG51),'2023年'!Y51,IF('2023年'!$AZ51-SUM('2023年'!Z51:$AG51)&gt;0,'2023年'!$AZ51-SUM('2023年'!Z51:$AG51),0))</f>
        <v>0</v>
      </c>
      <c r="Z51" s="44">
        <f>IF('2023年'!$AZ51&gt;=SUM('2023年'!Z51:$AG51),'2023年'!Z51,IF('2023年'!$AZ51-SUM('2023年'!AA51:$AG51)&gt;0,'2023年'!$AZ51-SUM('2023年'!AA51:$AG51),0))</f>
        <v>0</v>
      </c>
      <c r="AA51" s="44">
        <f>IF('2023年'!$AZ51&gt;=SUM('2023年'!AA51:$AG51),'2023年'!AA51,IF('2023年'!$AZ51-SUM('2023年'!AB51:$AG51)&gt;0,'2023年'!$AZ51-SUM('2023年'!AB51:$AG51),0))</f>
        <v>0</v>
      </c>
      <c r="AB51" s="44"/>
      <c r="AC51" s="44"/>
      <c r="AD51" s="44"/>
      <c r="AE51" s="44"/>
      <c r="AF51" s="44"/>
      <c r="AG51" s="44"/>
      <c r="AH51" s="312"/>
      <c r="AI51" s="310"/>
      <c r="AJ51" s="311" t="s">
        <v>84</v>
      </c>
      <c r="AK51" s="88"/>
      <c r="AL51" s="279"/>
      <c r="AM51" s="91"/>
      <c r="AN51" s="10">
        <f>'2023年'!AZ51</f>
        <v>137012.09</v>
      </c>
      <c r="AO51" s="10">
        <f t="shared" si="23"/>
        <v>-81497.94</v>
      </c>
    </row>
    <row r="52" s="10" customFormat="1" ht="24.05" hidden="1" customHeight="1" spans="2:41">
      <c r="B52" s="48" t="s">
        <v>81</v>
      </c>
      <c r="C52" s="46" t="s">
        <v>86</v>
      </c>
      <c r="D52" s="46" t="str">
        <f>'2023年'!D52</f>
        <v>文安县德实汽车</v>
      </c>
      <c r="E52" s="41">
        <v>60</v>
      </c>
      <c r="F52" s="42">
        <f t="shared" ref="F52:F55" si="29">SUM(I52:Y52)</f>
        <v>0</v>
      </c>
      <c r="G52" s="291">
        <f t="shared" si="27"/>
        <v>0</v>
      </c>
      <c r="H52" s="291">
        <f t="shared" si="28"/>
        <v>0</v>
      </c>
      <c r="I52" s="298"/>
      <c r="J52" s="217">
        <f>IF('2023年'!$AZ52&gt;('2023年'!$W52+'2023年'!$V52+SUM('2023年'!F52:$T52)),'2023年'!F52,IF('2023年'!$AZ52-'2023年'!$V52-'2023年'!$W52-SUM('2023年'!F52:$T52)&gt;0,'2023年'!$AZ52-'2023年'!$V52-'2023年'!$W52-SUM('2023年'!F52:$T52),""))</f>
        <v>0</v>
      </c>
      <c r="K52" s="217">
        <f>IF('2023年'!$AZ52&gt;('2023年'!$W52+'2023年'!$V52+SUM('2023年'!G52:$T52)),'2023年'!G52,IF('2023年'!$AZ52-'2023年'!$V52-'2023年'!$W52-SUM('2023年'!G52:$T52)&gt;0,'2023年'!$AZ52-'2023年'!$V52-'2023年'!$W52-SUM('2023年'!G52:$T52),""))</f>
        <v>0</v>
      </c>
      <c r="L52" s="217">
        <f>IF('2023年'!$AZ52&gt;('2023年'!$W52+'2023年'!$V52+SUM('2023年'!H52:$T52)),'2023年'!H52,IF('2023年'!$AZ52-'2023年'!$V52-'2023年'!$W52-SUM('2023年'!H52:$T52)&gt;0,'2023年'!$AZ52-'2023年'!$V52-'2023年'!$W52-SUM('2023年'!H52:$T52),""))</f>
        <v>0</v>
      </c>
      <c r="M52" s="217">
        <f>IF('2023年'!$AZ52&gt;('2023年'!$W52+'2023年'!$V52+SUM('2023年'!I52:$T52)),'2023年'!I52,IF('2023年'!$AZ52-'2023年'!$V52-'2023年'!$W52-SUM('2023年'!I52:$T52)&gt;0,'2023年'!$AZ52-'2023年'!$V52-'2023年'!$W52-SUM('2023年'!I52:$T52),""))</f>
        <v>0</v>
      </c>
      <c r="N52" s="217" t="str">
        <f>IF('2023年'!$AZ52&gt;(SUM('2023年'!$V52:AG52)+SUM('2023年'!J52:$T52)),'2023年'!J52,IF('2023年'!$AZ52-SUM('2023年'!$V52:AG52)-SUM('2023年'!K52:$T52)&gt;0,'2023年'!$AZ52-SUM('2023年'!$V52:AG52)-SUM('2023年'!K52:$T52),""))</f>
        <v/>
      </c>
      <c r="O52" s="217">
        <f>IF('2023年'!$AZ52&gt;('2023年'!$W52+'2023年'!$V52+SUM('2023年'!K52:$T52)),'2023年'!K52,IF('2023年'!$AZ52-'2023年'!$V52-'2023年'!$W52-SUM('2023年'!K52:$T52)&gt;0,'2023年'!$AZ52-'2023年'!$V52-'2023年'!$W52-SUM('2023年'!K52:$T52),""))</f>
        <v>0</v>
      </c>
      <c r="P52" s="217">
        <f>IF('2023年'!$AZ52&gt;('2023年'!$W52+'2023年'!$V52+SUM('2023年'!L52:$T52)),'2023年'!L52,IF('2023年'!$AZ52-'2023年'!$V52-'2023年'!$W52-SUM('2023年'!L52:$T52)&gt;0,'2023年'!$AZ52-'2023年'!$V52-'2023年'!$W52-SUM('2023年'!L52:$T52),""))</f>
        <v>0</v>
      </c>
      <c r="Q52" s="217">
        <f>IF('2023年'!$AZ52&gt;('2023年'!$W52+'2023年'!$V52+SUM('2023年'!M52:$T52)),'2023年'!M52,IF('2023年'!$AZ52-'2023年'!$V52-'2023年'!$W52-SUM('2023年'!N52:$T52)&gt;0,'2023年'!$AZ52-'2023年'!$V52-'2023年'!$W52-SUM('2023年'!N52:$T52),""))</f>
        <v>0</v>
      </c>
      <c r="R52" s="217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S52" s="217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T52" s="217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U52" s="217" t="str">
        <f>IF('2023年'!$AZ52&gt;(SUM('2023年'!V52:AG52)+'2023年'!T52+'2023年'!Q52),'2023年'!Q52+'2023年'!T52,IF('2023年'!$AZ52-SUM('2023年'!V52:AG52)&gt;0,'2023年'!$AZ52-SUM('2023年'!V52:AG52),""))</f>
        <v/>
      </c>
      <c r="V52" s="221">
        <f>IF('2023年'!$AZ52&gt;=SUM('2023年'!V52:$AG52),'2023年'!V52,IF('2023年'!$AZ52-SUM('2023年'!W52:$AG52)&gt;0,'2023年'!$AZ52-SUM('2023年'!W52:$AG52),0))</f>
        <v>0</v>
      </c>
      <c r="W52" s="221">
        <f>IF('2023年'!$AZ52&gt;=SUM('2023年'!W52:$AG52),'2023年'!W52,IF('2023年'!$AZ52-SUM('2023年'!X52:$AG52)&gt;0,'2023年'!$AZ52-SUM('2023年'!X52:$AG52),0))</f>
        <v>0</v>
      </c>
      <c r="X52" s="221">
        <f>IF('2023年'!$AZ52&gt;=SUM('2023年'!X52:$AG52),'2023年'!X52,IF('2023年'!$AZ52-SUM('2023年'!Y52:$AG52)&gt;0,'2023年'!$AZ52-SUM('2023年'!Y52:$AG52),0))</f>
        <v>0</v>
      </c>
      <c r="Y52" s="44">
        <f>IF('2023年'!$AZ52&gt;=SUM('2023年'!Y52:$AG52),'2023年'!Y52,IF('2023年'!$AZ52-SUM('2023年'!Z52:$AG52)&gt;0,'2023年'!$AZ52-SUM('2023年'!Z52:$AG52),0))</f>
        <v>0</v>
      </c>
      <c r="Z52" s="44">
        <f>IF('2023年'!$AZ52&gt;=SUM('2023年'!Z52:$AG52),'2023年'!Z52,IF('2023年'!$AZ52-SUM('2023年'!AA52:$AG52)&gt;0,'2023年'!$AZ52-SUM('2023年'!AA52:$AG52),0))</f>
        <v>0</v>
      </c>
      <c r="AA52" s="44">
        <f>IF('2023年'!$AZ52&gt;=SUM('2023年'!AA52:$AG52),'2023年'!AA52,IF('2023年'!$AZ52-SUM('2023年'!AB52:$AG52)&gt;0,'2023年'!$AZ52-SUM('2023年'!AB52:$AG52),0))</f>
        <v>0</v>
      </c>
      <c r="AB52" s="44"/>
      <c r="AC52" s="44"/>
      <c r="AD52" s="44"/>
      <c r="AE52" s="44"/>
      <c r="AF52" s="44"/>
      <c r="AG52" s="44"/>
      <c r="AH52" s="312"/>
      <c r="AI52" s="310"/>
      <c r="AJ52" s="311" t="s">
        <v>84</v>
      </c>
      <c r="AK52" s="88"/>
      <c r="AL52" s="279"/>
      <c r="AM52" s="91"/>
      <c r="AN52" s="10">
        <f>'2023年'!AZ52</f>
        <v>11797.2</v>
      </c>
      <c r="AO52" s="10">
        <f t="shared" si="23"/>
        <v>-11797.2</v>
      </c>
    </row>
    <row r="53" s="10" customFormat="1" ht="24.05" hidden="1" customHeight="1" spans="2:41">
      <c r="B53" s="48" t="s">
        <v>81</v>
      </c>
      <c r="C53" s="46" t="s">
        <v>88</v>
      </c>
      <c r="D53" s="46" t="str">
        <f>'2023年'!D53</f>
        <v>福士汽车零部件（济南）有限公司</v>
      </c>
      <c r="E53" s="41">
        <v>60</v>
      </c>
      <c r="F53" s="42">
        <f t="shared" si="29"/>
        <v>0</v>
      </c>
      <c r="G53" s="291">
        <f t="shared" si="27"/>
        <v>0</v>
      </c>
      <c r="H53" s="291">
        <f t="shared" si="28"/>
        <v>0</v>
      </c>
      <c r="I53" s="298"/>
      <c r="J53" s="217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217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217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217" t="str">
        <f>IF('2023年'!$AZ53&gt;('2023年'!$W53+'2023年'!$V53+SUM('2023年'!I53:$T53)),'2023年'!I53,IF('2023年'!$AZ53-'2023年'!$V53-'2023年'!$W53-SUM('2023年'!I53:$T53)&gt;0,'2023年'!$AZ53-'2023年'!$V53-'2023年'!$W53-SUM('2023年'!I53:$T53),""))</f>
        <v/>
      </c>
      <c r="N53" s="217" t="str">
        <f>IF('2023年'!$AZ53&gt;(SUM('2023年'!$V53:AG53)+SUM('2023年'!J53:$T53)),'2023年'!J53,IF('2023年'!$AZ53-SUM('2023年'!$V53:AG53)-SUM('2023年'!K53:$T53)&gt;0,'2023年'!$AZ53-SUM('2023年'!$V53:AG53)-SUM('2023年'!K53:$T53),""))</f>
        <v/>
      </c>
      <c r="O53" s="217" t="str">
        <f>IF('2023年'!$AZ53&gt;('2023年'!$W53+'2023年'!$V53+SUM('2023年'!K53:$T53)),'2023年'!K53,IF('2023年'!$AZ53-'2023年'!$V53-'2023年'!$W53-SUM('2023年'!K53:$T53)&gt;0,'2023年'!$AZ53-'2023年'!$V53-'2023年'!$W53-SUM('2023年'!K53:$T53),""))</f>
        <v/>
      </c>
      <c r="P53" s="217" t="str">
        <f>IF('2023年'!$AZ53&gt;('2023年'!$W53+'2023年'!$V53+SUM('2023年'!L53:$T53)),'2023年'!L53,IF('2023年'!$AZ53-'2023年'!$V53-'2023年'!$W53-SUM('2023年'!L53:$T53)&gt;0,'2023年'!$AZ53-'2023年'!$V53-'2023年'!$W53-SUM('2023年'!L53:$T53),""))</f>
        <v/>
      </c>
      <c r="Q53" s="217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R53" s="217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S53" s="217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T53" s="217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U53" s="217" t="str">
        <f>IF('2023年'!$AZ53&gt;(SUM('2023年'!V53:AG53)+'2023年'!T53+'2023年'!Q53),'2023年'!Q53+'2023年'!T53,IF('2023年'!$AZ53-SUM('2023年'!V53:AG53)&gt;0,'2023年'!$AZ53-SUM('2023年'!V53:AG53),""))</f>
        <v/>
      </c>
      <c r="V53" s="221">
        <f>IF('2023年'!$AZ53&gt;=SUM('2023年'!V53:$AG53),'2023年'!V53,IF('2023年'!$AZ53-SUM('2023年'!W53:$AG53)&gt;0,'2023年'!$AZ53-SUM('2023年'!W53:$AG53),0))</f>
        <v>0</v>
      </c>
      <c r="W53" s="221">
        <f>IF('2023年'!$AZ53&gt;=SUM('2023年'!W53:$AG53),'2023年'!W53,IF('2023年'!$AZ53-SUM('2023年'!X53:$AG53)&gt;0,'2023年'!$AZ53-SUM('2023年'!X53:$AG53),0))</f>
        <v>0</v>
      </c>
      <c r="X53" s="221">
        <f>IF('2023年'!$AZ53&gt;=SUM('2023年'!X53:$AG53),'2023年'!X53,IF('2023年'!$AZ53-SUM('2023年'!Y53:$AG53)&gt;0,'2023年'!$AZ53-SUM('2023年'!Y53:$AG53),0))</f>
        <v>0</v>
      </c>
      <c r="Y53" s="44">
        <f>IF('2023年'!$AZ53&gt;=SUM('2023年'!Y53:$AG53),'2023年'!Y53,IF('2023年'!$AZ53-SUM('2023年'!Z53:$AG53)&gt;0,'2023年'!$AZ53-SUM('2023年'!Z53:$AG53),0))</f>
        <v>0</v>
      </c>
      <c r="Z53" s="44">
        <f>IF('2023年'!$AZ53&gt;=SUM('2023年'!Z53:$AG53),'2023年'!Z53,IF('2023年'!$AZ53-SUM('2023年'!AA53:$AG53)&gt;0,'2023年'!$AZ53-SUM('2023年'!AA53:$AG53),0))</f>
        <v>0</v>
      </c>
      <c r="AA53" s="44">
        <f>IF('2023年'!$AZ53&gt;=SUM('2023年'!AA53:$AG53),'2023年'!AA53,IF('2023年'!$AZ53-SUM('2023年'!AB53:$AG53)&gt;0,'2023年'!$AZ53-SUM('2023年'!AB53:$AG53),0))</f>
        <v>0</v>
      </c>
      <c r="AB53" s="44"/>
      <c r="AC53" s="44"/>
      <c r="AD53" s="44"/>
      <c r="AE53" s="44"/>
      <c r="AF53" s="44"/>
      <c r="AG53" s="44"/>
      <c r="AH53" s="312"/>
      <c r="AI53" s="310"/>
      <c r="AJ53" s="311" t="s">
        <v>84</v>
      </c>
      <c r="AK53" s="88"/>
      <c r="AL53" s="279"/>
      <c r="AM53" s="91"/>
      <c r="AN53" s="10">
        <f>'2023年'!AZ53</f>
        <v>0</v>
      </c>
      <c r="AO53" s="10">
        <f t="shared" si="23"/>
        <v>0</v>
      </c>
    </row>
    <row r="54" s="10" customFormat="1" ht="24.05" hidden="1" customHeight="1" spans="2:41">
      <c r="B54" s="48" t="s">
        <v>81</v>
      </c>
      <c r="C54" s="46" t="s">
        <v>94</v>
      </c>
      <c r="D54" s="46" t="str">
        <f>'2023年'!D54</f>
        <v>新梦顶（上海）贸易有限公司</v>
      </c>
      <c r="E54" s="41" t="s">
        <v>96</v>
      </c>
      <c r="F54" s="42">
        <f>SUM(I54:V54)</f>
        <v>0</v>
      </c>
      <c r="G54" s="291">
        <f>SUM(I54:U54)</f>
        <v>0</v>
      </c>
      <c r="H54" s="291">
        <f t="shared" si="28"/>
        <v>0</v>
      </c>
      <c r="I54" s="298"/>
      <c r="J54" s="217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217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217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217">
        <f>IF('2023年'!$AZ54&gt;('2023年'!$W54+'2023年'!$V54+SUM('2023年'!I54:$T54)),'2023年'!I54,IF('2023年'!$AZ54-'2023年'!$V54-'2023年'!$W54-SUM('2023年'!I54:$T54)&gt;0,'2023年'!$AZ54-'2023年'!$V54-'2023年'!$W54-SUM('2023年'!I54:$T54),""))</f>
        <v>0</v>
      </c>
      <c r="N54" s="217" t="str">
        <f>IF('2023年'!$AZ54&gt;(SUM('2023年'!$V54:AG54)+SUM('2023年'!J54:$T54)),'2023年'!J54,IF('2023年'!$AZ54-SUM('2023年'!$V54:AG54)-SUM('2023年'!K54:$T54)&gt;0,'2023年'!$AZ54-SUM('2023年'!$V54:AG54)-SUM('2023年'!K54:$T54),""))</f>
        <v/>
      </c>
      <c r="O54" s="217">
        <f>IF('2023年'!$AZ54&gt;('2023年'!$W54+'2023年'!$V54+SUM('2023年'!K54:$T54)),'2023年'!K54,IF('2023年'!$AZ54-'2023年'!$V54-'2023年'!$W54-SUM('2023年'!K54:$T54)&gt;0,'2023年'!$AZ54-'2023年'!$V54-'2023年'!$W54-SUM('2023年'!K54:$T54),""))</f>
        <v>0</v>
      </c>
      <c r="P54" s="217">
        <f>IF('2023年'!$AZ54&gt;('2023年'!$W54+'2023年'!$V54+SUM('2023年'!L54:$T54)),'2023年'!L54,IF('2023年'!$AZ54-'2023年'!$V54-'2023年'!$W54-SUM('2023年'!L54:$T54)&gt;0,'2023年'!$AZ54-'2023年'!$V54-'2023年'!$W54-SUM('2023年'!L54:$T54),""))</f>
        <v>0</v>
      </c>
      <c r="Q54" s="217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R54" s="217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S54" s="217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T54" s="217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U54" s="217" t="str">
        <f>IF('2023年'!$AZ54&gt;(SUM('2023年'!V54:AG54)+'2023年'!T54+'2023年'!Q54),'2023年'!Q54+'2023年'!T54,IF('2023年'!$AZ54-SUM('2023年'!V54:AG54)&gt;0,'2023年'!$AZ54-SUM('2023年'!V54:AG54),""))</f>
        <v/>
      </c>
      <c r="V54" s="221">
        <f>IF('2023年'!$AZ54&gt;=SUM('2023年'!V54:$AG54),'2023年'!V54,IF('2023年'!$AZ54-SUM('2023年'!W54:$AG54)&gt;0,'2023年'!$AZ54-SUM('2023年'!W54:$AG54),0))</f>
        <v>0</v>
      </c>
      <c r="W54" s="221">
        <f>IF('2023年'!$AZ54&gt;=SUM('2023年'!W54:$AG54),'2023年'!W54,IF('2023年'!$AZ54-SUM('2023年'!X54:$AG54)&gt;0,'2023年'!$AZ54-SUM('2023年'!X54:$AG54),0))</f>
        <v>0</v>
      </c>
      <c r="X54" s="221">
        <f>IF('2023年'!$AZ54&gt;=SUM('2023年'!X54:$AG54),'2023年'!X54,IF('2023年'!$AZ54-SUM('2023年'!Y54:$AG54)&gt;0,'2023年'!$AZ54-SUM('2023年'!Y54:$AG54),0))</f>
        <v>0</v>
      </c>
      <c r="Y54" s="44">
        <f>IF('2023年'!$AZ54&gt;=SUM('2023年'!Y54:$AG54),'2023年'!Y54,IF('2023年'!$AZ54-SUM('2023年'!Z54:$AG54)&gt;0,'2023年'!$AZ54-SUM('2023年'!Z54:$AG54),0))</f>
        <v>0</v>
      </c>
      <c r="Z54" s="44">
        <f>IF('2023年'!$AZ54&gt;=SUM('2023年'!Z54:$AG54),'2023年'!Z54,IF('2023年'!$AZ54-SUM('2023年'!AA54:$AG54)&gt;0,'2023年'!$AZ54-SUM('2023年'!AA54:$AG54),0))</f>
        <v>0</v>
      </c>
      <c r="AA54" s="44">
        <f>IF('2023年'!$AZ54&gt;=SUM('2023年'!AA54:$AG54),'2023年'!AA54,IF('2023年'!$AZ54-SUM('2023年'!AB54:$AG54)&gt;0,'2023年'!$AZ54-SUM('2023年'!AB54:$AG54),0))</f>
        <v>0</v>
      </c>
      <c r="AB54" s="44"/>
      <c r="AC54" s="44"/>
      <c r="AD54" s="44"/>
      <c r="AE54" s="44"/>
      <c r="AF54" s="44"/>
      <c r="AG54" s="44"/>
      <c r="AH54" s="312"/>
      <c r="AI54" s="310"/>
      <c r="AJ54" s="311" t="s">
        <v>84</v>
      </c>
      <c r="AK54" s="88"/>
      <c r="AL54" s="279"/>
      <c r="AM54" s="91"/>
      <c r="AN54" s="10">
        <f>'2023年'!AZ54</f>
        <v>1500.64</v>
      </c>
      <c r="AO54" s="10">
        <f t="shared" si="23"/>
        <v>-1500.64</v>
      </c>
    </row>
    <row r="55" s="10" customFormat="1" ht="24.05" customHeight="1" spans="2:41">
      <c r="B55" s="48" t="s">
        <v>81</v>
      </c>
      <c r="C55" s="46" t="s">
        <v>97</v>
      </c>
      <c r="D55" s="46" t="str">
        <f>'2023年'!D55</f>
        <v>上海鸿扬工贸有限公司</v>
      </c>
      <c r="E55" s="41">
        <v>60</v>
      </c>
      <c r="F55" s="42">
        <f t="shared" si="29"/>
        <v>0</v>
      </c>
      <c r="G55" s="291">
        <f t="shared" ref="G55:G59" si="30">SUM(I55:W55)</f>
        <v>0</v>
      </c>
      <c r="H55" s="291">
        <f t="shared" ref="H55:H56" si="31">SUM(I55:AG55)</f>
        <v>0</v>
      </c>
      <c r="I55" s="298"/>
      <c r="J55" s="217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217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217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217">
        <f>IF('2023年'!$AZ55&gt;('2023年'!$W55+'2023年'!$V55+SUM('2023年'!I55:$T55)),'2023年'!I55,IF('2023年'!$AZ55-'2023年'!$V55-'2023年'!$W55-SUM('2023年'!J55:$T55)&gt;0,'2023年'!$AZ55-'2023年'!$V55-'2023年'!$W55-SUM('2023年'!J55:$T55),""))</f>
        <v>0</v>
      </c>
      <c r="N55" s="217" t="str">
        <f>IF('2023年'!$AZ55&gt;(SUM('2023年'!$V55:AG55)+SUM('2023年'!J55:$T55)),'2023年'!J55,IF('2023年'!$AZ55-SUM('2023年'!$V55:AG55)-SUM('2023年'!K55:$T55)&gt;0,'2023年'!$AZ55-SUM('2023年'!$V55:AG55)-SUM('2023年'!K55:$T55),""))</f>
        <v/>
      </c>
      <c r="O55" s="217">
        <f>IF('2023年'!$AZ55&gt;('2023年'!$W55+'2023年'!$V55+SUM('2023年'!K55:$T55)),'2023年'!K55,IF('2023年'!$AZ55-'2023年'!$V55-'2023年'!$W55-SUM('2023年'!L55:$T55)&gt;0,'2023年'!$AZ55-'2023年'!$V55-'2023年'!$W55-SUM('2023年'!L55:$T55),""))</f>
        <v>0</v>
      </c>
      <c r="P55" s="217">
        <f>IF('2023年'!$AZ55&gt;('2023年'!$W55+'2023年'!$V55+SUM('2023年'!L55:$T55)),'2023年'!L55,IF('2023年'!$AZ55-'2023年'!$V55-'2023年'!$W55-SUM('2023年'!M55:$T55)&gt;0,'2023年'!$AZ55-'2023年'!$V55-'2023年'!$W55-SUM('2023年'!M55:$T55),""))</f>
        <v>0</v>
      </c>
      <c r="Q55" s="217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R55" s="217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S55" s="217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T55" s="217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U55" s="217" t="str">
        <f>IF('2023年'!$AZ55&gt;(SUM('2023年'!V55:AG55)+'2023年'!T55+'2023年'!Q55),'2023年'!Q55+'2023年'!T55,IF('2023年'!$AZ55-SUM('2023年'!V55:AG55)&gt;0,'2023年'!$AZ55-SUM('2023年'!V55:AG55),""))</f>
        <v/>
      </c>
      <c r="V55" s="221">
        <f>IF('2023年'!$AZ55&gt;=SUM('2023年'!V55:$AG55),'2023年'!V55,IF('2023年'!$AZ55-SUM('2023年'!W55:$AG55)&gt;0,'2023年'!$AZ55-SUM('2023年'!W55:$AG55),0))</f>
        <v>0</v>
      </c>
      <c r="W55" s="221">
        <f>IF('2023年'!$AZ55&gt;=SUM('2023年'!W55:$AG55),'2023年'!W55,IF('2023年'!$AZ55-SUM('2023年'!X55:$AG55)&gt;0,'2023年'!$AZ55-SUM('2023年'!X55:$AG55),0))</f>
        <v>0</v>
      </c>
      <c r="X55" s="221">
        <f>IF('2023年'!$AZ55&gt;=SUM('2023年'!X55:$AG55),'2023年'!X55,IF('2023年'!$AZ55-SUM('2023年'!Y55:$AG55)&gt;0,'2023年'!$AZ55-SUM('2023年'!Y55:$AG55),0))</f>
        <v>0</v>
      </c>
      <c r="Y55" s="44">
        <f>IF('2023年'!$AZ55&gt;=SUM('2023年'!Y55:$AG55),'2023年'!Y55,IF('2023年'!$AZ55-SUM('2023年'!Z55:$AG55)&gt;0,'2023年'!$AZ55-SUM('2023年'!Z55:$AG55),0))</f>
        <v>0</v>
      </c>
      <c r="Z55" s="44">
        <f>IF('2023年'!$AZ55&gt;=SUM('2023年'!Z55:$AG55),'2023年'!Z55,IF('2023年'!$AZ55-SUM('2023年'!AA55:$AG55)&gt;0,'2023年'!$AZ55-SUM('2023年'!AA55:$AG55),0))</f>
        <v>0</v>
      </c>
      <c r="AA55" s="44">
        <f>IF('2023年'!$AZ55&gt;=SUM('2023年'!AA55:$AG55),'2023年'!AA55,IF('2023年'!$AZ55-SUM('2023年'!AB55:$AG55)&gt;0,'2023年'!$AZ55-SUM('2023年'!AB55:$AG55),0))</f>
        <v>0</v>
      </c>
      <c r="AB55" s="44"/>
      <c r="AC55" s="44"/>
      <c r="AD55" s="44"/>
      <c r="AE55" s="44"/>
      <c r="AF55" s="44"/>
      <c r="AG55" s="44"/>
      <c r="AH55" s="312"/>
      <c r="AI55" s="310"/>
      <c r="AJ55" s="311" t="s">
        <v>84</v>
      </c>
      <c r="AK55" s="88"/>
      <c r="AL55" s="279"/>
      <c r="AM55" s="91"/>
      <c r="AN55" s="10">
        <f>'2023年'!AZ55</f>
        <v>12475.2</v>
      </c>
      <c r="AO55" s="10">
        <f t="shared" si="23"/>
        <v>-12475.2</v>
      </c>
    </row>
    <row r="56" s="10" customFormat="1" ht="24.05" customHeight="1" spans="2:41">
      <c r="B56" s="48" t="s">
        <v>81</v>
      </c>
      <c r="C56" s="46"/>
      <c r="D56" s="46" t="str">
        <f>'2023年'!D56</f>
        <v>成都康鸿塑胶制品有限公司</v>
      </c>
      <c r="E56" s="41">
        <v>90</v>
      </c>
      <c r="F56" s="42">
        <f>SUM(I56:X56)</f>
        <v>0</v>
      </c>
      <c r="G56" s="291">
        <f>SUM(I56:V56)</f>
        <v>0</v>
      </c>
      <c r="H56" s="291">
        <f t="shared" si="31"/>
        <v>0</v>
      </c>
      <c r="I56" s="298"/>
      <c r="J56" s="217"/>
      <c r="K56" s="217"/>
      <c r="L56" s="217"/>
      <c r="M56" s="217"/>
      <c r="N56" s="217" t="str">
        <f>IF('2023年'!$AZ56&gt;(SUM('2023年'!$V56:AG56)+SUM('2023年'!J56:$T56)),'2023年'!J56,IF('2023年'!$AZ56-SUM('2023年'!$V56:AG56)-SUM('2023年'!K56:$T56)&gt;0,'2023年'!$AZ56-SUM('2023年'!$V56:AG56)-SUM('2023年'!K56:$T56),""))</f>
        <v/>
      </c>
      <c r="O56" s="217"/>
      <c r="P56" s="217"/>
      <c r="Q56" s="217"/>
      <c r="R56" s="217"/>
      <c r="S56" s="217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T56" s="217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U56" s="217" t="str">
        <f>IF('2023年'!$AZ56&gt;(SUM('2023年'!V56:AG56)+'2023年'!T56+'2023年'!Q56),'2023年'!Q56+'2023年'!T56,IF('2023年'!$AZ56-SUM('2023年'!V56:AG56)&gt;0,'2023年'!$AZ56-SUM('2023年'!V56:AG56),""))</f>
        <v/>
      </c>
      <c r="V56" s="221">
        <f>IF('2023年'!$AZ56&gt;=SUM('2023年'!V56:$AG56),'2023年'!V56,IF('2023年'!$AZ56-SUM('2023年'!W56:$AG56)&gt;0,'2023年'!$AZ56-SUM('2023年'!W56:$AG56),0))</f>
        <v>0</v>
      </c>
      <c r="W56" s="221">
        <f>IF('2023年'!$AZ56&gt;=SUM('2023年'!W56:$AG56),'2023年'!W56,IF('2023年'!$AZ56-SUM('2023年'!X56:$AG56)&gt;0,'2023年'!$AZ56-SUM('2023年'!X56:$AG56),0))</f>
        <v>0</v>
      </c>
      <c r="X56" s="221">
        <f>IF('2023年'!$AZ56&gt;=SUM('2023年'!X56:$AG56),'2023年'!X56,IF('2023年'!$AZ56-SUM('2023年'!Y56:$AG56)&gt;0,'2023年'!$AZ56-SUM('2023年'!Y56:$AG56),0))</f>
        <v>0</v>
      </c>
      <c r="Y56" s="44">
        <f>IF('2023年'!$AZ56&gt;=SUM('2023年'!Y56:$AG56),'2023年'!Y56,IF('2023年'!$AZ56-SUM('2023年'!Z56:$AG56)&gt;0,'2023年'!$AZ56-SUM('2023年'!Z56:$AG56),0))</f>
        <v>0</v>
      </c>
      <c r="Z56" s="44">
        <f>IF('2023年'!$AZ56&gt;=SUM('2023年'!Z56:$AG56),'2023年'!Z56,IF('2023年'!$AZ56-SUM('2023年'!AA56:$AG56)&gt;0,'2023年'!$AZ56-SUM('2023年'!AA56:$AG56),0))</f>
        <v>0</v>
      </c>
      <c r="AA56" s="44">
        <f>IF('2023年'!$AZ56&gt;=SUM('2023年'!AA56:$AG56),'2023年'!AA56,IF('2023年'!$AZ56-SUM('2023年'!AB56:$AG56)&gt;0,'2023年'!$AZ56-SUM('2023年'!AB56:$AG56),0))</f>
        <v>0</v>
      </c>
      <c r="AB56" s="44"/>
      <c r="AC56" s="44"/>
      <c r="AD56" s="44"/>
      <c r="AE56" s="44"/>
      <c r="AF56" s="44"/>
      <c r="AG56" s="44"/>
      <c r="AH56" s="312"/>
      <c r="AI56" s="310"/>
      <c r="AJ56" s="311" t="s">
        <v>84</v>
      </c>
      <c r="AK56" s="88"/>
      <c r="AL56" s="279"/>
      <c r="AM56" s="91"/>
      <c r="AN56" s="10">
        <f>'2023年'!AZ56</f>
        <v>700693.63</v>
      </c>
      <c r="AO56" s="10">
        <f t="shared" ref="AO56:AO73" si="32">H56-AN56</f>
        <v>-700693.63</v>
      </c>
    </row>
    <row r="57" s="10" customFormat="1" ht="24.05" hidden="1" customHeight="1" spans="2:41">
      <c r="B57" s="48" t="s">
        <v>81</v>
      </c>
      <c r="C57" s="46" t="s">
        <v>116</v>
      </c>
      <c r="D57" s="46" t="e">
        <f>'2023年'!#REF!</f>
        <v>#REF!</v>
      </c>
      <c r="E57" s="41" t="s">
        <v>421</v>
      </c>
      <c r="F57" s="42" t="e">
        <f t="shared" ref="F57:F59" si="33">SUM(I57:Y57)</f>
        <v>#REF!</v>
      </c>
      <c r="G57" s="291" t="e">
        <f t="shared" si="30"/>
        <v>#REF!</v>
      </c>
      <c r="H57" s="291" t="e">
        <f t="shared" ref="H57:H72" si="34">SUM(I57:AG57)</f>
        <v>#REF!</v>
      </c>
      <c r="I57" s="298"/>
      <c r="J57" s="217"/>
      <c r="K57" s="217"/>
      <c r="L57" s="217"/>
      <c r="M57" s="217"/>
      <c r="N57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7" s="217"/>
      <c r="P57" s="217"/>
      <c r="Q57" s="217"/>
      <c r="R57" s="217"/>
      <c r="S57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7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7" s="217" t="e">
        <f>IF('2023年'!#REF!&gt;(SUM('2023年'!#REF!)+'2023年'!#REF!+'2023年'!#REF!),'2023年'!#REF!+'2023年'!#REF!,IF('2023年'!#REF!-SUM('2023年'!#REF!)&gt;0,'2023年'!#REF!-SUM('2023年'!#REF!),""))</f>
        <v>#REF!</v>
      </c>
      <c r="V57" s="221" t="e">
        <f>IF('2023年'!#REF!&gt;=SUM('2023年'!#REF!),'2023年'!#REF!,IF('2023年'!#REF!-SUM('2023年'!#REF!)&gt;0,'2023年'!#REF!-SUM('2023年'!#REF!),0))</f>
        <v>#REF!</v>
      </c>
      <c r="W57" s="221" t="e">
        <f>IF('2023年'!#REF!&gt;=SUM('2023年'!#REF!),'2023年'!#REF!,IF('2023年'!#REF!-SUM('2023年'!#REF!)&gt;0,'2023年'!#REF!-SUM('2023年'!#REF!),0))</f>
        <v>#REF!</v>
      </c>
      <c r="X57" s="221" t="e">
        <f>IF('2023年'!#REF!&gt;=SUM('2023年'!#REF!),'2023年'!#REF!,IF('2023年'!#REF!-SUM('2023年'!#REF!)&gt;0,'2023年'!#REF!-SUM('2023年'!#REF!),0))</f>
        <v>#REF!</v>
      </c>
      <c r="Y57" s="44" t="e">
        <f>IF('2023年'!#REF!&gt;=SUM('2023年'!#REF!),'2023年'!#REF!,IF('2023年'!#REF!-SUM('2023年'!#REF!)&gt;0,'2023年'!#REF!-SUM('2023年'!#REF!),0))</f>
        <v>#REF!</v>
      </c>
      <c r="Z57" s="44" t="e">
        <f>IF('2023年'!#REF!&gt;=SUM('2023年'!#REF!),'2023年'!#REF!,IF('2023年'!#REF!-SUM('2023年'!#REF!)&gt;0,'2023年'!#REF!-SUM('2023年'!#REF!),0))</f>
        <v>#REF!</v>
      </c>
      <c r="AA57" s="44" t="e">
        <f>IF('2023年'!#REF!&gt;=SUM('2023年'!#REF!),'2023年'!#REF!,IF('2023年'!#REF!-SUM('2023年'!#REF!)&gt;0,'2023年'!#REF!-SUM('2023年'!#REF!),0))</f>
        <v>#REF!</v>
      </c>
      <c r="AB57" s="44"/>
      <c r="AC57" s="44"/>
      <c r="AD57" s="44"/>
      <c r="AE57" s="44"/>
      <c r="AF57" s="44"/>
      <c r="AG57" s="44"/>
      <c r="AH57" s="312"/>
      <c r="AI57" s="310"/>
      <c r="AJ57" s="311" t="s">
        <v>84</v>
      </c>
      <c r="AK57" s="88"/>
      <c r="AL57" s="279"/>
      <c r="AM57" s="91"/>
      <c r="AN57" s="10" t="e">
        <f>'2023年'!#REF!</f>
        <v>#REF!</v>
      </c>
      <c r="AO57" s="10" t="e">
        <f t="shared" si="32"/>
        <v>#REF!</v>
      </c>
    </row>
    <row r="58" s="10" customFormat="1" ht="24.05" hidden="1" customHeight="1" spans="2:41">
      <c r="B58" s="48" t="s">
        <v>81</v>
      </c>
      <c r="C58" s="46" t="s">
        <v>118</v>
      </c>
      <c r="D58" s="46" t="e">
        <f>'2023年'!#REF!</f>
        <v>#REF!</v>
      </c>
      <c r="E58" s="41">
        <v>60</v>
      </c>
      <c r="F58" s="42" t="e">
        <f t="shared" si="33"/>
        <v>#REF!</v>
      </c>
      <c r="G58" s="291" t="e">
        <f t="shared" si="30"/>
        <v>#REF!</v>
      </c>
      <c r="H58" s="291" t="e">
        <f t="shared" si="34"/>
        <v>#REF!</v>
      </c>
      <c r="I58" s="298"/>
      <c r="J58" s="217"/>
      <c r="K58" s="217"/>
      <c r="L58" s="217"/>
      <c r="M58" s="217"/>
      <c r="N58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8" s="217"/>
      <c r="P58" s="217"/>
      <c r="Q58" s="217"/>
      <c r="R58" s="217"/>
      <c r="S58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8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8" s="217" t="e">
        <f>IF('2023年'!#REF!&gt;(SUM('2023年'!#REF!)+'2023年'!#REF!+'2023年'!#REF!),'2023年'!#REF!+'2023年'!#REF!,IF('2023年'!#REF!-SUM('2023年'!#REF!)&gt;0,'2023年'!#REF!-SUM('2023年'!#REF!),""))</f>
        <v>#REF!</v>
      </c>
      <c r="V58" s="221" t="e">
        <f>IF('2023年'!#REF!&gt;=SUM('2023年'!#REF!),'2023年'!#REF!,IF('2023年'!#REF!-SUM('2023年'!#REF!)&gt;0,'2023年'!#REF!-SUM('2023年'!#REF!),0))</f>
        <v>#REF!</v>
      </c>
      <c r="W58" s="221" t="e">
        <f>IF('2023年'!#REF!&gt;=SUM('2023年'!#REF!),'2023年'!#REF!,IF('2023年'!#REF!-SUM('2023年'!#REF!)&gt;0,'2023年'!#REF!-SUM('2023年'!#REF!),0))</f>
        <v>#REF!</v>
      </c>
      <c r="X58" s="221" t="e">
        <f>IF('2023年'!#REF!&gt;=SUM('2023年'!#REF!),'2023年'!#REF!,IF('2023年'!#REF!-SUM('2023年'!#REF!)&gt;0,'2023年'!#REF!-SUM('2023年'!#REF!),0))</f>
        <v>#REF!</v>
      </c>
      <c r="Y58" s="44" t="e">
        <f>IF('2023年'!#REF!&gt;=SUM('2023年'!#REF!),'2023年'!#REF!,IF('2023年'!#REF!-SUM('2023年'!#REF!)&gt;0,'2023年'!#REF!-SUM('2023年'!#REF!),0))</f>
        <v>#REF!</v>
      </c>
      <c r="Z58" s="44" t="e">
        <f>IF('2023年'!#REF!&gt;=SUM('2023年'!#REF!),'2023年'!#REF!,IF('2023年'!#REF!-SUM('2023年'!#REF!)&gt;0,'2023年'!#REF!-SUM('2023年'!#REF!),0))</f>
        <v>#REF!</v>
      </c>
      <c r="AA58" s="44" t="e">
        <f>IF('2023年'!#REF!&gt;=SUM('2023年'!#REF!),'2023年'!#REF!,IF('2023年'!#REF!-SUM('2023年'!#REF!)&gt;0,'2023年'!#REF!-SUM('2023年'!#REF!),0))</f>
        <v>#REF!</v>
      </c>
      <c r="AB58" s="44"/>
      <c r="AC58" s="44"/>
      <c r="AD58" s="44"/>
      <c r="AE58" s="44"/>
      <c r="AF58" s="44"/>
      <c r="AG58" s="44"/>
      <c r="AH58" s="312"/>
      <c r="AI58" s="310"/>
      <c r="AJ58" s="311" t="s">
        <v>84</v>
      </c>
      <c r="AK58" s="88"/>
      <c r="AL58" s="279"/>
      <c r="AM58" s="91"/>
      <c r="AN58" s="10" t="e">
        <f>'2023年'!#REF!</f>
        <v>#REF!</v>
      </c>
      <c r="AO58" s="10" t="e">
        <f t="shared" si="32"/>
        <v>#REF!</v>
      </c>
    </row>
    <row r="59" s="10" customFormat="1" ht="24.05" hidden="1" customHeight="1" spans="2:41">
      <c r="B59" s="48" t="s">
        <v>81</v>
      </c>
      <c r="C59" s="46" t="s">
        <v>120</v>
      </c>
      <c r="D59" s="46" t="e">
        <f>'2023年'!#REF!</f>
        <v>#REF!</v>
      </c>
      <c r="E59" s="41">
        <v>60</v>
      </c>
      <c r="F59" s="42" t="e">
        <f t="shared" si="33"/>
        <v>#REF!</v>
      </c>
      <c r="G59" s="291" t="e">
        <f t="shared" si="30"/>
        <v>#REF!</v>
      </c>
      <c r="H59" s="291" t="e">
        <f t="shared" si="34"/>
        <v>#REF!</v>
      </c>
      <c r="I59" s="298"/>
      <c r="J59" s="217"/>
      <c r="K59" s="217"/>
      <c r="L59" s="217"/>
      <c r="M59" s="217"/>
      <c r="N59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9" s="217"/>
      <c r="P59" s="217"/>
      <c r="Q59" s="217"/>
      <c r="R59" s="217"/>
      <c r="S59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9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9" s="217" t="e">
        <f>IF('2023年'!#REF!&gt;(SUM('2023年'!#REF!)+'2023年'!#REF!+'2023年'!#REF!),'2023年'!#REF!+'2023年'!#REF!,IF('2023年'!#REF!-SUM('2023年'!#REF!)&gt;0,'2023年'!#REF!-SUM('2023年'!#REF!),""))</f>
        <v>#REF!</v>
      </c>
      <c r="V59" s="221" t="e">
        <f>IF('2023年'!#REF!&gt;=SUM('2023年'!#REF!),'2023年'!#REF!,IF('2023年'!#REF!-SUM('2023年'!#REF!)&gt;0,'2023年'!#REF!-SUM('2023年'!#REF!),0))</f>
        <v>#REF!</v>
      </c>
      <c r="W59" s="221" t="e">
        <f>IF('2023年'!#REF!&gt;=SUM('2023年'!#REF!),'2023年'!#REF!,IF('2023年'!#REF!-SUM('2023年'!#REF!)&gt;0,'2023年'!#REF!-SUM('2023年'!#REF!),0))</f>
        <v>#REF!</v>
      </c>
      <c r="X59" s="221" t="e">
        <f>IF('2023年'!#REF!&gt;=SUM('2023年'!#REF!),'2023年'!#REF!,IF('2023年'!#REF!-SUM('2023年'!#REF!)&gt;0,'2023年'!#REF!-SUM('2023年'!#REF!),0))</f>
        <v>#REF!</v>
      </c>
      <c r="Y59" s="44" t="e">
        <f>IF('2023年'!#REF!&gt;=SUM('2023年'!#REF!),'2023年'!#REF!,IF('2023年'!#REF!-SUM('2023年'!#REF!)&gt;0,'2023年'!#REF!-SUM('2023年'!#REF!),0))</f>
        <v>#REF!</v>
      </c>
      <c r="Z59" s="44" t="e">
        <f>IF('2023年'!#REF!&gt;=SUM('2023年'!#REF!),'2023年'!#REF!,IF('2023年'!#REF!-SUM('2023年'!#REF!)&gt;0,'2023年'!#REF!-SUM('2023年'!#REF!),0))</f>
        <v>#REF!</v>
      </c>
      <c r="AA59" s="44" t="e">
        <f>IF('2023年'!#REF!&gt;=SUM('2023年'!#REF!),'2023年'!#REF!,IF('2023年'!#REF!-SUM('2023年'!#REF!)&gt;0,'2023年'!#REF!-SUM('2023年'!#REF!),0))</f>
        <v>#REF!</v>
      </c>
      <c r="AB59" s="44"/>
      <c r="AC59" s="44"/>
      <c r="AD59" s="44"/>
      <c r="AE59" s="44"/>
      <c r="AF59" s="44"/>
      <c r="AG59" s="44"/>
      <c r="AH59" s="312"/>
      <c r="AI59" s="310"/>
      <c r="AJ59" s="311" t="s">
        <v>84</v>
      </c>
      <c r="AK59" s="88"/>
      <c r="AL59" s="279"/>
      <c r="AM59" s="91"/>
      <c r="AN59" s="10" t="e">
        <f>'2023年'!#REF!</f>
        <v>#REF!</v>
      </c>
      <c r="AO59" s="10" t="e">
        <f t="shared" si="32"/>
        <v>#REF!</v>
      </c>
    </row>
    <row r="60" s="10" customFormat="1" ht="24.05" hidden="1" customHeight="1" spans="2:41">
      <c r="B60" s="48" t="s">
        <v>81</v>
      </c>
      <c r="C60" s="46" t="s">
        <v>126</v>
      </c>
      <c r="D60" s="46" t="e">
        <f>'2023年'!#REF!</f>
        <v>#REF!</v>
      </c>
      <c r="E60" s="41" t="s">
        <v>96</v>
      </c>
      <c r="F60" s="42" t="e">
        <f>SUM(I60:V60)</f>
        <v>#REF!</v>
      </c>
      <c r="G60" s="291" t="e">
        <f>SUM(I60:U60)</f>
        <v>#REF!</v>
      </c>
      <c r="H60" s="291" t="e">
        <f t="shared" si="34"/>
        <v>#REF!</v>
      </c>
      <c r="I60" s="298"/>
      <c r="J60" s="217"/>
      <c r="K60" s="217"/>
      <c r="L60" s="217"/>
      <c r="M60" s="217"/>
      <c r="N60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0" s="217"/>
      <c r="P60" s="217"/>
      <c r="Q60" s="217"/>
      <c r="R60" s="217"/>
      <c r="S60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0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0" s="217" t="e">
        <f>IF('2023年'!#REF!&gt;(SUM('2023年'!#REF!)+'2023年'!#REF!+'2023年'!#REF!),'2023年'!#REF!+'2023年'!#REF!,IF('2023年'!#REF!-SUM('2023年'!#REF!)&gt;0,'2023年'!#REF!-SUM('2023年'!#REF!),""))</f>
        <v>#REF!</v>
      </c>
      <c r="V60" s="221" t="e">
        <f>IF('2023年'!#REF!&gt;=SUM('2023年'!#REF!),'2023年'!#REF!,IF('2023年'!#REF!-SUM('2023年'!#REF!)&gt;0,'2023年'!#REF!-SUM('2023年'!#REF!),0))</f>
        <v>#REF!</v>
      </c>
      <c r="W60" s="221" t="e">
        <f>IF('2023年'!#REF!&gt;=SUM('2023年'!#REF!),'2023年'!#REF!,IF('2023年'!#REF!-SUM('2023年'!#REF!)&gt;0,'2023年'!#REF!-SUM('2023年'!#REF!),0))</f>
        <v>#REF!</v>
      </c>
      <c r="X60" s="221" t="e">
        <f>IF('2023年'!#REF!&gt;=SUM('2023年'!#REF!),'2023年'!#REF!,IF('2023年'!#REF!-SUM('2023年'!#REF!)&gt;0,'2023年'!#REF!-SUM('2023年'!#REF!),0))</f>
        <v>#REF!</v>
      </c>
      <c r="Y60" s="44" t="e">
        <f>IF('2023年'!#REF!&gt;=SUM('2023年'!#REF!),'2023年'!#REF!,IF('2023年'!#REF!-SUM('2023年'!#REF!)&gt;0,'2023年'!#REF!-SUM('2023年'!#REF!),0))</f>
        <v>#REF!</v>
      </c>
      <c r="Z60" s="44" t="e">
        <f>IF('2023年'!#REF!&gt;=SUM('2023年'!#REF!),'2023年'!#REF!,IF('2023年'!#REF!-SUM('2023年'!#REF!)&gt;0,'2023年'!#REF!-SUM('2023年'!#REF!),0))</f>
        <v>#REF!</v>
      </c>
      <c r="AA60" s="44" t="e">
        <f>IF('2023年'!#REF!&gt;=SUM('2023年'!#REF!),'2023年'!#REF!,IF('2023年'!#REF!-SUM('2023年'!#REF!)&gt;0,'2023年'!#REF!-SUM('2023年'!#REF!),0))</f>
        <v>#REF!</v>
      </c>
      <c r="AB60" s="44"/>
      <c r="AC60" s="44"/>
      <c r="AD60" s="44"/>
      <c r="AE60" s="44"/>
      <c r="AF60" s="44"/>
      <c r="AG60" s="44"/>
      <c r="AH60" s="312"/>
      <c r="AI60" s="310"/>
      <c r="AJ60" s="311" t="s">
        <v>84</v>
      </c>
      <c r="AK60" s="88"/>
      <c r="AL60" s="279"/>
      <c r="AM60" s="91"/>
      <c r="AN60" s="10" t="e">
        <f>'2023年'!#REF!</f>
        <v>#REF!</v>
      </c>
      <c r="AO60" s="10" t="e">
        <f t="shared" si="32"/>
        <v>#REF!</v>
      </c>
    </row>
    <row r="61" s="10" customFormat="1" ht="24.05" hidden="1" customHeight="1" spans="2:41">
      <c r="B61" s="48" t="s">
        <v>134</v>
      </c>
      <c r="C61" s="46">
        <v>1951024</v>
      </c>
      <c r="D61" s="46" t="e">
        <f>'2023年'!#REF!</f>
        <v>#REF!</v>
      </c>
      <c r="E61" s="41" t="s">
        <v>111</v>
      </c>
      <c r="F61" s="42" t="e">
        <f>SUM(I61:V61)</f>
        <v>#REF!</v>
      </c>
      <c r="G61" s="291" t="e">
        <f>SUM(I61:U61)</f>
        <v>#REF!</v>
      </c>
      <c r="H61" s="291" t="e">
        <f t="shared" si="34"/>
        <v>#REF!</v>
      </c>
      <c r="I61" s="298"/>
      <c r="J61" s="217"/>
      <c r="K61" s="217"/>
      <c r="L61" s="217"/>
      <c r="M61" s="217"/>
      <c r="N61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1" s="217"/>
      <c r="P61" s="217"/>
      <c r="Q61" s="217"/>
      <c r="R61" s="217"/>
      <c r="S61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1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1" s="217" t="e">
        <f>IF('2023年'!#REF!&gt;(SUM('2023年'!#REF!)+'2023年'!#REF!+'2023年'!#REF!),'2023年'!#REF!+'2023年'!#REF!,IF('2023年'!#REF!-SUM('2023年'!#REF!)&gt;0,'2023年'!#REF!-SUM('2023年'!#REF!),""))</f>
        <v>#REF!</v>
      </c>
      <c r="V61" s="221" t="e">
        <f>IF('2023年'!#REF!&gt;=SUM('2023年'!#REF!),'2023年'!#REF!,IF('2023年'!#REF!-SUM('2023年'!#REF!)&gt;0,'2023年'!#REF!-SUM('2023年'!#REF!),0))</f>
        <v>#REF!</v>
      </c>
      <c r="W61" s="221" t="e">
        <f>IF('2023年'!#REF!&gt;=SUM('2023年'!#REF!),'2023年'!#REF!,IF('2023年'!#REF!-SUM('2023年'!#REF!)&gt;0,'2023年'!#REF!-SUM('2023年'!#REF!),0))</f>
        <v>#REF!</v>
      </c>
      <c r="X61" s="221" t="e">
        <f>IF('2023年'!#REF!&gt;=SUM('2023年'!#REF!),'2023年'!#REF!,IF('2023年'!#REF!-SUM('2023年'!#REF!)&gt;0,'2023年'!#REF!-SUM('2023年'!#REF!),0))</f>
        <v>#REF!</v>
      </c>
      <c r="Y61" s="44" t="e">
        <f>IF('2023年'!#REF!&gt;=SUM('2023年'!#REF!),'2023年'!#REF!,IF('2023年'!#REF!-SUM('2023年'!#REF!)&gt;0,'2023年'!#REF!-SUM('2023年'!#REF!),0))</f>
        <v>#REF!</v>
      </c>
      <c r="Z61" s="44" t="e">
        <f>IF('2023年'!#REF!&gt;=SUM('2023年'!#REF!),'2023年'!#REF!,IF('2023年'!#REF!-SUM('2023年'!#REF!)&gt;0,'2023年'!#REF!-SUM('2023年'!#REF!),0))</f>
        <v>#REF!</v>
      </c>
      <c r="AA61" s="44" t="e">
        <f>IF('2023年'!#REF!&gt;=SUM('2023年'!#REF!),'2023年'!#REF!,IF('2023年'!#REF!-SUM('2023年'!#REF!)&gt;0,'2023年'!#REF!-SUM('2023年'!#REF!),0))</f>
        <v>#REF!</v>
      </c>
      <c r="AB61" s="44"/>
      <c r="AC61" s="44"/>
      <c r="AD61" s="44"/>
      <c r="AE61" s="44"/>
      <c r="AF61" s="44"/>
      <c r="AG61" s="44"/>
      <c r="AH61" s="312"/>
      <c r="AI61" s="310"/>
      <c r="AJ61" s="311" t="s">
        <v>84</v>
      </c>
      <c r="AK61" s="88"/>
      <c r="AL61" s="279"/>
      <c r="AM61" s="91"/>
      <c r="AN61" s="10" t="e">
        <f>'2023年'!#REF!</f>
        <v>#REF!</v>
      </c>
      <c r="AO61" s="10" t="e">
        <f t="shared" si="32"/>
        <v>#REF!</v>
      </c>
    </row>
    <row r="62" s="10" customFormat="1" ht="24.05" hidden="1" customHeight="1" spans="2:41">
      <c r="B62" s="48" t="s">
        <v>81</v>
      </c>
      <c r="C62" s="46" t="s">
        <v>138</v>
      </c>
      <c r="D62" s="46" t="e">
        <f>'2023年'!#REF!</f>
        <v>#REF!</v>
      </c>
      <c r="E62" s="41">
        <v>30</v>
      </c>
      <c r="F62" s="42" t="e">
        <f>SUM(I62:Z62)</f>
        <v>#REF!</v>
      </c>
      <c r="G62" s="291" t="e">
        <f>SUM(I62:X62)</f>
        <v>#REF!</v>
      </c>
      <c r="H62" s="291" t="e">
        <f t="shared" si="34"/>
        <v>#REF!</v>
      </c>
      <c r="I62" s="298"/>
      <c r="J62" s="217"/>
      <c r="K62" s="217"/>
      <c r="L62" s="217"/>
      <c r="M62" s="217"/>
      <c r="N62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2" s="217"/>
      <c r="P62" s="217"/>
      <c r="Q62" s="217"/>
      <c r="R62" s="217"/>
      <c r="S62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2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2" s="217" t="e">
        <f>IF('2023年'!#REF!&gt;(SUM('2023年'!#REF!)+'2023年'!#REF!+'2023年'!#REF!),'2023年'!#REF!+'2023年'!#REF!,IF('2023年'!#REF!-SUM('2023年'!#REF!)&gt;0,'2023年'!#REF!-SUM('2023年'!#REF!),""))</f>
        <v>#REF!</v>
      </c>
      <c r="V62" s="221" t="e">
        <f>IF('2023年'!#REF!&gt;=SUM('2023年'!#REF!),'2023年'!#REF!,IF('2023年'!#REF!-SUM('2023年'!#REF!)&gt;0,'2023年'!#REF!-SUM('2023年'!#REF!),0))</f>
        <v>#REF!</v>
      </c>
      <c r="W62" s="221" t="e">
        <f>IF('2023年'!#REF!&gt;=SUM('2023年'!#REF!),'2023年'!#REF!,IF('2023年'!#REF!-SUM('2023年'!#REF!)&gt;0,'2023年'!#REF!-SUM('2023年'!#REF!),0))</f>
        <v>#REF!</v>
      </c>
      <c r="X62" s="221" t="e">
        <f>IF('2023年'!#REF!&gt;=SUM('2023年'!#REF!),'2023年'!#REF!,IF('2023年'!#REF!-SUM('2023年'!#REF!)&gt;0,'2023年'!#REF!-SUM('2023年'!#REF!),0))</f>
        <v>#REF!</v>
      </c>
      <c r="Y62" s="44" t="e">
        <f>IF('2023年'!#REF!&gt;=SUM('2023年'!#REF!),'2023年'!#REF!,IF('2023年'!#REF!-SUM('2023年'!#REF!)&gt;0,'2023年'!#REF!-SUM('2023年'!#REF!),0))</f>
        <v>#REF!</v>
      </c>
      <c r="Z62" s="44" t="e">
        <f>IF('2023年'!#REF!&gt;=SUM('2023年'!#REF!),'2023年'!#REF!,IF('2023年'!#REF!-SUM('2023年'!#REF!)&gt;0,'2023年'!#REF!-SUM('2023年'!#REF!),0))</f>
        <v>#REF!</v>
      </c>
      <c r="AA62" s="44" t="e">
        <f>IF('2023年'!#REF!&gt;=SUM('2023年'!#REF!),'2023年'!#REF!,IF('2023年'!#REF!-SUM('2023年'!#REF!)&gt;0,'2023年'!#REF!-SUM('2023年'!#REF!),0))</f>
        <v>#REF!</v>
      </c>
      <c r="AB62" s="44"/>
      <c r="AC62" s="44"/>
      <c r="AD62" s="44"/>
      <c r="AE62" s="44"/>
      <c r="AF62" s="44"/>
      <c r="AG62" s="44"/>
      <c r="AH62" s="312"/>
      <c r="AI62" s="310"/>
      <c r="AJ62" s="311" t="s">
        <v>84</v>
      </c>
      <c r="AK62" s="88"/>
      <c r="AL62" s="279"/>
      <c r="AM62" s="91"/>
      <c r="AN62" s="10" t="e">
        <f>'2023年'!#REF!</f>
        <v>#REF!</v>
      </c>
      <c r="AO62" s="10" t="e">
        <f t="shared" si="32"/>
        <v>#REF!</v>
      </c>
    </row>
    <row r="63" s="10" customFormat="1" ht="24.05" hidden="1" customHeight="1" spans="2:41">
      <c r="B63" s="48" t="s">
        <v>81</v>
      </c>
      <c r="C63" s="46" t="s">
        <v>140</v>
      </c>
      <c r="D63" s="46" t="e">
        <f>'2023年'!#REF!</f>
        <v>#REF!</v>
      </c>
      <c r="E63" s="41">
        <v>30</v>
      </c>
      <c r="F63" s="42" t="e">
        <f>SUM(I63:Z63)</f>
        <v>#REF!</v>
      </c>
      <c r="G63" s="291" t="e">
        <f>SUM(I63:X63)</f>
        <v>#REF!</v>
      </c>
      <c r="H63" s="291" t="e">
        <f t="shared" si="34"/>
        <v>#REF!</v>
      </c>
      <c r="I63" s="298"/>
      <c r="J63" s="217"/>
      <c r="K63" s="217"/>
      <c r="L63" s="217"/>
      <c r="M63" s="217"/>
      <c r="N63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3" s="217"/>
      <c r="P63" s="217"/>
      <c r="Q63" s="217"/>
      <c r="R63" s="217"/>
      <c r="S63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3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3" s="217" t="e">
        <f>IF('2023年'!#REF!&gt;(SUM('2023年'!#REF!)+'2023年'!#REF!+'2023年'!#REF!),'2023年'!#REF!+'2023年'!#REF!,IF('2023年'!#REF!-SUM('2023年'!#REF!)&gt;0,'2023年'!#REF!-SUM('2023年'!#REF!),""))</f>
        <v>#REF!</v>
      </c>
      <c r="V63" s="221" t="e">
        <f>IF('2023年'!#REF!&gt;=SUM('2023年'!#REF!),'2023年'!#REF!,IF('2023年'!#REF!-SUM('2023年'!#REF!)&gt;0,'2023年'!#REF!-SUM('2023年'!#REF!),0))</f>
        <v>#REF!</v>
      </c>
      <c r="W63" s="221" t="e">
        <f>IF('2023年'!#REF!&gt;=SUM('2023年'!#REF!),'2023年'!#REF!,IF('2023年'!#REF!-SUM('2023年'!#REF!)&gt;0,'2023年'!#REF!-SUM('2023年'!#REF!),0))</f>
        <v>#REF!</v>
      </c>
      <c r="X63" s="221" t="e">
        <f>IF('2023年'!#REF!&gt;=SUM('2023年'!#REF!),'2023年'!#REF!,IF('2023年'!#REF!-SUM('2023年'!#REF!)&gt;0,'2023年'!#REF!-SUM('2023年'!#REF!),0))</f>
        <v>#REF!</v>
      </c>
      <c r="Y63" s="44" t="e">
        <f>IF('2023年'!#REF!&gt;=SUM('2023年'!#REF!),'2023年'!#REF!,IF('2023年'!#REF!-SUM('2023年'!#REF!)&gt;0,'2023年'!#REF!-SUM('2023年'!#REF!),0))</f>
        <v>#REF!</v>
      </c>
      <c r="Z63" s="44" t="e">
        <f>IF('2023年'!#REF!&gt;=SUM('2023年'!#REF!),'2023年'!#REF!,IF('2023年'!#REF!-SUM('2023年'!#REF!)&gt;0,'2023年'!#REF!-SUM('2023年'!#REF!),0))</f>
        <v>#REF!</v>
      </c>
      <c r="AA63" s="44" t="e">
        <f>IF('2023年'!#REF!&gt;=SUM('2023年'!#REF!),'2023年'!#REF!,IF('2023年'!#REF!-SUM('2023年'!#REF!)&gt;0,'2023年'!#REF!-SUM('2023年'!#REF!),0))</f>
        <v>#REF!</v>
      </c>
      <c r="AB63" s="44"/>
      <c r="AC63" s="44"/>
      <c r="AD63" s="44"/>
      <c r="AE63" s="44"/>
      <c r="AF63" s="44"/>
      <c r="AG63" s="44"/>
      <c r="AH63" s="312"/>
      <c r="AI63" s="310"/>
      <c r="AJ63" s="311" t="s">
        <v>84</v>
      </c>
      <c r="AK63" s="88"/>
      <c r="AL63" s="279"/>
      <c r="AM63" s="91"/>
      <c r="AN63" s="10" t="e">
        <f>'2023年'!#REF!</f>
        <v>#REF!</v>
      </c>
      <c r="AO63" s="10" t="e">
        <f t="shared" si="32"/>
        <v>#REF!</v>
      </c>
    </row>
    <row r="64" s="10" customFormat="1" ht="24.05" hidden="1" customHeight="1" spans="2:41">
      <c r="B64" s="48" t="s">
        <v>81</v>
      </c>
      <c r="C64" s="46" t="s">
        <v>177</v>
      </c>
      <c r="D64" s="46" t="e">
        <f>'2023年'!#REF!</f>
        <v>#REF!</v>
      </c>
      <c r="E64" s="41"/>
      <c r="F64" s="42" t="e">
        <f>SUM(I64:V64)</f>
        <v>#REF!</v>
      </c>
      <c r="G64" s="291" t="e">
        <f>SUM(I64:U64)</f>
        <v>#REF!</v>
      </c>
      <c r="H64" s="291" t="e">
        <f t="shared" si="34"/>
        <v>#REF!</v>
      </c>
      <c r="I64" s="298"/>
      <c r="J64" s="217"/>
      <c r="K64" s="217"/>
      <c r="L64" s="217"/>
      <c r="M64" s="217"/>
      <c r="N64" s="217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4" s="217"/>
      <c r="P64" s="217"/>
      <c r="Q64" s="217"/>
      <c r="R64" s="217"/>
      <c r="S64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4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4" s="217" t="e">
        <f>IF('2023年'!#REF!&gt;(SUM('2023年'!#REF!)+'2023年'!#REF!+'2023年'!#REF!),'2023年'!#REF!+'2023年'!#REF!,IF('2023年'!#REF!-SUM('2023年'!#REF!)&gt;0,'2023年'!#REF!-SUM('2023年'!#REF!),""))</f>
        <v>#REF!</v>
      </c>
      <c r="V64" s="221" t="e">
        <f>IF('2023年'!#REF!&gt;=SUM('2023年'!#REF!),'2023年'!#REF!,IF('2023年'!#REF!-SUM('2023年'!#REF!)&gt;0,'2023年'!#REF!-SUM('2023年'!#REF!),0))</f>
        <v>#REF!</v>
      </c>
      <c r="W64" s="221" t="e">
        <f>IF('2023年'!#REF!&gt;=SUM('2023年'!#REF!),'2023年'!#REF!,IF('2023年'!#REF!-SUM('2023年'!#REF!)&gt;0,'2023年'!#REF!-SUM('2023年'!#REF!),0))</f>
        <v>#REF!</v>
      </c>
      <c r="X64" s="221" t="e">
        <f>IF('2023年'!#REF!&gt;=SUM('2023年'!#REF!),'2023年'!#REF!,IF('2023年'!#REF!-SUM('2023年'!#REF!)&gt;0,'2023年'!#REF!-SUM('2023年'!#REF!),0))</f>
        <v>#REF!</v>
      </c>
      <c r="Y64" s="44" t="e">
        <f>IF('2023年'!#REF!&gt;=SUM('2023年'!#REF!),'2023年'!#REF!,IF('2023年'!#REF!-SUM('2023年'!#REF!)&gt;0,'2023年'!#REF!-SUM('2023年'!#REF!),0))</f>
        <v>#REF!</v>
      </c>
      <c r="Z64" s="44" t="e">
        <f>IF('2023年'!#REF!&gt;=SUM('2023年'!#REF!),'2023年'!#REF!,IF('2023年'!#REF!-SUM('2023年'!#REF!)&gt;0,'2023年'!#REF!-SUM('2023年'!#REF!),0))</f>
        <v>#REF!</v>
      </c>
      <c r="AA64" s="44" t="e">
        <f>IF('2023年'!#REF!&gt;=SUM('2023年'!#REF!),'2023年'!#REF!,IF('2023年'!#REF!-SUM('2023年'!#REF!)&gt;0,'2023年'!#REF!-SUM('2023年'!#REF!),0))</f>
        <v>#REF!</v>
      </c>
      <c r="AB64" s="44"/>
      <c r="AC64" s="44"/>
      <c r="AD64" s="44"/>
      <c r="AE64" s="44"/>
      <c r="AF64" s="44"/>
      <c r="AG64" s="44"/>
      <c r="AH64" s="312"/>
      <c r="AI64" s="310"/>
      <c r="AJ64" s="311" t="s">
        <v>84</v>
      </c>
      <c r="AK64" s="88"/>
      <c r="AL64" s="279"/>
      <c r="AM64" s="91"/>
      <c r="AN64" s="10" t="e">
        <f>'2023年'!#REF!</f>
        <v>#REF!</v>
      </c>
      <c r="AO64" s="10" t="e">
        <f t="shared" si="32"/>
        <v>#REF!</v>
      </c>
    </row>
    <row r="65" s="10" customFormat="1" ht="24.05" hidden="1" customHeight="1" spans="2:41">
      <c r="B65" s="48" t="s">
        <v>81</v>
      </c>
      <c r="C65" s="46" t="s">
        <v>179</v>
      </c>
      <c r="D65" s="46" t="e">
        <f>'2023年'!#REF!</f>
        <v>#REF!</v>
      </c>
      <c r="E65" s="41">
        <v>60</v>
      </c>
      <c r="F65" s="42" t="e">
        <f>SUM(I65:Y65)</f>
        <v>#REF!</v>
      </c>
      <c r="G65" s="291" t="e">
        <f>SUM(I65:W65)</f>
        <v>#REF!</v>
      </c>
      <c r="H65" s="291" t="e">
        <f t="shared" si="34"/>
        <v>#REF!</v>
      </c>
      <c r="I65" s="298"/>
      <c r="J65" s="217"/>
      <c r="K65" s="217"/>
      <c r="L65" s="217"/>
      <c r="M65" s="217"/>
      <c r="N65" s="217"/>
      <c r="O65" s="217"/>
      <c r="P65" s="217"/>
      <c r="Q65" s="217"/>
      <c r="R65" s="217"/>
      <c r="S65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5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5" s="217" t="e">
        <f>IF('2023年'!#REF!&gt;(SUM('2023年'!#REF!)+'2023年'!#REF!+'2023年'!#REF!),'2023年'!#REF!+'2023年'!#REF!,IF('2023年'!#REF!-SUM('2023年'!#REF!)&gt;0,'2023年'!#REF!-SUM('2023年'!#REF!),""))</f>
        <v>#REF!</v>
      </c>
      <c r="V65" s="221" t="e">
        <f>IF('2023年'!#REF!&gt;=SUM('2023年'!#REF!),'2023年'!#REF!,IF('2023年'!#REF!-SUM('2023年'!#REF!)&gt;0,'2023年'!#REF!-SUM('2023年'!#REF!),0))</f>
        <v>#REF!</v>
      </c>
      <c r="W65" s="221" t="e">
        <f>IF('2023年'!#REF!&gt;=SUM('2023年'!#REF!),'2023年'!#REF!,IF('2023年'!#REF!-SUM('2023年'!#REF!)&gt;0,'2023年'!#REF!-SUM('2023年'!#REF!),0))</f>
        <v>#REF!</v>
      </c>
      <c r="X65" s="221" t="e">
        <f>IF('2023年'!#REF!&gt;=SUM('2023年'!#REF!),'2023年'!#REF!,IF('2023年'!#REF!-SUM('2023年'!#REF!)&gt;0,'2023年'!#REF!-SUM('2023年'!#REF!),0))</f>
        <v>#REF!</v>
      </c>
      <c r="Y65" s="44" t="e">
        <f>IF('2023年'!#REF!&gt;=SUM('2023年'!#REF!),'2023年'!#REF!,IF('2023年'!#REF!-SUM('2023年'!#REF!)&gt;0,'2023年'!#REF!-SUM('2023年'!#REF!),0))</f>
        <v>#REF!</v>
      </c>
      <c r="Z65" s="44" t="e">
        <f>IF('2023年'!#REF!&gt;=SUM('2023年'!#REF!),'2023年'!#REF!,IF('2023年'!#REF!-SUM('2023年'!#REF!)&gt;0,'2023年'!#REF!-SUM('2023年'!#REF!),0))</f>
        <v>#REF!</v>
      </c>
      <c r="AA65" s="44" t="e">
        <f>IF('2023年'!#REF!&gt;=SUM('2023年'!#REF!),'2023年'!#REF!,IF('2023年'!#REF!-SUM('2023年'!#REF!)&gt;0,'2023年'!#REF!-SUM('2023年'!#REF!),0))</f>
        <v>#REF!</v>
      </c>
      <c r="AB65" s="44"/>
      <c r="AC65" s="44"/>
      <c r="AD65" s="44"/>
      <c r="AE65" s="44"/>
      <c r="AF65" s="44"/>
      <c r="AG65" s="44"/>
      <c r="AH65" s="312"/>
      <c r="AI65" s="310"/>
      <c r="AJ65" s="311" t="s">
        <v>84</v>
      </c>
      <c r="AK65" s="88"/>
      <c r="AL65" s="279"/>
      <c r="AM65" s="91"/>
      <c r="AN65" s="10" t="e">
        <f>'2023年'!#REF!</f>
        <v>#REF!</v>
      </c>
      <c r="AO65" s="10" t="e">
        <f t="shared" si="32"/>
        <v>#REF!</v>
      </c>
    </row>
    <row r="66" s="10" customFormat="1" ht="24.05" hidden="1" customHeight="1" spans="2:41">
      <c r="B66" s="48" t="s">
        <v>81</v>
      </c>
      <c r="C66" s="46" t="s">
        <v>207</v>
      </c>
      <c r="D66" s="46" t="e">
        <f>'2023年'!#REF!</f>
        <v>#REF!</v>
      </c>
      <c r="E66" s="41"/>
      <c r="F66" s="42" t="e">
        <f>SUM(I66:V66)</f>
        <v>#REF!</v>
      </c>
      <c r="G66" s="291" t="e">
        <f>SUM(I66:U66)</f>
        <v>#REF!</v>
      </c>
      <c r="H66" s="291" t="e">
        <f t="shared" si="34"/>
        <v>#REF!</v>
      </c>
      <c r="I66" s="298"/>
      <c r="J66" s="217"/>
      <c r="K66" s="217"/>
      <c r="L66" s="217"/>
      <c r="M66" s="217"/>
      <c r="N66" s="217"/>
      <c r="O66" s="217"/>
      <c r="P66" s="217"/>
      <c r="Q66" s="217"/>
      <c r="R66" s="217"/>
      <c r="S66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6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6" s="217" t="e">
        <f>IF('2023年'!#REF!&gt;(SUM('2023年'!#REF!)+'2023年'!#REF!+'2023年'!#REF!),'2023年'!#REF!+'2023年'!#REF!,IF('2023年'!#REF!-SUM('2023年'!#REF!)&gt;0,'2023年'!#REF!-SUM('2023年'!#REF!),""))</f>
        <v>#REF!</v>
      </c>
      <c r="V66" s="221" t="e">
        <f>IF('2023年'!#REF!&gt;=SUM('2023年'!#REF!),'2023年'!#REF!,IF('2023年'!#REF!-SUM('2023年'!#REF!)&gt;0,'2023年'!#REF!-SUM('2023年'!#REF!),0))</f>
        <v>#REF!</v>
      </c>
      <c r="W66" s="221" t="e">
        <f>IF('2023年'!#REF!&gt;=SUM('2023年'!#REF!),'2023年'!#REF!,IF('2023年'!#REF!-SUM('2023年'!#REF!)&gt;0,'2023年'!#REF!-SUM('2023年'!#REF!),0))</f>
        <v>#REF!</v>
      </c>
      <c r="X66" s="221" t="e">
        <f>IF('2023年'!#REF!&gt;=SUM('2023年'!#REF!),'2023年'!#REF!,IF('2023年'!#REF!-SUM('2023年'!#REF!)&gt;0,'2023年'!#REF!-SUM('2023年'!#REF!),0))</f>
        <v>#REF!</v>
      </c>
      <c r="Y66" s="44" t="e">
        <f>IF('2023年'!#REF!&gt;=SUM('2023年'!#REF!),'2023年'!#REF!,IF('2023年'!#REF!-SUM('2023年'!#REF!)&gt;0,'2023年'!#REF!-SUM('2023年'!#REF!),0))</f>
        <v>#REF!</v>
      </c>
      <c r="Z66" s="44" t="e">
        <f>IF('2023年'!#REF!&gt;=SUM('2023年'!#REF!),'2023年'!#REF!,IF('2023年'!#REF!-SUM('2023年'!#REF!)&gt;0,'2023年'!#REF!-SUM('2023年'!#REF!),0))</f>
        <v>#REF!</v>
      </c>
      <c r="AA66" s="44" t="e">
        <f>IF('2023年'!#REF!&gt;=SUM('2023年'!#REF!),'2023年'!#REF!,IF('2023年'!#REF!-SUM('2023年'!#REF!)&gt;0,'2023年'!#REF!-SUM('2023年'!#REF!),0))</f>
        <v>#REF!</v>
      </c>
      <c r="AB66" s="44"/>
      <c r="AC66" s="44"/>
      <c r="AD66" s="44"/>
      <c r="AE66" s="44"/>
      <c r="AF66" s="44"/>
      <c r="AG66" s="44"/>
      <c r="AH66" s="312"/>
      <c r="AI66" s="310"/>
      <c r="AJ66" s="311"/>
      <c r="AK66" s="88"/>
      <c r="AL66" s="279"/>
      <c r="AM66" s="91"/>
      <c r="AN66" s="10" t="e">
        <f>'2023年'!#REF!</f>
        <v>#REF!</v>
      </c>
      <c r="AO66" s="10" t="e">
        <f t="shared" si="32"/>
        <v>#REF!</v>
      </c>
    </row>
    <row r="67" s="10" customFormat="1" ht="24.05" hidden="1" customHeight="1" spans="2:41">
      <c r="B67" s="48" t="s">
        <v>81</v>
      </c>
      <c r="C67" s="46" t="s">
        <v>209</v>
      </c>
      <c r="D67" s="46" t="e">
        <f>'2023年'!#REF!</f>
        <v>#REF!</v>
      </c>
      <c r="E67" s="41">
        <v>90</v>
      </c>
      <c r="F67" s="42" t="e">
        <f t="shared" ref="F67:F69" si="35">SUM(I67:X67)</f>
        <v>#REF!</v>
      </c>
      <c r="G67" s="291" t="e">
        <f t="shared" ref="G67:G69" si="36">SUM(I67:V67)</f>
        <v>#REF!</v>
      </c>
      <c r="H67" s="291" t="e">
        <f t="shared" si="34"/>
        <v>#REF!</v>
      </c>
      <c r="I67" s="298"/>
      <c r="J67" s="217"/>
      <c r="K67" s="217"/>
      <c r="L67" s="217"/>
      <c r="M67" s="217"/>
      <c r="N67" s="217"/>
      <c r="O67" s="217"/>
      <c r="P67" s="217"/>
      <c r="Q67" s="217"/>
      <c r="R67" s="217"/>
      <c r="S67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7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7" s="217" t="e">
        <f>IF('2023年'!#REF!&gt;(SUM('2023年'!#REF!)+'2023年'!#REF!+'2023年'!#REF!),'2023年'!#REF!+'2023年'!#REF!,IF('2023年'!#REF!-SUM('2023年'!#REF!)&gt;0,'2023年'!#REF!-SUM('2023年'!#REF!),""))</f>
        <v>#REF!</v>
      </c>
      <c r="V67" s="221" t="e">
        <f>IF('2023年'!#REF!&gt;=SUM('2023年'!#REF!),'2023年'!#REF!,IF('2023年'!#REF!-SUM('2023年'!#REF!)&gt;0,'2023年'!#REF!-SUM('2023年'!#REF!),0))</f>
        <v>#REF!</v>
      </c>
      <c r="W67" s="221" t="e">
        <f>IF('2023年'!#REF!&gt;=SUM('2023年'!#REF!),'2023年'!#REF!,IF('2023年'!#REF!-SUM('2023年'!#REF!)&gt;0,'2023年'!#REF!-SUM('2023年'!#REF!),0))</f>
        <v>#REF!</v>
      </c>
      <c r="X67" s="221" t="e">
        <f>IF('2023年'!#REF!&gt;=SUM('2023年'!#REF!),'2023年'!#REF!,IF('2023年'!#REF!-SUM('2023年'!#REF!)&gt;0,'2023年'!#REF!-SUM('2023年'!#REF!),0))</f>
        <v>#REF!</v>
      </c>
      <c r="Y67" s="44" t="e">
        <f>IF('2023年'!#REF!&gt;=SUM('2023年'!#REF!),'2023年'!#REF!,IF('2023年'!#REF!-SUM('2023年'!#REF!)&gt;0,'2023年'!#REF!-SUM('2023年'!#REF!),0))</f>
        <v>#REF!</v>
      </c>
      <c r="Z67" s="44" t="e">
        <f>IF('2023年'!#REF!&gt;=SUM('2023年'!#REF!),'2023年'!#REF!,IF('2023年'!#REF!-SUM('2023年'!#REF!)&gt;0,'2023年'!#REF!-SUM('2023年'!#REF!),0))</f>
        <v>#REF!</v>
      </c>
      <c r="AA67" s="44" t="e">
        <f>IF('2023年'!#REF!&gt;=SUM('2023年'!#REF!),'2023年'!#REF!,IF('2023年'!#REF!-SUM('2023年'!#REF!)&gt;0,'2023年'!#REF!-SUM('2023年'!#REF!),0))</f>
        <v>#REF!</v>
      </c>
      <c r="AB67" s="44"/>
      <c r="AC67" s="44"/>
      <c r="AD67" s="44"/>
      <c r="AE67" s="44"/>
      <c r="AF67" s="44"/>
      <c r="AG67" s="44"/>
      <c r="AH67" s="312"/>
      <c r="AI67" s="310"/>
      <c r="AJ67" s="311"/>
      <c r="AK67" s="88"/>
      <c r="AL67" s="279"/>
      <c r="AM67" s="91"/>
      <c r="AN67" s="10" t="e">
        <f>'2023年'!#REF!</f>
        <v>#REF!</v>
      </c>
      <c r="AO67" s="10" t="e">
        <f t="shared" si="32"/>
        <v>#REF!</v>
      </c>
    </row>
    <row r="68" s="10" customFormat="1" ht="24.05" hidden="1" customHeight="1" spans="2:41">
      <c r="B68" s="48" t="s">
        <v>81</v>
      </c>
      <c r="C68" s="46" t="s">
        <v>211</v>
      </c>
      <c r="D68" s="46" t="e">
        <f>'2023年'!#REF!</f>
        <v>#REF!</v>
      </c>
      <c r="E68" s="41">
        <v>90</v>
      </c>
      <c r="F68" s="42" t="e">
        <f t="shared" si="35"/>
        <v>#REF!</v>
      </c>
      <c r="G68" s="291" t="e">
        <f t="shared" si="36"/>
        <v>#REF!</v>
      </c>
      <c r="H68" s="291" t="e">
        <f t="shared" si="34"/>
        <v>#REF!</v>
      </c>
      <c r="I68" s="298"/>
      <c r="J68" s="217"/>
      <c r="K68" s="217"/>
      <c r="L68" s="217"/>
      <c r="M68" s="217"/>
      <c r="N68" s="217"/>
      <c r="O68" s="217"/>
      <c r="P68" s="217"/>
      <c r="Q68" s="217"/>
      <c r="R68" s="217"/>
      <c r="S68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8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8" s="217" t="e">
        <f>IF('2023年'!#REF!&gt;(SUM('2023年'!#REF!)+'2023年'!#REF!+'2023年'!#REF!),'2023年'!#REF!+'2023年'!#REF!,IF('2023年'!#REF!-SUM('2023年'!#REF!)&gt;0,'2023年'!#REF!-SUM('2023年'!#REF!),""))</f>
        <v>#REF!</v>
      </c>
      <c r="V68" s="221" t="e">
        <f>IF('2023年'!#REF!&gt;=SUM('2023年'!#REF!),'2023年'!#REF!,IF('2023年'!#REF!-SUM('2023年'!#REF!)&gt;0,'2023年'!#REF!-SUM('2023年'!#REF!),0))</f>
        <v>#REF!</v>
      </c>
      <c r="W68" s="221" t="e">
        <f>IF('2023年'!#REF!&gt;=SUM('2023年'!#REF!),'2023年'!#REF!,IF('2023年'!#REF!-SUM('2023年'!#REF!)&gt;0,'2023年'!#REF!-SUM('2023年'!#REF!),0))</f>
        <v>#REF!</v>
      </c>
      <c r="X68" s="221" t="e">
        <f>IF('2023年'!#REF!&gt;=SUM('2023年'!#REF!),'2023年'!#REF!,IF('2023年'!#REF!-SUM('2023年'!#REF!)&gt;0,'2023年'!#REF!-SUM('2023年'!#REF!),0))</f>
        <v>#REF!</v>
      </c>
      <c r="Y68" s="44" t="e">
        <f>IF('2023年'!#REF!&gt;=SUM('2023年'!#REF!),'2023年'!#REF!,IF('2023年'!#REF!-SUM('2023年'!#REF!)&gt;0,'2023年'!#REF!-SUM('2023年'!#REF!),0))</f>
        <v>#REF!</v>
      </c>
      <c r="Z68" s="44" t="e">
        <f>IF('2023年'!#REF!&gt;=SUM('2023年'!#REF!),'2023年'!#REF!,IF('2023年'!#REF!-SUM('2023年'!#REF!)&gt;0,'2023年'!#REF!-SUM('2023年'!#REF!),0))</f>
        <v>#REF!</v>
      </c>
      <c r="AA68" s="44" t="e">
        <f>IF('2023年'!#REF!&gt;=SUM('2023年'!#REF!),'2023年'!#REF!,IF('2023年'!#REF!-SUM('2023年'!#REF!)&gt;0,'2023年'!#REF!-SUM('2023年'!#REF!),0))</f>
        <v>#REF!</v>
      </c>
      <c r="AB68" s="44"/>
      <c r="AC68" s="44"/>
      <c r="AD68" s="44"/>
      <c r="AE68" s="44"/>
      <c r="AF68" s="44"/>
      <c r="AG68" s="44"/>
      <c r="AH68" s="312"/>
      <c r="AI68" s="310"/>
      <c r="AJ68" s="311"/>
      <c r="AK68" s="88"/>
      <c r="AL68" s="279"/>
      <c r="AM68" s="91"/>
      <c r="AN68" s="10" t="e">
        <f>'2023年'!#REF!</f>
        <v>#REF!</v>
      </c>
      <c r="AO68" s="10" t="e">
        <f t="shared" si="32"/>
        <v>#REF!</v>
      </c>
    </row>
    <row r="69" s="10" customFormat="1" ht="24.05" hidden="1" customHeight="1" spans="2:41">
      <c r="B69" s="48" t="s">
        <v>81</v>
      </c>
      <c r="C69" s="46" t="s">
        <v>237</v>
      </c>
      <c r="D69" s="46" t="e">
        <f>'2023年'!#REF!</f>
        <v>#REF!</v>
      </c>
      <c r="E69" s="41">
        <v>90</v>
      </c>
      <c r="F69" s="42" t="e">
        <f t="shared" si="35"/>
        <v>#REF!</v>
      </c>
      <c r="G69" s="291" t="e">
        <f t="shared" si="36"/>
        <v>#REF!</v>
      </c>
      <c r="H69" s="291" t="e">
        <f t="shared" si="34"/>
        <v>#REF!</v>
      </c>
      <c r="I69" s="298"/>
      <c r="J69" s="217"/>
      <c r="K69" s="217"/>
      <c r="L69" s="217"/>
      <c r="M69" s="217"/>
      <c r="N69" s="217"/>
      <c r="O69" s="217"/>
      <c r="P69" s="217"/>
      <c r="Q69" s="217"/>
      <c r="R69" s="217"/>
      <c r="S69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9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9" s="217" t="e">
        <f>IF('2023年'!#REF!&gt;(SUM('2023年'!#REF!)+'2023年'!#REF!+'2023年'!#REF!),'2023年'!#REF!+'2023年'!#REF!,IF('2023年'!#REF!-SUM('2023年'!#REF!)&gt;0,'2023年'!#REF!-SUM('2023年'!#REF!),""))</f>
        <v>#REF!</v>
      </c>
      <c r="V69" s="221" t="e">
        <f>IF('2023年'!#REF!&gt;=SUM('2023年'!#REF!),'2023年'!#REF!,IF('2023年'!#REF!-SUM('2023年'!#REF!)&gt;0,'2023年'!#REF!-SUM('2023年'!#REF!),0))</f>
        <v>#REF!</v>
      </c>
      <c r="W69" s="221" t="e">
        <f>IF('2023年'!#REF!&gt;=SUM('2023年'!#REF!),'2023年'!#REF!,IF('2023年'!#REF!-SUM('2023年'!#REF!)&gt;0,'2023年'!#REF!-SUM('2023年'!#REF!),0))</f>
        <v>#REF!</v>
      </c>
      <c r="X69" s="221" t="e">
        <f>IF('2023年'!#REF!&gt;=SUM('2023年'!#REF!),'2023年'!#REF!,IF('2023年'!#REF!-SUM('2023年'!#REF!)&gt;0,'2023年'!#REF!-SUM('2023年'!#REF!),0))</f>
        <v>#REF!</v>
      </c>
      <c r="Y69" s="44" t="e">
        <f>IF('2023年'!#REF!&gt;=SUM('2023年'!#REF!),'2023年'!#REF!,IF('2023年'!#REF!-SUM('2023年'!#REF!)&gt;0,'2023年'!#REF!-SUM('2023年'!#REF!),0))</f>
        <v>#REF!</v>
      </c>
      <c r="Z69" s="44" t="e">
        <f>IF('2023年'!#REF!&gt;=SUM('2023年'!#REF!),'2023年'!#REF!,IF('2023年'!#REF!-SUM('2023年'!#REF!)&gt;0,'2023年'!#REF!-SUM('2023年'!#REF!),0))</f>
        <v>#REF!</v>
      </c>
      <c r="AA69" s="44" t="e">
        <f>IF('2023年'!#REF!&gt;=SUM('2023年'!#REF!),'2023年'!#REF!,IF('2023年'!#REF!-SUM('2023年'!#REF!)&gt;0,'2023年'!#REF!-SUM('2023年'!#REF!),0))</f>
        <v>#REF!</v>
      </c>
      <c r="AB69" s="44"/>
      <c r="AC69" s="44"/>
      <c r="AD69" s="44"/>
      <c r="AE69" s="44"/>
      <c r="AF69" s="44"/>
      <c r="AG69" s="44"/>
      <c r="AH69" s="312"/>
      <c r="AI69" s="310"/>
      <c r="AJ69" s="311"/>
      <c r="AK69" s="88"/>
      <c r="AL69" s="279"/>
      <c r="AM69" s="91"/>
      <c r="AN69" s="10" t="e">
        <f>'2023年'!#REF!</f>
        <v>#REF!</v>
      </c>
      <c r="AO69" s="10" t="e">
        <f t="shared" si="32"/>
        <v>#REF!</v>
      </c>
    </row>
    <row r="70" s="10" customFormat="1" ht="24.05" hidden="1" customHeight="1" spans="2:41">
      <c r="B70" s="48" t="s">
        <v>81</v>
      </c>
      <c r="C70" s="46" t="s">
        <v>238</v>
      </c>
      <c r="D70" s="46" t="e">
        <f>'2023年'!#REF!</f>
        <v>#REF!</v>
      </c>
      <c r="E70" s="41">
        <v>30</v>
      </c>
      <c r="F70" s="42" t="e">
        <f>SUM(I70:Z70)</f>
        <v>#REF!</v>
      </c>
      <c r="G70" s="291" t="e">
        <f>SUM(I70:X70)</f>
        <v>#REF!</v>
      </c>
      <c r="H70" s="291" t="e">
        <f t="shared" si="34"/>
        <v>#REF!</v>
      </c>
      <c r="I70" s="298"/>
      <c r="J70" s="217"/>
      <c r="K70" s="217"/>
      <c r="L70" s="217"/>
      <c r="M70" s="217"/>
      <c r="N70" s="217"/>
      <c r="O70" s="217"/>
      <c r="P70" s="217"/>
      <c r="Q70" s="217"/>
      <c r="R70" s="217"/>
      <c r="S70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0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0" s="217" t="e">
        <f>IF('2023年'!#REF!&gt;(SUM('2023年'!#REF!)+'2023年'!#REF!+'2023年'!#REF!),'2023年'!#REF!+'2023年'!#REF!,IF('2023年'!#REF!-SUM('2023年'!#REF!)&gt;0,'2023年'!#REF!-SUM('2023年'!#REF!),""))</f>
        <v>#REF!</v>
      </c>
      <c r="V70" s="221" t="e">
        <f>IF('2023年'!#REF!&gt;=SUM('2023年'!#REF!),'2023年'!#REF!,IF('2023年'!#REF!-SUM('2023年'!#REF!)&gt;0,'2023年'!#REF!-SUM('2023年'!#REF!),0))</f>
        <v>#REF!</v>
      </c>
      <c r="W70" s="221" t="e">
        <f>IF('2023年'!#REF!&gt;=SUM('2023年'!#REF!),'2023年'!#REF!,IF('2023年'!#REF!-SUM('2023年'!#REF!)&gt;0,'2023年'!#REF!-SUM('2023年'!#REF!),0))</f>
        <v>#REF!</v>
      </c>
      <c r="X70" s="221" t="e">
        <f>IF('2023年'!#REF!&gt;=SUM('2023年'!#REF!),'2023年'!#REF!,IF('2023年'!#REF!-SUM('2023年'!#REF!)&gt;0,'2023年'!#REF!-SUM('2023年'!#REF!),0))</f>
        <v>#REF!</v>
      </c>
      <c r="Y70" s="44" t="e">
        <f>IF('2023年'!#REF!&gt;=SUM('2023年'!#REF!),'2023年'!#REF!,IF('2023年'!#REF!-SUM('2023年'!#REF!)&gt;0,'2023年'!#REF!-SUM('2023年'!#REF!),0))</f>
        <v>#REF!</v>
      </c>
      <c r="Z70" s="44" t="e">
        <f>IF('2023年'!#REF!&gt;=SUM('2023年'!#REF!),'2023年'!#REF!,IF('2023年'!#REF!-SUM('2023年'!#REF!)&gt;0,'2023年'!#REF!-SUM('2023年'!#REF!),0))</f>
        <v>#REF!</v>
      </c>
      <c r="AA70" s="44" t="e">
        <f>IF('2023年'!#REF!&gt;=SUM('2023年'!#REF!),'2023年'!#REF!,IF('2023年'!#REF!-SUM('2023年'!#REF!)&gt;0,'2023年'!#REF!-SUM('2023年'!#REF!),0))</f>
        <v>#REF!</v>
      </c>
      <c r="AB70" s="44"/>
      <c r="AC70" s="44"/>
      <c r="AD70" s="44"/>
      <c r="AE70" s="44"/>
      <c r="AF70" s="44"/>
      <c r="AG70" s="44"/>
      <c r="AH70" s="312"/>
      <c r="AI70" s="310"/>
      <c r="AJ70" s="311"/>
      <c r="AK70" s="88"/>
      <c r="AL70" s="279"/>
      <c r="AM70" s="91"/>
      <c r="AN70" s="10" t="e">
        <f>'2023年'!#REF!</f>
        <v>#REF!</v>
      </c>
      <c r="AO70" s="10" t="e">
        <f t="shared" si="32"/>
        <v>#REF!</v>
      </c>
    </row>
    <row r="71" s="10" customFormat="1" ht="24.05" hidden="1" customHeight="1" spans="2:41">
      <c r="B71" s="48" t="s">
        <v>81</v>
      </c>
      <c r="C71" s="319" t="s">
        <v>239</v>
      </c>
      <c r="D71" s="46" t="e">
        <f>'2023年'!#REF!</f>
        <v>#REF!</v>
      </c>
      <c r="E71" s="295" t="s">
        <v>96</v>
      </c>
      <c r="F71" s="42" t="e">
        <f>SUM(I71:V71)</f>
        <v>#REF!</v>
      </c>
      <c r="G71" s="291" t="e">
        <f>SUM(I71:U71)</f>
        <v>#REF!</v>
      </c>
      <c r="H71" s="291" t="e">
        <f t="shared" si="34"/>
        <v>#REF!</v>
      </c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1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1" s="217" t="e">
        <f>IF('2023年'!#REF!&gt;(SUM('2023年'!#REF!)+'2023年'!#REF!+'2023年'!#REF!),'2023年'!#REF!+'2023年'!#REF!,IF('2023年'!#REF!-SUM('2023年'!#REF!)&gt;0,'2023年'!#REF!-SUM('2023年'!#REF!),""))</f>
        <v>#REF!</v>
      </c>
      <c r="V71" s="221" t="e">
        <f>IF('2023年'!#REF!&gt;=SUM('2023年'!#REF!),'2023年'!#REF!,IF('2023年'!#REF!-SUM('2023年'!#REF!)&gt;0,'2023年'!#REF!-SUM('2023年'!#REF!),0))</f>
        <v>#REF!</v>
      </c>
      <c r="W71" s="221" t="e">
        <f>IF('2023年'!#REF!&gt;=SUM('2023年'!#REF!),'2023年'!#REF!,IF('2023年'!#REF!-SUM('2023年'!#REF!)&gt;0,'2023年'!#REF!-SUM('2023年'!#REF!),0))</f>
        <v>#REF!</v>
      </c>
      <c r="X71" s="221" t="e">
        <f>IF('2023年'!#REF!&gt;=SUM('2023年'!#REF!),'2023年'!#REF!,IF('2023年'!#REF!-SUM('2023年'!#REF!)&gt;0,'2023年'!#REF!-SUM('2023年'!#REF!),0))</f>
        <v>#REF!</v>
      </c>
      <c r="Y71" s="44" t="e">
        <f>IF('2023年'!#REF!&gt;=SUM('2023年'!#REF!),'2023年'!#REF!,IF('2023年'!#REF!-SUM('2023年'!#REF!)&gt;0,'2023年'!#REF!-SUM('2023年'!#REF!),0))</f>
        <v>#REF!</v>
      </c>
      <c r="Z71" s="44" t="e">
        <f>IF('2023年'!#REF!&gt;=SUM('2023年'!#REF!),'2023年'!#REF!,IF('2023年'!#REF!-SUM('2023年'!#REF!)&gt;0,'2023年'!#REF!-SUM('2023年'!#REF!),0))</f>
        <v>#REF!</v>
      </c>
      <c r="AA71" s="44" t="e">
        <f>IF('2023年'!#REF!&gt;=SUM('2023年'!#REF!),'2023年'!#REF!,IF('2023年'!#REF!-SUM('2023年'!#REF!)&gt;0,'2023年'!#REF!-SUM('2023年'!#REF!),0))</f>
        <v>#REF!</v>
      </c>
      <c r="AB71" s="322"/>
      <c r="AC71" s="322"/>
      <c r="AD71" s="322"/>
      <c r="AE71" s="322"/>
      <c r="AF71" s="322"/>
      <c r="AG71" s="322"/>
      <c r="AH71" s="312"/>
      <c r="AI71" s="313"/>
      <c r="AJ71" s="324"/>
      <c r="AK71" s="88"/>
      <c r="AL71" s="279"/>
      <c r="AM71" s="91"/>
      <c r="AN71" s="10" t="e">
        <f>'2023年'!#REF!</f>
        <v>#REF!</v>
      </c>
      <c r="AO71" s="10" t="e">
        <f t="shared" si="32"/>
        <v>#REF!</v>
      </c>
    </row>
    <row r="72" s="10" customFormat="1" ht="24.05" hidden="1" customHeight="1" spans="2:41">
      <c r="B72" s="48" t="s">
        <v>81</v>
      </c>
      <c r="C72" s="319" t="s">
        <v>226</v>
      </c>
      <c r="D72" s="46" t="e">
        <f>'2023年'!#REF!</f>
        <v>#REF!</v>
      </c>
      <c r="E72" s="295">
        <v>30</v>
      </c>
      <c r="F72" s="42" t="e">
        <f>SUM(I72:Z72)</f>
        <v>#REF!</v>
      </c>
      <c r="G72" s="291" t="e">
        <f>SUM(I72:X72)</f>
        <v>#REF!</v>
      </c>
      <c r="H72" s="291" t="e">
        <f t="shared" si="34"/>
        <v>#REF!</v>
      </c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2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2" s="217" t="e">
        <f>IF('2023年'!#REF!&gt;(SUM('2023年'!#REF!)+'2023年'!#REF!+'2023年'!#REF!),'2023年'!#REF!+'2023年'!#REF!,IF('2023年'!#REF!-SUM('2023年'!#REF!)&gt;0,'2023年'!#REF!-SUM('2023年'!#REF!),""))</f>
        <v>#REF!</v>
      </c>
      <c r="V72" s="221" t="e">
        <f>IF('2023年'!#REF!&gt;=SUM('2023年'!#REF!),'2023年'!#REF!,IF('2023年'!#REF!-SUM('2023年'!#REF!)&gt;0,'2023年'!#REF!-SUM('2023年'!#REF!),0))</f>
        <v>#REF!</v>
      </c>
      <c r="W72" s="221" t="e">
        <f>IF('2023年'!#REF!&gt;=SUM('2023年'!#REF!),'2023年'!#REF!,IF('2023年'!#REF!-SUM('2023年'!#REF!)&gt;0,'2023年'!#REF!-SUM('2023年'!#REF!),0))</f>
        <v>#REF!</v>
      </c>
      <c r="X72" s="221" t="e">
        <f>IF('2023年'!#REF!&gt;=SUM('2023年'!#REF!),'2023年'!#REF!,IF('2023年'!#REF!-SUM('2023年'!#REF!)&gt;0,'2023年'!#REF!-SUM('2023年'!#REF!),0))</f>
        <v>#REF!</v>
      </c>
      <c r="Y72" s="44" t="e">
        <f>IF('2023年'!#REF!&gt;=SUM('2023年'!#REF!),'2023年'!#REF!,IF('2023年'!#REF!-SUM('2023年'!#REF!)&gt;0,'2023年'!#REF!-SUM('2023年'!#REF!),0))</f>
        <v>#REF!</v>
      </c>
      <c r="Z72" s="44" t="e">
        <f>IF('2023年'!#REF!&gt;=SUM('2023年'!#REF!),'2023年'!#REF!,IF('2023年'!#REF!-SUM('2023年'!#REF!)&gt;0,'2023年'!#REF!-SUM('2023年'!#REF!),0))</f>
        <v>#REF!</v>
      </c>
      <c r="AA72" s="44" t="e">
        <f>IF('2023年'!#REF!&gt;=SUM('2023年'!#REF!),'2023年'!#REF!,IF('2023年'!#REF!-SUM('2023年'!#REF!)&gt;0,'2023年'!#REF!-SUM('2023年'!#REF!),0))</f>
        <v>#REF!</v>
      </c>
      <c r="AB72" s="322"/>
      <c r="AC72" s="322"/>
      <c r="AD72" s="322"/>
      <c r="AE72" s="322"/>
      <c r="AF72" s="322"/>
      <c r="AG72" s="322"/>
      <c r="AH72" s="312"/>
      <c r="AI72" s="313"/>
      <c r="AJ72" s="324"/>
      <c r="AK72" s="88"/>
      <c r="AL72" s="279"/>
      <c r="AM72" s="91"/>
      <c r="AN72" s="10" t="e">
        <f>'2023年'!#REF!</f>
        <v>#REF!</v>
      </c>
      <c r="AO72" s="10" t="e">
        <f t="shared" si="32"/>
        <v>#REF!</v>
      </c>
    </row>
    <row r="73" s="10" customFormat="1" ht="24.05" hidden="1" customHeight="1" spans="2:41">
      <c r="B73" s="48" t="s">
        <v>81</v>
      </c>
      <c r="C73" s="320"/>
      <c r="D73" s="46" t="e">
        <f>'2023年'!#REF!</f>
        <v>#REF!</v>
      </c>
      <c r="E73" s="41"/>
      <c r="F73" s="42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91"/>
      <c r="S73" s="217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3" s="217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3" s="217" t="e">
        <f>IF('2023年'!#REF!&gt;(SUM('2023年'!#REF!)+'2023年'!#REF!+'2023年'!#REF!),'2023年'!#REF!+'2023年'!#REF!,IF('2023年'!#REF!-SUM('2023年'!#REF!)&gt;0,'2023年'!#REF!-SUM('2023年'!#REF!),""))</f>
        <v>#REF!</v>
      </c>
      <c r="V73" s="221" t="e">
        <f>IF('2023年'!#REF!&gt;=SUM('2023年'!#REF!),'2023年'!#REF!,IF('2023年'!#REF!-SUM('2023年'!#REF!)&gt;0,'2023年'!#REF!-SUM('2023年'!#REF!),0))</f>
        <v>#REF!</v>
      </c>
      <c r="W73" s="221" t="e">
        <f>IF('2023年'!#REF!&gt;=SUM('2023年'!#REF!),'2023年'!#REF!,IF('2023年'!#REF!-SUM('2023年'!#REF!)&gt;0,'2023年'!#REF!-SUM('2023年'!#REF!),0))</f>
        <v>#REF!</v>
      </c>
      <c r="X73" s="44" t="e">
        <f>IF('2023年'!#REF!&gt;=SUM('2023年'!#REF!),'2023年'!#REF!,IF('2023年'!#REF!-SUM('2023年'!#REF!)&gt;0,'2023年'!#REF!-SUM('2023年'!#REF!),0))</f>
        <v>#REF!</v>
      </c>
      <c r="Y73" s="44" t="e">
        <f>IF('2023年'!#REF!&gt;=SUM('2023年'!#REF!),'2023年'!#REF!,IF('2023年'!#REF!-SUM('2023年'!#REF!)&gt;0,'2023年'!#REF!-SUM('2023年'!#REF!),0))</f>
        <v>#REF!</v>
      </c>
      <c r="Z73" s="44" t="e">
        <f>IF('2023年'!#REF!&gt;=SUM('2023年'!#REF!),'2023年'!#REF!,IF('2023年'!#REF!-SUM('2023年'!#REF!)&gt;0,'2023年'!#REF!-SUM('2023年'!#REF!),0))</f>
        <v>#REF!</v>
      </c>
      <c r="AA73" s="44" t="e">
        <f>IF('2023年'!#REF!&gt;=SUM('2023年'!#REF!),'2023年'!#REF!,IF('2023年'!#REF!-SUM('2023年'!#REF!)&gt;0,'2023年'!#REF!-SUM('2023年'!#REF!),0))</f>
        <v>#REF!</v>
      </c>
      <c r="AB73" s="323"/>
      <c r="AC73" s="323"/>
      <c r="AD73" s="323"/>
      <c r="AE73" s="323"/>
      <c r="AF73" s="323"/>
      <c r="AG73" s="323"/>
      <c r="AH73" s="312"/>
      <c r="AI73" s="310"/>
      <c r="AJ73" s="311"/>
      <c r="AK73" s="88"/>
      <c r="AL73" s="279"/>
      <c r="AM73" s="91"/>
      <c r="AN73" s="10" t="e">
        <f>'2023年'!#REF!</f>
        <v>#REF!</v>
      </c>
      <c r="AO73" s="10" t="e">
        <f t="shared" si="32"/>
        <v>#REF!</v>
      </c>
    </row>
    <row r="74" s="12" customFormat="1" ht="24.05" customHeight="1" spans="2:40">
      <c r="B74" s="60"/>
      <c r="C74" s="61"/>
      <c r="D74" s="62" t="s">
        <v>142</v>
      </c>
      <c r="E74" s="321"/>
      <c r="F74" s="99">
        <f>SUM(F5:F56)</f>
        <v>2401090.93</v>
      </c>
      <c r="G74" s="297">
        <f t="shared" ref="G74:AL74" si="37">SUM(G5:G56)</f>
        <v>1469803.11</v>
      </c>
      <c r="H74" s="99">
        <f t="shared" si="37"/>
        <v>8364426.74</v>
      </c>
      <c r="I74" s="99">
        <f t="shared" si="37"/>
        <v>2518.39</v>
      </c>
      <c r="J74" s="99">
        <f t="shared" si="37"/>
        <v>122009.47</v>
      </c>
      <c r="K74" s="99">
        <f t="shared" si="37"/>
        <v>34487.78</v>
      </c>
      <c r="L74" s="99">
        <f t="shared" si="37"/>
        <v>240871.89</v>
      </c>
      <c r="M74" s="63">
        <f t="shared" si="37"/>
        <v>182842.2</v>
      </c>
      <c r="N74" s="63">
        <f t="shared" si="37"/>
        <v>77199.49</v>
      </c>
      <c r="O74" s="99">
        <f t="shared" si="37"/>
        <v>88317.18</v>
      </c>
      <c r="P74" s="99">
        <f t="shared" si="37"/>
        <v>31271.28</v>
      </c>
      <c r="Q74" s="99">
        <f t="shared" si="37"/>
        <v>0</v>
      </c>
      <c r="R74" s="99">
        <f t="shared" si="37"/>
        <v>76840</v>
      </c>
      <c r="S74" s="99">
        <f t="shared" si="37"/>
        <v>19097</v>
      </c>
      <c r="T74" s="99">
        <f t="shared" si="37"/>
        <v>395197.19</v>
      </c>
      <c r="U74" s="99">
        <f t="shared" si="37"/>
        <v>9790.31000000003</v>
      </c>
      <c r="V74" s="99">
        <f t="shared" si="37"/>
        <v>189360.93</v>
      </c>
      <c r="W74" s="99">
        <f t="shared" si="37"/>
        <v>596977.79</v>
      </c>
      <c r="X74" s="99">
        <f t="shared" si="37"/>
        <v>232622.15</v>
      </c>
      <c r="Y74" s="99">
        <f t="shared" si="37"/>
        <v>931803.64</v>
      </c>
      <c r="Z74" s="99">
        <f t="shared" si="37"/>
        <v>240698.77</v>
      </c>
      <c r="AA74" s="63">
        <f t="shared" si="37"/>
        <v>104117.16</v>
      </c>
      <c r="AB74" s="63">
        <f t="shared" si="37"/>
        <v>1294618.07</v>
      </c>
      <c r="AC74" s="63">
        <f t="shared" si="37"/>
        <v>202947.99</v>
      </c>
      <c r="AD74" s="63">
        <f t="shared" si="37"/>
        <v>550595.17</v>
      </c>
      <c r="AE74" s="63">
        <f t="shared" si="37"/>
        <v>709633.05</v>
      </c>
      <c r="AF74" s="63">
        <f t="shared" si="37"/>
        <v>677122.26</v>
      </c>
      <c r="AG74" s="63">
        <f t="shared" si="37"/>
        <v>1353487.58</v>
      </c>
      <c r="AH74" s="99">
        <f t="shared" si="37"/>
        <v>0</v>
      </c>
      <c r="AI74" s="99">
        <f t="shared" si="37"/>
        <v>0.23</v>
      </c>
      <c r="AJ74" s="99">
        <f t="shared" si="37"/>
        <v>0</v>
      </c>
      <c r="AK74" s="99">
        <f t="shared" si="37"/>
        <v>0</v>
      </c>
      <c r="AL74" s="99">
        <f t="shared" si="37"/>
        <v>0</v>
      </c>
      <c r="AM74" s="100">
        <f>SUM(AM5:AM33)</f>
        <v>0</v>
      </c>
      <c r="AN74" s="10"/>
    </row>
    <row r="75" ht="15.05" hidden="1" customHeight="1" spans="5:40">
      <c r="E75" s="64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>
        <f t="shared" ref="S75:AC75" si="38">SUM(S5:S26)</f>
        <v>19097</v>
      </c>
      <c r="T75" s="65">
        <f t="shared" si="38"/>
        <v>395197.19</v>
      </c>
      <c r="U75" s="65">
        <f t="shared" si="38"/>
        <v>9790.31000000003</v>
      </c>
      <c r="V75" s="73">
        <f t="shared" si="38"/>
        <v>95085.28</v>
      </c>
      <c r="W75" s="73">
        <f t="shared" si="38"/>
        <v>155279.13</v>
      </c>
      <c r="X75" s="65">
        <f t="shared" si="38"/>
        <v>19644.82</v>
      </c>
      <c r="Y75" s="65">
        <f t="shared" si="38"/>
        <v>69879.5400000001</v>
      </c>
      <c r="Z75" s="65">
        <f t="shared" si="38"/>
        <v>130172.11</v>
      </c>
      <c r="AA75" s="65">
        <f t="shared" si="38"/>
        <v>873035.89</v>
      </c>
      <c r="AB75" s="65">
        <f t="shared" si="38"/>
        <v>852588.86</v>
      </c>
      <c r="AC75" s="65">
        <f t="shared" si="38"/>
        <v>174638.1</v>
      </c>
      <c r="AD75" s="65"/>
      <c r="AE75" s="65"/>
      <c r="AF75" s="65"/>
      <c r="AG75" s="65">
        <f>SUM(AG5:AG26)</f>
        <v>1119523.57</v>
      </c>
      <c r="AH75" s="65">
        <f t="shared" ref="AH75:AJ75" si="39">SUM(AH5:AH23)</f>
        <v>0</v>
      </c>
      <c r="AI75" s="65">
        <f t="shared" si="39"/>
        <v>0</v>
      </c>
      <c r="AJ75" s="65">
        <f t="shared" si="39"/>
        <v>0</v>
      </c>
      <c r="AK75" s="76"/>
      <c r="AN75" s="10"/>
    </row>
    <row r="76" ht="15.05" customHeight="1"/>
    <row r="77" spans="4:33">
      <c r="D77" s="67" t="s">
        <v>143</v>
      </c>
      <c r="E77" s="68"/>
      <c r="S77" s="67"/>
      <c r="T77" s="67">
        <f>'2023年'!P29+'2023年'!S29</f>
        <v>19790.82</v>
      </c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</row>
    <row r="78" spans="23:33"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</row>
    <row r="88" s="13" customFormat="1" spans="5:5">
      <c r="E88" s="104"/>
    </row>
    <row r="91" s="13" customFormat="1" spans="5:5">
      <c r="E91" s="104"/>
    </row>
  </sheetData>
  <autoFilter ref="B4:AO75">
    <filterColumn colId="6">
      <filters>
        <filter val="56,104.50"/>
        <filter val="8,323.30"/>
        <filter val="32,747.50"/>
        <filter val="93,598.21"/>
        <filter val="66,764.92"/>
        <filter val="195,932.06"/>
        <filter val="337,665.68"/>
        <filter val="199,728.49"/>
        <filter val="188,371.00"/>
        <filter val="4,520.00"/>
        <filter val="20,566.00"/>
        <filter val="449,272.73"/>
        <filter val="627,895.53"/>
        <filter val="99,231.74"/>
        <filter val="20,462.04"/>
        <filter val="9,809,843.35"/>
        <filter val="298,845.45"/>
        <filter val="1,398,669.47"/>
        <filter val="182,408.67"/>
        <filter val="769,620.79"/>
        <filter val="114,204.12"/>
        <filter val="173,341.04"/>
        <filter val="43,378.44"/>
        <filter val="241,850.66"/>
        <filter val="1,341,402.68"/>
        <filter val="2,518.39"/>
        <filter val="25,683.29"/>
        <filter val="125.40"/>
        <filter val="2,000.00"/>
        <filter val="341,680.90"/>
        <filter val="381,382.52"/>
        <filter val="205,279.13"/>
        <filter val="55,514.15"/>
        <filter val="610,565.26"/>
        <filter val="316,636.86"/>
        <filter val="470,485.67"/>
        <filter val="192,223.08"/>
        <filter val="240,843.68"/>
      </filters>
    </filterColumn>
    <extLst/>
  </autoFilter>
  <mergeCells count="39">
    <mergeCell ref="B1:E1"/>
    <mergeCell ref="S2:AG2"/>
    <mergeCell ref="AH2:AJ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K2:AK4"/>
    <mergeCell ref="AL2:AL4"/>
    <mergeCell ref="AM2:AM4"/>
  </mergeCells>
  <conditionalFormatting sqref="D74:D1048576 C5:C12 C13:D28 D1:D12">
    <cfRule type="duplicateValues" dxfId="0" priority="5"/>
    <cfRule type="duplicateValues" dxfId="0" priority="23"/>
  </conditionalFormatting>
  <conditionalFormatting sqref="S76:AG1048576 S1:AG1">
    <cfRule type="duplicateValues" dxfId="0" priority="22"/>
  </conditionalFormatting>
  <conditionalFormatting sqref="C29:D55 C56:C70 D56:D73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Sheet1</vt:lpstr>
      <vt:lpstr>2020年</vt:lpstr>
      <vt:lpstr>2021年</vt:lpstr>
      <vt:lpstr>2021年 (2)</vt:lpstr>
      <vt:lpstr>2021年11</vt:lpstr>
      <vt:lpstr>2021年12</vt:lpstr>
      <vt:lpstr>2022年</vt:lpstr>
      <vt:lpstr>2023年</vt:lpstr>
      <vt:lpstr>2023年应付</vt:lpstr>
      <vt:lpstr>2023年应付 (2)</vt:lpstr>
      <vt:lpstr>2024年-挂账付款</vt:lpstr>
      <vt:lpstr>2024年应付</vt:lpstr>
      <vt:lpstr>20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GHRC</cp:lastModifiedBy>
  <dcterms:created xsi:type="dcterms:W3CDTF">2020-02-19T02:04:00Z</dcterms:created>
  <dcterms:modified xsi:type="dcterms:W3CDTF">2024-04-13T11:21:58Z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B0E4320E1A5F4B068C1B94826D7EEC50_13</vt:lpwstr>
  </property>
  <property fmtid="{D5CDD505-2E9C-101B-9397-08002B2CF9AE}" pid="3" name="KSOProductBuildVer">
    <vt:lpwstr>2052-12.1.0.16417</vt:lpwstr>
  </property>
  <property fmtid="{D5CDD505-2E9C-101B-9397-08002B2CF9AE}" pid="4" name="KSOReadingLayout">
    <vt:bool>true</vt:bool>
  </property>
</Properties>
</file>